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NGHOP" sheetId="1" r:id="rId4"/>
    <sheet state="visible" name="SOCHITIEUGIAO" sheetId="2" r:id="rId5"/>
    <sheet state="visible" name="1.MN" sheetId="3" r:id="rId6"/>
    <sheet state="visible" name="2.TH" sheetId="4" r:id="rId7"/>
    <sheet state="visible" name="3.THCS" sheetId="5" r:id="rId8"/>
    <sheet state="visible" name="4.TH-THCS" sheetId="6" r:id="rId9"/>
    <sheet state="visible" name="5.THPT" sheetId="7" r:id="rId10"/>
    <sheet state="visible" name="6.THCS-THPT" sheetId="8" r:id="rId11"/>
    <sheet state="visible" name="7.GDTX" sheetId="9" r:id="rId12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31">
      <text>
        <t xml:space="preserve">Chỉ tiêu: 3.026</t>
      </text>
    </comment>
    <comment authorId="0" ref="B32">
      <text>
        <t xml:space="preserve">Chỉ tiêu: 11.624</t>
      </text>
    </comment>
    <comment authorId="0" ref="B33">
      <text>
        <t xml:space="preserve">Chỉ tiêu: 6.068</t>
      </text>
    </comment>
    <comment authorId="0" ref="B34">
      <text>
        <t xml:space="preserve">Chỉ tiêu: 3.780</t>
      </text>
    </comment>
    <comment authorId="0" ref="B35">
      <text>
        <t xml:space="preserve">Chỉ tiêu: 1.776</t>
      </text>
    </comment>
  </commentList>
</comments>
</file>

<file path=xl/sharedStrings.xml><?xml version="1.0" encoding="utf-8"?>
<sst xmlns="http://schemas.openxmlformats.org/spreadsheetml/2006/main" count="863" uniqueCount="166">
  <si>
    <r>
      <rPr>
        <rFont val="Times New Roman"/>
        <color theme="1"/>
        <sz val="12.0"/>
      </rPr>
      <t xml:space="preserve">BIỂU THỐNG KÊ SỐ LIỆU GIÁO DỤC </t>
    </r>
    <r>
      <rPr>
        <rFont val="Times New Roman"/>
        <color rgb="FFFF0000"/>
        <sz val="12.0"/>
      </rPr>
      <t>(Phóng to🔍)</t>
    </r>
  </si>
  <si>
    <t>Kỳ tháng 10/2023</t>
  </si>
  <si>
    <t>Kỳ tháng 11/2023</t>
  </si>
  <si>
    <t>Kỳ tháng 12/2023</t>
  </si>
  <si>
    <t>Kỳ tháng 1/2024</t>
  </si>
  <si>
    <t>Kỳ tháng 2/2024</t>
  </si>
  <si>
    <t>Kỳ tháng 3/2024</t>
  </si>
  <si>
    <t>Kỳ tháng 4/2024</t>
  </si>
  <si>
    <t>Kỳ tháng 5/2024</t>
  </si>
  <si>
    <t>Kỳ tháng 6/2024</t>
  </si>
  <si>
    <t>Kỳ tháng 7/2024</t>
  </si>
  <si>
    <t>Kỳ tháng 8/2024</t>
  </si>
  <si>
    <t>Kỳ tháng 9/2024</t>
  </si>
  <si>
    <t>TOÀN TỈNH</t>
  </si>
  <si>
    <t>Tần suất
báo cáo</t>
  </si>
  <si>
    <t>Đơn vị
tính</t>
  </si>
  <si>
    <t>Tổng số</t>
  </si>
  <si>
    <t>Trong đó</t>
  </si>
  <si>
    <t>Công lập</t>
  </si>
  <si>
    <t>Dân lập</t>
  </si>
  <si>
    <t>Tư thục</t>
  </si>
  <si>
    <t>A</t>
  </si>
  <si>
    <t>B</t>
  </si>
  <si>
    <t>C</t>
  </si>
  <si>
    <t>1=2+3+4</t>
  </si>
  <si>
    <t>1. TRƯỜNG</t>
  </si>
  <si>
    <t>Tháng</t>
  </si>
  <si>
    <t>1.1. TỔNG SỐ TRƯỜNG</t>
  </si>
  <si>
    <t>Trường</t>
  </si>
  <si>
    <t>Mầm non</t>
  </si>
  <si>
    <t>"</t>
  </si>
  <si>
    <t>Tiểu học</t>
  </si>
  <si>
    <t>Trung học cơ sở</t>
  </si>
  <si>
    <t>THCS</t>
  </si>
  <si>
    <t>Trung học phổ thông</t>
  </si>
  <si>
    <t>THPT</t>
  </si>
  <si>
    <t>TH-THCS</t>
  </si>
  <si>
    <t>THCS-THPT (gồm iSchool)</t>
  </si>
  <si>
    <t>Trong tổng số trường có:</t>
  </si>
  <si>
    <t xml:space="preserve"> + Số trường có điểm lẻ</t>
  </si>
  <si>
    <t>Tổng số điểm lẻ</t>
  </si>
  <si>
    <t>Điểm</t>
  </si>
  <si>
    <t xml:space="preserve"> + Số trường đạt chuẩn quốc gia</t>
  </si>
  <si>
    <t>Tỉ lệ</t>
  </si>
  <si>
    <t>%</t>
  </si>
  <si>
    <t xml:space="preserve"> + Số trường ở vùng đặc biệt khó khăn</t>
  </si>
  <si>
    <t>1.2. TỔNG SỐ TTGDTX</t>
  </si>
  <si>
    <t>TT</t>
  </si>
  <si>
    <t>2. LỚP</t>
  </si>
  <si>
    <t>TỔNG SỐ NHÓM, LỚP</t>
  </si>
  <si>
    <t>Lớp</t>
  </si>
  <si>
    <t>THPT và GDTX</t>
  </si>
  <si>
    <t>Chia ra:</t>
  </si>
  <si>
    <t xml:space="preserve"> + Số nhóm trẻ</t>
  </si>
  <si>
    <t>Nhóm</t>
  </si>
  <si>
    <t xml:space="preserve"> + Số lớp mẫu giáo</t>
  </si>
  <si>
    <t xml:space="preserve"> + Số lớp 1</t>
  </si>
  <si>
    <t xml:space="preserve"> + Số lớp 2</t>
  </si>
  <si>
    <t xml:space="preserve"> + Số lớp 3</t>
  </si>
  <si>
    <t xml:space="preserve"> + Số lớp 4</t>
  </si>
  <si>
    <t xml:space="preserve"> + Số lớp 5</t>
  </si>
  <si>
    <t xml:space="preserve"> + Số lớp 6</t>
  </si>
  <si>
    <t xml:space="preserve"> + Số lớp 7</t>
  </si>
  <si>
    <t xml:space="preserve"> + Số lớp 8</t>
  </si>
  <si>
    <t xml:space="preserve"> + Số lớp 9</t>
  </si>
  <si>
    <t xml:space="preserve"> + Số lớp 10</t>
  </si>
  <si>
    <t xml:space="preserve"> + Số lớp 11</t>
  </si>
  <si>
    <t xml:space="preserve"> + Số lớp 12</t>
  </si>
  <si>
    <t xml:space="preserve"> + Số lớp ghép</t>
  </si>
  <si>
    <t>3. HỌC SINH</t>
  </si>
  <si>
    <t>3.1. TỔNG SỐ</t>
  </si>
  <si>
    <t>Người</t>
  </si>
  <si>
    <t xml:space="preserve"> + Nhà trẻ</t>
  </si>
  <si>
    <t xml:space="preserve"> + Mẫu giáo</t>
  </si>
  <si>
    <t xml:space="preserve"> + Lớp 1</t>
  </si>
  <si>
    <t xml:space="preserve"> + Lớp 2</t>
  </si>
  <si>
    <t xml:space="preserve"> + Lớp 3</t>
  </si>
  <si>
    <t xml:space="preserve"> + Lớp 4</t>
  </si>
  <si>
    <t xml:space="preserve"> + Lớp 5</t>
  </si>
  <si>
    <t xml:space="preserve"> + Lớp 6</t>
  </si>
  <si>
    <t xml:space="preserve"> + Lớp 7</t>
  </si>
  <si>
    <t xml:space="preserve"> + Lớp 8</t>
  </si>
  <si>
    <t xml:space="preserve"> + Lớp 9</t>
  </si>
  <si>
    <t xml:space="preserve"> + Lớp 10</t>
  </si>
  <si>
    <t xml:space="preserve"> + Lớp 11</t>
  </si>
  <si>
    <t xml:space="preserve"> + Lớp 12</t>
  </si>
  <si>
    <t xml:space="preserve"> + Lớp ghép</t>
  </si>
  <si>
    <t>3.2. Trong tổng số học sinh có:</t>
  </si>
  <si>
    <t xml:space="preserve"> + Nữ</t>
  </si>
  <si>
    <t xml:space="preserve"> Người</t>
  </si>
  <si>
    <t xml:space="preserve"> + Dân tộc thiểu số</t>
  </si>
  <si>
    <t xml:space="preserve"> + Nữ dân tộc thiểu số</t>
  </si>
  <si>
    <t xml:space="preserve"> + Khuyết tật</t>
  </si>
  <si>
    <t xml:space="preserve"> + Nhóm tuổi (từ 6 đến 10 tuổi)</t>
  </si>
  <si>
    <t>Tỉ lệ học đúng độ tuổi cấp tiểu học</t>
  </si>
  <si>
    <t xml:space="preserve"> + Nhóm tuổi (từ 11 đến 14 tuổi)</t>
  </si>
  <si>
    <t>Tỉ lệ học đúng độ tuổi cấp THCS</t>
  </si>
  <si>
    <t xml:space="preserve"> + Nhóm tuổi (từ 15 đến 17 tuổi)</t>
  </si>
  <si>
    <t>Tỉ lệ học đúng độ tuổi cấp THPT</t>
  </si>
  <si>
    <t>4. TỶ LỆ HỌC SINH ĐI HỌC</t>
  </si>
  <si>
    <t>4.1. Trẻ nhà trẻ</t>
  </si>
  <si>
    <t>X</t>
  </si>
  <si>
    <t>4.2. Trẻ mẫu giáo</t>
  </si>
  <si>
    <t>4.3. Học sinh tiểu học</t>
  </si>
  <si>
    <t>4.4. Học sinh THCS</t>
  </si>
  <si>
    <t>4.5. Học sinh THPT</t>
  </si>
  <si>
    <t>5. ĐỘI NGŨ</t>
  </si>
  <si>
    <t>Quí</t>
  </si>
  <si>
    <t>5.1. Tổng số cán bộ quản lí (C.chức+V.chức)</t>
  </si>
  <si>
    <t>5.2. Tổng số giáo viên biên chế</t>
  </si>
  <si>
    <t>Trình độ chuyên môn chưa đạt chuẩn:</t>
  </si>
  <si>
    <t>Trình độ chuyên môn đạt chuẩn:</t>
  </si>
  <si>
    <t>Trình độ chuyên môn trên chuẩn:</t>
  </si>
  <si>
    <t>5.3. Tổng số giáo viên hợp đồng</t>
  </si>
  <si>
    <t>5.4. Tổng số nhân viên</t>
  </si>
  <si>
    <t>6. KHỐI PHÒNG HỌC TẬP</t>
  </si>
  <si>
    <t>Phòng</t>
  </si>
  <si>
    <t>6.1. Tổng số Phòng học</t>
  </si>
  <si>
    <t xml:space="preserve"> + Kiên cố</t>
  </si>
  <si>
    <t xml:space="preserve"> + Bán kiên cố</t>
  </si>
  <si>
    <t xml:space="preserve"> + Tạm</t>
  </si>
  <si>
    <t>6.2. Tổng số Phòng bộ môn</t>
  </si>
  <si>
    <t>6.3. Tổng số Phòng đa chức năng</t>
  </si>
  <si>
    <t>7. KHỐI PHÒNG HỖ TRỢ HỌC TẬP</t>
  </si>
  <si>
    <t>7.1. Tổng số Thư viện</t>
  </si>
  <si>
    <t>7.2. Tổng số Phòng thiết bị</t>
  </si>
  <si>
    <t>7.3. Tổng số Phòng y tế</t>
  </si>
  <si>
    <t>7.4. Tổng số Nhà đa năng</t>
  </si>
  <si>
    <t>BIỂU THỐNG KÊ SỐ LIỆU GIÁO DỤC</t>
  </si>
  <si>
    <t>SO SÁNH CHỈ TIÊU GIAO</t>
  </si>
  <si>
    <t>1. Tổng số trường</t>
  </si>
  <si>
    <t>2. Tổng số lớp</t>
  </si>
  <si>
    <t>3. Tổng số học sinh</t>
  </si>
  <si>
    <t>a) Mầm non</t>
  </si>
  <si>
    <t>- Nhà trẻ</t>
  </si>
  <si>
    <t>- Mẫu giáo</t>
  </si>
  <si>
    <t>b) Phổ thông</t>
  </si>
  <si>
    <t>- Tiểu học</t>
  </si>
  <si>
    <t>- THCS</t>
  </si>
  <si>
    <t>- THPT và tương đương</t>
  </si>
  <si>
    <t>4. Tỉ lệ trẻ em, học sinh đi học</t>
  </si>
  <si>
    <t>Tỉ lệ
huy động</t>
  </si>
  <si>
    <t>NQ
giao</t>
  </si>
  <si>
    <t>SS
NQ</t>
  </si>
  <si>
    <t>Số HS
giao</t>
  </si>
  <si>
    <t>- Trẻ nhà trẻ</t>
  </si>
  <si>
    <t>- Trẻ mẫu giáo</t>
  </si>
  <si>
    <t>- Học sinh tiểu học</t>
  </si>
  <si>
    <t>- Học sinh THCS</t>
  </si>
  <si>
    <t>- Học sinh THPT và tương đương</t>
  </si>
  <si>
    <t>5. Tổng số giáo viên</t>
  </si>
  <si>
    <t>Phổ thông</t>
  </si>
  <si>
    <t>6. Phổ cập giáo dục</t>
  </si>
  <si>
    <t>người</t>
  </si>
  <si>
    <t>Phổ cập giáo dục tiểu học</t>
  </si>
  <si>
    <t>Phổ cập giáo dục THCS</t>
  </si>
  <si>
    <t>Tỷ lệ xã đạt phổ cập THCS</t>
  </si>
  <si>
    <t>7. Xóa mù chữ (15-60 tuổi)</t>
  </si>
  <si>
    <t>8. Số trường đạt chuẩn quốc gia</t>
  </si>
  <si>
    <t>Mở biểu nhập số liệu cấp MẦM NON</t>
  </si>
  <si>
    <t>Mở biểu nhập số liệu cấp TIỂU HỌC</t>
  </si>
  <si>
    <t>Mở biểu nhập số liệu cấp THCS</t>
  </si>
  <si>
    <t>Mở biểu nhập số liệu cấp TIỂU HỌC &amp; THCS</t>
  </si>
  <si>
    <t>Mở biểu nhập số liệu cấp THPT</t>
  </si>
  <si>
    <t>Mở biểu nhập số liệu cấp THCS&amp;THPT</t>
  </si>
  <si>
    <t>Mở biểu nhập số liệu GDTX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</si>
</sst>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77">
    <font>
      <sz val="11.0"/>
      <color theme="1"/>
      <name val="Arial"/>
      <scheme val="minor"/>
    </font>
    <font>
      <sz val="14.0"/>
      <color theme="1"/>
      <name val="Times New Roman"/>
    </font>
    <font>
      <i/>
      <sz val="12.0"/>
      <color rgb="FFFF0000"/>
      <name val="Times New Roman"/>
    </font>
    <font/>
    <font>
      <sz val="12.0"/>
      <color theme="1"/>
      <name val="Times New Roman"/>
    </font>
    <font>
      <i/>
      <sz val="12.0"/>
      <color theme="1"/>
      <name val="Times New Roman"/>
    </font>
    <font>
      <b/>
      <sz val="12.0"/>
      <color rgb="FF0000FF"/>
      <name val="Times New Roman"/>
    </font>
    <font>
      <sz val="10.0"/>
      <color theme="1"/>
      <name val="Times New Roman"/>
    </font>
    <font>
      <b/>
      <sz val="11.0"/>
      <color theme="1"/>
      <name val="Times New Roman"/>
    </font>
    <font>
      <b/>
      <sz val="12.0"/>
      <color theme="1"/>
      <name val="Times New Roman"/>
    </font>
    <font>
      <sz val="11.0"/>
      <color rgb="FF0033CC"/>
      <name val="Times New Roman"/>
    </font>
    <font>
      <sz val="10.0"/>
      <color rgb="FF0033CC"/>
      <name val="Times New Roman"/>
    </font>
    <font>
      <b/>
      <sz val="12.0"/>
      <color rgb="FF0033CC"/>
      <name val="Times New Roman"/>
    </font>
    <font>
      <sz val="11.0"/>
      <color theme="1"/>
      <name val="Times New Roman"/>
    </font>
    <font>
      <sz val="11.0"/>
      <color rgb="FFFF0000"/>
      <name val="Times New Roman"/>
    </font>
    <font>
      <i/>
      <sz val="11.0"/>
      <color theme="1"/>
      <name val="Times New Roman"/>
    </font>
    <font>
      <i/>
      <sz val="10.0"/>
      <color theme="1"/>
      <name val="Times New Roman"/>
    </font>
    <font>
      <b/>
      <i/>
      <sz val="11.0"/>
      <color theme="1"/>
      <name val="Times New Roman"/>
    </font>
    <font>
      <sz val="14.0"/>
      <color rgb="FF0000FF"/>
      <name val="Times New Roman"/>
    </font>
    <font>
      <i/>
      <sz val="11.0"/>
      <color rgb="FF0000FF"/>
      <name val="Times New Roman"/>
    </font>
    <font>
      <sz val="10.0"/>
      <color rgb="FF0000FF"/>
      <name val="Times New Roman"/>
    </font>
    <font>
      <i/>
      <sz val="12.0"/>
      <color rgb="FF0000FF"/>
      <name val="Times New Roman"/>
    </font>
    <font>
      <sz val="12.0"/>
      <color rgb="FF0000FF"/>
      <name val="Times New Roman"/>
    </font>
    <font>
      <sz val="11.0"/>
      <color rgb="FF7030A0"/>
      <name val="Times New Roman"/>
    </font>
    <font>
      <i/>
      <sz val="10.0"/>
      <color rgb="FF7030A0"/>
      <name val="Times New Roman"/>
    </font>
    <font>
      <sz val="10.0"/>
      <color rgb="FF7030A0"/>
      <name val="Times New Roman"/>
    </font>
    <font>
      <sz val="12.0"/>
      <color rgb="FF7030A0"/>
      <name val="Times New Roman"/>
    </font>
    <font>
      <sz val="11.0"/>
      <color rgb="FF002060"/>
      <name val="Times New Roman"/>
    </font>
    <font>
      <i/>
      <sz val="10.0"/>
      <color rgb="FF002060"/>
      <name val="Times New Roman"/>
    </font>
    <font>
      <sz val="10.0"/>
      <color rgb="FF002060"/>
      <name val="Times New Roman"/>
    </font>
    <font>
      <sz val="12.0"/>
      <color rgb="FF002060"/>
      <name val="Times New Roman"/>
    </font>
    <font>
      <sz val="11.0"/>
      <color rgb="FF0070C0"/>
      <name val="Times New Roman"/>
    </font>
    <font>
      <i/>
      <sz val="10.0"/>
      <color rgb="FF0070C0"/>
      <name val="Times New Roman"/>
    </font>
    <font>
      <sz val="10.0"/>
      <color rgb="FF0070C0"/>
      <name val="Times New Roman"/>
    </font>
    <font>
      <sz val="12.0"/>
      <color rgb="FF0070C0"/>
      <name val="Times New Roman"/>
    </font>
    <font>
      <sz val="11.0"/>
      <color rgb="FFC00000"/>
      <name val="Times New Roman"/>
    </font>
    <font>
      <sz val="10.0"/>
      <color rgb="FFC00000"/>
      <name val="Times New Roman"/>
    </font>
    <font>
      <sz val="12.0"/>
      <color rgb="FFC00000"/>
      <name val="Times New Roman"/>
    </font>
    <font>
      <sz val="14.0"/>
      <color rgb="FFC00000"/>
      <name val="Times New Roman"/>
    </font>
    <font>
      <i/>
      <sz val="11.0"/>
      <color rgb="FFC00000"/>
      <name val="Times New Roman"/>
    </font>
    <font>
      <i/>
      <sz val="10.0"/>
      <color rgb="FFC00000"/>
      <name val="Times New Roman"/>
    </font>
    <font>
      <i/>
      <sz val="14.0"/>
      <color rgb="FF0000FF"/>
      <name val="Times New Roman"/>
    </font>
    <font>
      <i/>
      <sz val="10.0"/>
      <color rgb="FF0000FF"/>
      <name val="Times New Roman"/>
    </font>
    <font>
      <sz val="14.0"/>
      <color rgb="FF999999"/>
      <name val="Times New Roman"/>
    </font>
    <font>
      <b/>
      <sz val="11.0"/>
      <color rgb="FF999999"/>
      <name val="Times New Roman"/>
    </font>
    <font>
      <sz val="10.0"/>
      <color rgb="FF999999"/>
      <name val="Times New Roman"/>
    </font>
    <font>
      <sz val="12.0"/>
      <color rgb="FF999999"/>
      <name val="Times New Roman"/>
    </font>
    <font>
      <sz val="12.0"/>
      <color rgb="FFFF0000"/>
      <name val="Times New Roman"/>
    </font>
    <font>
      <i/>
      <sz val="11.0"/>
      <color rgb="FF0033CC"/>
      <name val="Times New Roman"/>
    </font>
    <font>
      <sz val="14.0"/>
      <color rgb="FF0033CC"/>
      <name val="Times New Roman"/>
    </font>
    <font>
      <i/>
      <sz val="10.0"/>
      <color rgb="FF0033CC"/>
      <name val="Times New Roman"/>
    </font>
    <font>
      <sz val="11.0"/>
      <color rgb="FF0000FF"/>
      <name val="Times New Roman"/>
    </font>
    <font>
      <b/>
      <sz val="14.0"/>
      <color rgb="FF0000FF"/>
      <name val="Times New Roman"/>
    </font>
    <font>
      <b/>
      <sz val="10.0"/>
      <color rgb="FF0000FF"/>
      <name val="Times New Roman"/>
    </font>
    <font>
      <b/>
      <sz val="10.0"/>
      <color rgb="FFFF0000"/>
      <name val="Times New Roman"/>
    </font>
    <font>
      <b/>
      <sz val="10.0"/>
      <color rgb="FFCCCCCC"/>
      <name val="Times New Roman"/>
    </font>
    <font>
      <sz val="12.0"/>
      <color rgb="FFCCCCCC"/>
      <name val="Times New Roman"/>
    </font>
    <font>
      <b/>
      <sz val="12.0"/>
      <color rgb="FFCCCCCC"/>
      <name val="Times New Roman"/>
    </font>
    <font>
      <color theme="1"/>
      <name val="Arial"/>
      <scheme val="minor"/>
    </font>
    <font>
      <b/>
      <i/>
      <sz val="12.0"/>
      <color rgb="FFFFFFFF"/>
      <name val="Times New Roman"/>
    </font>
    <font>
      <b/>
      <i/>
      <u/>
      <sz val="12.0"/>
      <color rgb="FF980000"/>
      <name val="Times New Roman"/>
    </font>
    <font>
      <sz val="10.0"/>
      <color rgb="FFFFFFFF"/>
      <name val="Times New Roman"/>
    </font>
    <font>
      <i/>
      <sz val="10.0"/>
      <color rgb="FFFFFFFF"/>
      <name val="Times New Roman"/>
    </font>
    <font>
      <sz val="11.0"/>
      <color theme="1"/>
      <name val="Calibri"/>
    </font>
    <font>
      <b/>
      <sz val="14.0"/>
      <color theme="1"/>
      <name val="Times New Roman"/>
    </font>
    <font>
      <b/>
      <i/>
      <sz val="12.0"/>
      <color theme="1"/>
      <name val="Times New Roman"/>
    </font>
    <font>
      <b/>
      <i/>
      <u/>
      <sz val="12.0"/>
      <color rgb="FF0097A7"/>
      <name val="Times New Roman"/>
    </font>
    <font>
      <b/>
      <i/>
      <sz val="12.0"/>
      <color rgb="FFFF00FF"/>
      <name val="Times New Roman"/>
    </font>
    <font>
      <b/>
      <i/>
      <sz val="12.0"/>
      <color rgb="FFFFFFFF"/>
      <name val="Calibri"/>
    </font>
    <font>
      <sz val="10.0"/>
      <color rgb="FFFFFFFF"/>
      <name val="Calibri"/>
    </font>
    <font>
      <sz val="14.0"/>
      <color rgb="FFB7B7B7"/>
      <name val="Times New Roman"/>
    </font>
    <font>
      <b/>
      <sz val="11.0"/>
      <color rgb="FFB7B7B7"/>
      <name val="Times New Roman"/>
    </font>
    <font>
      <sz val="10.0"/>
      <color rgb="FFB7B7B7"/>
      <name val="Times New Roman"/>
    </font>
    <font>
      <sz val="12.0"/>
      <color rgb="FFB7B7B7"/>
      <name val="Times New Roman"/>
    </font>
    <font>
      <sz val="11.0"/>
      <color rgb="FFB7B7B7"/>
      <name val="Calibri"/>
    </font>
    <font>
      <b/>
      <i/>
      <u/>
      <sz val="12.0"/>
      <color rgb="FF980000"/>
      <name val="Times New Roman"/>
    </font>
    <font>
      <b/>
      <i/>
      <u/>
      <sz val="12.0"/>
      <color rgb="FF980000"/>
      <name val="Times New Roman"/>
    </font>
  </fonts>
  <fills count="12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00B0F0"/>
        <bgColor rgb="FF00B0F0"/>
      </patternFill>
    </fill>
    <fill>
      <patternFill patternType="solid">
        <fgColor rgb="FFDEEAF6"/>
        <bgColor rgb="FFDEEAF6"/>
      </patternFill>
    </fill>
  </fills>
  <borders count="36">
    <border/>
    <border>
      <left/>
      <right/>
      <top/>
      <bottom/>
    </border>
    <border>
      <left/>
      <right/>
      <top/>
    </border>
    <border>
      <left/>
      <top/>
    </border>
    <border>
      <right/>
      <top/>
    </border>
    <border>
      <left/>
      <top/>
      <bottom/>
    </border>
    <border>
      <left style="medium">
        <color rgb="FF0000FF"/>
      </left>
      <top style="medium">
        <color rgb="FF0000FF"/>
      </top>
      <bottom style="thin">
        <color rgb="FF000000"/>
      </bottom>
    </border>
    <border>
      <top style="medium">
        <color rgb="FF0000FF"/>
      </top>
      <bottom style="thin">
        <color rgb="FF000000"/>
      </bottom>
    </border>
    <border>
      <right style="thin">
        <color rgb="FF000000"/>
      </right>
      <top style="medium">
        <color rgb="FF0000FF"/>
      </top>
      <bottom style="thin">
        <color rgb="FF000000"/>
      </bottom>
    </border>
    <border>
      <left style="thin">
        <color rgb="FF000000"/>
      </left>
      <top style="medium">
        <color rgb="FF0000FF"/>
      </top>
      <bottom style="thin">
        <color rgb="FF000000"/>
      </bottom>
    </border>
    <border>
      <right style="medium">
        <color rgb="FF0000FF"/>
      </right>
      <top style="medium">
        <color rgb="FF0000FF"/>
      </top>
      <bottom style="thin">
        <color rgb="FF000000"/>
      </bottom>
    </border>
    <border>
      <right/>
      <top/>
      <bottom/>
    </border>
    <border>
      <left style="medium">
        <color rgb="FF0000FF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FF"/>
      </right>
      <top style="thin">
        <color rgb="FF000000"/>
      </top>
      <bottom style="thin">
        <color rgb="FF000000"/>
      </bottom>
    </border>
    <border>
      <left style="medium">
        <color rgb="FF0000FF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FF"/>
      </right>
      <top style="thin">
        <color rgb="FF000000"/>
      </top>
      <bottom style="thin">
        <color rgb="FF000000"/>
      </bottom>
    </border>
    <border>
      <left style="medium">
        <color rgb="FF0000F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FF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FF"/>
      </right>
      <top style="hair">
        <color rgb="FF000000"/>
      </top>
      <bottom style="hair">
        <color rgb="FF000000"/>
      </bottom>
    </border>
    <border>
      <left style="medium">
        <color rgb="FF0000FF"/>
      </left>
      <right style="thin">
        <color rgb="FF000000"/>
      </right>
      <top style="hair">
        <color rgb="FF000000"/>
      </top>
      <bottom style="medium">
        <color rgb="FF0000FF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FF"/>
      </bottom>
    </border>
    <border>
      <left style="thin">
        <color rgb="FF000000"/>
      </left>
      <right style="medium">
        <color rgb="FF0000FF"/>
      </right>
      <top style="hair">
        <color rgb="FF000000"/>
      </top>
      <bottom style="medium">
        <color rgb="FF0000FF"/>
      </bottom>
    </border>
    <border>
      <left/>
      <right/>
      <bottom/>
    </border>
    <border>
      <top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FF"/>
      </top>
      <bottom style="thin">
        <color rgb="FF000000"/>
      </bottom>
    </border>
    <border>
      <left style="thin">
        <color rgb="FF000000"/>
      </left>
      <right style="medium">
        <color rgb="FF0000FF"/>
      </right>
      <top style="medium">
        <color rgb="FF0000FF"/>
      </top>
      <bottom style="thin">
        <color rgb="FF000000"/>
      </bottom>
    </border>
    <border>
      <left style="thin">
        <color rgb="FF000000"/>
      </left>
      <right style="medium">
        <color rgb="FF0000FF"/>
      </right>
      <top style="thin">
        <color rgb="FF000000"/>
      </top>
    </border>
    <border>
      <left style="thin">
        <color rgb="FF000000"/>
      </left>
      <right style="medium">
        <color rgb="FF0000FF"/>
      </right>
      <bottom style="thin">
        <color rgb="FF000000"/>
      </bottom>
    </border>
  </borders>
  <cellStyleXfs count="1">
    <xf borderId="0" fillId="0" fontId="0" numFmtId="0" applyAlignment="1" applyFont="1"/>
  </cellStyleXfs>
  <cellXfs count="273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Alignment="1" applyBorder="1" applyFont="1">
      <alignment vertical="top"/>
    </xf>
    <xf borderId="2" fillId="0" fontId="1" numFmtId="0" xfId="0" applyBorder="1" applyFont="1"/>
    <xf borderId="3" fillId="0" fontId="1" numFmtId="0" xfId="0" applyAlignment="1" applyBorder="1" applyFont="1">
      <alignment horizontal="center"/>
    </xf>
    <xf borderId="4" fillId="0" fontId="3" numFmtId="0" xfId="0" applyBorder="1" applyFont="1"/>
    <xf borderId="5" fillId="0" fontId="1" numFmtId="0" xfId="0" applyBorder="1" applyFont="1"/>
    <xf borderId="6" fillId="0" fontId="4" numFmtId="0" xfId="0" applyAlignment="1" applyBorder="1" applyFont="1">
      <alignment horizontal="center" readingOrder="0"/>
    </xf>
    <xf borderId="7" fillId="0" fontId="3" numFmtId="0" xfId="0" applyBorder="1" applyFont="1"/>
    <xf borderId="8" fillId="0" fontId="3" numFmtId="0" xfId="0" applyBorder="1" applyFont="1"/>
    <xf borderId="9" fillId="2" fontId="5" numFmtId="0" xfId="0" applyAlignment="1" applyBorder="1" applyFill="1" applyFont="1">
      <alignment horizontal="center" readingOrder="0"/>
    </xf>
    <xf borderId="9" fillId="2" fontId="5" numFmtId="0" xfId="0" applyAlignment="1" applyBorder="1" applyFont="1">
      <alignment horizontal="center"/>
    </xf>
    <xf borderId="9" fillId="3" fontId="5" numFmtId="0" xfId="0" applyAlignment="1" applyBorder="1" applyFill="1" applyFont="1">
      <alignment horizontal="center"/>
    </xf>
    <xf borderId="9" fillId="4" fontId="5" numFmtId="0" xfId="0" applyAlignment="1" applyBorder="1" applyFill="1" applyFont="1">
      <alignment horizontal="center"/>
    </xf>
    <xf borderId="9" fillId="5" fontId="5" numFmtId="0" xfId="0" applyAlignment="1" applyBorder="1" applyFill="1" applyFont="1">
      <alignment horizontal="center"/>
    </xf>
    <xf borderId="10" fillId="0" fontId="3" numFmtId="0" xfId="0" applyBorder="1" applyFont="1"/>
    <xf borderId="11" fillId="0" fontId="1" numFmtId="0" xfId="0" applyBorder="1" applyFont="1"/>
    <xf borderId="12" fillId="6" fontId="6" numFmtId="0" xfId="0" applyAlignment="1" applyBorder="1" applyFill="1" applyFont="1">
      <alignment horizontal="center" vertical="center"/>
    </xf>
    <xf borderId="13" fillId="0" fontId="7" numFmtId="0" xfId="0" applyAlignment="1" applyBorder="1" applyFont="1">
      <alignment horizontal="center" shrinkToFit="0" vertical="center" wrapText="1"/>
    </xf>
    <xf borderId="13" fillId="0" fontId="7" numFmtId="0" xfId="0" applyAlignment="1" applyBorder="1" applyFont="1">
      <alignment horizontal="center" vertical="center"/>
    </xf>
    <xf borderId="14" fillId="0" fontId="7" numFmtId="0" xfId="0" applyAlignment="1" applyBorder="1" applyFont="1">
      <alignment horizontal="center" vertical="center"/>
    </xf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0" fontId="7" numFmtId="0" xfId="0" applyAlignment="1" applyBorder="1" applyFont="1">
      <alignment horizontal="center" vertical="center"/>
    </xf>
    <xf borderId="21" fillId="0" fontId="7" numFmtId="0" xfId="0" applyAlignment="1" applyBorder="1" applyFont="1">
      <alignment horizontal="center" vertical="center"/>
    </xf>
    <xf borderId="22" fillId="0" fontId="7" numFmtId="0" xfId="0" applyAlignment="1" applyBorder="1" applyFont="1">
      <alignment horizontal="center" vertical="center"/>
    </xf>
    <xf borderId="5" fillId="0" fontId="1" numFmtId="0" xfId="0" applyAlignment="1" applyBorder="1" applyFont="1">
      <alignment vertical="center"/>
    </xf>
    <xf borderId="23" fillId="7" fontId="8" numFmtId="0" xfId="0" applyAlignment="1" applyBorder="1" applyFill="1" applyFont="1">
      <alignment vertical="center"/>
    </xf>
    <xf borderId="24" fillId="7" fontId="7" numFmtId="0" xfId="0" applyAlignment="1" applyBorder="1" applyFont="1">
      <alignment horizontal="center" vertical="center"/>
    </xf>
    <xf borderId="24" fillId="7" fontId="9" numFmtId="3" xfId="0" applyAlignment="1" applyBorder="1" applyFont="1" applyNumberFormat="1">
      <alignment vertical="center"/>
    </xf>
    <xf borderId="25" fillId="7" fontId="9" numFmtId="3" xfId="0" applyAlignment="1" applyBorder="1" applyFont="1" applyNumberFormat="1">
      <alignment vertical="center"/>
    </xf>
    <xf borderId="11" fillId="0" fontId="1" numFmtId="0" xfId="0" applyAlignment="1" applyBorder="1" applyFont="1">
      <alignment vertical="center"/>
    </xf>
    <xf quotePrefix="1" borderId="23" fillId="7" fontId="10" numFmtId="0" xfId="0" applyAlignment="1" applyBorder="1" applyFont="1">
      <alignment vertical="center"/>
    </xf>
    <xf borderId="24" fillId="7" fontId="11" numFmtId="0" xfId="0" applyAlignment="1" applyBorder="1" applyFont="1">
      <alignment horizontal="center" vertical="center"/>
    </xf>
    <xf borderId="24" fillId="7" fontId="12" numFmtId="3" xfId="0" applyAlignment="1" applyBorder="1" applyFont="1" applyNumberFormat="1">
      <alignment vertical="center"/>
    </xf>
    <xf borderId="25" fillId="7" fontId="12" numFmtId="3" xfId="0" applyAlignment="1" applyBorder="1" applyFont="1" applyNumberFormat="1">
      <alignment vertical="center"/>
    </xf>
    <xf quotePrefix="1" borderId="23" fillId="7" fontId="13" numFmtId="0" xfId="0" applyAlignment="1" applyBorder="1" applyFont="1">
      <alignment horizontal="left" vertical="center"/>
    </xf>
    <xf borderId="24" fillId="7" fontId="7" numFmtId="0" xfId="0" applyAlignment="1" applyBorder="1" applyFont="1">
      <alignment horizontal="center" readingOrder="0" vertical="center"/>
    </xf>
    <xf borderId="24" fillId="7" fontId="4" numFmtId="3" xfId="0" applyAlignment="1" applyBorder="1" applyFont="1" applyNumberFormat="1">
      <alignment vertical="center"/>
    </xf>
    <xf borderId="24" fillId="6" fontId="4" numFmtId="3" xfId="0" applyAlignment="1" applyBorder="1" applyFont="1" applyNumberFormat="1">
      <alignment vertical="center"/>
    </xf>
    <xf borderId="25" fillId="6" fontId="4" numFmtId="3" xfId="0" applyAlignment="1" applyBorder="1" applyFont="1" applyNumberFormat="1">
      <alignment vertical="center"/>
    </xf>
    <xf borderId="23" fillId="7" fontId="13" numFmtId="0" xfId="0" applyAlignment="1" applyBorder="1" applyFont="1">
      <alignment horizontal="left" readingOrder="0" vertical="center"/>
    </xf>
    <xf quotePrefix="1" borderId="23" fillId="7" fontId="14" numFmtId="0" xfId="0" applyAlignment="1" applyBorder="1" applyFont="1">
      <alignment horizontal="left" vertical="center"/>
    </xf>
    <xf quotePrefix="1" borderId="23" fillId="7" fontId="14" numFmtId="0" xfId="0" applyAlignment="1" applyBorder="1" applyFont="1">
      <alignment horizontal="right" vertical="center"/>
    </xf>
    <xf quotePrefix="1" borderId="23" fillId="7" fontId="14" numFmtId="0" xfId="0" applyAlignment="1" applyBorder="1" applyFont="1">
      <alignment horizontal="right" readingOrder="0" vertical="center"/>
    </xf>
    <xf borderId="23" fillId="7" fontId="15" numFmtId="0" xfId="0" applyAlignment="1" applyBorder="1" applyFont="1">
      <alignment vertical="center"/>
    </xf>
    <xf borderId="24" fillId="7" fontId="16" numFmtId="0" xfId="0" applyAlignment="1" applyBorder="1" applyFont="1">
      <alignment horizontal="center" vertical="center"/>
    </xf>
    <xf borderId="25" fillId="7" fontId="4" numFmtId="3" xfId="0" applyAlignment="1" applyBorder="1" applyFont="1" applyNumberFormat="1">
      <alignment vertical="center"/>
    </xf>
    <xf borderId="23" fillId="7" fontId="17" numFmtId="0" xfId="0" applyAlignment="1" applyBorder="1" applyFont="1">
      <alignment vertical="center"/>
    </xf>
    <xf borderId="23" fillId="7" fontId="15" numFmtId="0" xfId="0" applyAlignment="1" applyBorder="1" applyFont="1">
      <alignment horizontal="right" vertical="center"/>
    </xf>
    <xf borderId="24" fillId="7" fontId="9" numFmtId="3" xfId="0" applyAlignment="1" applyBorder="1" applyFont="1" applyNumberFormat="1">
      <alignment horizontal="left" vertical="center"/>
    </xf>
    <xf borderId="24" fillId="6" fontId="9" numFmtId="3" xfId="0" applyAlignment="1" applyBorder="1" applyFont="1" applyNumberFormat="1">
      <alignment horizontal="left" vertical="center"/>
    </xf>
    <xf borderId="5" fillId="0" fontId="18" numFmtId="0" xfId="0" applyAlignment="1" applyBorder="1" applyFont="1">
      <alignment vertical="center"/>
    </xf>
    <xf borderId="23" fillId="7" fontId="19" numFmtId="0" xfId="0" applyAlignment="1" applyBorder="1" applyFont="1">
      <alignment horizontal="right" readingOrder="0" vertical="center"/>
    </xf>
    <xf borderId="24" fillId="7" fontId="20" numFmtId="0" xfId="0" applyAlignment="1" applyBorder="1" applyFont="1">
      <alignment horizontal="center" vertical="center"/>
    </xf>
    <xf borderId="24" fillId="7" fontId="20" numFmtId="0" xfId="0" applyAlignment="1" applyBorder="1" applyFont="1">
      <alignment horizontal="center" readingOrder="0" vertical="center"/>
    </xf>
    <xf borderId="24" fillId="7" fontId="21" numFmtId="4" xfId="0" applyAlignment="1" applyBorder="1" applyFont="1" applyNumberFormat="1">
      <alignment vertical="center"/>
    </xf>
    <xf borderId="24" fillId="6" fontId="21" numFmtId="4" xfId="0" applyAlignment="1" applyBorder="1" applyFont="1" applyNumberFormat="1">
      <alignment vertical="center"/>
    </xf>
    <xf borderId="24" fillId="6" fontId="22" numFmtId="3" xfId="0" applyAlignment="1" applyBorder="1" applyFont="1" applyNumberFormat="1">
      <alignment vertical="center"/>
    </xf>
    <xf borderId="25" fillId="6" fontId="22" numFmtId="3" xfId="0" applyAlignment="1" applyBorder="1" applyFont="1" applyNumberFormat="1">
      <alignment vertical="center"/>
    </xf>
    <xf borderId="11" fillId="0" fontId="18" numFmtId="0" xfId="0" applyAlignment="1" applyBorder="1" applyFont="1">
      <alignment vertical="center"/>
    </xf>
    <xf borderId="24" fillId="6" fontId="12" numFmtId="3" xfId="0" applyAlignment="1" applyBorder="1" applyFont="1" applyNumberFormat="1">
      <alignment vertical="center"/>
    </xf>
    <xf borderId="25" fillId="6" fontId="12" numFmtId="3" xfId="0" applyAlignment="1" applyBorder="1" applyFont="1" applyNumberFormat="1">
      <alignment vertical="center"/>
    </xf>
    <xf borderId="23" fillId="7" fontId="8" numFmtId="0" xfId="0" applyAlignment="1" applyBorder="1" applyFont="1">
      <alignment readingOrder="0" vertical="center"/>
    </xf>
    <xf borderId="23" fillId="7" fontId="13" numFmtId="0" xfId="0" applyAlignment="1" applyBorder="1" applyFont="1">
      <alignment vertical="center"/>
    </xf>
    <xf borderId="23" fillId="7" fontId="23" numFmtId="0" xfId="0" applyAlignment="1" applyBorder="1" applyFont="1">
      <alignment vertical="center"/>
    </xf>
    <xf borderId="24" fillId="7" fontId="24" numFmtId="0" xfId="0" applyAlignment="1" applyBorder="1" applyFont="1">
      <alignment horizontal="center" vertical="center"/>
    </xf>
    <xf borderId="24" fillId="7" fontId="25" numFmtId="0" xfId="0" applyAlignment="1" applyBorder="1" applyFont="1">
      <alignment horizontal="center" vertical="center"/>
    </xf>
    <xf borderId="24" fillId="7" fontId="26" numFmtId="3" xfId="0" applyAlignment="1" applyBorder="1" applyFont="1" applyNumberFormat="1">
      <alignment vertical="center"/>
    </xf>
    <xf borderId="24" fillId="6" fontId="26" numFmtId="3" xfId="0" applyAlignment="1" applyBorder="1" applyFont="1" applyNumberFormat="1">
      <alignment vertical="center"/>
    </xf>
    <xf borderId="25" fillId="6" fontId="26" numFmtId="3" xfId="0" applyAlignment="1" applyBorder="1" applyFont="1" applyNumberFormat="1">
      <alignment vertical="center"/>
    </xf>
    <xf borderId="23" fillId="7" fontId="27" numFmtId="0" xfId="0" applyAlignment="1" applyBorder="1" applyFont="1">
      <alignment vertical="center"/>
    </xf>
    <xf borderId="24" fillId="7" fontId="28" numFmtId="0" xfId="0" applyAlignment="1" applyBorder="1" applyFont="1">
      <alignment horizontal="center" vertical="center"/>
    </xf>
    <xf borderId="24" fillId="7" fontId="29" numFmtId="0" xfId="0" applyAlignment="1" applyBorder="1" applyFont="1">
      <alignment horizontal="center" vertical="center"/>
    </xf>
    <xf borderId="24" fillId="7" fontId="30" numFmtId="3" xfId="0" applyAlignment="1" applyBorder="1" applyFont="1" applyNumberFormat="1">
      <alignment vertical="center"/>
    </xf>
    <xf borderId="24" fillId="6" fontId="30" numFmtId="3" xfId="0" applyAlignment="1" applyBorder="1" applyFont="1" applyNumberFormat="1">
      <alignment vertical="center"/>
    </xf>
    <xf borderId="25" fillId="6" fontId="30" numFmtId="3" xfId="0" applyAlignment="1" applyBorder="1" applyFont="1" applyNumberFormat="1">
      <alignment vertical="center"/>
    </xf>
    <xf borderId="23" fillId="7" fontId="31" numFmtId="0" xfId="0" applyAlignment="1" applyBorder="1" applyFont="1">
      <alignment vertical="center"/>
    </xf>
    <xf borderId="24" fillId="7" fontId="32" numFmtId="0" xfId="0" applyAlignment="1" applyBorder="1" applyFont="1">
      <alignment horizontal="center" vertical="center"/>
    </xf>
    <xf borderId="24" fillId="7" fontId="33" numFmtId="0" xfId="0" applyAlignment="1" applyBorder="1" applyFont="1">
      <alignment horizontal="center" vertical="center"/>
    </xf>
    <xf borderId="24" fillId="7" fontId="34" numFmtId="3" xfId="0" applyAlignment="1" applyBorder="1" applyFont="1" applyNumberFormat="1">
      <alignment vertical="center"/>
    </xf>
    <xf borderId="24" fillId="6" fontId="34" numFmtId="3" xfId="0" applyAlignment="1" applyBorder="1" applyFont="1" applyNumberFormat="1">
      <alignment vertical="center"/>
    </xf>
    <xf borderId="25" fillId="6" fontId="34" numFmtId="3" xfId="0" applyAlignment="1" applyBorder="1" applyFont="1" applyNumberFormat="1">
      <alignment vertical="center"/>
    </xf>
    <xf borderId="23" fillId="7" fontId="35" numFmtId="0" xfId="0" applyAlignment="1" applyBorder="1" applyFont="1">
      <alignment vertical="center"/>
    </xf>
    <xf borderId="24" fillId="7" fontId="36" numFmtId="0" xfId="0" applyAlignment="1" applyBorder="1" applyFont="1">
      <alignment horizontal="center" vertical="center"/>
    </xf>
    <xf borderId="24" fillId="7" fontId="37" numFmtId="3" xfId="0" applyAlignment="1" applyBorder="1" applyFont="1" applyNumberFormat="1">
      <alignment vertical="center"/>
    </xf>
    <xf borderId="24" fillId="6" fontId="37" numFmtId="3" xfId="0" applyAlignment="1" applyBorder="1" applyFont="1" applyNumberFormat="1">
      <alignment vertical="center"/>
    </xf>
    <xf borderId="25" fillId="6" fontId="37" numFmtId="3" xfId="0" applyAlignment="1" applyBorder="1" applyFont="1" applyNumberFormat="1">
      <alignment vertical="center"/>
    </xf>
    <xf borderId="23" fillId="7" fontId="10" numFmtId="0" xfId="0" applyAlignment="1" applyBorder="1" applyFont="1">
      <alignment vertical="center"/>
    </xf>
    <xf borderId="5" fillId="0" fontId="38" numFmtId="0" xfId="0" applyAlignment="1" applyBorder="1" applyFont="1">
      <alignment vertical="center"/>
    </xf>
    <xf borderId="23" fillId="7" fontId="39" numFmtId="0" xfId="0" applyAlignment="1" applyBorder="1" applyFont="1">
      <alignment vertical="center"/>
    </xf>
    <xf borderId="24" fillId="7" fontId="40" numFmtId="0" xfId="0" applyAlignment="1" applyBorder="1" applyFont="1">
      <alignment horizontal="center" vertical="center"/>
    </xf>
    <xf borderId="25" fillId="7" fontId="37" numFmtId="3" xfId="0" applyAlignment="1" applyBorder="1" applyFont="1" applyNumberFormat="1">
      <alignment vertical="center"/>
    </xf>
    <xf borderId="11" fillId="0" fontId="38" numFmtId="0" xfId="0" applyAlignment="1" applyBorder="1" applyFont="1">
      <alignment vertical="center"/>
    </xf>
    <xf borderId="5" fillId="0" fontId="41" numFmtId="0" xfId="0" applyAlignment="1" applyBorder="1" applyFont="1">
      <alignment vertical="center"/>
    </xf>
    <xf borderId="24" fillId="7" fontId="42" numFmtId="0" xfId="0" applyAlignment="1" applyBorder="1" applyFont="1">
      <alignment horizontal="center" vertical="center"/>
    </xf>
    <xf borderId="24" fillId="7" fontId="42" numFmtId="0" xfId="0" applyAlignment="1" applyBorder="1" applyFont="1">
      <alignment horizontal="center" readingOrder="0" vertical="center"/>
    </xf>
    <xf borderId="24" fillId="7" fontId="21" numFmtId="164" xfId="0" applyAlignment="1" applyBorder="1" applyFont="1" applyNumberFormat="1">
      <alignment vertical="center"/>
    </xf>
    <xf borderId="24" fillId="6" fontId="21" numFmtId="164" xfId="0" applyAlignment="1" applyBorder="1" applyFont="1" applyNumberFormat="1">
      <alignment vertical="center"/>
    </xf>
    <xf borderId="11" fillId="0" fontId="41" numFmtId="0" xfId="0" applyAlignment="1" applyBorder="1" applyFont="1">
      <alignment vertical="center"/>
    </xf>
    <xf borderId="5" fillId="0" fontId="21" numFmtId="0" xfId="0" applyAlignment="1" applyBorder="1" applyFont="1">
      <alignment vertical="center"/>
    </xf>
    <xf borderId="24" fillId="7" fontId="21" numFmtId="0" xfId="0" applyAlignment="1" applyBorder="1" applyFont="1">
      <alignment horizontal="center" vertical="center"/>
    </xf>
    <xf borderId="24" fillId="7" fontId="21" numFmtId="0" xfId="0" applyAlignment="1" applyBorder="1" applyFont="1">
      <alignment horizontal="center" readingOrder="0" vertical="center"/>
    </xf>
    <xf borderId="24" fillId="7" fontId="21" numFmtId="164" xfId="0" applyAlignment="1" applyBorder="1" applyFont="1" applyNumberFormat="1">
      <alignment horizontal="center" vertical="center"/>
    </xf>
    <xf borderId="11" fillId="0" fontId="21" numFmtId="0" xfId="0" applyAlignment="1" applyBorder="1" applyFont="1">
      <alignment vertical="center"/>
    </xf>
    <xf borderId="5" fillId="0" fontId="43" numFmtId="0" xfId="0" applyAlignment="1" applyBorder="1" applyFont="1">
      <alignment vertical="center"/>
    </xf>
    <xf borderId="23" fillId="7" fontId="44" numFmtId="0" xfId="0" applyAlignment="1" applyBorder="1" applyFont="1">
      <alignment readingOrder="0" vertical="center"/>
    </xf>
    <xf borderId="24" fillId="7" fontId="45" numFmtId="0" xfId="0" applyAlignment="1" applyBorder="1" applyFont="1">
      <alignment horizontal="center" vertical="center"/>
    </xf>
    <xf borderId="24" fillId="7" fontId="45" numFmtId="164" xfId="0" applyAlignment="1" applyBorder="1" applyFont="1" applyNumberFormat="1">
      <alignment vertical="center"/>
    </xf>
    <xf borderId="24" fillId="7" fontId="46" numFmtId="164" xfId="0" applyAlignment="1" applyBorder="1" applyFont="1" applyNumberFormat="1">
      <alignment horizontal="center" vertical="center"/>
    </xf>
    <xf borderId="25" fillId="7" fontId="46" numFmtId="164" xfId="0" applyAlignment="1" applyBorder="1" applyFont="1" applyNumberFormat="1">
      <alignment horizontal="center" vertical="center"/>
    </xf>
    <xf borderId="11" fillId="0" fontId="43" numFmtId="0" xfId="0" applyAlignment="1" applyBorder="1" applyFont="1">
      <alignment vertical="center"/>
    </xf>
    <xf borderId="24" fillId="6" fontId="7" numFmtId="164" xfId="0" applyAlignment="1" applyBorder="1" applyFont="1" applyNumberFormat="1">
      <alignment horizontal="right" vertical="center"/>
    </xf>
    <xf borderId="24" fillId="7" fontId="47" numFmtId="164" xfId="0" applyAlignment="1" applyBorder="1" applyFont="1" applyNumberFormat="1">
      <alignment horizontal="center" vertical="center"/>
    </xf>
    <xf borderId="25" fillId="7" fontId="47" numFmtId="164" xfId="0" applyAlignment="1" applyBorder="1" applyFont="1" applyNumberFormat="1">
      <alignment horizontal="center" vertical="center"/>
    </xf>
    <xf borderId="23" fillId="7" fontId="10" numFmtId="0" xfId="0" applyAlignment="1" applyBorder="1" applyFont="1">
      <alignment readingOrder="0" vertical="center"/>
    </xf>
    <xf borderId="23" fillId="7" fontId="48" numFmtId="0" xfId="0" applyAlignment="1" applyBorder="1" applyFont="1">
      <alignment vertical="center"/>
    </xf>
    <xf borderId="23" fillId="7" fontId="13" numFmtId="0" xfId="0" applyAlignment="1" applyBorder="1" applyFont="1">
      <alignment horizontal="left" vertical="center"/>
    </xf>
    <xf borderId="5" fillId="0" fontId="49" numFmtId="0" xfId="0" applyAlignment="1" applyBorder="1" applyFont="1">
      <alignment vertical="center"/>
    </xf>
    <xf borderId="24" fillId="7" fontId="50" numFmtId="0" xfId="0" applyAlignment="1" applyBorder="1" applyFont="1">
      <alignment horizontal="center" vertical="center"/>
    </xf>
    <xf borderId="11" fillId="0" fontId="49" numFmtId="0" xfId="0" applyAlignment="1" applyBorder="1" applyFont="1">
      <alignment vertical="center"/>
    </xf>
    <xf borderId="23" fillId="7" fontId="51" numFmtId="0" xfId="0" applyAlignment="1" applyBorder="1" applyFont="1">
      <alignment readingOrder="0" vertical="center"/>
    </xf>
    <xf borderId="24" fillId="7" fontId="6" numFmtId="3" xfId="0" applyAlignment="1" applyBorder="1" applyFont="1" applyNumberFormat="1">
      <alignment vertical="center"/>
    </xf>
    <xf quotePrefix="1" borderId="23" fillId="7" fontId="51" numFmtId="0" xfId="0" applyAlignment="1" applyBorder="1" applyFont="1">
      <alignment vertical="center"/>
    </xf>
    <xf borderId="25" fillId="7" fontId="6" numFmtId="3" xfId="0" applyAlignment="1" applyBorder="1" applyFont="1" applyNumberFormat="1">
      <alignment vertical="center"/>
    </xf>
    <xf borderId="26" fillId="7" fontId="13" numFmtId="0" xfId="0" applyAlignment="1" applyBorder="1" applyFont="1">
      <alignment vertical="center"/>
    </xf>
    <xf borderId="27" fillId="7" fontId="7" numFmtId="0" xfId="0" applyAlignment="1" applyBorder="1" applyFont="1">
      <alignment horizontal="center" vertical="center"/>
    </xf>
    <xf borderId="27" fillId="7" fontId="4" numFmtId="3" xfId="0" applyAlignment="1" applyBorder="1" applyFont="1" applyNumberFormat="1">
      <alignment vertical="center"/>
    </xf>
    <xf borderId="27" fillId="6" fontId="4" numFmtId="3" xfId="0" applyAlignment="1" applyBorder="1" applyFont="1" applyNumberFormat="1">
      <alignment vertical="center"/>
    </xf>
    <xf borderId="28" fillId="6" fontId="4" numFmtId="3" xfId="0" applyAlignment="1" applyBorder="1" applyFont="1" applyNumberFormat="1">
      <alignment vertical="center"/>
    </xf>
    <xf borderId="29" fillId="0" fontId="1" numFmtId="0" xfId="0" applyBorder="1" applyFont="1"/>
    <xf borderId="6" fillId="0" fontId="4" numFmtId="0" xfId="0" applyAlignment="1" applyBorder="1" applyFont="1">
      <alignment horizontal="center"/>
    </xf>
    <xf borderId="12" fillId="6" fontId="6" numFmtId="0" xfId="0" applyAlignment="1" applyBorder="1" applyFont="1">
      <alignment horizontal="center" readingOrder="0" vertical="center"/>
    </xf>
    <xf borderId="20" fillId="0" fontId="7" numFmtId="0" xfId="0" applyAlignment="1" applyBorder="1" applyFont="1">
      <alignment horizontal="center" readingOrder="0" vertical="center"/>
    </xf>
    <xf borderId="5" fillId="0" fontId="52" numFmtId="0" xfId="0" applyAlignment="1" applyBorder="1" applyFont="1">
      <alignment vertical="center"/>
    </xf>
    <xf borderId="23" fillId="7" fontId="6" numFmtId="0" xfId="0" applyAlignment="1" applyBorder="1" applyFont="1">
      <alignment readingOrder="0" vertical="center"/>
    </xf>
    <xf borderId="24" fillId="7" fontId="53" numFmtId="0" xfId="0" applyAlignment="1" applyBorder="1" applyFont="1">
      <alignment horizontal="center" vertical="center"/>
    </xf>
    <xf borderId="11" fillId="0" fontId="52" numFmtId="0" xfId="0" applyAlignment="1" applyBorder="1" applyFont="1">
      <alignment vertical="center"/>
    </xf>
    <xf quotePrefix="1" borderId="23" fillId="7" fontId="4" numFmtId="0" xfId="0" applyAlignment="1" applyBorder="1" applyFont="1">
      <alignment horizontal="left" vertical="center"/>
    </xf>
    <xf borderId="23" fillId="7" fontId="4" numFmtId="0" xfId="0" applyAlignment="1" applyBorder="1" applyFont="1">
      <alignment horizontal="left" readingOrder="0" vertical="center"/>
    </xf>
    <xf borderId="24" fillId="7" fontId="53" numFmtId="0" xfId="0" applyAlignment="1" applyBorder="1" applyFont="1">
      <alignment horizontal="center" readingOrder="0" vertical="center"/>
    </xf>
    <xf borderId="23" fillId="7" fontId="4" numFmtId="0" xfId="0" applyAlignment="1" applyBorder="1" applyFont="1">
      <alignment vertical="center"/>
    </xf>
    <xf borderId="23" fillId="7" fontId="4" numFmtId="0" xfId="0" applyAlignment="1" applyBorder="1" applyFont="1">
      <alignment readingOrder="0" vertical="center"/>
    </xf>
    <xf borderId="24" fillId="7" fontId="53" numFmtId="164" xfId="0" applyAlignment="1" applyBorder="1" applyFont="1" applyNumberFormat="1">
      <alignment horizontal="center" readingOrder="0" vertical="center"/>
    </xf>
    <xf borderId="24" fillId="7" fontId="54" numFmtId="164" xfId="0" applyAlignment="1" applyBorder="1" applyFont="1" applyNumberFormat="1">
      <alignment horizontal="center" readingOrder="0" vertical="center"/>
    </xf>
    <xf borderId="24" fillId="7" fontId="55" numFmtId="164" xfId="0" applyAlignment="1" applyBorder="1" applyFont="1" applyNumberFormat="1">
      <alignment horizontal="center" readingOrder="0" vertical="center"/>
    </xf>
    <xf borderId="24" fillId="8" fontId="4" numFmtId="164" xfId="0" applyAlignment="1" applyBorder="1" applyFill="1" applyFont="1" applyNumberFormat="1">
      <alignment horizontal="right" vertical="center"/>
    </xf>
    <xf borderId="24" fillId="6" fontId="47" numFmtId="164" xfId="0" applyAlignment="1" applyBorder="1" applyFont="1" applyNumberFormat="1">
      <alignment horizontal="center" readingOrder="0" vertical="center"/>
    </xf>
    <xf borderId="24" fillId="6" fontId="22" numFmtId="164" xfId="0" applyAlignment="1" applyBorder="1" applyFont="1" applyNumberFormat="1">
      <alignment horizontal="center" vertical="center"/>
    </xf>
    <xf borderId="24" fillId="6" fontId="56" numFmtId="3" xfId="0" applyAlignment="1" applyBorder="1" applyFont="1" applyNumberFormat="1">
      <alignment horizontal="right" readingOrder="0" vertical="center"/>
    </xf>
    <xf borderId="23" fillId="7" fontId="22" numFmtId="0" xfId="0" applyAlignment="1" applyBorder="1" applyFont="1">
      <alignment readingOrder="0" vertical="center"/>
    </xf>
    <xf borderId="23" fillId="7" fontId="4" numFmtId="0" xfId="0" applyAlignment="1" applyBorder="1" applyFont="1">
      <alignment horizontal="left" vertical="center"/>
    </xf>
    <xf borderId="24" fillId="7" fontId="9" numFmtId="3" xfId="0" applyAlignment="1" applyBorder="1" applyFont="1" applyNumberFormat="1">
      <alignment horizontal="right" vertical="center"/>
    </xf>
    <xf borderId="24" fillId="6" fontId="9" numFmtId="3" xfId="0" applyAlignment="1" applyBorder="1" applyFont="1" applyNumberFormat="1">
      <alignment vertical="center"/>
    </xf>
    <xf borderId="24" fillId="7" fontId="4" numFmtId="3" xfId="0" applyAlignment="1" applyBorder="1" applyFont="1" applyNumberFormat="1">
      <alignment horizontal="right" vertical="center"/>
    </xf>
    <xf borderId="24" fillId="6" fontId="4" numFmtId="3" xfId="0" applyAlignment="1" applyBorder="1" applyFont="1" applyNumberFormat="1">
      <alignment horizontal="left" vertical="center"/>
    </xf>
    <xf borderId="24" fillId="6" fontId="57" numFmtId="3" xfId="0" applyAlignment="1" applyBorder="1" applyFont="1" applyNumberFormat="1">
      <alignment horizontal="right" readingOrder="0" vertical="center"/>
    </xf>
    <xf borderId="24" fillId="6" fontId="57" numFmtId="164" xfId="0" applyAlignment="1" applyBorder="1" applyFont="1" applyNumberFormat="1">
      <alignment horizontal="right" vertical="center"/>
    </xf>
    <xf borderId="0" fillId="6" fontId="58" numFmtId="0" xfId="0" applyFont="1"/>
    <xf borderId="24" fillId="9" fontId="9" numFmtId="3" xfId="0" applyAlignment="1" applyBorder="1" applyFill="1" applyFont="1" applyNumberFormat="1">
      <alignment horizontal="left" vertical="center"/>
    </xf>
    <xf borderId="24" fillId="7" fontId="54" numFmtId="164" xfId="0" applyAlignment="1" applyBorder="1" applyFont="1" applyNumberFormat="1">
      <alignment horizontal="right" readingOrder="0" vertical="center"/>
    </xf>
    <xf borderId="24" fillId="7" fontId="53" numFmtId="164" xfId="0" applyAlignment="1" applyBorder="1" applyFont="1" applyNumberFormat="1">
      <alignment horizontal="right" readingOrder="0" vertical="center"/>
    </xf>
    <xf borderId="23" fillId="7" fontId="21" numFmtId="0" xfId="0" applyAlignment="1" applyBorder="1" applyFont="1">
      <alignment horizontal="right" readingOrder="0" vertical="center"/>
    </xf>
    <xf borderId="24" fillId="9" fontId="21" numFmtId="4" xfId="0" applyAlignment="1" applyBorder="1" applyFont="1" applyNumberFormat="1">
      <alignment vertical="center"/>
    </xf>
    <xf borderId="24" fillId="9" fontId="47" numFmtId="4" xfId="0" applyAlignment="1" applyBorder="1" applyFont="1" applyNumberFormat="1">
      <alignment horizontal="right" readingOrder="0" vertical="center"/>
    </xf>
    <xf borderId="24" fillId="9" fontId="22" numFmtId="4" xfId="0" applyAlignment="1" applyBorder="1" applyFont="1" applyNumberFormat="1">
      <alignment horizontal="right" vertical="center"/>
    </xf>
    <xf borderId="5" fillId="0" fontId="1" numFmtId="0" xfId="0" applyBorder="1" applyFont="1"/>
    <xf borderId="24" fillId="9" fontId="47" numFmtId="4" xfId="0" applyAlignment="1" applyBorder="1" applyFont="1" applyNumberFormat="1">
      <alignment horizontal="center" vertical="center"/>
    </xf>
    <xf borderId="24" fillId="9" fontId="22" numFmtId="4" xfId="0" applyAlignment="1" applyBorder="1" applyFont="1" applyNumberFormat="1">
      <alignment horizontal="center" vertical="center"/>
    </xf>
    <xf borderId="11" fillId="0" fontId="1" numFmtId="0" xfId="0" applyBorder="1" applyFont="1"/>
    <xf borderId="5" fillId="0" fontId="41" numFmtId="0" xfId="0" applyBorder="1" applyFont="1"/>
    <xf borderId="11" fillId="0" fontId="41" numFmtId="0" xfId="0" applyBorder="1" applyFont="1"/>
    <xf borderId="1" fillId="0" fontId="1" numFmtId="0" xfId="0" applyBorder="1" applyFont="1"/>
    <xf borderId="0" fillId="0" fontId="41" numFmtId="0" xfId="0" applyFont="1"/>
    <xf borderId="0" fillId="0" fontId="1" numFmtId="0" xfId="0" applyFont="1"/>
    <xf borderId="26" fillId="7" fontId="21" numFmtId="0" xfId="0" applyAlignment="1" applyBorder="1" applyFont="1">
      <alignment horizontal="right" readingOrder="0" vertical="center"/>
    </xf>
    <xf borderId="27" fillId="7" fontId="42" numFmtId="0" xfId="0" applyAlignment="1" applyBorder="1" applyFont="1">
      <alignment horizontal="center" readingOrder="0" vertical="center"/>
    </xf>
    <xf borderId="27" fillId="9" fontId="21" numFmtId="4" xfId="0" applyAlignment="1" applyBorder="1" applyFont="1" applyNumberFormat="1">
      <alignment vertical="center"/>
    </xf>
    <xf borderId="27" fillId="9" fontId="47" numFmtId="4" xfId="0" applyAlignment="1" applyBorder="1" applyFont="1" applyNumberFormat="1">
      <alignment horizontal="center" vertical="center"/>
    </xf>
    <xf borderId="27" fillId="9" fontId="22" numFmtId="4" xfId="0" applyAlignment="1" applyBorder="1" applyFont="1" applyNumberFormat="1">
      <alignment horizontal="center" vertical="center"/>
    </xf>
    <xf borderId="0" fillId="10" fontId="59" numFmtId="0" xfId="0" applyAlignment="1" applyFill="1" applyFont="1">
      <alignment vertical="bottom"/>
    </xf>
    <xf borderId="0" fillId="10" fontId="60" numFmtId="0" xfId="0" applyAlignment="1" applyFont="1">
      <alignment horizontal="left" readingOrder="0" shrinkToFit="0" vertical="bottom" wrapText="0"/>
    </xf>
    <xf borderId="0" fillId="10" fontId="59" numFmtId="0" xfId="0" applyAlignment="1" applyFont="1">
      <alignment horizontal="left" shrinkToFit="0" vertical="bottom" wrapText="1"/>
    </xf>
    <xf borderId="1" fillId="0" fontId="61" numFmtId="0" xfId="0" applyAlignment="1" applyBorder="1" applyFont="1">
      <alignment vertical="top"/>
    </xf>
    <xf borderId="3" fillId="0" fontId="62" numFmtId="0" xfId="0" applyAlignment="1" applyBorder="1" applyFont="1">
      <alignment horizontal="left" shrinkToFit="0" vertical="top" wrapText="1"/>
    </xf>
    <xf borderId="30" fillId="0" fontId="3" numFmtId="0" xfId="0" applyBorder="1" applyFont="1"/>
    <xf borderId="3" fillId="0" fontId="61" numFmtId="0" xfId="0" applyAlignment="1" applyBorder="1" applyFont="1">
      <alignment vertical="top"/>
    </xf>
    <xf borderId="30" fillId="0" fontId="61" numFmtId="0" xfId="0" applyAlignment="1" applyBorder="1" applyFont="1">
      <alignment vertical="top"/>
    </xf>
    <xf borderId="4" fillId="0" fontId="61" numFmtId="0" xfId="0" applyAlignment="1" applyBorder="1" applyFont="1">
      <alignment vertical="top"/>
    </xf>
    <xf borderId="6" fillId="0" fontId="4" numFmtId="0" xfId="0" applyAlignment="1" applyBorder="1" applyFont="1">
      <alignment horizontal="center"/>
    </xf>
    <xf borderId="9" fillId="11" fontId="5" numFmtId="0" xfId="0" applyAlignment="1" applyBorder="1" applyFill="1" applyFont="1">
      <alignment horizontal="center"/>
    </xf>
    <xf borderId="11" fillId="0" fontId="63" numFmtId="0" xfId="0" applyBorder="1" applyFont="1"/>
    <xf borderId="11" fillId="0" fontId="63" numFmtId="0" xfId="0" applyBorder="1" applyFont="1"/>
    <xf borderId="23" fillId="7" fontId="51" numFmtId="0" xfId="0" applyAlignment="1" applyBorder="1" applyFont="1">
      <alignment vertical="center"/>
    </xf>
    <xf borderId="24" fillId="6" fontId="7" numFmtId="3" xfId="0" applyAlignment="1" applyBorder="1" applyFont="1" applyNumberFormat="1">
      <alignment vertical="center"/>
    </xf>
    <xf borderId="25" fillId="6" fontId="7" numFmtId="3" xfId="0" applyAlignment="1" applyBorder="1" applyFont="1" applyNumberFormat="1">
      <alignment vertical="center"/>
    </xf>
    <xf borderId="5" fillId="0" fontId="64" numFmtId="0" xfId="0" applyAlignment="1" applyBorder="1" applyFont="1">
      <alignment vertical="center"/>
    </xf>
    <xf borderId="24" fillId="7" fontId="7" numFmtId="164" xfId="0" applyAlignment="1" applyBorder="1" applyFont="1" applyNumberFormat="1">
      <alignment vertical="center"/>
    </xf>
    <xf borderId="24" fillId="6" fontId="6" numFmtId="3" xfId="0" applyAlignment="1" applyBorder="1" applyFont="1" applyNumberFormat="1">
      <alignment vertical="center"/>
    </xf>
    <xf borderId="25" fillId="6" fontId="6" numFmtId="3" xfId="0" applyAlignment="1" applyBorder="1" applyFont="1" applyNumberFormat="1">
      <alignment vertical="center"/>
    </xf>
    <xf borderId="26" fillId="0" fontId="13" numFmtId="0" xfId="0" applyAlignment="1" applyBorder="1" applyFont="1">
      <alignment vertical="center"/>
    </xf>
    <xf borderId="27" fillId="0" fontId="7" numFmtId="0" xfId="0" applyAlignment="1" applyBorder="1" applyFont="1">
      <alignment horizontal="center" vertical="center"/>
    </xf>
    <xf borderId="27" fillId="0" fontId="4" numFmtId="3" xfId="0" applyAlignment="1" applyBorder="1" applyFont="1" applyNumberFormat="1">
      <alignment vertical="center"/>
    </xf>
    <xf borderId="28" fillId="0" fontId="4" numFmtId="3" xfId="0" applyAlignment="1" applyBorder="1" applyFont="1" applyNumberFormat="1">
      <alignment vertical="center"/>
    </xf>
    <xf borderId="0" fillId="0" fontId="1" numFmtId="0" xfId="0" applyFont="1"/>
    <xf borderId="0" fillId="0" fontId="63" numFmtId="0" xfId="0" applyFont="1"/>
    <xf borderId="0" fillId="10" fontId="65" numFmtId="0" xfId="0" applyAlignment="1" applyFont="1">
      <alignment horizontal="left" readingOrder="0" shrinkToFit="0" vertical="bottom" wrapText="1"/>
    </xf>
    <xf borderId="0" fillId="10" fontId="66" numFmtId="0" xfId="0" applyAlignment="1" applyFont="1">
      <alignment horizontal="left" readingOrder="0" shrinkToFit="0" vertical="bottom" wrapText="0"/>
    </xf>
    <xf borderId="0" fillId="10" fontId="67" numFmtId="0" xfId="0" applyAlignment="1" applyFont="1">
      <alignment horizontal="left" readingOrder="0" shrinkToFit="0" vertical="bottom" wrapText="1"/>
    </xf>
    <xf borderId="0" fillId="10" fontId="68" numFmtId="0" xfId="0" applyAlignment="1" applyFont="1">
      <alignment vertical="bottom"/>
    </xf>
    <xf borderId="1" fillId="0" fontId="69" numFmtId="0" xfId="0" applyAlignment="1" applyBorder="1" applyFont="1">
      <alignment vertical="top"/>
    </xf>
    <xf borderId="5" fillId="0" fontId="70" numFmtId="0" xfId="0" applyAlignment="1" applyBorder="1" applyFont="1">
      <alignment vertical="center"/>
    </xf>
    <xf borderId="23" fillId="7" fontId="71" numFmtId="0" xfId="0" applyAlignment="1" applyBorder="1" applyFont="1">
      <alignment vertical="center"/>
    </xf>
    <xf borderId="24" fillId="7" fontId="72" numFmtId="0" xfId="0" applyAlignment="1" applyBorder="1" applyFont="1">
      <alignment horizontal="center" vertical="center"/>
    </xf>
    <xf borderId="24" fillId="6" fontId="72" numFmtId="164" xfId="0" applyAlignment="1" applyBorder="1" applyFont="1" applyNumberFormat="1">
      <alignment horizontal="right" vertical="center"/>
    </xf>
    <xf borderId="24" fillId="7" fontId="73" numFmtId="164" xfId="0" applyAlignment="1" applyBorder="1" applyFont="1" applyNumberFormat="1">
      <alignment horizontal="center" vertical="center"/>
    </xf>
    <xf borderId="25" fillId="7" fontId="73" numFmtId="164" xfId="0" applyAlignment="1" applyBorder="1" applyFont="1" applyNumberFormat="1">
      <alignment horizontal="center" vertical="center"/>
    </xf>
    <xf borderId="11" fillId="0" fontId="74" numFmtId="0" xfId="0" applyBorder="1" applyFont="1"/>
    <xf borderId="24" fillId="7" fontId="47" numFmtId="3" xfId="0" applyAlignment="1" applyBorder="1" applyFont="1" applyNumberFormat="1">
      <alignment horizontal="center" vertical="center"/>
    </xf>
    <xf borderId="25" fillId="7" fontId="47" numFmtId="3" xfId="0" applyAlignment="1" applyBorder="1" applyFont="1" applyNumberFormat="1">
      <alignment horizontal="center" vertical="center"/>
    </xf>
    <xf borderId="28" fillId="7" fontId="4" numFmtId="3" xfId="0" applyAlignment="1" applyBorder="1" applyFont="1" applyNumberFormat="1">
      <alignment vertical="center"/>
    </xf>
    <xf borderId="1" fillId="0" fontId="63" numFmtId="0" xfId="0" applyBorder="1" applyFont="1"/>
    <xf borderId="0" fillId="10" fontId="75" numFmtId="0" xfId="0" applyAlignment="1" applyFont="1">
      <alignment horizontal="left" readingOrder="0" shrinkToFit="0" vertical="bottom" wrapText="1"/>
    </xf>
    <xf borderId="0" fillId="10" fontId="65" numFmtId="0" xfId="0" applyAlignment="1" applyFont="1">
      <alignment readingOrder="0" shrinkToFit="0" vertical="bottom" wrapText="0"/>
    </xf>
    <xf borderId="11" fillId="0" fontId="70" numFmtId="0" xfId="0" applyAlignment="1" applyBorder="1" applyFont="1">
      <alignment vertical="center"/>
    </xf>
    <xf borderId="24" fillId="6" fontId="4" numFmtId="164" xfId="0" applyAlignment="1" applyBorder="1" applyFont="1" applyNumberFormat="1">
      <alignment vertical="center"/>
    </xf>
    <xf borderId="26" fillId="7" fontId="51" numFmtId="0" xfId="0" applyAlignment="1" applyBorder="1" applyFont="1">
      <alignment vertical="center"/>
    </xf>
    <xf borderId="27" fillId="7" fontId="20" numFmtId="0" xfId="0" applyAlignment="1" applyBorder="1" applyFont="1">
      <alignment horizontal="center" vertical="center"/>
    </xf>
    <xf borderId="27" fillId="7" fontId="6" numFmtId="3" xfId="0" applyAlignment="1" applyBorder="1" applyFont="1" applyNumberFormat="1">
      <alignment vertical="center"/>
    </xf>
    <xf borderId="27" fillId="7" fontId="47" numFmtId="3" xfId="0" applyAlignment="1" applyBorder="1" applyFont="1" applyNumberFormat="1">
      <alignment horizontal="center" vertical="center"/>
    </xf>
    <xf borderId="28" fillId="7" fontId="47" numFmtId="3" xfId="0" applyAlignment="1" applyBorder="1" applyFont="1" applyNumberFormat="1">
      <alignment horizontal="center" vertical="center"/>
    </xf>
    <xf borderId="0" fillId="10" fontId="65" numFmtId="0" xfId="0" applyAlignment="1" applyFont="1">
      <alignment shrinkToFit="0" vertical="bottom" wrapText="0"/>
    </xf>
    <xf borderId="0" fillId="10" fontId="65" numFmtId="0" xfId="0" applyAlignment="1" applyFont="1">
      <alignment horizontal="left" shrinkToFit="0" vertical="bottom" wrapText="0"/>
    </xf>
    <xf borderId="0" fillId="10" fontId="65" numFmtId="0" xfId="0" applyAlignment="1" applyFont="1">
      <alignment horizontal="left" readingOrder="0" shrinkToFit="0" vertical="bottom" wrapText="0"/>
    </xf>
    <xf borderId="24" fillId="7" fontId="7" numFmtId="3" xfId="0" applyAlignment="1" applyBorder="1" applyFont="1" applyNumberFormat="1">
      <alignment vertical="center"/>
    </xf>
    <xf borderId="25" fillId="7" fontId="7" numFmtId="3" xfId="0" applyAlignment="1" applyBorder="1" applyFont="1" applyNumberFormat="1">
      <alignment vertical="center"/>
    </xf>
    <xf borderId="24" fillId="7" fontId="72" numFmtId="164" xfId="0" applyAlignment="1" applyBorder="1" applyFont="1" applyNumberFormat="1">
      <alignment vertical="center"/>
    </xf>
    <xf borderId="23" fillId="7" fontId="13" numFmtId="0" xfId="0" applyAlignment="1" applyBorder="1" applyFont="1">
      <alignment horizontal="right" vertical="center"/>
    </xf>
    <xf borderId="23" fillId="7" fontId="15" numFmtId="0" xfId="0" applyAlignment="1" applyBorder="1" applyFont="1">
      <alignment horizontal="left" vertical="center"/>
    </xf>
    <xf borderId="0" fillId="10" fontId="76" numFmtId="0" xfId="0" applyAlignment="1" applyFont="1">
      <alignment readingOrder="0" shrinkToFit="0" vertical="bottom" wrapText="0"/>
    </xf>
    <xf borderId="2" fillId="0" fontId="62" numFmtId="0" xfId="0" applyAlignment="1" applyBorder="1" applyFont="1">
      <alignment vertical="top"/>
    </xf>
    <xf borderId="2" fillId="0" fontId="61" numFmtId="0" xfId="0" applyBorder="1" applyFont="1"/>
    <xf borderId="3" fillId="0" fontId="61" numFmtId="0" xfId="0" applyBorder="1" applyFont="1"/>
    <xf borderId="30" fillId="0" fontId="61" numFmtId="0" xfId="0" applyBorder="1" applyFont="1"/>
    <xf borderId="4" fillId="0" fontId="61" numFmtId="0" xfId="0" applyBorder="1" applyFont="1"/>
    <xf borderId="1" fillId="0" fontId="61" numFmtId="0" xfId="0" applyBorder="1" applyFont="1"/>
    <xf borderId="0" fillId="0" fontId="1" numFmtId="0" xfId="0" applyAlignment="1" applyFont="1">
      <alignment vertical="center"/>
    </xf>
    <xf borderId="31" fillId="0" fontId="8" numFmtId="0" xfId="0" applyAlignment="1" applyBorder="1" applyFont="1">
      <alignment vertical="center"/>
    </xf>
    <xf borderId="31" fillId="0" fontId="7" numFmtId="0" xfId="0" applyAlignment="1" applyBorder="1" applyFont="1">
      <alignment horizontal="center" vertical="center"/>
    </xf>
    <xf borderId="31" fillId="0" fontId="4" numFmtId="0" xfId="0" applyAlignment="1" applyBorder="1" applyFont="1">
      <alignment vertical="center"/>
    </xf>
    <xf borderId="1" fillId="0" fontId="62" numFmtId="0" xfId="0" applyAlignment="1" applyBorder="1" applyFont="1">
      <alignment vertical="top"/>
    </xf>
    <xf borderId="3" fillId="0" fontId="62" numFmtId="0" xfId="0" applyAlignment="1" applyBorder="1" applyFont="1">
      <alignment vertical="top"/>
    </xf>
    <xf borderId="30" fillId="0" fontId="62" numFmtId="0" xfId="0" applyAlignment="1" applyBorder="1" applyFont="1">
      <alignment vertical="top"/>
    </xf>
    <xf borderId="4" fillId="0" fontId="62" numFmtId="0" xfId="0" applyAlignment="1" applyBorder="1" applyFont="1">
      <alignment vertical="top"/>
    </xf>
    <xf borderId="6" fillId="0" fontId="7" numFmtId="0" xfId="0" applyAlignment="1" applyBorder="1" applyFont="1">
      <alignment horizontal="center"/>
    </xf>
    <xf borderId="24" fillId="7" fontId="72" numFmtId="164" xfId="0" applyAlignment="1" applyBorder="1" applyFont="1" applyNumberFormat="1">
      <alignment horizontal="right" vertical="center"/>
    </xf>
    <xf borderId="1" fillId="0" fontId="1" numFmtId="0" xfId="0" applyAlignment="1" applyBorder="1" applyFont="1">
      <alignment vertical="center"/>
    </xf>
    <xf borderId="0" fillId="10" fontId="65" numFmtId="0" xfId="0" applyAlignment="1" applyFont="1">
      <alignment horizontal="right" shrinkToFit="0" vertical="bottom" wrapText="0"/>
    </xf>
    <xf borderId="2" fillId="0" fontId="61" numFmtId="0" xfId="0" applyAlignment="1" applyBorder="1" applyFont="1">
      <alignment vertical="top"/>
    </xf>
    <xf borderId="2" fillId="0" fontId="61" numFmtId="0" xfId="0" applyAlignment="1" applyBorder="1" applyFont="1">
      <alignment horizontal="left" vertical="top"/>
    </xf>
    <xf borderId="2" fillId="0" fontId="61" numFmtId="0" xfId="0" applyAlignment="1" applyBorder="1" applyFont="1">
      <alignment horizontal="right" vertical="top"/>
    </xf>
    <xf borderId="0" fillId="0" fontId="61" numFmtId="0" xfId="0" applyAlignment="1" applyFont="1">
      <alignment horizontal="right" vertical="top"/>
    </xf>
    <xf borderId="6" fillId="0" fontId="4" numFmtId="0" xfId="0" applyAlignment="1" applyBorder="1" applyFont="1">
      <alignment horizontal="center" vertical="center"/>
    </xf>
    <xf borderId="32" fillId="2" fontId="15" numFmtId="0" xfId="0" applyAlignment="1" applyBorder="1" applyFont="1">
      <alignment horizontal="center" vertical="center"/>
    </xf>
    <xf borderId="32" fillId="3" fontId="15" numFmtId="0" xfId="0" applyAlignment="1" applyBorder="1" applyFont="1">
      <alignment horizontal="center" vertical="center"/>
    </xf>
    <xf borderId="32" fillId="4" fontId="15" numFmtId="0" xfId="0" applyAlignment="1" applyBorder="1" applyFont="1">
      <alignment horizontal="center" vertical="center"/>
    </xf>
    <xf borderId="32" fillId="5" fontId="15" numFmtId="0" xfId="0" applyAlignment="1" applyBorder="1" applyFont="1">
      <alignment horizontal="center" vertical="center"/>
    </xf>
    <xf borderId="33" fillId="5" fontId="15" numFmtId="0" xfId="0" applyAlignment="1" applyBorder="1" applyFont="1">
      <alignment horizontal="center" vertical="center"/>
    </xf>
    <xf borderId="34" fillId="0" fontId="7" numFmtId="0" xfId="0" applyAlignment="1" applyBorder="1" applyFont="1">
      <alignment horizontal="center" vertical="center"/>
    </xf>
    <xf borderId="35" fillId="0" fontId="3" numFmtId="0" xfId="0" applyBorder="1" applyFont="1"/>
  </cellXfs>
  <cellStyles count="1">
    <cellStyle xfId="0" name="Normal" builtinId="0"/>
  </cellStyles>
  <dxfs count="11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E0F7FA"/>
          <bgColor rgb="FFE0F7FA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  <dxf>
      <font/>
      <fill>
        <patternFill patternType="solid">
          <fgColor rgb="FFE8F0FE"/>
          <bgColor rgb="FFE8F0FE"/>
        </patternFill>
      </fill>
      <border/>
    </dxf>
    <dxf>
      <font/>
      <fill>
        <patternFill patternType="solid">
          <fgColor rgb="FFEBEFF1"/>
          <bgColor rgb="FFEBEFF1"/>
        </patternFill>
      </fill>
      <border/>
    </dxf>
    <dxf>
      <font/>
      <fill>
        <patternFill patternType="solid">
          <fgColor rgb="FFEEF7E3"/>
          <bgColor rgb="FFEEF7E3"/>
        </patternFill>
      </fill>
      <border/>
    </dxf>
    <dxf>
      <font/>
      <fill>
        <patternFill patternType="solid">
          <fgColor rgb="FFF8F2EB"/>
          <bgColor rgb="FFF8F2EB"/>
        </patternFill>
      </fill>
      <border/>
    </dxf>
    <dxf>
      <font/>
      <fill>
        <patternFill patternType="solid">
          <fgColor rgb="FFE8E7FC"/>
          <bgColor rgb="FFE8E7FC"/>
        </patternFill>
      </fill>
      <border/>
    </dxf>
    <dxf>
      <font/>
      <fill>
        <patternFill patternType="solid">
          <fgColor rgb="FFFDDCE8"/>
          <bgColor rgb="FFFDDCE8"/>
        </patternFill>
      </fill>
      <border/>
    </dxf>
  </dxfs>
  <tableStyles count="9">
    <tableStyle count="2" pivot="0" name="TONGHOP-style">
      <tableStyleElement dxfId="1" type="firstRowStripe"/>
      <tableStyleElement dxfId="2" type="secondRowStripe"/>
    </tableStyle>
    <tableStyle count="2" pivot="0" name="SOCHITIEUGIAO-style">
      <tableStyleElement dxfId="1" type="firstRowStripe"/>
      <tableStyleElement dxfId="3" type="secondRowStripe"/>
    </tableStyle>
    <tableStyle count="2" pivot="0" name="1.MN-style">
      <tableStyleElement dxfId="1" type="firstRowStripe"/>
      <tableStyleElement dxfId="4" type="secondRowStripe"/>
    </tableStyle>
    <tableStyle count="2" pivot="0" name="2.TH-style">
      <tableStyleElement dxfId="1" type="firstRowStripe"/>
      <tableStyleElement dxfId="5" type="secondRowStripe"/>
    </tableStyle>
    <tableStyle count="2" pivot="0" name="3.THCS-style">
      <tableStyleElement dxfId="1" type="firstRowStripe"/>
      <tableStyleElement dxfId="6" type="secondRowStripe"/>
    </tableStyle>
    <tableStyle count="2" pivot="0" name="4.TH-THCS-style">
      <tableStyleElement dxfId="1" type="firstRowStripe"/>
      <tableStyleElement dxfId="7" type="secondRowStripe"/>
    </tableStyle>
    <tableStyle count="2" pivot="0" name="5.THPT-style">
      <tableStyleElement dxfId="1" type="firstRowStripe"/>
      <tableStyleElement dxfId="8" type="secondRowStripe"/>
    </tableStyle>
    <tableStyle count="2" pivot="0" name="6.THCS-THPT-style">
      <tableStyleElement dxfId="1" type="firstRowStripe"/>
      <tableStyleElement dxfId="9" type="secondRowStripe"/>
    </tableStyle>
    <tableStyle count="2" pivot="0" name="7.GDTX-style">
      <tableStyleElement dxfId="1" type="firstRowStripe"/>
      <tableStyleElement dxfId="10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6:BA160" displayName="Table_1" name="Table_1" id="1">
  <tableColumns count="5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</tableColumns>
  <tableStyleInfo name="TONGHOP-style" showColumnStripes="0" showFirstColumn="1" showLastColumn="1" showRowStripes="1"/>
</table>
</file>

<file path=xl/tables/table2.xml><?xml version="1.0" encoding="utf-8"?>
<table xmlns="http://schemas.openxmlformats.org/spreadsheetml/2006/main" headerRowCount="0" ref="A6:AZ62" displayName="Table_2" name="Table_2" id="2">
  <tableColumns count="5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</tableColumns>
  <tableStyleInfo name="SOCHITIEUGIAO-style" showColumnStripes="0" showFirstColumn="1" showLastColumn="1" showRowStripes="1"/>
</table>
</file>

<file path=xl/tables/table3.xml><?xml version="1.0" encoding="utf-8"?>
<table xmlns="http://schemas.openxmlformats.org/spreadsheetml/2006/main" headerRowCount="0" ref="A7:BA80" displayName="Table_3" name="Table_3" id="3">
  <tableColumns count="5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</tableColumns>
  <tableStyleInfo name="1.MN-style" showColumnStripes="0" showFirstColumn="1" showLastColumn="1" showRowStripes="1"/>
</table>
</file>

<file path=xl/tables/table4.xml><?xml version="1.0" encoding="utf-8"?>
<table xmlns="http://schemas.openxmlformats.org/spreadsheetml/2006/main" headerRowCount="0" ref="A7:BA86" displayName="Table_4" name="Table_4" id="4">
  <tableColumns count="5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</tableColumns>
  <tableStyleInfo name="2.TH-style" showColumnStripes="0" showFirstColumn="1" showLastColumn="1" showRowStripes="1"/>
</table>
</file>

<file path=xl/tables/table5.xml><?xml version="1.0" encoding="utf-8"?>
<table xmlns="http://schemas.openxmlformats.org/spreadsheetml/2006/main" headerRowCount="0" ref="A7:BA86" displayName="Table_5" name="Table_5" id="5">
  <tableColumns count="5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</tableColumns>
  <tableStyleInfo name="3.THCS-style" showColumnStripes="0" showFirstColumn="1" showLastColumn="1" showRowStripes="1"/>
</table>
</file>

<file path=xl/tables/table6.xml><?xml version="1.0" encoding="utf-8"?>
<table xmlns="http://schemas.openxmlformats.org/spreadsheetml/2006/main" headerRowCount="0" ref="A7:BA107" displayName="Table_6" name="Table_6" id="6">
  <tableColumns count="5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</tableColumns>
  <tableStyleInfo name="4.TH-THCS-style" showColumnStripes="0" showFirstColumn="1" showLastColumn="1" showRowStripes="1"/>
</table>
</file>

<file path=xl/tables/table7.xml><?xml version="1.0" encoding="utf-8"?>
<table xmlns="http://schemas.openxmlformats.org/spreadsheetml/2006/main" headerRowCount="0" ref="A7:BA80" displayName="Table_7" name="Table_7" id="7">
  <tableColumns count="5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</tableColumns>
  <tableStyleInfo name="5.THPT-style" showColumnStripes="0" showFirstColumn="1" showLastColumn="1" showRowStripes="1"/>
</table>
</file>

<file path=xl/tables/table8.xml><?xml version="1.0" encoding="utf-8"?>
<table xmlns="http://schemas.openxmlformats.org/spreadsheetml/2006/main" headerRowCount="0" ref="A7:BA99" displayName="Table_8" name="Table_8" id="8">
  <tableColumns count="5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</tableColumns>
  <tableStyleInfo name="6.THCS-THPT-style" showColumnStripes="0" showFirstColumn="1" showLastColumn="1" showRowStripes="1"/>
</table>
</file>

<file path=xl/tables/table9.xml><?xml version="1.0" encoding="utf-8"?>
<table xmlns="http://schemas.openxmlformats.org/spreadsheetml/2006/main" headerRowCount="0" ref="A7:Q28" displayName="Table_9" name="Table_9" id="9">
  <tableColumns count="1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</tableColumns>
  <tableStyleInfo name="7.GDTX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e/2PACX-1vSGbbYoakpRIr0rJCMxFmu_-0cJDzi_Xe1_M6wmG62YyDLE-A5rj5bdVav9id47rtJ7Ge1bqpTwbhvu/pubhtml" TargetMode="External"/><Relationship Id="rId2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Relationship Id="rId5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fTukpROnC5WsYiMqgw0l2v6HYuMYT4P9iYWcgU7qCBs/edit" TargetMode="External"/><Relationship Id="rId2" Type="http://schemas.openxmlformats.org/officeDocument/2006/relationships/drawing" Target="../drawings/drawing3.xml"/><Relationship Id="rId4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sJ0ucmXxJ9oBFK2iTMscYLvW8olIpPsPz-UMGDElbx0/edit" TargetMode="External"/><Relationship Id="rId2" Type="http://schemas.openxmlformats.org/officeDocument/2006/relationships/drawing" Target="../drawings/drawing4.xml"/><Relationship Id="rId4" Type="http://schemas.openxmlformats.org/officeDocument/2006/relationships/table" Target="../tables/table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89n0SmaJxh8zZlIYujwZITQa9iurcpRjFcA0f8yVkew/edit" TargetMode="External"/><Relationship Id="rId2" Type="http://schemas.openxmlformats.org/officeDocument/2006/relationships/drawing" Target="../drawings/drawing5.xml"/><Relationship Id="rId4" Type="http://schemas.openxmlformats.org/officeDocument/2006/relationships/table" Target="../tables/table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lB3W4lJ3kDVG754oRioQtWmxF5nkCNArx1kX0kvRPbc/edit" TargetMode="External"/><Relationship Id="rId2" Type="http://schemas.openxmlformats.org/officeDocument/2006/relationships/drawing" Target="../drawings/drawing6.xml"/><Relationship Id="rId4" Type="http://schemas.openxmlformats.org/officeDocument/2006/relationships/table" Target="../tables/table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Y5-d70NLcbnkc59ix0PWaCEVUCPFWByN5g-qou18eM4/edit" TargetMode="External"/><Relationship Id="rId2" Type="http://schemas.openxmlformats.org/officeDocument/2006/relationships/drawing" Target="../drawings/drawing7.xml"/><Relationship Id="rId4" Type="http://schemas.openxmlformats.org/officeDocument/2006/relationships/table" Target="../tables/table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fOHaCQXf2nJnjrxRvsqvc48uPyywnHYKJp78RcYi8NM/edit" TargetMode="External"/><Relationship Id="rId2" Type="http://schemas.openxmlformats.org/officeDocument/2006/relationships/drawing" Target="../drawings/drawing8.xml"/><Relationship Id="rId4" Type="http://schemas.openxmlformats.org/officeDocument/2006/relationships/table" Target="../tables/table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Nxa_VAbbTHajQ3g1kL2qbZhc0j58_3OxE_mM2C39u0s/edit" TargetMode="External"/><Relationship Id="rId2" Type="http://schemas.openxmlformats.org/officeDocument/2006/relationships/drawing" Target="../drawings/drawing9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2060"/>
    <pageSetUpPr/>
  </sheetPr>
  <sheetViews>
    <sheetView showGridLines="0"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2.63" defaultRowHeight="15.0"/>
  <cols>
    <col customWidth="1" min="1" max="1" width="0.38"/>
    <col customWidth="1" min="2" max="2" width="31.88"/>
    <col customWidth="1" min="3" max="3" width="6.75"/>
    <col customWidth="1" min="4" max="4" width="6.88"/>
    <col customWidth="1" min="5" max="5" width="7.0"/>
    <col customWidth="1" min="6" max="6" width="6.88"/>
    <col customWidth="1" min="7" max="7" width="6.0"/>
    <col customWidth="1" min="8" max="8" width="6.13"/>
    <col customWidth="1" min="9" max="9" width="7.0"/>
    <col customWidth="1" min="10" max="10" width="6.88"/>
    <col customWidth="1" min="11" max="11" width="6.0"/>
    <col customWidth="1" min="12" max="12" width="6.13"/>
    <col customWidth="1" min="13" max="13" width="7.0"/>
    <col customWidth="1" min="14" max="14" width="6.88"/>
    <col customWidth="1" min="15" max="15" width="6.0"/>
    <col customWidth="1" min="16" max="16" width="6.13"/>
    <col customWidth="1" min="17" max="17" width="7.0"/>
    <col customWidth="1" min="18" max="18" width="6.88"/>
    <col customWidth="1" min="19" max="19" width="6.0"/>
    <col customWidth="1" min="20" max="20" width="6.13"/>
    <col customWidth="1" min="21" max="21" width="7.0"/>
    <col customWidth="1" min="22" max="22" width="6.88"/>
    <col customWidth="1" min="23" max="23" width="6.0"/>
    <col customWidth="1" min="24" max="24" width="6.13"/>
    <col customWidth="1" min="25" max="25" width="7.0"/>
    <col customWidth="1" min="26" max="26" width="6.88"/>
    <col customWidth="1" min="27" max="27" width="6.0"/>
    <col customWidth="1" min="28" max="28" width="6.13"/>
    <col customWidth="1" min="29" max="29" width="7.0"/>
    <col customWidth="1" min="30" max="30" width="6.88"/>
    <col customWidth="1" min="31" max="31" width="6.0"/>
    <col customWidth="1" min="32" max="32" width="6.13"/>
    <col customWidth="1" min="33" max="33" width="7.0"/>
    <col customWidth="1" min="34" max="34" width="6.88"/>
    <col customWidth="1" min="35" max="35" width="6.0"/>
    <col customWidth="1" min="36" max="36" width="6.13"/>
    <col customWidth="1" min="37" max="37" width="7.0"/>
    <col customWidth="1" min="38" max="38" width="6.88"/>
    <col customWidth="1" min="39" max="39" width="6.0"/>
    <col customWidth="1" min="40" max="40" width="6.13"/>
    <col customWidth="1" min="41" max="41" width="7.0"/>
    <col customWidth="1" min="42" max="42" width="6.88"/>
    <col customWidth="1" min="43" max="43" width="6.0"/>
    <col customWidth="1" min="44" max="44" width="6.13"/>
    <col customWidth="1" min="45" max="45" width="7.0"/>
    <col customWidth="1" min="46" max="46" width="6.88"/>
    <col customWidth="1" min="47" max="47" width="6.0"/>
    <col customWidth="1" min="48" max="48" width="6.13"/>
    <col customWidth="1" min="49" max="49" width="7.0"/>
    <col customWidth="1" min="50" max="50" width="6.88"/>
    <col customWidth="1" min="51" max="51" width="6.0"/>
    <col customWidth="1" min="52" max="52" width="6.13"/>
    <col customWidth="1" min="53" max="53" width="0.38"/>
  </cols>
  <sheetData>
    <row r="1" ht="1.5" customHeight="1">
      <c r="A1" s="1"/>
      <c r="B1" s="2"/>
      <c r="C1" s="3"/>
      <c r="D1" s="3"/>
      <c r="E1" s="3"/>
      <c r="F1" s="3"/>
      <c r="G1" s="4"/>
      <c r="H1" s="5"/>
      <c r="I1" s="3"/>
      <c r="J1" s="3"/>
      <c r="K1" s="4"/>
      <c r="L1" s="5"/>
      <c r="M1" s="3"/>
      <c r="N1" s="3"/>
      <c r="O1" s="4"/>
      <c r="P1" s="5"/>
      <c r="Q1" s="3"/>
      <c r="R1" s="3"/>
      <c r="S1" s="4"/>
      <c r="T1" s="5"/>
      <c r="U1" s="3"/>
      <c r="V1" s="3"/>
      <c r="W1" s="4"/>
      <c r="X1" s="5"/>
      <c r="Y1" s="3"/>
      <c r="Z1" s="3"/>
      <c r="AA1" s="4"/>
      <c r="AB1" s="5"/>
      <c r="AC1" s="3"/>
      <c r="AD1" s="3"/>
      <c r="AE1" s="4"/>
      <c r="AF1" s="5"/>
      <c r="AG1" s="3"/>
      <c r="AH1" s="3"/>
      <c r="AI1" s="4"/>
      <c r="AJ1" s="5"/>
      <c r="AK1" s="3"/>
      <c r="AL1" s="3"/>
      <c r="AM1" s="4"/>
      <c r="AN1" s="5"/>
      <c r="AO1" s="3"/>
      <c r="AP1" s="3"/>
      <c r="AQ1" s="4"/>
      <c r="AR1" s="5"/>
      <c r="AS1" s="3"/>
      <c r="AT1" s="3"/>
      <c r="AU1" s="4"/>
      <c r="AV1" s="5"/>
      <c r="AW1" s="3"/>
      <c r="AX1" s="3"/>
      <c r="AY1" s="4"/>
      <c r="AZ1" s="5"/>
      <c r="BA1" s="1"/>
    </row>
    <row r="2" ht="18.75" customHeight="1">
      <c r="A2" s="6"/>
      <c r="B2" s="7" t="s">
        <v>0</v>
      </c>
      <c r="C2" s="8"/>
      <c r="D2" s="9"/>
      <c r="E2" s="10" t="s">
        <v>1</v>
      </c>
      <c r="F2" s="8"/>
      <c r="G2" s="8"/>
      <c r="H2" s="9"/>
      <c r="I2" s="11" t="s">
        <v>2</v>
      </c>
      <c r="J2" s="8"/>
      <c r="K2" s="8"/>
      <c r="L2" s="9"/>
      <c r="M2" s="11" t="s">
        <v>3</v>
      </c>
      <c r="N2" s="8"/>
      <c r="O2" s="8"/>
      <c r="P2" s="9"/>
      <c r="Q2" s="12" t="s">
        <v>4</v>
      </c>
      <c r="R2" s="8"/>
      <c r="S2" s="8"/>
      <c r="T2" s="9"/>
      <c r="U2" s="12" t="s">
        <v>5</v>
      </c>
      <c r="V2" s="8"/>
      <c r="W2" s="8"/>
      <c r="X2" s="9"/>
      <c r="Y2" s="12" t="s">
        <v>6</v>
      </c>
      <c r="Z2" s="8"/>
      <c r="AA2" s="8"/>
      <c r="AB2" s="9"/>
      <c r="AC2" s="13" t="s">
        <v>7</v>
      </c>
      <c r="AD2" s="8"/>
      <c r="AE2" s="8"/>
      <c r="AF2" s="9"/>
      <c r="AG2" s="13" t="s">
        <v>8</v>
      </c>
      <c r="AH2" s="8"/>
      <c r="AI2" s="8"/>
      <c r="AJ2" s="9"/>
      <c r="AK2" s="13" t="s">
        <v>9</v>
      </c>
      <c r="AL2" s="8"/>
      <c r="AM2" s="8"/>
      <c r="AN2" s="9"/>
      <c r="AO2" s="14" t="s">
        <v>10</v>
      </c>
      <c r="AP2" s="8"/>
      <c r="AQ2" s="8"/>
      <c r="AR2" s="9"/>
      <c r="AS2" s="14" t="s">
        <v>11</v>
      </c>
      <c r="AT2" s="8"/>
      <c r="AU2" s="8"/>
      <c r="AV2" s="9"/>
      <c r="AW2" s="14" t="s">
        <v>12</v>
      </c>
      <c r="AX2" s="8"/>
      <c r="AY2" s="8"/>
      <c r="AZ2" s="15"/>
      <c r="BA2" s="16"/>
    </row>
    <row r="3" ht="14.25" customHeight="1">
      <c r="A3" s="6"/>
      <c r="B3" s="17" t="s">
        <v>13</v>
      </c>
      <c r="C3" s="18" t="s">
        <v>14</v>
      </c>
      <c r="D3" s="18" t="s">
        <v>15</v>
      </c>
      <c r="E3" s="19" t="s">
        <v>16</v>
      </c>
      <c r="F3" s="20" t="s">
        <v>17</v>
      </c>
      <c r="G3" s="21"/>
      <c r="H3" s="22"/>
      <c r="I3" s="19" t="s">
        <v>16</v>
      </c>
      <c r="J3" s="20" t="s">
        <v>17</v>
      </c>
      <c r="K3" s="21"/>
      <c r="L3" s="22"/>
      <c r="M3" s="19" t="s">
        <v>16</v>
      </c>
      <c r="N3" s="20" t="s">
        <v>17</v>
      </c>
      <c r="O3" s="21"/>
      <c r="P3" s="22"/>
      <c r="Q3" s="19" t="s">
        <v>16</v>
      </c>
      <c r="R3" s="20" t="s">
        <v>17</v>
      </c>
      <c r="S3" s="21"/>
      <c r="T3" s="22"/>
      <c r="U3" s="19" t="s">
        <v>16</v>
      </c>
      <c r="V3" s="20" t="s">
        <v>17</v>
      </c>
      <c r="W3" s="21"/>
      <c r="X3" s="22"/>
      <c r="Y3" s="19" t="s">
        <v>16</v>
      </c>
      <c r="Z3" s="20" t="s">
        <v>17</v>
      </c>
      <c r="AA3" s="21"/>
      <c r="AB3" s="22"/>
      <c r="AC3" s="19" t="s">
        <v>16</v>
      </c>
      <c r="AD3" s="20" t="s">
        <v>17</v>
      </c>
      <c r="AE3" s="21"/>
      <c r="AF3" s="22"/>
      <c r="AG3" s="19" t="s">
        <v>16</v>
      </c>
      <c r="AH3" s="20" t="s">
        <v>17</v>
      </c>
      <c r="AI3" s="21"/>
      <c r="AJ3" s="22"/>
      <c r="AK3" s="19" t="s">
        <v>16</v>
      </c>
      <c r="AL3" s="20" t="s">
        <v>17</v>
      </c>
      <c r="AM3" s="21"/>
      <c r="AN3" s="22"/>
      <c r="AO3" s="19" t="s">
        <v>16</v>
      </c>
      <c r="AP3" s="20" t="s">
        <v>17</v>
      </c>
      <c r="AQ3" s="21"/>
      <c r="AR3" s="22"/>
      <c r="AS3" s="19" t="s">
        <v>16</v>
      </c>
      <c r="AT3" s="20" t="s">
        <v>17</v>
      </c>
      <c r="AU3" s="21"/>
      <c r="AV3" s="22"/>
      <c r="AW3" s="19" t="s">
        <v>16</v>
      </c>
      <c r="AX3" s="20" t="s">
        <v>17</v>
      </c>
      <c r="AY3" s="21"/>
      <c r="AZ3" s="23"/>
      <c r="BA3" s="16"/>
    </row>
    <row r="4" ht="14.25" customHeight="1">
      <c r="A4" s="6"/>
      <c r="B4" s="24"/>
      <c r="C4" s="25"/>
      <c r="D4" s="25"/>
      <c r="E4" s="25"/>
      <c r="F4" s="26" t="s">
        <v>18</v>
      </c>
      <c r="G4" s="26" t="s">
        <v>19</v>
      </c>
      <c r="H4" s="26" t="s">
        <v>20</v>
      </c>
      <c r="I4" s="25"/>
      <c r="J4" s="26" t="s">
        <v>18</v>
      </c>
      <c r="K4" s="26" t="s">
        <v>19</v>
      </c>
      <c r="L4" s="26" t="s">
        <v>20</v>
      </c>
      <c r="M4" s="25"/>
      <c r="N4" s="26" t="s">
        <v>18</v>
      </c>
      <c r="O4" s="26" t="s">
        <v>19</v>
      </c>
      <c r="P4" s="26" t="s">
        <v>20</v>
      </c>
      <c r="Q4" s="25"/>
      <c r="R4" s="26" t="s">
        <v>18</v>
      </c>
      <c r="S4" s="26" t="s">
        <v>19</v>
      </c>
      <c r="T4" s="26" t="s">
        <v>20</v>
      </c>
      <c r="U4" s="25"/>
      <c r="V4" s="26" t="s">
        <v>18</v>
      </c>
      <c r="W4" s="26" t="s">
        <v>19</v>
      </c>
      <c r="X4" s="26" t="s">
        <v>20</v>
      </c>
      <c r="Y4" s="25"/>
      <c r="Z4" s="26" t="s">
        <v>18</v>
      </c>
      <c r="AA4" s="26" t="s">
        <v>19</v>
      </c>
      <c r="AB4" s="26" t="s">
        <v>20</v>
      </c>
      <c r="AC4" s="25"/>
      <c r="AD4" s="26" t="s">
        <v>18</v>
      </c>
      <c r="AE4" s="26" t="s">
        <v>19</v>
      </c>
      <c r="AF4" s="26" t="s">
        <v>20</v>
      </c>
      <c r="AG4" s="25"/>
      <c r="AH4" s="26" t="s">
        <v>18</v>
      </c>
      <c r="AI4" s="26" t="s">
        <v>19</v>
      </c>
      <c r="AJ4" s="26" t="s">
        <v>20</v>
      </c>
      <c r="AK4" s="25"/>
      <c r="AL4" s="26" t="s">
        <v>18</v>
      </c>
      <c r="AM4" s="26" t="s">
        <v>19</v>
      </c>
      <c r="AN4" s="26" t="s">
        <v>20</v>
      </c>
      <c r="AO4" s="25"/>
      <c r="AP4" s="26" t="s">
        <v>18</v>
      </c>
      <c r="AQ4" s="26" t="s">
        <v>19</v>
      </c>
      <c r="AR4" s="26" t="s">
        <v>20</v>
      </c>
      <c r="AS4" s="25"/>
      <c r="AT4" s="26" t="s">
        <v>18</v>
      </c>
      <c r="AU4" s="26" t="s">
        <v>19</v>
      </c>
      <c r="AV4" s="26" t="s">
        <v>20</v>
      </c>
      <c r="AW4" s="25"/>
      <c r="AX4" s="26" t="s">
        <v>18</v>
      </c>
      <c r="AY4" s="26" t="s">
        <v>19</v>
      </c>
      <c r="AZ4" s="27" t="s">
        <v>20</v>
      </c>
      <c r="BA4" s="16"/>
    </row>
    <row r="5" ht="13.5" customHeight="1">
      <c r="A5" s="6"/>
      <c r="B5" s="28" t="s">
        <v>21</v>
      </c>
      <c r="C5" s="26" t="s">
        <v>22</v>
      </c>
      <c r="D5" s="26" t="s">
        <v>23</v>
      </c>
      <c r="E5" s="26" t="s">
        <v>24</v>
      </c>
      <c r="F5" s="26">
        <v>2.0</v>
      </c>
      <c r="G5" s="26">
        <v>3.0</v>
      </c>
      <c r="H5" s="26">
        <v>4.0</v>
      </c>
      <c r="I5" s="26" t="s">
        <v>24</v>
      </c>
      <c r="J5" s="26">
        <v>2.0</v>
      </c>
      <c r="K5" s="26">
        <v>3.0</v>
      </c>
      <c r="L5" s="26">
        <v>4.0</v>
      </c>
      <c r="M5" s="26" t="s">
        <v>24</v>
      </c>
      <c r="N5" s="26">
        <v>2.0</v>
      </c>
      <c r="O5" s="26">
        <v>3.0</v>
      </c>
      <c r="P5" s="26">
        <v>4.0</v>
      </c>
      <c r="Q5" s="26" t="s">
        <v>24</v>
      </c>
      <c r="R5" s="26">
        <v>2.0</v>
      </c>
      <c r="S5" s="26">
        <v>3.0</v>
      </c>
      <c r="T5" s="26">
        <v>4.0</v>
      </c>
      <c r="U5" s="26" t="s">
        <v>24</v>
      </c>
      <c r="V5" s="26">
        <v>2.0</v>
      </c>
      <c r="W5" s="26">
        <v>3.0</v>
      </c>
      <c r="X5" s="26">
        <v>4.0</v>
      </c>
      <c r="Y5" s="26" t="s">
        <v>24</v>
      </c>
      <c r="Z5" s="26">
        <v>2.0</v>
      </c>
      <c r="AA5" s="26">
        <v>3.0</v>
      </c>
      <c r="AB5" s="26">
        <v>4.0</v>
      </c>
      <c r="AC5" s="26" t="s">
        <v>24</v>
      </c>
      <c r="AD5" s="26">
        <v>2.0</v>
      </c>
      <c r="AE5" s="26">
        <v>3.0</v>
      </c>
      <c r="AF5" s="26">
        <v>4.0</v>
      </c>
      <c r="AG5" s="26" t="s">
        <v>24</v>
      </c>
      <c r="AH5" s="26">
        <v>2.0</v>
      </c>
      <c r="AI5" s="26">
        <v>3.0</v>
      </c>
      <c r="AJ5" s="26">
        <v>4.0</v>
      </c>
      <c r="AK5" s="26" t="s">
        <v>24</v>
      </c>
      <c r="AL5" s="26">
        <v>2.0</v>
      </c>
      <c r="AM5" s="26">
        <v>3.0</v>
      </c>
      <c r="AN5" s="26">
        <v>4.0</v>
      </c>
      <c r="AO5" s="26" t="s">
        <v>24</v>
      </c>
      <c r="AP5" s="26">
        <v>2.0</v>
      </c>
      <c r="AQ5" s="26">
        <v>3.0</v>
      </c>
      <c r="AR5" s="26">
        <v>4.0</v>
      </c>
      <c r="AS5" s="26" t="s">
        <v>24</v>
      </c>
      <c r="AT5" s="26">
        <v>2.0</v>
      </c>
      <c r="AU5" s="26">
        <v>3.0</v>
      </c>
      <c r="AV5" s="26">
        <v>4.0</v>
      </c>
      <c r="AW5" s="26" t="s">
        <v>24</v>
      </c>
      <c r="AX5" s="26">
        <v>2.0</v>
      </c>
      <c r="AY5" s="26">
        <v>3.0</v>
      </c>
      <c r="AZ5" s="27">
        <v>4.0</v>
      </c>
      <c r="BA5" s="16"/>
    </row>
    <row r="6" ht="15.75" customHeight="1">
      <c r="A6" s="29"/>
      <c r="B6" s="30" t="s">
        <v>25</v>
      </c>
      <c r="C6" s="31" t="s">
        <v>26</v>
      </c>
      <c r="D6" s="31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3"/>
      <c r="BA6" s="34"/>
    </row>
    <row r="7" ht="15.75" customHeight="1">
      <c r="A7" s="29"/>
      <c r="B7" s="35" t="s">
        <v>27</v>
      </c>
      <c r="C7" s="36"/>
      <c r="D7" s="36" t="s">
        <v>28</v>
      </c>
      <c r="E7" s="37">
        <f t="shared" ref="E7:E15" si="13">F7+G7+H7</f>
        <v>479</v>
      </c>
      <c r="F7" s="37">
        <f t="shared" ref="F7:H7" si="1">F8+F9+F11+F13+F14+F15</f>
        <v>461</v>
      </c>
      <c r="G7" s="37">
        <f t="shared" si="1"/>
        <v>4</v>
      </c>
      <c r="H7" s="37">
        <f t="shared" si="1"/>
        <v>14</v>
      </c>
      <c r="I7" s="37">
        <f t="shared" ref="I7:I15" si="14">J7+K7+L7</f>
        <v>477</v>
      </c>
      <c r="J7" s="37">
        <f t="shared" ref="J7:L7" si="2">J8+J9+J11+J13+J14+J15</f>
        <v>450</v>
      </c>
      <c r="K7" s="37">
        <f t="shared" si="2"/>
        <v>4</v>
      </c>
      <c r="L7" s="37">
        <f t="shared" si="2"/>
        <v>23</v>
      </c>
      <c r="M7" s="37">
        <f t="shared" ref="M7:M15" si="15">N7+O7+P7</f>
        <v>476</v>
      </c>
      <c r="N7" s="37">
        <f t="shared" ref="N7:P7" si="3">N8+N9+N11+N13+N14+N15</f>
        <v>459</v>
      </c>
      <c r="O7" s="37">
        <f t="shared" si="3"/>
        <v>4</v>
      </c>
      <c r="P7" s="37">
        <f t="shared" si="3"/>
        <v>13</v>
      </c>
      <c r="Q7" s="37">
        <f t="shared" ref="Q7:Q15" si="16">R7+S7+T7</f>
        <v>462</v>
      </c>
      <c r="R7" s="37">
        <f t="shared" ref="R7:T7" si="4">R8+R9+R11+R13+R14+R15</f>
        <v>445</v>
      </c>
      <c r="S7" s="37">
        <f t="shared" si="4"/>
        <v>4</v>
      </c>
      <c r="T7" s="37">
        <f t="shared" si="4"/>
        <v>13</v>
      </c>
      <c r="U7" s="37">
        <f t="shared" ref="U7:U15" si="17">V7+W7+X7</f>
        <v>462</v>
      </c>
      <c r="V7" s="37">
        <f t="shared" ref="V7:X7" si="5">V8+V9+V11+V13+V14+V15</f>
        <v>445</v>
      </c>
      <c r="W7" s="37">
        <f t="shared" si="5"/>
        <v>4</v>
      </c>
      <c r="X7" s="37">
        <f t="shared" si="5"/>
        <v>13</v>
      </c>
      <c r="Y7" s="37">
        <f t="shared" ref="Y7:Y15" si="18">Z7+AA7+AB7</f>
        <v>462</v>
      </c>
      <c r="Z7" s="37">
        <f t="shared" ref="Z7:AB7" si="6">Z8+Z9+Z11+Z13+Z14+Z15</f>
        <v>445</v>
      </c>
      <c r="AA7" s="37">
        <f t="shared" si="6"/>
        <v>4</v>
      </c>
      <c r="AB7" s="37">
        <f t="shared" si="6"/>
        <v>13</v>
      </c>
      <c r="AC7" s="37">
        <f t="shared" ref="AC7:AC15" si="19">AD7+AE7+AF7</f>
        <v>449</v>
      </c>
      <c r="AD7" s="37">
        <f t="shared" ref="AD7:AF7" si="7">AD8+AD9+AD11+AD13+AD14+AD15</f>
        <v>432</v>
      </c>
      <c r="AE7" s="37">
        <f t="shared" si="7"/>
        <v>4</v>
      </c>
      <c r="AF7" s="37">
        <f t="shared" si="7"/>
        <v>13</v>
      </c>
      <c r="AG7" s="37">
        <f t="shared" ref="AG7:AG15" si="20">AH7+AI7+AJ7</f>
        <v>24</v>
      </c>
      <c r="AH7" s="37">
        <f t="shared" ref="AH7:AJ7" si="8">AH8+AH9+AH11+AH13+AH14+AH15</f>
        <v>22</v>
      </c>
      <c r="AI7" s="37">
        <f t="shared" si="8"/>
        <v>1</v>
      </c>
      <c r="AJ7" s="37">
        <f t="shared" si="8"/>
        <v>1</v>
      </c>
      <c r="AK7" s="37">
        <f t="shared" ref="AK7:AK15" si="21">AL7+AM7+AN7</f>
        <v>17</v>
      </c>
      <c r="AL7" s="37">
        <f t="shared" ref="AL7:AN7" si="9">AL8+AL9+AL11+AL13+AL14+AL15</f>
        <v>16</v>
      </c>
      <c r="AM7" s="37">
        <f t="shared" si="9"/>
        <v>0</v>
      </c>
      <c r="AN7" s="37">
        <f t="shared" si="9"/>
        <v>1</v>
      </c>
      <c r="AO7" s="37">
        <f t="shared" ref="AO7:AO15" si="22">AP7+AQ7+AR7</f>
        <v>16</v>
      </c>
      <c r="AP7" s="37">
        <f t="shared" ref="AP7:AR7" si="10">AP8+AP9+AP11+AP13+AP14+AP15</f>
        <v>15</v>
      </c>
      <c r="AQ7" s="37">
        <f t="shared" si="10"/>
        <v>0</v>
      </c>
      <c r="AR7" s="37">
        <f t="shared" si="10"/>
        <v>1</v>
      </c>
      <c r="AS7" s="37">
        <f t="shared" ref="AS7:AS15" si="23">AT7+AU7+AV7</f>
        <v>16</v>
      </c>
      <c r="AT7" s="37">
        <f t="shared" ref="AT7:AV7" si="11">AT8+AT9+AT11+AT13+AT14+AT15</f>
        <v>15</v>
      </c>
      <c r="AU7" s="37">
        <f t="shared" si="11"/>
        <v>0</v>
      </c>
      <c r="AV7" s="37">
        <f t="shared" si="11"/>
        <v>1</v>
      </c>
      <c r="AW7" s="37">
        <f t="shared" ref="AW7:AW15" si="24">AX7+AY7+AZ7</f>
        <v>16</v>
      </c>
      <c r="AX7" s="37">
        <f t="shared" ref="AX7:AZ7" si="12">AX8+AX9+AX11+AX13+AX14+AX15</f>
        <v>15</v>
      </c>
      <c r="AY7" s="37">
        <f t="shared" si="12"/>
        <v>0</v>
      </c>
      <c r="AZ7" s="38">
        <f t="shared" si="12"/>
        <v>1</v>
      </c>
      <c r="BA7" s="34"/>
    </row>
    <row r="8" ht="15.75" customHeight="1">
      <c r="A8" s="29"/>
      <c r="B8" s="39" t="s">
        <v>29</v>
      </c>
      <c r="C8" s="31"/>
      <c r="D8" s="40" t="s">
        <v>30</v>
      </c>
      <c r="E8" s="41">
        <f t="shared" si="13"/>
        <v>131</v>
      </c>
      <c r="F8" s="42">
        <f>'1.MN'!F8</f>
        <v>118</v>
      </c>
      <c r="G8" s="42">
        <f>'1.MN'!G8</f>
        <v>1</v>
      </c>
      <c r="H8" s="42">
        <f>'1.MN'!H8</f>
        <v>12</v>
      </c>
      <c r="I8" s="41">
        <f t="shared" si="14"/>
        <v>130</v>
      </c>
      <c r="J8" s="42">
        <f>'1.MN'!J8</f>
        <v>108</v>
      </c>
      <c r="K8" s="42">
        <f>'1.MN'!K8</f>
        <v>1</v>
      </c>
      <c r="L8" s="42">
        <f>'1.MN'!L8</f>
        <v>21</v>
      </c>
      <c r="M8" s="41">
        <f t="shared" si="15"/>
        <v>130</v>
      </c>
      <c r="N8" s="42">
        <f>'1.MN'!N8</f>
        <v>118</v>
      </c>
      <c r="O8" s="42">
        <f>'1.MN'!O8</f>
        <v>1</v>
      </c>
      <c r="P8" s="42">
        <f>'1.MN'!P8</f>
        <v>11</v>
      </c>
      <c r="Q8" s="41">
        <f t="shared" si="16"/>
        <v>130</v>
      </c>
      <c r="R8" s="42">
        <f>'1.MN'!R8</f>
        <v>118</v>
      </c>
      <c r="S8" s="42">
        <f>'1.MN'!S8</f>
        <v>1</v>
      </c>
      <c r="T8" s="42">
        <f>'1.MN'!T8</f>
        <v>11</v>
      </c>
      <c r="U8" s="41">
        <f t="shared" si="17"/>
        <v>130</v>
      </c>
      <c r="V8" s="42">
        <f>'1.MN'!V8</f>
        <v>118</v>
      </c>
      <c r="W8" s="42">
        <f>'1.MN'!W8</f>
        <v>1</v>
      </c>
      <c r="X8" s="42">
        <f>'1.MN'!X8</f>
        <v>11</v>
      </c>
      <c r="Y8" s="41">
        <f t="shared" si="18"/>
        <v>130</v>
      </c>
      <c r="Z8" s="42">
        <f>'1.MN'!Z8</f>
        <v>118</v>
      </c>
      <c r="AA8" s="42">
        <f>'1.MN'!AA8</f>
        <v>1</v>
      </c>
      <c r="AB8" s="42">
        <f>'1.MN'!AB8</f>
        <v>11</v>
      </c>
      <c r="AC8" s="41">
        <f t="shared" si="19"/>
        <v>130</v>
      </c>
      <c r="AD8" s="42">
        <f>'1.MN'!AD8</f>
        <v>118</v>
      </c>
      <c r="AE8" s="42">
        <f>'1.MN'!AE8</f>
        <v>1</v>
      </c>
      <c r="AF8" s="42">
        <f>'1.MN'!AF8</f>
        <v>11</v>
      </c>
      <c r="AG8" s="41">
        <f t="shared" si="20"/>
        <v>0</v>
      </c>
      <c r="AH8" s="42">
        <f>'1.MN'!AH8</f>
        <v>0</v>
      </c>
      <c r="AI8" s="42">
        <f>'1.MN'!AI8</f>
        <v>0</v>
      </c>
      <c r="AJ8" s="42">
        <f>'1.MN'!AJ8</f>
        <v>0</v>
      </c>
      <c r="AK8" s="41">
        <f t="shared" si="21"/>
        <v>0</v>
      </c>
      <c r="AL8" s="42">
        <f>'1.MN'!AL8</f>
        <v>0</v>
      </c>
      <c r="AM8" s="42">
        <f>'1.MN'!AM8</f>
        <v>0</v>
      </c>
      <c r="AN8" s="42">
        <f>'1.MN'!AN8</f>
        <v>0</v>
      </c>
      <c r="AO8" s="41">
        <f t="shared" si="22"/>
        <v>0</v>
      </c>
      <c r="AP8" s="42">
        <f>'1.MN'!AP8</f>
        <v>0</v>
      </c>
      <c r="AQ8" s="42">
        <f>'1.MN'!AQ8</f>
        <v>0</v>
      </c>
      <c r="AR8" s="42">
        <f>'1.MN'!AR8</f>
        <v>0</v>
      </c>
      <c r="AS8" s="41">
        <f t="shared" si="23"/>
        <v>0</v>
      </c>
      <c r="AT8" s="42">
        <f>'1.MN'!AT8</f>
        <v>0</v>
      </c>
      <c r="AU8" s="42">
        <f>'1.MN'!AU8</f>
        <v>0</v>
      </c>
      <c r="AV8" s="42">
        <f>'1.MN'!AV8</f>
        <v>0</v>
      </c>
      <c r="AW8" s="41">
        <f t="shared" si="24"/>
        <v>0</v>
      </c>
      <c r="AX8" s="42">
        <f>'1.MN'!AX8</f>
        <v>0</v>
      </c>
      <c r="AY8" s="42">
        <f>'1.MN'!AY8</f>
        <v>0</v>
      </c>
      <c r="AZ8" s="43">
        <f>'1.MN'!AZ8</f>
        <v>0</v>
      </c>
      <c r="BA8" s="34"/>
    </row>
    <row r="9" ht="15.75" customHeight="1">
      <c r="A9" s="29"/>
      <c r="B9" s="39" t="s">
        <v>31</v>
      </c>
      <c r="C9" s="31"/>
      <c r="D9" s="40" t="s">
        <v>30</v>
      </c>
      <c r="E9" s="41">
        <f t="shared" si="13"/>
        <v>200</v>
      </c>
      <c r="F9" s="42">
        <f>'2.TH'!F8</f>
        <v>198</v>
      </c>
      <c r="G9" s="42">
        <f>'2.TH'!G8</f>
        <v>2</v>
      </c>
      <c r="H9" s="42">
        <f>'2.TH'!H8</f>
        <v>0</v>
      </c>
      <c r="I9" s="41">
        <f t="shared" si="14"/>
        <v>199</v>
      </c>
      <c r="J9" s="42">
        <f>'2.TH'!J8</f>
        <v>197</v>
      </c>
      <c r="K9" s="42">
        <f>'2.TH'!K8</f>
        <v>2</v>
      </c>
      <c r="L9" s="42">
        <f>'2.TH'!L8</f>
        <v>0</v>
      </c>
      <c r="M9" s="41">
        <f t="shared" si="15"/>
        <v>198</v>
      </c>
      <c r="N9" s="42">
        <f>'2.TH'!N8</f>
        <v>196</v>
      </c>
      <c r="O9" s="42">
        <f>'2.TH'!O8</f>
        <v>2</v>
      </c>
      <c r="P9" s="42">
        <f>'2.TH'!P8</f>
        <v>0</v>
      </c>
      <c r="Q9" s="41">
        <f t="shared" si="16"/>
        <v>184</v>
      </c>
      <c r="R9" s="42">
        <f>'2.TH'!R8</f>
        <v>182</v>
      </c>
      <c r="S9" s="42">
        <f>'2.TH'!S8</f>
        <v>2</v>
      </c>
      <c r="T9" s="42">
        <f>'2.TH'!T8</f>
        <v>0</v>
      </c>
      <c r="U9" s="41">
        <f t="shared" si="17"/>
        <v>184</v>
      </c>
      <c r="V9" s="42">
        <f>'2.TH'!V8</f>
        <v>182</v>
      </c>
      <c r="W9" s="42">
        <f>'2.TH'!W8</f>
        <v>2</v>
      </c>
      <c r="X9" s="42">
        <f>'2.TH'!X8</f>
        <v>0</v>
      </c>
      <c r="Y9" s="41">
        <f t="shared" si="18"/>
        <v>184</v>
      </c>
      <c r="Z9" s="42">
        <f>'2.TH'!Z8</f>
        <v>182</v>
      </c>
      <c r="AA9" s="42">
        <f>'2.TH'!AA8</f>
        <v>2</v>
      </c>
      <c r="AB9" s="42">
        <f>'2.TH'!AB8</f>
        <v>0</v>
      </c>
      <c r="AC9" s="41">
        <f t="shared" si="19"/>
        <v>171</v>
      </c>
      <c r="AD9" s="42">
        <f>'2.TH'!AD8</f>
        <v>169</v>
      </c>
      <c r="AE9" s="42">
        <f>'2.TH'!AE8</f>
        <v>2</v>
      </c>
      <c r="AF9" s="42">
        <f>'2.TH'!AF8</f>
        <v>0</v>
      </c>
      <c r="AG9" s="41">
        <f t="shared" si="20"/>
        <v>0</v>
      </c>
      <c r="AH9" s="42">
        <f>'2.TH'!AH8</f>
        <v>0</v>
      </c>
      <c r="AI9" s="42">
        <f>'2.TH'!AI8</f>
        <v>0</v>
      </c>
      <c r="AJ9" s="42">
        <f>'2.TH'!AJ8</f>
        <v>0</v>
      </c>
      <c r="AK9" s="41">
        <f t="shared" si="21"/>
        <v>0</v>
      </c>
      <c r="AL9" s="42">
        <f>'2.TH'!AL8</f>
        <v>0</v>
      </c>
      <c r="AM9" s="42">
        <f>'2.TH'!AM8</f>
        <v>0</v>
      </c>
      <c r="AN9" s="42">
        <f>'2.TH'!AN8</f>
        <v>0</v>
      </c>
      <c r="AO9" s="41">
        <f t="shared" si="22"/>
        <v>0</v>
      </c>
      <c r="AP9" s="42">
        <f>'2.TH'!AP8</f>
        <v>0</v>
      </c>
      <c r="AQ9" s="42">
        <f>'2.TH'!AQ8</f>
        <v>0</v>
      </c>
      <c r="AR9" s="42">
        <f>'2.TH'!AR8</f>
        <v>0</v>
      </c>
      <c r="AS9" s="41">
        <f t="shared" si="23"/>
        <v>0</v>
      </c>
      <c r="AT9" s="42">
        <f>'2.TH'!AT8</f>
        <v>0</v>
      </c>
      <c r="AU9" s="42">
        <f>'2.TH'!AU8</f>
        <v>0</v>
      </c>
      <c r="AV9" s="42">
        <f>'2.TH'!AV8</f>
        <v>0</v>
      </c>
      <c r="AW9" s="41">
        <f t="shared" si="24"/>
        <v>0</v>
      </c>
      <c r="AX9" s="42">
        <f>'2.TH'!AX8</f>
        <v>0</v>
      </c>
      <c r="AY9" s="42">
        <f>'2.TH'!AY8</f>
        <v>0</v>
      </c>
      <c r="AZ9" s="43">
        <f>'2.TH'!AZ8</f>
        <v>0</v>
      </c>
      <c r="BA9" s="34"/>
    </row>
    <row r="10" ht="15.75" customHeight="1">
      <c r="A10" s="29"/>
      <c r="B10" s="44" t="s">
        <v>32</v>
      </c>
      <c r="C10" s="31"/>
      <c r="D10" s="40" t="s">
        <v>30</v>
      </c>
      <c r="E10" s="41">
        <f t="shared" si="13"/>
        <v>108</v>
      </c>
      <c r="F10" s="42">
        <f t="shared" ref="F10:H10" si="25">F11+F14</f>
        <v>106</v>
      </c>
      <c r="G10" s="42">
        <f t="shared" si="25"/>
        <v>1</v>
      </c>
      <c r="H10" s="42">
        <f t="shared" si="25"/>
        <v>1</v>
      </c>
      <c r="I10" s="41">
        <f t="shared" si="14"/>
        <v>108</v>
      </c>
      <c r="J10" s="42">
        <f t="shared" ref="J10:L10" si="26">J11+J14</f>
        <v>106</v>
      </c>
      <c r="K10" s="42">
        <f t="shared" si="26"/>
        <v>1</v>
      </c>
      <c r="L10" s="42">
        <f t="shared" si="26"/>
        <v>1</v>
      </c>
      <c r="M10" s="41">
        <f t="shared" si="15"/>
        <v>108</v>
      </c>
      <c r="N10" s="42">
        <f t="shared" ref="N10:P10" si="27">N11+N14</f>
        <v>106</v>
      </c>
      <c r="O10" s="42">
        <f t="shared" si="27"/>
        <v>1</v>
      </c>
      <c r="P10" s="42">
        <f t="shared" si="27"/>
        <v>1</v>
      </c>
      <c r="Q10" s="41">
        <f t="shared" si="16"/>
        <v>108</v>
      </c>
      <c r="R10" s="42">
        <f t="shared" ref="R10:T10" si="28">R11+R14</f>
        <v>106</v>
      </c>
      <c r="S10" s="42">
        <f t="shared" si="28"/>
        <v>1</v>
      </c>
      <c r="T10" s="42">
        <f t="shared" si="28"/>
        <v>1</v>
      </c>
      <c r="U10" s="41">
        <f t="shared" si="17"/>
        <v>108</v>
      </c>
      <c r="V10" s="42">
        <f t="shared" ref="V10:X10" si="29">V11+V14</f>
        <v>106</v>
      </c>
      <c r="W10" s="42">
        <f t="shared" si="29"/>
        <v>1</v>
      </c>
      <c r="X10" s="42">
        <f t="shared" si="29"/>
        <v>1</v>
      </c>
      <c r="Y10" s="41">
        <f t="shared" si="18"/>
        <v>108</v>
      </c>
      <c r="Z10" s="42">
        <f t="shared" ref="Z10:AB10" si="30">Z11+Z14</f>
        <v>106</v>
      </c>
      <c r="AA10" s="42">
        <f t="shared" si="30"/>
        <v>1</v>
      </c>
      <c r="AB10" s="42">
        <f t="shared" si="30"/>
        <v>1</v>
      </c>
      <c r="AC10" s="41">
        <f t="shared" si="19"/>
        <v>108</v>
      </c>
      <c r="AD10" s="42">
        <f t="shared" ref="AD10:AF10" si="31">AD11+AD14</f>
        <v>106</v>
      </c>
      <c r="AE10" s="42">
        <f t="shared" si="31"/>
        <v>1</v>
      </c>
      <c r="AF10" s="42">
        <f t="shared" si="31"/>
        <v>1</v>
      </c>
      <c r="AG10" s="41">
        <f t="shared" si="20"/>
        <v>2</v>
      </c>
      <c r="AH10" s="42">
        <f t="shared" ref="AH10:AJ10" si="32">AH11+AH14</f>
        <v>1</v>
      </c>
      <c r="AI10" s="42">
        <f t="shared" si="32"/>
        <v>1</v>
      </c>
      <c r="AJ10" s="42">
        <f t="shared" si="32"/>
        <v>0</v>
      </c>
      <c r="AK10" s="41">
        <f t="shared" si="21"/>
        <v>0</v>
      </c>
      <c r="AL10" s="42">
        <f t="shared" ref="AL10:AN10" si="33">AL11+AL14</f>
        <v>0</v>
      </c>
      <c r="AM10" s="42">
        <f t="shared" si="33"/>
        <v>0</v>
      </c>
      <c r="AN10" s="42">
        <f t="shared" si="33"/>
        <v>0</v>
      </c>
      <c r="AO10" s="41">
        <f t="shared" si="22"/>
        <v>0</v>
      </c>
      <c r="AP10" s="42">
        <f t="shared" ref="AP10:AR10" si="34">AP11+AP14</f>
        <v>0</v>
      </c>
      <c r="AQ10" s="42">
        <f t="shared" si="34"/>
        <v>0</v>
      </c>
      <c r="AR10" s="42">
        <f t="shared" si="34"/>
        <v>0</v>
      </c>
      <c r="AS10" s="41">
        <f t="shared" si="23"/>
        <v>0</v>
      </c>
      <c r="AT10" s="42">
        <f t="shared" ref="AT10:AV10" si="35">AT11+AT14</f>
        <v>0</v>
      </c>
      <c r="AU10" s="42">
        <f t="shared" si="35"/>
        <v>0</v>
      </c>
      <c r="AV10" s="42">
        <f t="shared" si="35"/>
        <v>0</v>
      </c>
      <c r="AW10" s="41">
        <f t="shared" si="24"/>
        <v>0</v>
      </c>
      <c r="AX10" s="42">
        <f t="shared" ref="AX10:AZ10" si="36">AX11+AX14</f>
        <v>0</v>
      </c>
      <c r="AY10" s="42">
        <f t="shared" si="36"/>
        <v>0</v>
      </c>
      <c r="AZ10" s="43">
        <f t="shared" si="36"/>
        <v>0</v>
      </c>
      <c r="BA10" s="34"/>
    </row>
    <row r="11" ht="15.75" hidden="1" customHeight="1">
      <c r="A11" s="29"/>
      <c r="B11" s="45" t="s">
        <v>33</v>
      </c>
      <c r="C11" s="31"/>
      <c r="D11" s="31" t="s">
        <v>28</v>
      </c>
      <c r="E11" s="41">
        <f t="shared" si="13"/>
        <v>94</v>
      </c>
      <c r="F11" s="42">
        <f>'3.THCS'!F8</f>
        <v>94</v>
      </c>
      <c r="G11" s="42">
        <f>'3.THCS'!G8</f>
        <v>0</v>
      </c>
      <c r="H11" s="42">
        <f>'3.THCS'!H8</f>
        <v>0</v>
      </c>
      <c r="I11" s="41">
        <f t="shared" si="14"/>
        <v>94</v>
      </c>
      <c r="J11" s="42">
        <f>'3.THCS'!J8</f>
        <v>94</v>
      </c>
      <c r="K11" s="42">
        <f>'3.THCS'!K8</f>
        <v>0</v>
      </c>
      <c r="L11" s="42">
        <f>'3.THCS'!L8</f>
        <v>0</v>
      </c>
      <c r="M11" s="41">
        <f t="shared" si="15"/>
        <v>95</v>
      </c>
      <c r="N11" s="42">
        <f>'3.THCS'!N8</f>
        <v>95</v>
      </c>
      <c r="O11" s="42">
        <f>'3.THCS'!O8</f>
        <v>0</v>
      </c>
      <c r="P11" s="42">
        <f>'3.THCS'!P8</f>
        <v>0</v>
      </c>
      <c r="Q11" s="41">
        <f t="shared" si="16"/>
        <v>95</v>
      </c>
      <c r="R11" s="42">
        <f>'3.THCS'!R8</f>
        <v>95</v>
      </c>
      <c r="S11" s="42">
        <f>'3.THCS'!S8</f>
        <v>0</v>
      </c>
      <c r="T11" s="42">
        <f>'3.THCS'!T8</f>
        <v>0</v>
      </c>
      <c r="U11" s="41">
        <f t="shared" si="17"/>
        <v>95</v>
      </c>
      <c r="V11" s="42">
        <f>'3.THCS'!V8</f>
        <v>95</v>
      </c>
      <c r="W11" s="42">
        <f>'3.THCS'!W8</f>
        <v>0</v>
      </c>
      <c r="X11" s="42">
        <f>'3.THCS'!X8</f>
        <v>0</v>
      </c>
      <c r="Y11" s="41">
        <f t="shared" si="18"/>
        <v>95</v>
      </c>
      <c r="Z11" s="42">
        <f>'3.THCS'!Z8</f>
        <v>95</v>
      </c>
      <c r="AA11" s="42">
        <f>'3.THCS'!AA8</f>
        <v>0</v>
      </c>
      <c r="AB11" s="42">
        <f>'3.THCS'!AB8</f>
        <v>0</v>
      </c>
      <c r="AC11" s="41">
        <f t="shared" si="19"/>
        <v>95</v>
      </c>
      <c r="AD11" s="42">
        <f>'3.THCS'!AD8</f>
        <v>95</v>
      </c>
      <c r="AE11" s="42">
        <f>'3.THCS'!AE8</f>
        <v>0</v>
      </c>
      <c r="AF11" s="42">
        <f>'3.THCS'!AF8</f>
        <v>0</v>
      </c>
      <c r="AG11" s="41">
        <f t="shared" si="20"/>
        <v>0</v>
      </c>
      <c r="AH11" s="42">
        <f>'3.THCS'!AH8</f>
        <v>0</v>
      </c>
      <c r="AI11" s="42">
        <f>'3.THCS'!AI8</f>
        <v>0</v>
      </c>
      <c r="AJ11" s="42">
        <f>'3.THCS'!AJ8</f>
        <v>0</v>
      </c>
      <c r="AK11" s="41">
        <f t="shared" si="21"/>
        <v>0</v>
      </c>
      <c r="AL11" s="42">
        <f>'3.THCS'!AL8</f>
        <v>0</v>
      </c>
      <c r="AM11" s="42">
        <f>'3.THCS'!AM8</f>
        <v>0</v>
      </c>
      <c r="AN11" s="42">
        <f>'3.THCS'!AN8</f>
        <v>0</v>
      </c>
      <c r="AO11" s="41">
        <f t="shared" si="22"/>
        <v>0</v>
      </c>
      <c r="AP11" s="42">
        <f>'3.THCS'!AP8</f>
        <v>0</v>
      </c>
      <c r="AQ11" s="42">
        <f>'3.THCS'!AQ8</f>
        <v>0</v>
      </c>
      <c r="AR11" s="42">
        <f>'3.THCS'!AR8</f>
        <v>0</v>
      </c>
      <c r="AS11" s="41">
        <f t="shared" si="23"/>
        <v>0</v>
      </c>
      <c r="AT11" s="42">
        <f>'3.THCS'!AT8</f>
        <v>0</v>
      </c>
      <c r="AU11" s="42">
        <f>'3.THCS'!AU8</f>
        <v>0</v>
      </c>
      <c r="AV11" s="42">
        <f>'3.THCS'!AV8</f>
        <v>0</v>
      </c>
      <c r="AW11" s="41">
        <f t="shared" si="24"/>
        <v>0</v>
      </c>
      <c r="AX11" s="42">
        <f>'3.THCS'!AX8</f>
        <v>0</v>
      </c>
      <c r="AY11" s="42">
        <f>'3.THCS'!AY8</f>
        <v>0</v>
      </c>
      <c r="AZ11" s="43">
        <f>'3.THCS'!AZ8</f>
        <v>0</v>
      </c>
      <c r="BA11" s="34"/>
    </row>
    <row r="12" ht="15.75" customHeight="1">
      <c r="A12" s="29"/>
      <c r="B12" s="44" t="s">
        <v>34</v>
      </c>
      <c r="C12" s="31"/>
      <c r="D12" s="40" t="s">
        <v>30</v>
      </c>
      <c r="E12" s="41">
        <f t="shared" si="13"/>
        <v>40</v>
      </c>
      <c r="F12" s="42">
        <f t="shared" ref="F12:H12" si="37">F13+F15</f>
        <v>39</v>
      </c>
      <c r="G12" s="42">
        <f t="shared" si="37"/>
        <v>0</v>
      </c>
      <c r="H12" s="42">
        <f t="shared" si="37"/>
        <v>1</v>
      </c>
      <c r="I12" s="41">
        <f t="shared" si="14"/>
        <v>40</v>
      </c>
      <c r="J12" s="42">
        <f t="shared" ref="J12:L12" si="38">J13+J15</f>
        <v>39</v>
      </c>
      <c r="K12" s="42">
        <f t="shared" si="38"/>
        <v>0</v>
      </c>
      <c r="L12" s="42">
        <f t="shared" si="38"/>
        <v>1</v>
      </c>
      <c r="M12" s="41">
        <f t="shared" si="15"/>
        <v>40</v>
      </c>
      <c r="N12" s="42">
        <f t="shared" ref="N12:P12" si="39">N13+N15</f>
        <v>39</v>
      </c>
      <c r="O12" s="42">
        <f t="shared" si="39"/>
        <v>0</v>
      </c>
      <c r="P12" s="42">
        <f t="shared" si="39"/>
        <v>1</v>
      </c>
      <c r="Q12" s="41">
        <f t="shared" si="16"/>
        <v>40</v>
      </c>
      <c r="R12" s="42">
        <f t="shared" ref="R12:T12" si="40">R13+R15</f>
        <v>39</v>
      </c>
      <c r="S12" s="42">
        <f t="shared" si="40"/>
        <v>0</v>
      </c>
      <c r="T12" s="42">
        <f t="shared" si="40"/>
        <v>1</v>
      </c>
      <c r="U12" s="41">
        <f t="shared" si="17"/>
        <v>40</v>
      </c>
      <c r="V12" s="42">
        <f t="shared" ref="V12:X12" si="41">V13+V15</f>
        <v>39</v>
      </c>
      <c r="W12" s="42">
        <f t="shared" si="41"/>
        <v>0</v>
      </c>
      <c r="X12" s="42">
        <f t="shared" si="41"/>
        <v>1</v>
      </c>
      <c r="Y12" s="41">
        <f t="shared" si="18"/>
        <v>40</v>
      </c>
      <c r="Z12" s="42">
        <f t="shared" ref="Z12:AB12" si="42">Z13+Z15</f>
        <v>39</v>
      </c>
      <c r="AA12" s="42">
        <f t="shared" si="42"/>
        <v>0</v>
      </c>
      <c r="AB12" s="42">
        <f t="shared" si="42"/>
        <v>1</v>
      </c>
      <c r="AC12" s="41">
        <f t="shared" si="19"/>
        <v>40</v>
      </c>
      <c r="AD12" s="42">
        <f t="shared" ref="AD12:AF12" si="43">AD13+AD15</f>
        <v>39</v>
      </c>
      <c r="AE12" s="42">
        <f t="shared" si="43"/>
        <v>0</v>
      </c>
      <c r="AF12" s="42">
        <f t="shared" si="43"/>
        <v>1</v>
      </c>
      <c r="AG12" s="41">
        <f t="shared" si="20"/>
        <v>22</v>
      </c>
      <c r="AH12" s="42">
        <f t="shared" ref="AH12:AJ12" si="44">AH13+AH15</f>
        <v>21</v>
      </c>
      <c r="AI12" s="42">
        <f t="shared" si="44"/>
        <v>0</v>
      </c>
      <c r="AJ12" s="42">
        <f t="shared" si="44"/>
        <v>1</v>
      </c>
      <c r="AK12" s="41">
        <f t="shared" si="21"/>
        <v>17</v>
      </c>
      <c r="AL12" s="42">
        <f t="shared" ref="AL12:AN12" si="45">AL13+AL15</f>
        <v>16</v>
      </c>
      <c r="AM12" s="42">
        <f t="shared" si="45"/>
        <v>0</v>
      </c>
      <c r="AN12" s="42">
        <f t="shared" si="45"/>
        <v>1</v>
      </c>
      <c r="AO12" s="41">
        <f t="shared" si="22"/>
        <v>16</v>
      </c>
      <c r="AP12" s="42">
        <f t="shared" ref="AP12:AR12" si="46">AP13+AP15</f>
        <v>15</v>
      </c>
      <c r="AQ12" s="42">
        <f t="shared" si="46"/>
        <v>0</v>
      </c>
      <c r="AR12" s="42">
        <f t="shared" si="46"/>
        <v>1</v>
      </c>
      <c r="AS12" s="41">
        <f t="shared" si="23"/>
        <v>16</v>
      </c>
      <c r="AT12" s="42">
        <f t="shared" ref="AT12:AV12" si="47">AT13+AT15</f>
        <v>15</v>
      </c>
      <c r="AU12" s="42">
        <f t="shared" si="47"/>
        <v>0</v>
      </c>
      <c r="AV12" s="42">
        <f t="shared" si="47"/>
        <v>1</v>
      </c>
      <c r="AW12" s="41">
        <f t="shared" si="24"/>
        <v>16</v>
      </c>
      <c r="AX12" s="42">
        <f t="shared" ref="AX12:AZ12" si="48">AX13+AX15</f>
        <v>15</v>
      </c>
      <c r="AY12" s="42">
        <f t="shared" si="48"/>
        <v>0</v>
      </c>
      <c r="AZ12" s="43">
        <f t="shared" si="48"/>
        <v>1</v>
      </c>
      <c r="BA12" s="34"/>
    </row>
    <row r="13" ht="15.75" hidden="1" customHeight="1">
      <c r="A13" s="29"/>
      <c r="B13" s="46" t="s">
        <v>35</v>
      </c>
      <c r="C13" s="31"/>
      <c r="D13" s="31" t="s">
        <v>28</v>
      </c>
      <c r="E13" s="41">
        <f t="shared" si="13"/>
        <v>24</v>
      </c>
      <c r="F13" s="42">
        <f>'5.THPT'!F8</f>
        <v>24</v>
      </c>
      <c r="G13" s="42">
        <f>'5.THPT'!G8</f>
        <v>0</v>
      </c>
      <c r="H13" s="42">
        <f>'5.THPT'!H8</f>
        <v>0</v>
      </c>
      <c r="I13" s="41">
        <f t="shared" si="14"/>
        <v>24</v>
      </c>
      <c r="J13" s="42">
        <f>'5.THPT'!J8</f>
        <v>24</v>
      </c>
      <c r="K13" s="42">
        <f>'5.THPT'!K8</f>
        <v>0</v>
      </c>
      <c r="L13" s="42">
        <f>'5.THPT'!L8</f>
        <v>0</v>
      </c>
      <c r="M13" s="41">
        <f t="shared" si="15"/>
        <v>24</v>
      </c>
      <c r="N13" s="42">
        <f>'5.THPT'!N8</f>
        <v>24</v>
      </c>
      <c r="O13" s="42">
        <f>'5.THPT'!O8</f>
        <v>0</v>
      </c>
      <c r="P13" s="42">
        <f>'5.THPT'!P8</f>
        <v>0</v>
      </c>
      <c r="Q13" s="41">
        <f t="shared" si="16"/>
        <v>24</v>
      </c>
      <c r="R13" s="42">
        <f>'5.THPT'!R8</f>
        <v>24</v>
      </c>
      <c r="S13" s="42">
        <f>'5.THPT'!S8</f>
        <v>0</v>
      </c>
      <c r="T13" s="42">
        <f>'5.THPT'!T8</f>
        <v>0</v>
      </c>
      <c r="U13" s="41">
        <f t="shared" si="17"/>
        <v>24</v>
      </c>
      <c r="V13" s="42">
        <f>'5.THPT'!V8</f>
        <v>24</v>
      </c>
      <c r="W13" s="42">
        <f>'5.THPT'!W8</f>
        <v>0</v>
      </c>
      <c r="X13" s="42">
        <f>'5.THPT'!X8</f>
        <v>0</v>
      </c>
      <c r="Y13" s="41">
        <f t="shared" si="18"/>
        <v>24</v>
      </c>
      <c r="Z13" s="42">
        <f>'5.THPT'!Z8</f>
        <v>24</v>
      </c>
      <c r="AA13" s="42">
        <f>'5.THPT'!AA8</f>
        <v>0</v>
      </c>
      <c r="AB13" s="42">
        <f>'5.THPT'!AB8</f>
        <v>0</v>
      </c>
      <c r="AC13" s="41">
        <f t="shared" si="19"/>
        <v>24</v>
      </c>
      <c r="AD13" s="42">
        <f>'5.THPT'!AD8</f>
        <v>24</v>
      </c>
      <c r="AE13" s="42">
        <f>'5.THPT'!AE8</f>
        <v>0</v>
      </c>
      <c r="AF13" s="42">
        <f>'5.THPT'!AF8</f>
        <v>0</v>
      </c>
      <c r="AG13" s="41">
        <f t="shared" si="20"/>
        <v>6</v>
      </c>
      <c r="AH13" s="42">
        <f>'5.THPT'!AH8</f>
        <v>6</v>
      </c>
      <c r="AI13" s="42">
        <f>'5.THPT'!AI8</f>
        <v>0</v>
      </c>
      <c r="AJ13" s="42">
        <f>'5.THPT'!AJ8</f>
        <v>0</v>
      </c>
      <c r="AK13" s="41">
        <f t="shared" si="21"/>
        <v>2</v>
      </c>
      <c r="AL13" s="42">
        <f>'5.THPT'!AL8</f>
        <v>2</v>
      </c>
      <c r="AM13" s="42">
        <f>'5.THPT'!AM8</f>
        <v>0</v>
      </c>
      <c r="AN13" s="42">
        <f>'5.THPT'!AN8</f>
        <v>0</v>
      </c>
      <c r="AO13" s="41">
        <f t="shared" si="22"/>
        <v>1</v>
      </c>
      <c r="AP13" s="42">
        <f>'5.THPT'!AP8</f>
        <v>1</v>
      </c>
      <c r="AQ13" s="42">
        <f>'5.THPT'!AQ8</f>
        <v>0</v>
      </c>
      <c r="AR13" s="42">
        <f>'5.THPT'!AR8</f>
        <v>0</v>
      </c>
      <c r="AS13" s="41">
        <f t="shared" si="23"/>
        <v>1</v>
      </c>
      <c r="AT13" s="42">
        <f>'5.THPT'!AT8</f>
        <v>1</v>
      </c>
      <c r="AU13" s="42">
        <f>'5.THPT'!AU8</f>
        <v>0</v>
      </c>
      <c r="AV13" s="42">
        <f>'5.THPT'!AV8</f>
        <v>0</v>
      </c>
      <c r="AW13" s="41">
        <f t="shared" si="24"/>
        <v>1</v>
      </c>
      <c r="AX13" s="42">
        <f>'5.THPT'!AX8</f>
        <v>1</v>
      </c>
      <c r="AY13" s="42">
        <f>'5.THPT'!AY8</f>
        <v>0</v>
      </c>
      <c r="AZ13" s="43">
        <f>'5.THPT'!AZ8</f>
        <v>0</v>
      </c>
      <c r="BA13" s="34"/>
    </row>
    <row r="14" ht="15.75" hidden="1" customHeight="1">
      <c r="A14" s="29"/>
      <c r="B14" s="46" t="s">
        <v>36</v>
      </c>
      <c r="C14" s="31"/>
      <c r="D14" s="31" t="s">
        <v>28</v>
      </c>
      <c r="E14" s="41">
        <f t="shared" si="13"/>
        <v>14</v>
      </c>
      <c r="F14" s="42">
        <f>'4.TH-THCS'!F8</f>
        <v>12</v>
      </c>
      <c r="G14" s="42">
        <f>'4.TH-THCS'!G8</f>
        <v>1</v>
      </c>
      <c r="H14" s="42">
        <f>'4.TH-THCS'!H8</f>
        <v>1</v>
      </c>
      <c r="I14" s="41">
        <f t="shared" si="14"/>
        <v>14</v>
      </c>
      <c r="J14" s="42">
        <f>'4.TH-THCS'!J8</f>
        <v>12</v>
      </c>
      <c r="K14" s="42">
        <f>'4.TH-THCS'!K8</f>
        <v>1</v>
      </c>
      <c r="L14" s="42">
        <f>'4.TH-THCS'!L8</f>
        <v>1</v>
      </c>
      <c r="M14" s="41">
        <f t="shared" si="15"/>
        <v>13</v>
      </c>
      <c r="N14" s="42">
        <f>'4.TH-THCS'!N8</f>
        <v>11</v>
      </c>
      <c r="O14" s="42">
        <f>'4.TH-THCS'!O8</f>
        <v>1</v>
      </c>
      <c r="P14" s="42">
        <f>'4.TH-THCS'!P8</f>
        <v>1</v>
      </c>
      <c r="Q14" s="41">
        <f t="shared" si="16"/>
        <v>13</v>
      </c>
      <c r="R14" s="42">
        <f>'4.TH-THCS'!R8</f>
        <v>11</v>
      </c>
      <c r="S14" s="42">
        <f>'4.TH-THCS'!S8</f>
        <v>1</v>
      </c>
      <c r="T14" s="42">
        <f>'4.TH-THCS'!T8</f>
        <v>1</v>
      </c>
      <c r="U14" s="41">
        <f t="shared" si="17"/>
        <v>13</v>
      </c>
      <c r="V14" s="42">
        <f>'4.TH-THCS'!V8</f>
        <v>11</v>
      </c>
      <c r="W14" s="42">
        <f>'4.TH-THCS'!W8</f>
        <v>1</v>
      </c>
      <c r="X14" s="42">
        <f>'4.TH-THCS'!X8</f>
        <v>1</v>
      </c>
      <c r="Y14" s="41">
        <f t="shared" si="18"/>
        <v>13</v>
      </c>
      <c r="Z14" s="42">
        <f>'4.TH-THCS'!Z8</f>
        <v>11</v>
      </c>
      <c r="AA14" s="42">
        <f>'4.TH-THCS'!AA8</f>
        <v>1</v>
      </c>
      <c r="AB14" s="42">
        <f>'4.TH-THCS'!AB8</f>
        <v>1</v>
      </c>
      <c r="AC14" s="41">
        <f t="shared" si="19"/>
        <v>13</v>
      </c>
      <c r="AD14" s="42">
        <f>'4.TH-THCS'!AD8</f>
        <v>11</v>
      </c>
      <c r="AE14" s="42">
        <f>'4.TH-THCS'!AE8</f>
        <v>1</v>
      </c>
      <c r="AF14" s="42">
        <f>'4.TH-THCS'!AF8</f>
        <v>1</v>
      </c>
      <c r="AG14" s="41">
        <f t="shared" si="20"/>
        <v>2</v>
      </c>
      <c r="AH14" s="42">
        <f>'4.TH-THCS'!AH8</f>
        <v>1</v>
      </c>
      <c r="AI14" s="42">
        <f>'4.TH-THCS'!AI8</f>
        <v>1</v>
      </c>
      <c r="AJ14" s="42">
        <f>'4.TH-THCS'!AJ8</f>
        <v>0</v>
      </c>
      <c r="AK14" s="41">
        <f t="shared" si="21"/>
        <v>0</v>
      </c>
      <c r="AL14" s="42">
        <f>'4.TH-THCS'!AL8</f>
        <v>0</v>
      </c>
      <c r="AM14" s="42">
        <f>'4.TH-THCS'!AM8</f>
        <v>0</v>
      </c>
      <c r="AN14" s="42">
        <f>'4.TH-THCS'!AN8</f>
        <v>0</v>
      </c>
      <c r="AO14" s="41">
        <f t="shared" si="22"/>
        <v>0</v>
      </c>
      <c r="AP14" s="42">
        <f>'4.TH-THCS'!AP8</f>
        <v>0</v>
      </c>
      <c r="AQ14" s="42">
        <f>'4.TH-THCS'!AQ8</f>
        <v>0</v>
      </c>
      <c r="AR14" s="42">
        <f>'4.TH-THCS'!AR8</f>
        <v>0</v>
      </c>
      <c r="AS14" s="41">
        <f t="shared" si="23"/>
        <v>0</v>
      </c>
      <c r="AT14" s="42">
        <f>'4.TH-THCS'!AT8</f>
        <v>0</v>
      </c>
      <c r="AU14" s="42">
        <f>'4.TH-THCS'!AU8</f>
        <v>0</v>
      </c>
      <c r="AV14" s="42">
        <f>'4.TH-THCS'!AV8</f>
        <v>0</v>
      </c>
      <c r="AW14" s="41">
        <f t="shared" si="24"/>
        <v>0</v>
      </c>
      <c r="AX14" s="42">
        <f>'4.TH-THCS'!AX8</f>
        <v>0</v>
      </c>
      <c r="AY14" s="42">
        <f>'4.TH-THCS'!AY8</f>
        <v>0</v>
      </c>
      <c r="AZ14" s="43">
        <f>'4.TH-THCS'!AZ8</f>
        <v>0</v>
      </c>
      <c r="BA14" s="34"/>
    </row>
    <row r="15" ht="15.75" hidden="1" customHeight="1">
      <c r="A15" s="29"/>
      <c r="B15" s="47" t="s">
        <v>37</v>
      </c>
      <c r="C15" s="31"/>
      <c r="D15" s="31" t="s">
        <v>28</v>
      </c>
      <c r="E15" s="41">
        <f t="shared" si="13"/>
        <v>16</v>
      </c>
      <c r="F15" s="42">
        <f>'6.THCS-THPT'!F8</f>
        <v>15</v>
      </c>
      <c r="G15" s="42">
        <f>'6.THCS-THPT'!G8</f>
        <v>0</v>
      </c>
      <c r="H15" s="42">
        <f>'6.THCS-THPT'!H8</f>
        <v>1</v>
      </c>
      <c r="I15" s="41">
        <f t="shared" si="14"/>
        <v>16</v>
      </c>
      <c r="J15" s="42">
        <f>'6.THCS-THPT'!J8</f>
        <v>15</v>
      </c>
      <c r="K15" s="42">
        <f>'6.THCS-THPT'!K8</f>
        <v>0</v>
      </c>
      <c r="L15" s="42">
        <f>'6.THCS-THPT'!L8</f>
        <v>1</v>
      </c>
      <c r="M15" s="41">
        <f t="shared" si="15"/>
        <v>16</v>
      </c>
      <c r="N15" s="42">
        <f>'6.THCS-THPT'!N8</f>
        <v>15</v>
      </c>
      <c r="O15" s="42">
        <f>'6.THCS-THPT'!O8</f>
        <v>0</v>
      </c>
      <c r="P15" s="42">
        <f>'6.THCS-THPT'!P8</f>
        <v>1</v>
      </c>
      <c r="Q15" s="41">
        <f t="shared" si="16"/>
        <v>16</v>
      </c>
      <c r="R15" s="42">
        <f>'6.THCS-THPT'!R8</f>
        <v>15</v>
      </c>
      <c r="S15" s="42">
        <f>'6.THCS-THPT'!S8</f>
        <v>0</v>
      </c>
      <c r="T15" s="42">
        <f>'6.THCS-THPT'!T8</f>
        <v>1</v>
      </c>
      <c r="U15" s="41">
        <f t="shared" si="17"/>
        <v>16</v>
      </c>
      <c r="V15" s="42">
        <f>'6.THCS-THPT'!V8</f>
        <v>15</v>
      </c>
      <c r="W15" s="42">
        <f>'6.THCS-THPT'!W8</f>
        <v>0</v>
      </c>
      <c r="X15" s="42">
        <f>'6.THCS-THPT'!X8</f>
        <v>1</v>
      </c>
      <c r="Y15" s="41">
        <f t="shared" si="18"/>
        <v>16</v>
      </c>
      <c r="Z15" s="42">
        <f>'6.THCS-THPT'!Z8</f>
        <v>15</v>
      </c>
      <c r="AA15" s="42">
        <f>'6.THCS-THPT'!AA8</f>
        <v>0</v>
      </c>
      <c r="AB15" s="42">
        <f>'6.THCS-THPT'!AB8</f>
        <v>1</v>
      </c>
      <c r="AC15" s="41">
        <f t="shared" si="19"/>
        <v>16</v>
      </c>
      <c r="AD15" s="42">
        <f>'6.THCS-THPT'!AD8</f>
        <v>15</v>
      </c>
      <c r="AE15" s="42">
        <f>'6.THCS-THPT'!AE8</f>
        <v>0</v>
      </c>
      <c r="AF15" s="42">
        <f>'6.THCS-THPT'!AF8</f>
        <v>1</v>
      </c>
      <c r="AG15" s="41">
        <f t="shared" si="20"/>
        <v>16</v>
      </c>
      <c r="AH15" s="42">
        <f>'6.THCS-THPT'!AH8</f>
        <v>15</v>
      </c>
      <c r="AI15" s="42">
        <f>'6.THCS-THPT'!AI8</f>
        <v>0</v>
      </c>
      <c r="AJ15" s="42">
        <f>'6.THCS-THPT'!AJ8</f>
        <v>1</v>
      </c>
      <c r="AK15" s="41">
        <f t="shared" si="21"/>
        <v>15</v>
      </c>
      <c r="AL15" s="42">
        <f>'6.THCS-THPT'!AL8</f>
        <v>14</v>
      </c>
      <c r="AM15" s="42">
        <f>'6.THCS-THPT'!AM8</f>
        <v>0</v>
      </c>
      <c r="AN15" s="42">
        <f>'6.THCS-THPT'!AN8</f>
        <v>1</v>
      </c>
      <c r="AO15" s="41">
        <f t="shared" si="22"/>
        <v>15</v>
      </c>
      <c r="AP15" s="42">
        <f>'6.THCS-THPT'!AP8</f>
        <v>14</v>
      </c>
      <c r="AQ15" s="42">
        <f>'6.THCS-THPT'!AQ8</f>
        <v>0</v>
      </c>
      <c r="AR15" s="42">
        <f>'6.THCS-THPT'!AR8</f>
        <v>1</v>
      </c>
      <c r="AS15" s="41">
        <f t="shared" si="23"/>
        <v>15</v>
      </c>
      <c r="AT15" s="42">
        <f>'6.THCS-THPT'!AT8</f>
        <v>14</v>
      </c>
      <c r="AU15" s="42">
        <f>'6.THCS-THPT'!AU8</f>
        <v>0</v>
      </c>
      <c r="AV15" s="42">
        <f>'6.THCS-THPT'!AV8</f>
        <v>1</v>
      </c>
      <c r="AW15" s="41">
        <f t="shared" si="24"/>
        <v>15</v>
      </c>
      <c r="AX15" s="42">
        <f>'6.THCS-THPT'!AX8</f>
        <v>14</v>
      </c>
      <c r="AY15" s="42">
        <f>'6.THCS-THPT'!AY8</f>
        <v>0</v>
      </c>
      <c r="AZ15" s="43">
        <f>'6.THCS-THPT'!AZ8</f>
        <v>1</v>
      </c>
      <c r="BA15" s="34"/>
    </row>
    <row r="16" ht="15.75" customHeight="1">
      <c r="A16" s="29"/>
      <c r="B16" s="48" t="s">
        <v>38</v>
      </c>
      <c r="C16" s="49"/>
      <c r="D16" s="3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50"/>
      <c r="BA16" s="34"/>
    </row>
    <row r="17" ht="15.75" customHeight="1">
      <c r="A17" s="29"/>
      <c r="B17" s="51" t="s">
        <v>39</v>
      </c>
      <c r="C17" s="31"/>
      <c r="D17" s="31" t="s">
        <v>28</v>
      </c>
      <c r="E17" s="41">
        <f t="shared" ref="E17:E18" si="49">F17+G17+H17</f>
        <v>243</v>
      </c>
      <c r="F17" s="42">
        <f>'1.MN'!F13+'2.TH'!F10+'3.THCS'!F10+'5.THPT'!F10+'4.TH-THCS'!F10+'6.THCS-THPT'!F10</f>
        <v>240</v>
      </c>
      <c r="G17" s="42">
        <f>'1.MN'!G13+'2.TH'!G10+'3.THCS'!G10+'5.THPT'!G10+'4.TH-THCS'!G10+'6.THCS-THPT'!G10</f>
        <v>0</v>
      </c>
      <c r="H17" s="42">
        <f>'1.MN'!H13+'2.TH'!H10+'3.THCS'!H10+'5.THPT'!H10+'4.TH-THCS'!H10+'6.THCS-THPT'!H10</f>
        <v>3</v>
      </c>
      <c r="I17" s="41">
        <f t="shared" ref="I17:I18" si="50">J17+K17+L17</f>
        <v>236</v>
      </c>
      <c r="J17" s="42">
        <f>'1.MN'!J13+'2.TH'!J10+'3.THCS'!J10+'5.THPT'!J10+'4.TH-THCS'!J10+'6.THCS-THPT'!J10</f>
        <v>236</v>
      </c>
      <c r="K17" s="42">
        <f>'1.MN'!K13+'2.TH'!K10+'3.THCS'!K10+'5.THPT'!K10+'4.TH-THCS'!K10+'6.THCS-THPT'!K10</f>
        <v>0</v>
      </c>
      <c r="L17" s="42">
        <f>'1.MN'!L13+'2.TH'!L10+'3.THCS'!L10+'5.THPT'!L10+'4.TH-THCS'!L10+'6.THCS-THPT'!L10</f>
        <v>0</v>
      </c>
      <c r="M17" s="41">
        <f t="shared" ref="M17:M18" si="51">N17+O17+P17</f>
        <v>236</v>
      </c>
      <c r="N17" s="42">
        <f>'1.MN'!N13+'2.TH'!N10+'3.THCS'!N10+'5.THPT'!N10+'4.TH-THCS'!N10+'6.THCS-THPT'!N10</f>
        <v>236</v>
      </c>
      <c r="O17" s="42">
        <f>'1.MN'!O13+'2.TH'!O10+'3.THCS'!O10+'5.THPT'!O10+'4.TH-THCS'!O10+'6.THCS-THPT'!O10</f>
        <v>0</v>
      </c>
      <c r="P17" s="42">
        <f>'1.MN'!P13+'2.TH'!P10+'3.THCS'!P10+'5.THPT'!P10+'4.TH-THCS'!P10+'6.THCS-THPT'!P10</f>
        <v>0</v>
      </c>
      <c r="Q17" s="41">
        <f t="shared" ref="Q17:Q18" si="52">R17+S17+T17</f>
        <v>228</v>
      </c>
      <c r="R17" s="42">
        <f>'1.MN'!R13+'2.TH'!R10+'3.THCS'!R10+'5.THPT'!R10+'4.TH-THCS'!R10+'6.THCS-THPT'!R10</f>
        <v>228</v>
      </c>
      <c r="S17" s="42">
        <f>'1.MN'!S13+'2.TH'!S10+'3.THCS'!S10+'5.THPT'!S10+'4.TH-THCS'!S10+'6.THCS-THPT'!S10</f>
        <v>0</v>
      </c>
      <c r="T17" s="42">
        <f>'1.MN'!T13+'2.TH'!T10+'3.THCS'!T10+'5.THPT'!T10+'4.TH-THCS'!T10+'6.THCS-THPT'!T10</f>
        <v>0</v>
      </c>
      <c r="U17" s="41">
        <f t="shared" ref="U17:U18" si="53">V17+W17+X17</f>
        <v>227</v>
      </c>
      <c r="V17" s="42">
        <f>'1.MN'!V13+'2.TH'!V10+'3.THCS'!V10+'5.THPT'!V10+'4.TH-THCS'!V10+'6.THCS-THPT'!V10</f>
        <v>227</v>
      </c>
      <c r="W17" s="42">
        <f>'1.MN'!W13+'2.TH'!W10+'3.THCS'!W10+'5.THPT'!W10+'4.TH-THCS'!W10+'6.THCS-THPT'!W10</f>
        <v>0</v>
      </c>
      <c r="X17" s="42">
        <f>'1.MN'!X13+'2.TH'!X10+'3.THCS'!X10+'5.THPT'!X10+'4.TH-THCS'!X10+'6.THCS-THPT'!X10</f>
        <v>0</v>
      </c>
      <c r="Y17" s="41">
        <f t="shared" ref="Y17:Y18" si="54">Z17+AA17+AB17</f>
        <v>228</v>
      </c>
      <c r="Z17" s="42">
        <f>'1.MN'!Z13+'2.TH'!Z10+'3.THCS'!Z10+'5.THPT'!Z10+'4.TH-THCS'!Z10+'6.THCS-THPT'!Z10</f>
        <v>228</v>
      </c>
      <c r="AA17" s="42">
        <f>'1.MN'!AA13+'2.TH'!AA10+'3.THCS'!AA10+'5.THPT'!AA10+'4.TH-THCS'!AA10+'6.THCS-THPT'!AA10</f>
        <v>0</v>
      </c>
      <c r="AB17" s="42">
        <f>'1.MN'!AB13+'2.TH'!AB10+'3.THCS'!AB10+'5.THPT'!AB10+'4.TH-THCS'!AB10+'6.THCS-THPT'!AB10</f>
        <v>0</v>
      </c>
      <c r="AC17" s="41">
        <f t="shared" ref="AC17:AC18" si="55">AD17+AE17+AF17</f>
        <v>217</v>
      </c>
      <c r="AD17" s="42">
        <f>'1.MN'!AD13+'2.TH'!AD10+'3.THCS'!AD10+'5.THPT'!AD10+'4.TH-THCS'!AD10+'6.THCS-THPT'!AD10</f>
        <v>217</v>
      </c>
      <c r="AE17" s="42">
        <f>'1.MN'!AE13+'2.TH'!AE10+'3.THCS'!AE10+'5.THPT'!AE10+'4.TH-THCS'!AE10+'6.THCS-THPT'!AE10</f>
        <v>0</v>
      </c>
      <c r="AF17" s="42">
        <f>'1.MN'!AF13+'2.TH'!AF10+'3.THCS'!AF10+'5.THPT'!AF10+'4.TH-THCS'!AF10+'6.THCS-THPT'!AF10</f>
        <v>0</v>
      </c>
      <c r="AG17" s="41">
        <f t="shared" ref="AG17:AG18" si="56">AH17+AI17+AJ17</f>
        <v>1</v>
      </c>
      <c r="AH17" s="42">
        <f>'1.MN'!AH13+'2.TH'!AH10+'3.THCS'!AH10+'5.THPT'!AH10+'4.TH-THCS'!AH10+'6.THCS-THPT'!AH10</f>
        <v>1</v>
      </c>
      <c r="AI17" s="42">
        <f>'1.MN'!AI13+'2.TH'!AI10+'3.THCS'!AI10+'5.THPT'!AI10+'4.TH-THCS'!AI10+'6.THCS-THPT'!AI10</f>
        <v>0</v>
      </c>
      <c r="AJ17" s="42">
        <f>'1.MN'!AJ13+'2.TH'!AJ10+'3.THCS'!AJ10+'5.THPT'!AJ10+'4.TH-THCS'!AJ10+'6.THCS-THPT'!AJ10</f>
        <v>0</v>
      </c>
      <c r="AK17" s="41">
        <f t="shared" ref="AK17:AK18" si="57">AL17+AM17+AN17</f>
        <v>0</v>
      </c>
      <c r="AL17" s="42">
        <f>'1.MN'!AL13+'2.TH'!AL10+'3.THCS'!AL10+'5.THPT'!AL10+'4.TH-THCS'!AL10+'6.THCS-THPT'!AL10</f>
        <v>0</v>
      </c>
      <c r="AM17" s="42">
        <f>'1.MN'!AM13+'2.TH'!AM10+'3.THCS'!AM10+'5.THPT'!AM10+'4.TH-THCS'!AM10+'6.THCS-THPT'!AM10</f>
        <v>0</v>
      </c>
      <c r="AN17" s="42">
        <f>'1.MN'!AN13+'2.TH'!AN10+'3.THCS'!AN10+'5.THPT'!AN10+'4.TH-THCS'!AN10+'6.THCS-THPT'!AN10</f>
        <v>0</v>
      </c>
      <c r="AO17" s="41">
        <f t="shared" ref="AO17:AO18" si="58">AP17+AQ17+AR17</f>
        <v>0</v>
      </c>
      <c r="AP17" s="42">
        <f>'1.MN'!AP13+'2.TH'!AP10+'3.THCS'!AP10+'5.THPT'!AP10+'4.TH-THCS'!AP10+'6.THCS-THPT'!AP10</f>
        <v>0</v>
      </c>
      <c r="AQ17" s="42">
        <f>'1.MN'!AQ13+'2.TH'!AQ10+'3.THCS'!AQ10+'5.THPT'!AQ10+'4.TH-THCS'!AQ10+'6.THCS-THPT'!AQ10</f>
        <v>0</v>
      </c>
      <c r="AR17" s="42">
        <f>'1.MN'!AR13+'2.TH'!AR10+'3.THCS'!AR10+'5.THPT'!AR10+'4.TH-THCS'!AR10+'6.THCS-THPT'!AR10</f>
        <v>0</v>
      </c>
      <c r="AS17" s="41">
        <f t="shared" ref="AS17:AS18" si="59">AT17+AU17+AV17</f>
        <v>0</v>
      </c>
      <c r="AT17" s="42">
        <f>'1.MN'!AT13+'2.TH'!AT10+'3.THCS'!AT10+'5.THPT'!AT10+'4.TH-THCS'!AT10+'6.THCS-THPT'!AT10</f>
        <v>0</v>
      </c>
      <c r="AU17" s="42">
        <f>'1.MN'!AU13+'2.TH'!AU10+'3.THCS'!AU10+'5.THPT'!AU10+'4.TH-THCS'!AU10+'6.THCS-THPT'!AU10</f>
        <v>0</v>
      </c>
      <c r="AV17" s="42">
        <f>'1.MN'!AV13+'2.TH'!AV10+'3.THCS'!AV10+'5.THPT'!AV10+'4.TH-THCS'!AV10+'6.THCS-THPT'!AV10</f>
        <v>0</v>
      </c>
      <c r="AW17" s="41">
        <f t="shared" ref="AW17:AW18" si="60">AX17+AY17+AZ17</f>
        <v>0</v>
      </c>
      <c r="AX17" s="42">
        <f>'1.MN'!AX13+'2.TH'!AX10+'3.THCS'!AX10+'5.THPT'!AX10+'4.TH-THCS'!AX10+'6.THCS-THPT'!AX10</f>
        <v>0</v>
      </c>
      <c r="AY17" s="42">
        <f>'1.MN'!AY13+'2.TH'!AY10+'3.THCS'!AY10+'5.THPT'!AY10+'4.TH-THCS'!AY10+'6.THCS-THPT'!AY10</f>
        <v>0</v>
      </c>
      <c r="AZ17" s="43">
        <f>'1.MN'!AZ13+'2.TH'!AZ10+'3.THCS'!AZ10+'5.THPT'!AZ10+'4.TH-THCS'!AZ10+'6.THCS-THPT'!AZ10</f>
        <v>0</v>
      </c>
      <c r="BA17" s="34"/>
    </row>
    <row r="18" ht="15.75" customHeight="1">
      <c r="A18" s="29"/>
      <c r="B18" s="52" t="s">
        <v>40</v>
      </c>
      <c r="C18" s="49"/>
      <c r="D18" s="31" t="s">
        <v>41</v>
      </c>
      <c r="E18" s="41">
        <f t="shared" si="49"/>
        <v>385</v>
      </c>
      <c r="F18" s="42">
        <f>'1.MN'!F14+'2.TH'!F11+'3.THCS'!F11+'5.THPT'!F11+'4.TH-THCS'!F11+'6.THCS-THPT'!F11</f>
        <v>385</v>
      </c>
      <c r="G18" s="42">
        <f>'1.MN'!G14+'2.TH'!G11+'3.THCS'!G11+'5.THPT'!G11+'4.TH-THCS'!G11+'6.THCS-THPT'!G11</f>
        <v>0</v>
      </c>
      <c r="H18" s="42">
        <f>'1.MN'!H14+'2.TH'!H11+'3.THCS'!H11+'5.THPT'!H11+'4.TH-THCS'!H11+'6.THCS-THPT'!H11</f>
        <v>0</v>
      </c>
      <c r="I18" s="41">
        <f t="shared" si="50"/>
        <v>382</v>
      </c>
      <c r="J18" s="42">
        <f>'1.MN'!J14+'2.TH'!J11+'3.THCS'!J11+'5.THPT'!J11+'4.TH-THCS'!J11+'6.THCS-THPT'!J11</f>
        <v>382</v>
      </c>
      <c r="K18" s="42">
        <f>'1.MN'!K14+'2.TH'!K11+'3.THCS'!K11+'5.THPT'!K11+'4.TH-THCS'!K11+'6.THCS-THPT'!K11</f>
        <v>0</v>
      </c>
      <c r="L18" s="42">
        <f>'1.MN'!L14+'2.TH'!L11+'3.THCS'!L11+'5.THPT'!L11+'4.TH-THCS'!L11+'6.THCS-THPT'!L11</f>
        <v>0</v>
      </c>
      <c r="M18" s="41">
        <f t="shared" si="51"/>
        <v>382</v>
      </c>
      <c r="N18" s="42">
        <f>'1.MN'!N14+'2.TH'!N11+'3.THCS'!N11+'5.THPT'!N11+'4.TH-THCS'!N11+'6.THCS-THPT'!N11</f>
        <v>382</v>
      </c>
      <c r="O18" s="42">
        <f>'1.MN'!O14+'2.TH'!O11+'3.THCS'!O11+'5.THPT'!O11+'4.TH-THCS'!O11+'6.THCS-THPT'!O11</f>
        <v>0</v>
      </c>
      <c r="P18" s="42">
        <f>'1.MN'!P14+'2.TH'!P11+'3.THCS'!P11+'5.THPT'!P11+'4.TH-THCS'!P11+'6.THCS-THPT'!P11</f>
        <v>0</v>
      </c>
      <c r="Q18" s="41">
        <f t="shared" si="52"/>
        <v>382</v>
      </c>
      <c r="R18" s="42">
        <f>'1.MN'!R14+'2.TH'!R11+'3.THCS'!R11+'5.THPT'!R11+'4.TH-THCS'!R11+'6.THCS-THPT'!R11</f>
        <v>382</v>
      </c>
      <c r="S18" s="42">
        <f>'1.MN'!S14+'2.TH'!S11+'3.THCS'!S11+'5.THPT'!S11+'4.TH-THCS'!S11+'6.THCS-THPT'!S11</f>
        <v>0</v>
      </c>
      <c r="T18" s="42">
        <f>'1.MN'!T14+'2.TH'!T11+'3.THCS'!T11+'5.THPT'!T11+'4.TH-THCS'!T11+'6.THCS-THPT'!T11</f>
        <v>0</v>
      </c>
      <c r="U18" s="41">
        <f t="shared" si="53"/>
        <v>381</v>
      </c>
      <c r="V18" s="42">
        <f>'1.MN'!V14+'2.TH'!V11+'3.THCS'!V11+'5.THPT'!V11+'4.TH-THCS'!V11+'6.THCS-THPT'!V11</f>
        <v>381</v>
      </c>
      <c r="W18" s="42">
        <f>'1.MN'!W14+'2.TH'!W11+'3.THCS'!W11+'5.THPT'!W11+'4.TH-THCS'!W11+'6.THCS-THPT'!W11</f>
        <v>0</v>
      </c>
      <c r="X18" s="42">
        <f>'1.MN'!X14+'2.TH'!X11+'3.THCS'!X11+'5.THPT'!X11+'4.TH-THCS'!X11+'6.THCS-THPT'!X11</f>
        <v>0</v>
      </c>
      <c r="Y18" s="41">
        <f t="shared" si="54"/>
        <v>382</v>
      </c>
      <c r="Z18" s="42">
        <f>'1.MN'!Z14+'2.TH'!Z11+'3.THCS'!Z11+'5.THPT'!Z11+'4.TH-THCS'!Z11+'6.THCS-THPT'!Z11</f>
        <v>382</v>
      </c>
      <c r="AA18" s="42">
        <f>'1.MN'!AA14+'2.TH'!AA11+'3.THCS'!AA11+'5.THPT'!AA11+'4.TH-THCS'!AA11+'6.THCS-THPT'!AA11</f>
        <v>0</v>
      </c>
      <c r="AB18" s="42">
        <f>'1.MN'!AB14+'2.TH'!AB11+'3.THCS'!AB11+'5.THPT'!AB11+'4.TH-THCS'!AB11+'6.THCS-THPT'!AB11</f>
        <v>0</v>
      </c>
      <c r="AC18" s="41">
        <f t="shared" si="55"/>
        <v>369</v>
      </c>
      <c r="AD18" s="42">
        <f>'1.MN'!AD14+'2.TH'!AD11+'3.THCS'!AD11+'5.THPT'!AD11+'4.TH-THCS'!AD11+'6.THCS-THPT'!AD11</f>
        <v>369</v>
      </c>
      <c r="AE18" s="42">
        <f>'1.MN'!AE14+'2.TH'!AE11+'3.THCS'!AE11+'5.THPT'!AE11+'4.TH-THCS'!AE11+'6.THCS-THPT'!AE11</f>
        <v>0</v>
      </c>
      <c r="AF18" s="42">
        <f>'1.MN'!AF14+'2.TH'!AF11+'3.THCS'!AF11+'5.THPT'!AF11+'4.TH-THCS'!AF11+'6.THCS-THPT'!AF11</f>
        <v>0</v>
      </c>
      <c r="AG18" s="41">
        <f t="shared" si="56"/>
        <v>1</v>
      </c>
      <c r="AH18" s="42">
        <f>'1.MN'!AH14+'2.TH'!AH11+'3.THCS'!AH11+'5.THPT'!AH11+'4.TH-THCS'!AH11+'6.THCS-THPT'!AH11</f>
        <v>1</v>
      </c>
      <c r="AI18" s="42">
        <f>'1.MN'!AI14+'2.TH'!AI11+'3.THCS'!AI11+'5.THPT'!AI11+'4.TH-THCS'!AI11+'6.THCS-THPT'!AI11</f>
        <v>0</v>
      </c>
      <c r="AJ18" s="42">
        <f>'1.MN'!AJ14+'2.TH'!AJ11+'3.THCS'!AJ11+'5.THPT'!AJ11+'4.TH-THCS'!AJ11+'6.THCS-THPT'!AJ11</f>
        <v>0</v>
      </c>
      <c r="AK18" s="41">
        <f t="shared" si="57"/>
        <v>0</v>
      </c>
      <c r="AL18" s="42">
        <f>'1.MN'!AL14+'2.TH'!AL11+'3.THCS'!AL11+'5.THPT'!AL11+'4.TH-THCS'!AL11+'6.THCS-THPT'!AL11</f>
        <v>0</v>
      </c>
      <c r="AM18" s="42">
        <f>'1.MN'!AM14+'2.TH'!AM11+'3.THCS'!AM11+'5.THPT'!AM11+'4.TH-THCS'!AM11+'6.THCS-THPT'!AM11</f>
        <v>0</v>
      </c>
      <c r="AN18" s="42">
        <f>'1.MN'!AN14+'2.TH'!AN11+'3.THCS'!AN11+'5.THPT'!AN11+'4.TH-THCS'!AN11+'6.THCS-THPT'!AN11</f>
        <v>0</v>
      </c>
      <c r="AO18" s="41">
        <f t="shared" si="58"/>
        <v>0</v>
      </c>
      <c r="AP18" s="42">
        <f>'1.MN'!AP14+'2.TH'!AP11+'3.THCS'!AP11+'5.THPT'!AP11+'4.TH-THCS'!AP11+'6.THCS-THPT'!AP11</f>
        <v>0</v>
      </c>
      <c r="AQ18" s="42">
        <f>'1.MN'!AQ14+'2.TH'!AQ11+'3.THCS'!AQ11+'5.THPT'!AQ11+'4.TH-THCS'!AQ11+'6.THCS-THPT'!AQ11</f>
        <v>0</v>
      </c>
      <c r="AR18" s="42">
        <f>'1.MN'!AR14+'2.TH'!AR11+'3.THCS'!AR11+'5.THPT'!AR11+'4.TH-THCS'!AR11+'6.THCS-THPT'!AR11</f>
        <v>0</v>
      </c>
      <c r="AS18" s="41">
        <f t="shared" si="59"/>
        <v>0</v>
      </c>
      <c r="AT18" s="42">
        <f>'1.MN'!AT14+'2.TH'!AT11+'3.THCS'!AT11+'5.THPT'!AT11+'4.TH-THCS'!AT11+'6.THCS-THPT'!AT11</f>
        <v>0</v>
      </c>
      <c r="AU18" s="42">
        <f>'1.MN'!AU14+'2.TH'!AU11+'3.THCS'!AU11+'5.THPT'!AU11+'4.TH-THCS'!AU11+'6.THCS-THPT'!AU11</f>
        <v>0</v>
      </c>
      <c r="AV18" s="42">
        <f>'1.MN'!AV14+'2.TH'!AV11+'3.THCS'!AV11+'5.THPT'!AV11+'4.TH-THCS'!AV11+'6.THCS-THPT'!AV11</f>
        <v>0</v>
      </c>
      <c r="AW18" s="41">
        <f t="shared" si="60"/>
        <v>0</v>
      </c>
      <c r="AX18" s="42">
        <f>'1.MN'!AX14+'2.TH'!AX11+'3.THCS'!AX11+'5.THPT'!AX11+'4.TH-THCS'!AX11+'6.THCS-THPT'!AX11</f>
        <v>0</v>
      </c>
      <c r="AY18" s="42">
        <f>'1.MN'!AY14+'2.TH'!AY11+'3.THCS'!AY11+'5.THPT'!AY11+'4.TH-THCS'!AY11+'6.THCS-THPT'!AY11</f>
        <v>0</v>
      </c>
      <c r="AZ18" s="43">
        <f>'1.MN'!AZ14+'2.TH'!AZ11+'3.THCS'!AZ11+'5.THPT'!AZ11+'4.TH-THCS'!AZ11+'6.THCS-THPT'!AZ11</f>
        <v>0</v>
      </c>
      <c r="BA18" s="34"/>
    </row>
    <row r="19" ht="15.75" customHeight="1">
      <c r="A19" s="29"/>
      <c r="B19" s="51" t="s">
        <v>42</v>
      </c>
      <c r="C19" s="31"/>
      <c r="D19" s="31" t="s">
        <v>28</v>
      </c>
      <c r="E19" s="53"/>
      <c r="F19" s="54">
        <f>'1.MN'!F12+'2.TH'!F12+'3.THCS'!F12+'5.THPT'!F12+'4.TH-THCS'!F12+'6.THCS-THPT'!F12</f>
        <v>377</v>
      </c>
      <c r="G19" s="42">
        <f>'1.MN'!G12+'2.TH'!G12+'3.THCS'!G12+'5.THPT'!G12+'4.TH-THCS'!G12+'6.THCS-THPT'!G12</f>
        <v>0</v>
      </c>
      <c r="H19" s="42">
        <f>'1.MN'!H12+'2.TH'!H12+'3.THCS'!H12+'5.THPT'!H12+'4.TH-THCS'!H12+'6.THCS-THPT'!H12</f>
        <v>0</v>
      </c>
      <c r="I19" s="53"/>
      <c r="J19" s="54">
        <f>'1.MN'!J12+'2.TH'!J12+'3.THCS'!J12+'5.THPT'!J12+'4.TH-THCS'!J12+'6.THCS-THPT'!J12</f>
        <v>377</v>
      </c>
      <c r="K19" s="42">
        <f>'1.MN'!K12+'2.TH'!K12+'3.THCS'!K12+'5.THPT'!K12+'4.TH-THCS'!K12+'6.THCS-THPT'!K12</f>
        <v>0</v>
      </c>
      <c r="L19" s="42">
        <f>'1.MN'!L12+'2.TH'!L12+'3.THCS'!L12+'5.THPT'!L12+'4.TH-THCS'!L12+'6.THCS-THPT'!L12</f>
        <v>0</v>
      </c>
      <c r="M19" s="53"/>
      <c r="N19" s="54">
        <f>'1.MN'!N12+'2.TH'!N12+'3.THCS'!N12+'5.THPT'!N12+'4.TH-THCS'!N12+'6.THCS-THPT'!N12</f>
        <v>376</v>
      </c>
      <c r="O19" s="42">
        <f>'1.MN'!O12+'2.TH'!O12+'3.THCS'!O12+'5.THPT'!O12+'4.TH-THCS'!O12+'6.THCS-THPT'!O12</f>
        <v>0</v>
      </c>
      <c r="P19" s="42">
        <f>'1.MN'!P12+'2.TH'!P12+'3.THCS'!P12+'5.THPT'!P12+'4.TH-THCS'!P12+'6.THCS-THPT'!P12</f>
        <v>0</v>
      </c>
      <c r="Q19" s="53"/>
      <c r="R19" s="54">
        <f>'1.MN'!R12+'2.TH'!R12+'3.THCS'!R12+'5.THPT'!R12+'4.TH-THCS'!R12+'6.THCS-THPT'!R12</f>
        <v>381</v>
      </c>
      <c r="S19" s="42">
        <f>'1.MN'!S12+'2.TH'!S12+'3.THCS'!S12+'5.THPT'!S12+'4.TH-THCS'!S12+'6.THCS-THPT'!S12</f>
        <v>0</v>
      </c>
      <c r="T19" s="42">
        <f>'1.MN'!T12+'2.TH'!T12+'3.THCS'!T12+'5.THPT'!T12+'4.TH-THCS'!T12+'6.THCS-THPT'!T12</f>
        <v>0</v>
      </c>
      <c r="U19" s="53"/>
      <c r="V19" s="54">
        <f>'1.MN'!V12+'2.TH'!V12+'3.THCS'!V12+'5.THPT'!V12+'4.TH-THCS'!V12+'6.THCS-THPT'!V12</f>
        <v>380</v>
      </c>
      <c r="W19" s="42">
        <f>'1.MN'!W12+'2.TH'!W12+'3.THCS'!W12+'5.THPT'!W12+'4.TH-THCS'!W12+'6.THCS-THPT'!W12</f>
        <v>0</v>
      </c>
      <c r="X19" s="42">
        <f>'1.MN'!X12+'2.TH'!X12+'3.THCS'!X12+'5.THPT'!X12+'4.TH-THCS'!X12+'6.THCS-THPT'!X12</f>
        <v>0</v>
      </c>
      <c r="Y19" s="53"/>
      <c r="Z19" s="54">
        <f>'1.MN'!Z12+'2.TH'!Z12+'3.THCS'!Z12+'5.THPT'!Z12+'4.TH-THCS'!Z12+'6.THCS-THPT'!Z12</f>
        <v>373</v>
      </c>
      <c r="AA19" s="42">
        <f>'1.MN'!AA12+'2.TH'!AA12+'3.THCS'!AA12+'5.THPT'!AA12+'4.TH-THCS'!AA12+'6.THCS-THPT'!AA12</f>
        <v>0</v>
      </c>
      <c r="AB19" s="42">
        <f>'1.MN'!AB12+'2.TH'!AB12+'3.THCS'!AB12+'5.THPT'!AB12+'4.TH-THCS'!AB12+'6.THCS-THPT'!AB12</f>
        <v>0</v>
      </c>
      <c r="AC19" s="53"/>
      <c r="AD19" s="54">
        <f>'1.MN'!AD12+'2.TH'!AD12+'3.THCS'!AD12+'5.THPT'!AD12+'4.TH-THCS'!AD12+'6.THCS-THPT'!AD12</f>
        <v>363</v>
      </c>
      <c r="AE19" s="42">
        <f>'1.MN'!AE12+'2.TH'!AE12+'3.THCS'!AE12+'5.THPT'!AE12+'4.TH-THCS'!AE12+'6.THCS-THPT'!AE12</f>
        <v>0</v>
      </c>
      <c r="AF19" s="42">
        <f>'1.MN'!AF12+'2.TH'!AF12+'3.THCS'!AF12+'5.THPT'!AF12+'4.TH-THCS'!AF12+'6.THCS-THPT'!AF12</f>
        <v>0</v>
      </c>
      <c r="AG19" s="53"/>
      <c r="AH19" s="54">
        <f>'1.MN'!AH12+'2.TH'!AH12+'3.THCS'!AH12+'5.THPT'!AH12+'4.TH-THCS'!AH12+'6.THCS-THPT'!AH12</f>
        <v>9</v>
      </c>
      <c r="AI19" s="42">
        <f>'1.MN'!AI12+'2.TH'!AI12+'3.THCS'!AI12+'5.THPT'!AI12+'4.TH-THCS'!AI12+'6.THCS-THPT'!AI12</f>
        <v>0</v>
      </c>
      <c r="AJ19" s="42">
        <f>'1.MN'!AJ12+'2.TH'!AJ12+'3.THCS'!AJ12+'5.THPT'!AJ12+'4.TH-THCS'!AJ12+'6.THCS-THPT'!AJ12</f>
        <v>0</v>
      </c>
      <c r="AK19" s="53"/>
      <c r="AL19" s="54">
        <f>'1.MN'!AL12+'2.TH'!AL12+'3.THCS'!AL12+'5.THPT'!AL12+'4.TH-THCS'!AL12+'6.THCS-THPT'!AL12</f>
        <v>3</v>
      </c>
      <c r="AM19" s="42">
        <f>'1.MN'!AM12+'2.TH'!AM12+'3.THCS'!AM12+'5.THPT'!AM12+'4.TH-THCS'!AM12+'6.THCS-THPT'!AM12</f>
        <v>0</v>
      </c>
      <c r="AN19" s="42">
        <f>'1.MN'!AN12+'2.TH'!AN12+'3.THCS'!AN12+'5.THPT'!AN12+'4.TH-THCS'!AN12+'6.THCS-THPT'!AN12</f>
        <v>0</v>
      </c>
      <c r="AO19" s="53"/>
      <c r="AP19" s="54">
        <f>'1.MN'!AP12+'2.TH'!AP12+'3.THCS'!AP12+'5.THPT'!AP12+'4.TH-THCS'!AP12+'6.THCS-THPT'!AP12</f>
        <v>2</v>
      </c>
      <c r="AQ19" s="42">
        <f>'1.MN'!AQ12+'2.TH'!AQ12+'3.THCS'!AQ12+'5.THPT'!AQ12+'4.TH-THCS'!AQ12+'6.THCS-THPT'!AQ12</f>
        <v>0</v>
      </c>
      <c r="AR19" s="42">
        <f>'1.MN'!AR12+'2.TH'!AR12+'3.THCS'!AR12+'5.THPT'!AR12+'4.TH-THCS'!AR12+'6.THCS-THPT'!AR12</f>
        <v>0</v>
      </c>
      <c r="AS19" s="53"/>
      <c r="AT19" s="54">
        <f>'1.MN'!AT12+'2.TH'!AT12+'3.THCS'!AT12+'5.THPT'!AT12+'4.TH-THCS'!AT12+'6.THCS-THPT'!AT12</f>
        <v>2</v>
      </c>
      <c r="AU19" s="42">
        <f>'1.MN'!AU12+'2.TH'!AU12+'3.THCS'!AU12+'5.THPT'!AU12+'4.TH-THCS'!AU12+'6.THCS-THPT'!AU12</f>
        <v>0</v>
      </c>
      <c r="AV19" s="42">
        <f>'1.MN'!AV12+'2.TH'!AV12+'3.THCS'!AV12+'5.THPT'!AV12+'4.TH-THCS'!AV12+'6.THCS-THPT'!AV12</f>
        <v>0</v>
      </c>
      <c r="AW19" s="53"/>
      <c r="AX19" s="54">
        <f>'1.MN'!AX12+'2.TH'!AX12+'3.THCS'!AX12+'5.THPT'!AX12+'4.TH-THCS'!AX12+'6.THCS-THPT'!AX12</f>
        <v>2</v>
      </c>
      <c r="AY19" s="42">
        <f>'1.MN'!AY12+'2.TH'!AY12+'3.THCS'!AY12+'5.THPT'!AY12+'4.TH-THCS'!AY12+'6.THCS-THPT'!AY12</f>
        <v>0</v>
      </c>
      <c r="AZ19" s="43">
        <f>'1.MN'!AZ12+'2.TH'!AZ12+'3.THCS'!AZ12+'5.THPT'!AZ12+'4.TH-THCS'!AZ12+'6.THCS-THPT'!AZ12</f>
        <v>0</v>
      </c>
      <c r="BA19" s="34"/>
    </row>
    <row r="20" ht="15.75" customHeight="1">
      <c r="A20" s="55"/>
      <c r="B20" s="56" t="s">
        <v>43</v>
      </c>
      <c r="C20" s="57"/>
      <c r="D20" s="58" t="s">
        <v>44</v>
      </c>
      <c r="E20" s="59"/>
      <c r="F20" s="60">
        <f>IFERROR(F19/F7*100,0)</f>
        <v>81.77874187</v>
      </c>
      <c r="G20" s="61"/>
      <c r="H20" s="61"/>
      <c r="I20" s="59"/>
      <c r="J20" s="60">
        <f>IFERROR(J19/J7*100,0)</f>
        <v>83.77777778</v>
      </c>
      <c r="K20" s="61"/>
      <c r="L20" s="61"/>
      <c r="M20" s="59"/>
      <c r="N20" s="60">
        <f>IFERROR(N19/N7*100,0)</f>
        <v>81.91721133</v>
      </c>
      <c r="O20" s="61"/>
      <c r="P20" s="61"/>
      <c r="Q20" s="59"/>
      <c r="R20" s="60">
        <f>IFERROR(R19/R7*100,0)</f>
        <v>85.61797753</v>
      </c>
      <c r="S20" s="61"/>
      <c r="T20" s="61"/>
      <c r="U20" s="59"/>
      <c r="V20" s="60">
        <f>IFERROR(V19/V7*100,0)</f>
        <v>85.39325843</v>
      </c>
      <c r="W20" s="61"/>
      <c r="X20" s="61"/>
      <c r="Y20" s="59"/>
      <c r="Z20" s="60">
        <f>IFERROR(Z19/Z7*100,0)</f>
        <v>83.82022472</v>
      </c>
      <c r="AA20" s="61"/>
      <c r="AB20" s="61"/>
      <c r="AC20" s="59"/>
      <c r="AD20" s="60">
        <f>IFERROR(AD19/AD7*100,0)</f>
        <v>84.02777778</v>
      </c>
      <c r="AE20" s="61"/>
      <c r="AF20" s="61"/>
      <c r="AG20" s="59"/>
      <c r="AH20" s="60">
        <f>IFERROR(AH19/AH7*100,0)</f>
        <v>40.90909091</v>
      </c>
      <c r="AI20" s="61"/>
      <c r="AJ20" s="61"/>
      <c r="AK20" s="59"/>
      <c r="AL20" s="60">
        <f>IFERROR(AL19/AL7*100,0)</f>
        <v>18.75</v>
      </c>
      <c r="AM20" s="61"/>
      <c r="AN20" s="61"/>
      <c r="AO20" s="59"/>
      <c r="AP20" s="60">
        <f>IFERROR(AP19/AP7*100,0)</f>
        <v>13.33333333</v>
      </c>
      <c r="AQ20" s="61"/>
      <c r="AR20" s="61"/>
      <c r="AS20" s="59"/>
      <c r="AT20" s="60">
        <f>IFERROR(AT19/AT7*100,0)</f>
        <v>13.33333333</v>
      </c>
      <c r="AU20" s="61"/>
      <c r="AV20" s="61"/>
      <c r="AW20" s="59"/>
      <c r="AX20" s="60">
        <f>IFERROR(AX19/AX7*100,0)</f>
        <v>13.33333333</v>
      </c>
      <c r="AY20" s="61"/>
      <c r="AZ20" s="62"/>
      <c r="BA20" s="63"/>
    </row>
    <row r="21" ht="15.75" customHeight="1">
      <c r="A21" s="29"/>
      <c r="B21" s="44" t="s">
        <v>29</v>
      </c>
      <c r="C21" s="31"/>
      <c r="D21" s="31" t="s">
        <v>28</v>
      </c>
      <c r="E21" s="53"/>
      <c r="F21" s="54">
        <f>'1.MN'!F12</f>
        <v>95</v>
      </c>
      <c r="G21" s="42"/>
      <c r="H21" s="42"/>
      <c r="I21" s="53"/>
      <c r="J21" s="54">
        <f>'1.MN'!J12</f>
        <v>95</v>
      </c>
      <c r="K21" s="42"/>
      <c r="L21" s="42"/>
      <c r="M21" s="53"/>
      <c r="N21" s="54">
        <f>'1.MN'!N12</f>
        <v>95</v>
      </c>
      <c r="O21" s="42"/>
      <c r="P21" s="42"/>
      <c r="Q21" s="53"/>
      <c r="R21" s="54">
        <f>'1.MN'!R12</f>
        <v>95</v>
      </c>
      <c r="S21" s="42"/>
      <c r="T21" s="42"/>
      <c r="U21" s="53"/>
      <c r="V21" s="54">
        <f>'1.MN'!V12</f>
        <v>96</v>
      </c>
      <c r="W21" s="42"/>
      <c r="X21" s="42"/>
      <c r="Y21" s="53"/>
      <c r="Z21" s="54">
        <f>'1.MN'!Z12</f>
        <v>96</v>
      </c>
      <c r="AA21" s="42"/>
      <c r="AB21" s="42"/>
      <c r="AC21" s="53"/>
      <c r="AD21" s="54">
        <f>'1.MN'!AD12</f>
        <v>96</v>
      </c>
      <c r="AE21" s="42"/>
      <c r="AF21" s="42"/>
      <c r="AG21" s="53"/>
      <c r="AH21" s="54">
        <f>'1.MN'!AH12</f>
        <v>0</v>
      </c>
      <c r="AI21" s="42"/>
      <c r="AJ21" s="42"/>
      <c r="AK21" s="53"/>
      <c r="AL21" s="54">
        <f>'1.MN'!AL12</f>
        <v>0</v>
      </c>
      <c r="AM21" s="42"/>
      <c r="AN21" s="42"/>
      <c r="AO21" s="53"/>
      <c r="AP21" s="54">
        <f>'1.MN'!AP12</f>
        <v>0</v>
      </c>
      <c r="AQ21" s="42"/>
      <c r="AR21" s="42"/>
      <c r="AS21" s="53"/>
      <c r="AT21" s="54">
        <f>'1.MN'!AT12</f>
        <v>0</v>
      </c>
      <c r="AU21" s="42"/>
      <c r="AV21" s="42"/>
      <c r="AW21" s="53"/>
      <c r="AX21" s="54">
        <f>'1.MN'!AX12</f>
        <v>0</v>
      </c>
      <c r="AY21" s="42"/>
      <c r="AZ21" s="43"/>
      <c r="BA21" s="34"/>
    </row>
    <row r="22" ht="15.75" customHeight="1">
      <c r="A22" s="55"/>
      <c r="B22" s="56" t="s">
        <v>43</v>
      </c>
      <c r="C22" s="57"/>
      <c r="D22" s="58" t="s">
        <v>44</v>
      </c>
      <c r="E22" s="59"/>
      <c r="F22" s="60">
        <f>IFERROR(F21/F8*100,0)</f>
        <v>80.50847458</v>
      </c>
      <c r="G22" s="61"/>
      <c r="H22" s="61"/>
      <c r="I22" s="59"/>
      <c r="J22" s="60">
        <f>IFERROR(J21/J8*100,0)</f>
        <v>87.96296296</v>
      </c>
      <c r="K22" s="61"/>
      <c r="L22" s="61"/>
      <c r="M22" s="59"/>
      <c r="N22" s="60">
        <f>IFERROR(N21/N8*100,0)</f>
        <v>80.50847458</v>
      </c>
      <c r="O22" s="61"/>
      <c r="P22" s="61"/>
      <c r="Q22" s="59"/>
      <c r="R22" s="60">
        <f>IFERROR(R21/R8*100,0)</f>
        <v>80.50847458</v>
      </c>
      <c r="S22" s="61"/>
      <c r="T22" s="61"/>
      <c r="U22" s="59"/>
      <c r="V22" s="60">
        <f>IFERROR(V21/V8*100,0)</f>
        <v>81.3559322</v>
      </c>
      <c r="W22" s="61"/>
      <c r="X22" s="61"/>
      <c r="Y22" s="59"/>
      <c r="Z22" s="60">
        <f>IFERROR(Z21/Z8*100,0)</f>
        <v>81.3559322</v>
      </c>
      <c r="AA22" s="61"/>
      <c r="AB22" s="61"/>
      <c r="AC22" s="59"/>
      <c r="AD22" s="60">
        <f>IFERROR(AD21/AD8*100,0)</f>
        <v>81.3559322</v>
      </c>
      <c r="AE22" s="61"/>
      <c r="AF22" s="61"/>
      <c r="AG22" s="59"/>
      <c r="AH22" s="60">
        <f>IFERROR(AH21/AH8*100,0)</f>
        <v>0</v>
      </c>
      <c r="AI22" s="61"/>
      <c r="AJ22" s="61"/>
      <c r="AK22" s="59"/>
      <c r="AL22" s="60">
        <f>IFERROR(AL21/AL8*100,0)</f>
        <v>0</v>
      </c>
      <c r="AM22" s="61"/>
      <c r="AN22" s="61"/>
      <c r="AO22" s="59"/>
      <c r="AP22" s="60">
        <f>IFERROR(AP21/AP8*100,0)</f>
        <v>0</v>
      </c>
      <c r="AQ22" s="61"/>
      <c r="AR22" s="61"/>
      <c r="AS22" s="59"/>
      <c r="AT22" s="60">
        <f>IFERROR(AT21/AT8*100,0)</f>
        <v>0</v>
      </c>
      <c r="AU22" s="61"/>
      <c r="AV22" s="61"/>
      <c r="AW22" s="59"/>
      <c r="AX22" s="60">
        <f>IFERROR(AX21/AX8*100,0)</f>
        <v>0</v>
      </c>
      <c r="AY22" s="61"/>
      <c r="AZ22" s="62"/>
      <c r="BA22" s="63"/>
    </row>
    <row r="23" ht="15.75" customHeight="1">
      <c r="A23" s="29"/>
      <c r="B23" s="44" t="s">
        <v>31</v>
      </c>
      <c r="C23" s="31"/>
      <c r="D23" s="31" t="s">
        <v>28</v>
      </c>
      <c r="E23" s="53"/>
      <c r="F23" s="54">
        <f>'2.TH'!F12</f>
        <v>169</v>
      </c>
      <c r="G23" s="42"/>
      <c r="H23" s="42"/>
      <c r="I23" s="53"/>
      <c r="J23" s="54">
        <f>'2.TH'!J12</f>
        <v>168</v>
      </c>
      <c r="K23" s="42"/>
      <c r="L23" s="42"/>
      <c r="M23" s="53"/>
      <c r="N23" s="54">
        <f>'2.TH'!N12</f>
        <v>169</v>
      </c>
      <c r="O23" s="42"/>
      <c r="P23" s="42"/>
      <c r="Q23" s="53"/>
      <c r="R23" s="54">
        <f>'2.TH'!R12</f>
        <v>170</v>
      </c>
      <c r="S23" s="42"/>
      <c r="T23" s="42"/>
      <c r="U23" s="53"/>
      <c r="V23" s="54">
        <f>'2.TH'!V12</f>
        <v>169</v>
      </c>
      <c r="W23" s="42"/>
      <c r="X23" s="42"/>
      <c r="Y23" s="53"/>
      <c r="Z23" s="54">
        <f>'2.TH'!Z12</f>
        <v>169</v>
      </c>
      <c r="AA23" s="42"/>
      <c r="AB23" s="42"/>
      <c r="AC23" s="53"/>
      <c r="AD23" s="54">
        <f>'2.TH'!AD12</f>
        <v>159</v>
      </c>
      <c r="AE23" s="42"/>
      <c r="AF23" s="42"/>
      <c r="AG23" s="53"/>
      <c r="AH23" s="54">
        <f>'2.TH'!AH12</f>
        <v>0</v>
      </c>
      <c r="AI23" s="42"/>
      <c r="AJ23" s="42"/>
      <c r="AK23" s="53"/>
      <c r="AL23" s="54">
        <f>'2.TH'!AL12</f>
        <v>0</v>
      </c>
      <c r="AM23" s="42"/>
      <c r="AN23" s="42"/>
      <c r="AO23" s="53"/>
      <c r="AP23" s="54">
        <f>'2.TH'!AP12</f>
        <v>0</v>
      </c>
      <c r="AQ23" s="42"/>
      <c r="AR23" s="42"/>
      <c r="AS23" s="53"/>
      <c r="AT23" s="54">
        <f>'2.TH'!AT12</f>
        <v>0</v>
      </c>
      <c r="AU23" s="42"/>
      <c r="AV23" s="42"/>
      <c r="AW23" s="53"/>
      <c r="AX23" s="54">
        <f>'2.TH'!AX12</f>
        <v>0</v>
      </c>
      <c r="AY23" s="42"/>
      <c r="AZ23" s="43"/>
      <c r="BA23" s="34"/>
    </row>
    <row r="24" ht="15.75" customHeight="1">
      <c r="A24" s="55"/>
      <c r="B24" s="56" t="s">
        <v>43</v>
      </c>
      <c r="C24" s="57"/>
      <c r="D24" s="58" t="s">
        <v>44</v>
      </c>
      <c r="E24" s="59"/>
      <c r="F24" s="60">
        <f>IFERROR(F23/F9*100,0)</f>
        <v>85.35353535</v>
      </c>
      <c r="G24" s="61"/>
      <c r="H24" s="61"/>
      <c r="I24" s="59"/>
      <c r="J24" s="60">
        <f>IFERROR(J23/J9*100,0)</f>
        <v>85.27918782</v>
      </c>
      <c r="K24" s="61"/>
      <c r="L24" s="61"/>
      <c r="M24" s="59"/>
      <c r="N24" s="60">
        <f>IFERROR(N23/N9*100,0)</f>
        <v>86.2244898</v>
      </c>
      <c r="O24" s="61"/>
      <c r="P24" s="61"/>
      <c r="Q24" s="59"/>
      <c r="R24" s="60">
        <f>IFERROR(R23/R9*100,0)</f>
        <v>93.40659341</v>
      </c>
      <c r="S24" s="61"/>
      <c r="T24" s="61"/>
      <c r="U24" s="59"/>
      <c r="V24" s="60">
        <f>IFERROR(V23/V9*100,0)</f>
        <v>92.85714286</v>
      </c>
      <c r="W24" s="61"/>
      <c r="X24" s="61"/>
      <c r="Y24" s="59"/>
      <c r="Z24" s="60">
        <f>IFERROR(Z23/Z9*100,0)</f>
        <v>92.85714286</v>
      </c>
      <c r="AA24" s="61"/>
      <c r="AB24" s="61"/>
      <c r="AC24" s="59"/>
      <c r="AD24" s="60">
        <f>IFERROR(AD23/AD9*100,0)</f>
        <v>94.08284024</v>
      </c>
      <c r="AE24" s="61"/>
      <c r="AF24" s="61"/>
      <c r="AG24" s="59"/>
      <c r="AH24" s="60">
        <f>IFERROR(AH23/AH9*100,0)</f>
        <v>0</v>
      </c>
      <c r="AI24" s="61"/>
      <c r="AJ24" s="61"/>
      <c r="AK24" s="59"/>
      <c r="AL24" s="60">
        <f>IFERROR(AL23/AL9*100,0)</f>
        <v>0</v>
      </c>
      <c r="AM24" s="61"/>
      <c r="AN24" s="61"/>
      <c r="AO24" s="59"/>
      <c r="AP24" s="60">
        <f>IFERROR(AP23/AP9*100,0)</f>
        <v>0</v>
      </c>
      <c r="AQ24" s="61"/>
      <c r="AR24" s="61"/>
      <c r="AS24" s="59"/>
      <c r="AT24" s="60">
        <f>IFERROR(AT23/AT9*100,0)</f>
        <v>0</v>
      </c>
      <c r="AU24" s="61"/>
      <c r="AV24" s="61"/>
      <c r="AW24" s="59"/>
      <c r="AX24" s="60">
        <f>IFERROR(AX23/AX9*100,0)</f>
        <v>0</v>
      </c>
      <c r="AY24" s="61"/>
      <c r="AZ24" s="62"/>
      <c r="BA24" s="63"/>
    </row>
    <row r="25" ht="15.75" customHeight="1">
      <c r="A25" s="29"/>
      <c r="B25" s="44" t="s">
        <v>32</v>
      </c>
      <c r="C25" s="31"/>
      <c r="D25" s="31" t="s">
        <v>28</v>
      </c>
      <c r="E25" s="53"/>
      <c r="F25" s="54">
        <f>'3.THCS'!F12+'4.TH-THCS'!F12</f>
        <v>85</v>
      </c>
      <c r="G25" s="42"/>
      <c r="H25" s="42"/>
      <c r="I25" s="53"/>
      <c r="J25" s="54">
        <f>'3.THCS'!J12+'4.TH-THCS'!J12</f>
        <v>86</v>
      </c>
      <c r="K25" s="42"/>
      <c r="L25" s="42"/>
      <c r="M25" s="53"/>
      <c r="N25" s="54">
        <f>'3.THCS'!N12+'4.TH-THCS'!N12</f>
        <v>84</v>
      </c>
      <c r="O25" s="42"/>
      <c r="P25" s="42"/>
      <c r="Q25" s="53"/>
      <c r="R25" s="54">
        <f>'3.THCS'!R12+'4.TH-THCS'!R12</f>
        <v>88</v>
      </c>
      <c r="S25" s="42"/>
      <c r="T25" s="42"/>
      <c r="U25" s="53"/>
      <c r="V25" s="54">
        <f>'3.THCS'!V12+'4.TH-THCS'!V12</f>
        <v>88</v>
      </c>
      <c r="W25" s="42"/>
      <c r="X25" s="42"/>
      <c r="Y25" s="53"/>
      <c r="Z25" s="54">
        <f>'3.THCS'!Z12+'4.TH-THCS'!Z12</f>
        <v>82</v>
      </c>
      <c r="AA25" s="42"/>
      <c r="AB25" s="42"/>
      <c r="AC25" s="53"/>
      <c r="AD25" s="54">
        <f>'3.THCS'!AD12+'4.TH-THCS'!AD12</f>
        <v>82</v>
      </c>
      <c r="AE25" s="42"/>
      <c r="AF25" s="42"/>
      <c r="AG25" s="53"/>
      <c r="AH25" s="54">
        <f>'3.THCS'!AH12+'4.TH-THCS'!AH12</f>
        <v>1</v>
      </c>
      <c r="AI25" s="42"/>
      <c r="AJ25" s="42"/>
      <c r="AK25" s="53"/>
      <c r="AL25" s="54">
        <f>'3.THCS'!AL12+'4.TH-THCS'!AL12</f>
        <v>0</v>
      </c>
      <c r="AM25" s="42"/>
      <c r="AN25" s="42"/>
      <c r="AO25" s="53"/>
      <c r="AP25" s="54">
        <f>'3.THCS'!AP12+'4.TH-THCS'!AP12</f>
        <v>0</v>
      </c>
      <c r="AQ25" s="42"/>
      <c r="AR25" s="42"/>
      <c r="AS25" s="53"/>
      <c r="AT25" s="54">
        <f>'3.THCS'!AT12+'4.TH-THCS'!AT12</f>
        <v>0</v>
      </c>
      <c r="AU25" s="42"/>
      <c r="AV25" s="42"/>
      <c r="AW25" s="53"/>
      <c r="AX25" s="54">
        <f>'3.THCS'!AX12+'4.TH-THCS'!AX12</f>
        <v>0</v>
      </c>
      <c r="AY25" s="42"/>
      <c r="AZ25" s="43"/>
      <c r="BA25" s="34"/>
    </row>
    <row r="26" ht="15.75" customHeight="1">
      <c r="A26" s="55"/>
      <c r="B26" s="56" t="s">
        <v>43</v>
      </c>
      <c r="C26" s="57"/>
      <c r="D26" s="58" t="s">
        <v>44</v>
      </c>
      <c r="E26" s="59"/>
      <c r="F26" s="60">
        <f>IFERROR(F25/F10*100,0)</f>
        <v>80.18867925</v>
      </c>
      <c r="G26" s="61"/>
      <c r="H26" s="61"/>
      <c r="I26" s="59"/>
      <c r="J26" s="60">
        <f>IFERROR(J25/J10*100,0)</f>
        <v>81.13207547</v>
      </c>
      <c r="K26" s="61"/>
      <c r="L26" s="61"/>
      <c r="M26" s="59"/>
      <c r="N26" s="60">
        <f>IFERROR(N25/N10*100,0)</f>
        <v>79.24528302</v>
      </c>
      <c r="O26" s="61"/>
      <c r="P26" s="61"/>
      <c r="Q26" s="59"/>
      <c r="R26" s="60">
        <f>IFERROR(R25/R10*100,0)</f>
        <v>83.01886792</v>
      </c>
      <c r="S26" s="61"/>
      <c r="T26" s="61"/>
      <c r="U26" s="59"/>
      <c r="V26" s="60">
        <f>IFERROR(V25/V10*100,0)</f>
        <v>83.01886792</v>
      </c>
      <c r="W26" s="61"/>
      <c r="X26" s="61"/>
      <c r="Y26" s="59"/>
      <c r="Z26" s="60">
        <f>IFERROR(Z25/Z10*100,0)</f>
        <v>77.35849057</v>
      </c>
      <c r="AA26" s="61"/>
      <c r="AB26" s="61"/>
      <c r="AC26" s="59"/>
      <c r="AD26" s="60">
        <f>IFERROR(AD25/AD10*100,0)</f>
        <v>77.35849057</v>
      </c>
      <c r="AE26" s="61"/>
      <c r="AF26" s="61"/>
      <c r="AG26" s="59"/>
      <c r="AH26" s="60">
        <f>IFERROR(AH25/AH10*100,0)</f>
        <v>100</v>
      </c>
      <c r="AI26" s="61"/>
      <c r="AJ26" s="61"/>
      <c r="AK26" s="59"/>
      <c r="AL26" s="60">
        <f>IFERROR(AL25/AL10*100,0)</f>
        <v>0</v>
      </c>
      <c r="AM26" s="61"/>
      <c r="AN26" s="61"/>
      <c r="AO26" s="59"/>
      <c r="AP26" s="60">
        <f>IFERROR(AP25/AP10*100,0)</f>
        <v>0</v>
      </c>
      <c r="AQ26" s="61"/>
      <c r="AR26" s="61"/>
      <c r="AS26" s="59"/>
      <c r="AT26" s="60">
        <f>IFERROR(AT25/AT10*100,0)</f>
        <v>0</v>
      </c>
      <c r="AU26" s="61"/>
      <c r="AV26" s="61"/>
      <c r="AW26" s="59"/>
      <c r="AX26" s="60">
        <f>IFERROR(AX25/AX10*100,0)</f>
        <v>0</v>
      </c>
      <c r="AY26" s="61"/>
      <c r="AZ26" s="62"/>
      <c r="BA26" s="63"/>
    </row>
    <row r="27" ht="15.75" customHeight="1">
      <c r="A27" s="29"/>
      <c r="B27" s="44" t="s">
        <v>34</v>
      </c>
      <c r="C27" s="31"/>
      <c r="D27" s="31" t="s">
        <v>28</v>
      </c>
      <c r="E27" s="53"/>
      <c r="F27" s="54">
        <f>'5.THPT'!F12+'6.THCS-THPT'!F12</f>
        <v>28</v>
      </c>
      <c r="G27" s="42"/>
      <c r="H27" s="42"/>
      <c r="I27" s="53"/>
      <c r="J27" s="54">
        <f>'5.THPT'!J12+'6.THCS-THPT'!J12</f>
        <v>28</v>
      </c>
      <c r="K27" s="42"/>
      <c r="L27" s="42"/>
      <c r="M27" s="53"/>
      <c r="N27" s="54">
        <f>'5.THPT'!N12+'6.THCS-THPT'!N12</f>
        <v>28</v>
      </c>
      <c r="O27" s="42"/>
      <c r="P27" s="42"/>
      <c r="Q27" s="53"/>
      <c r="R27" s="54">
        <f>'5.THPT'!R12+'6.THCS-THPT'!R12</f>
        <v>28</v>
      </c>
      <c r="S27" s="42"/>
      <c r="T27" s="42"/>
      <c r="U27" s="53"/>
      <c r="V27" s="54">
        <f>'5.THPT'!V12+'6.THCS-THPT'!V12</f>
        <v>27</v>
      </c>
      <c r="W27" s="42"/>
      <c r="X27" s="42"/>
      <c r="Y27" s="53"/>
      <c r="Z27" s="54">
        <f>'5.THPT'!Z12+'6.THCS-THPT'!Z12</f>
        <v>26</v>
      </c>
      <c r="AA27" s="42"/>
      <c r="AB27" s="42"/>
      <c r="AC27" s="53"/>
      <c r="AD27" s="54">
        <f>'5.THPT'!AD12+'6.THCS-THPT'!AD12</f>
        <v>26</v>
      </c>
      <c r="AE27" s="42"/>
      <c r="AF27" s="42"/>
      <c r="AG27" s="53"/>
      <c r="AH27" s="54">
        <f>'5.THPT'!AH12+'6.THCS-THPT'!AH12</f>
        <v>8</v>
      </c>
      <c r="AI27" s="42"/>
      <c r="AJ27" s="42"/>
      <c r="AK27" s="53"/>
      <c r="AL27" s="54">
        <f>'5.THPT'!AL12+'6.THCS-THPT'!AL12</f>
        <v>3</v>
      </c>
      <c r="AM27" s="42"/>
      <c r="AN27" s="42"/>
      <c r="AO27" s="53"/>
      <c r="AP27" s="54">
        <f>'5.THPT'!AP12+'6.THCS-THPT'!AP12</f>
        <v>2</v>
      </c>
      <c r="AQ27" s="42"/>
      <c r="AR27" s="42"/>
      <c r="AS27" s="53"/>
      <c r="AT27" s="54">
        <f>'5.THPT'!AT12+'6.THCS-THPT'!AT12</f>
        <v>2</v>
      </c>
      <c r="AU27" s="42"/>
      <c r="AV27" s="42"/>
      <c r="AW27" s="53"/>
      <c r="AX27" s="54">
        <f>'5.THPT'!AX12+'6.THCS-THPT'!AX12</f>
        <v>2</v>
      </c>
      <c r="AY27" s="42"/>
      <c r="AZ27" s="43"/>
      <c r="BA27" s="34"/>
    </row>
    <row r="28" ht="15.75" customHeight="1">
      <c r="A28" s="55"/>
      <c r="B28" s="56" t="s">
        <v>43</v>
      </c>
      <c r="C28" s="57"/>
      <c r="D28" s="58" t="s">
        <v>44</v>
      </c>
      <c r="E28" s="59"/>
      <c r="F28" s="60">
        <f>IFERROR(F27/F12*100,0)</f>
        <v>71.79487179</v>
      </c>
      <c r="G28" s="61"/>
      <c r="H28" s="61"/>
      <c r="I28" s="59"/>
      <c r="J28" s="60">
        <f>IFERROR(J27/J12*100,0)</f>
        <v>71.79487179</v>
      </c>
      <c r="K28" s="61"/>
      <c r="L28" s="61"/>
      <c r="M28" s="59"/>
      <c r="N28" s="60">
        <f>IFERROR(N27/N12*100,0)</f>
        <v>71.79487179</v>
      </c>
      <c r="O28" s="61"/>
      <c r="P28" s="61"/>
      <c r="Q28" s="59"/>
      <c r="R28" s="60">
        <f>IFERROR(R27/R12*100,0)</f>
        <v>71.79487179</v>
      </c>
      <c r="S28" s="61"/>
      <c r="T28" s="61"/>
      <c r="U28" s="59"/>
      <c r="V28" s="60">
        <f>IFERROR(V27/V12*100,0)</f>
        <v>69.23076923</v>
      </c>
      <c r="W28" s="61"/>
      <c r="X28" s="61"/>
      <c r="Y28" s="59"/>
      <c r="Z28" s="60">
        <f>IFERROR(Z27/Z12*100,0)</f>
        <v>66.66666667</v>
      </c>
      <c r="AA28" s="61"/>
      <c r="AB28" s="61"/>
      <c r="AC28" s="59"/>
      <c r="AD28" s="60">
        <f>IFERROR(AD27/AD12*100,0)</f>
        <v>66.66666667</v>
      </c>
      <c r="AE28" s="61"/>
      <c r="AF28" s="61"/>
      <c r="AG28" s="59"/>
      <c r="AH28" s="60">
        <f>IFERROR(AH27/AH12*100,0)</f>
        <v>38.0952381</v>
      </c>
      <c r="AI28" s="61"/>
      <c r="AJ28" s="61"/>
      <c r="AK28" s="59"/>
      <c r="AL28" s="60">
        <f>IFERROR(AL27/AL12*100,0)</f>
        <v>18.75</v>
      </c>
      <c r="AM28" s="61"/>
      <c r="AN28" s="61"/>
      <c r="AO28" s="59"/>
      <c r="AP28" s="60">
        <f>IFERROR(AP27/AP12*100,0)</f>
        <v>13.33333333</v>
      </c>
      <c r="AQ28" s="61"/>
      <c r="AR28" s="61"/>
      <c r="AS28" s="59"/>
      <c r="AT28" s="60">
        <f>IFERROR(AT27/AT12*100,0)</f>
        <v>13.33333333</v>
      </c>
      <c r="AU28" s="61"/>
      <c r="AV28" s="61"/>
      <c r="AW28" s="59"/>
      <c r="AX28" s="60">
        <f>IFERROR(AX27/AX12*100,0)</f>
        <v>13.33333333</v>
      </c>
      <c r="AY28" s="61"/>
      <c r="AZ28" s="62"/>
      <c r="BA28" s="63"/>
    </row>
    <row r="29" ht="15.75" customHeight="1">
      <c r="A29" s="29"/>
      <c r="B29" s="51" t="s">
        <v>45</v>
      </c>
      <c r="C29" s="31"/>
      <c r="D29" s="31" t="s">
        <v>28</v>
      </c>
      <c r="E29" s="41">
        <f t="shared" ref="E29:E30" si="61">F29+G29+H29</f>
        <v>128</v>
      </c>
      <c r="F29" s="42">
        <f>'1.MN'!F15+'2.TH'!F13+'3.THCS'!F13+'5.THPT'!F13+'4.TH-THCS'!F13+'6.THCS-THPT'!F13</f>
        <v>126</v>
      </c>
      <c r="G29" s="42">
        <f>'1.MN'!G15+'2.TH'!G13+'3.THCS'!G13+'5.THPT'!G13+'4.TH-THCS'!G13+'6.THCS-THPT'!G13</f>
        <v>1</v>
      </c>
      <c r="H29" s="42">
        <f>'1.MN'!H15+'2.TH'!H13+'3.THCS'!H13+'5.THPT'!H13+'4.TH-THCS'!H13+'6.THCS-THPT'!H13</f>
        <v>1</v>
      </c>
      <c r="I29" s="41">
        <f t="shared" ref="I29:I30" si="62">J29+K29+L29</f>
        <v>127</v>
      </c>
      <c r="J29" s="42">
        <f>'1.MN'!J15+'2.TH'!J13+'3.THCS'!J13+'5.THPT'!J13+'4.TH-THCS'!J13+'6.THCS-THPT'!J13</f>
        <v>125</v>
      </c>
      <c r="K29" s="42">
        <f>'1.MN'!K15+'2.TH'!K13+'3.THCS'!K13+'5.THPT'!K13+'4.TH-THCS'!K13+'6.THCS-THPT'!K13</f>
        <v>1</v>
      </c>
      <c r="L29" s="42">
        <f>'1.MN'!L15+'2.TH'!L13+'3.THCS'!L13+'5.THPT'!L13+'4.TH-THCS'!L13+'6.THCS-THPT'!L13</f>
        <v>1</v>
      </c>
      <c r="M29" s="41">
        <f t="shared" ref="M29:M30" si="63">N29+O29+P29</f>
        <v>125</v>
      </c>
      <c r="N29" s="42">
        <f>'1.MN'!N15+'2.TH'!N13+'3.THCS'!N13+'5.THPT'!N13+'4.TH-THCS'!N13+'6.THCS-THPT'!N13</f>
        <v>124</v>
      </c>
      <c r="O29" s="42">
        <f>'1.MN'!O15+'2.TH'!O13+'3.THCS'!O13+'5.THPT'!O13+'4.TH-THCS'!O13+'6.THCS-THPT'!O13</f>
        <v>0</v>
      </c>
      <c r="P29" s="42">
        <f>'1.MN'!P15+'2.TH'!P13+'3.THCS'!P13+'5.THPT'!P13+'4.TH-THCS'!P13+'6.THCS-THPT'!P13</f>
        <v>1</v>
      </c>
      <c r="Q29" s="41">
        <f t="shared" ref="Q29:Q30" si="64">R29+S29+T29</f>
        <v>122</v>
      </c>
      <c r="R29" s="42">
        <f>'1.MN'!R15+'2.TH'!R13+'3.THCS'!R13+'5.THPT'!R13+'4.TH-THCS'!R13+'6.THCS-THPT'!R13</f>
        <v>121</v>
      </c>
      <c r="S29" s="42">
        <f>'1.MN'!S15+'2.TH'!S13+'3.THCS'!S13+'5.THPT'!S13+'4.TH-THCS'!S13+'6.THCS-THPT'!S13</f>
        <v>0</v>
      </c>
      <c r="T29" s="42">
        <f>'1.MN'!T15+'2.TH'!T13+'3.THCS'!T13+'5.THPT'!T13+'4.TH-THCS'!T13+'6.THCS-THPT'!T13</f>
        <v>1</v>
      </c>
      <c r="U29" s="41">
        <f t="shared" ref="U29:U30" si="65">V29+W29+X29</f>
        <v>122</v>
      </c>
      <c r="V29" s="42">
        <f>'1.MN'!V15+'2.TH'!V13+'3.THCS'!V13+'5.THPT'!V13+'4.TH-THCS'!V13+'6.THCS-THPT'!V13</f>
        <v>121</v>
      </c>
      <c r="W29" s="42">
        <f>'1.MN'!W15+'2.TH'!W13+'3.THCS'!W13+'5.THPT'!W13+'4.TH-THCS'!W13+'6.THCS-THPT'!W13</f>
        <v>0</v>
      </c>
      <c r="X29" s="42">
        <f>'1.MN'!X15+'2.TH'!X13+'3.THCS'!X13+'5.THPT'!X13+'4.TH-THCS'!X13+'6.THCS-THPT'!X13</f>
        <v>1</v>
      </c>
      <c r="Y29" s="41">
        <f t="shared" ref="Y29:Y30" si="66">Z29+AA29+AB29</f>
        <v>122</v>
      </c>
      <c r="Z29" s="42">
        <f>'1.MN'!Z15+'2.TH'!Z13+'3.THCS'!Z13+'5.THPT'!Z13+'4.TH-THCS'!Z13+'6.THCS-THPT'!Z13</f>
        <v>121</v>
      </c>
      <c r="AA29" s="42">
        <f>'1.MN'!AA15+'2.TH'!AA13+'3.THCS'!AA13+'5.THPT'!AA13+'4.TH-THCS'!AA13+'6.THCS-THPT'!AA13</f>
        <v>0</v>
      </c>
      <c r="AB29" s="42">
        <f>'1.MN'!AB15+'2.TH'!AB13+'3.THCS'!AB13+'5.THPT'!AB13+'4.TH-THCS'!AB13+'6.THCS-THPT'!AB13</f>
        <v>1</v>
      </c>
      <c r="AC29" s="41">
        <f t="shared" ref="AC29:AC30" si="67">AD29+AE29+AF29</f>
        <v>118</v>
      </c>
      <c r="AD29" s="42">
        <f>'1.MN'!AD15+'2.TH'!AD13+'3.THCS'!AD13+'5.THPT'!AD13+'4.TH-THCS'!AD13+'6.THCS-THPT'!AD13</f>
        <v>117</v>
      </c>
      <c r="AE29" s="42">
        <f>'1.MN'!AE15+'2.TH'!AE13+'3.THCS'!AE13+'5.THPT'!AE13+'4.TH-THCS'!AE13+'6.THCS-THPT'!AE13</f>
        <v>0</v>
      </c>
      <c r="AF29" s="42">
        <f>'1.MN'!AF15+'2.TH'!AF13+'3.THCS'!AF13+'5.THPT'!AF13+'4.TH-THCS'!AF13+'6.THCS-THPT'!AF13</f>
        <v>1</v>
      </c>
      <c r="AG29" s="41">
        <f t="shared" ref="AG29:AG30" si="68">AH29+AI29+AJ29</f>
        <v>2</v>
      </c>
      <c r="AH29" s="42">
        <f>'1.MN'!AH15+'2.TH'!AH13+'3.THCS'!AH13+'5.THPT'!AH13+'4.TH-THCS'!AH13+'6.THCS-THPT'!AH13</f>
        <v>2</v>
      </c>
      <c r="AI29" s="42">
        <f>'1.MN'!AI15+'2.TH'!AI13+'3.THCS'!AI13+'5.THPT'!AI13+'4.TH-THCS'!AI13+'6.THCS-THPT'!AI13</f>
        <v>0</v>
      </c>
      <c r="AJ29" s="42">
        <f>'1.MN'!AJ15+'2.TH'!AJ13+'3.THCS'!AJ13+'5.THPT'!AJ13+'4.TH-THCS'!AJ13+'6.THCS-THPT'!AJ13</f>
        <v>0</v>
      </c>
      <c r="AK29" s="41">
        <f t="shared" ref="AK29:AK30" si="69">AL29+AM29+AN29</f>
        <v>1</v>
      </c>
      <c r="AL29" s="42">
        <f>'1.MN'!AL15+'2.TH'!AL13+'3.THCS'!AL13+'5.THPT'!AL13+'4.TH-THCS'!AL13+'6.THCS-THPT'!AL13</f>
        <v>1</v>
      </c>
      <c r="AM29" s="42">
        <f>'1.MN'!AM15+'2.TH'!AM13+'3.THCS'!AM13+'5.THPT'!AM13+'4.TH-THCS'!AM13+'6.THCS-THPT'!AM13</f>
        <v>0</v>
      </c>
      <c r="AN29" s="42">
        <f>'1.MN'!AN15+'2.TH'!AN13+'3.THCS'!AN13+'5.THPT'!AN13+'4.TH-THCS'!AN13+'6.THCS-THPT'!AN13</f>
        <v>0</v>
      </c>
      <c r="AO29" s="41">
        <f t="shared" ref="AO29:AO30" si="70">AP29+AQ29+AR29</f>
        <v>1</v>
      </c>
      <c r="AP29" s="42">
        <f>'1.MN'!AP15+'2.TH'!AP13+'3.THCS'!AP13+'5.THPT'!AP13+'4.TH-THCS'!AP13+'6.THCS-THPT'!AP13</f>
        <v>1</v>
      </c>
      <c r="AQ29" s="42">
        <f>'1.MN'!AQ15+'2.TH'!AQ13+'3.THCS'!AQ13+'5.THPT'!AQ13+'4.TH-THCS'!AQ13+'6.THCS-THPT'!AQ13</f>
        <v>0</v>
      </c>
      <c r="AR29" s="42">
        <f>'1.MN'!AR15+'2.TH'!AR13+'3.THCS'!AR13+'5.THPT'!AR13+'4.TH-THCS'!AR13+'6.THCS-THPT'!AR13</f>
        <v>0</v>
      </c>
      <c r="AS29" s="41">
        <f t="shared" ref="AS29:AS30" si="71">AT29+AU29+AV29</f>
        <v>1</v>
      </c>
      <c r="AT29" s="42">
        <f>'1.MN'!AT15+'2.TH'!AT13+'3.THCS'!AT13+'5.THPT'!AT13+'4.TH-THCS'!AT13+'6.THCS-THPT'!AT13</f>
        <v>1</v>
      </c>
      <c r="AU29" s="42">
        <f>'1.MN'!AU15+'2.TH'!AU13+'3.THCS'!AU13+'5.THPT'!AU13+'4.TH-THCS'!AU13+'6.THCS-THPT'!AU13</f>
        <v>0</v>
      </c>
      <c r="AV29" s="42">
        <f>'1.MN'!AV15+'2.TH'!AV13+'3.THCS'!AV13+'5.THPT'!AV13+'4.TH-THCS'!AV13+'6.THCS-THPT'!AV13</f>
        <v>0</v>
      </c>
      <c r="AW29" s="41">
        <f t="shared" ref="AW29:AW30" si="72">AX29+AY29+AZ29</f>
        <v>1</v>
      </c>
      <c r="AX29" s="42">
        <f>'1.MN'!AX15+'2.TH'!AX13+'3.THCS'!AX13+'5.THPT'!AX13+'4.TH-THCS'!AX13+'6.THCS-THPT'!AX13</f>
        <v>1</v>
      </c>
      <c r="AY29" s="42">
        <f>'1.MN'!AY15+'2.TH'!AY13+'3.THCS'!AY13+'5.THPT'!AY13+'4.TH-THCS'!AY13+'6.THCS-THPT'!AY13</f>
        <v>0</v>
      </c>
      <c r="AZ29" s="43">
        <f>'1.MN'!AZ15+'2.TH'!AZ13+'3.THCS'!AZ13+'5.THPT'!AZ13+'4.TH-THCS'!AZ13+'6.THCS-THPT'!AZ13</f>
        <v>0</v>
      </c>
      <c r="BA29" s="34"/>
    </row>
    <row r="30" ht="15.75" customHeight="1">
      <c r="A30" s="29"/>
      <c r="B30" s="35" t="s">
        <v>46</v>
      </c>
      <c r="C30" s="36"/>
      <c r="D30" s="36" t="s">
        <v>47</v>
      </c>
      <c r="E30" s="37">
        <f t="shared" si="61"/>
        <v>12</v>
      </c>
      <c r="F30" s="64">
        <f>'7.GDTX'!E8</f>
        <v>12</v>
      </c>
      <c r="G30" s="64"/>
      <c r="H30" s="64"/>
      <c r="I30" s="37">
        <f t="shared" si="62"/>
        <v>12</v>
      </c>
      <c r="J30" s="64">
        <f>'7.GDTX'!I8</f>
        <v>12</v>
      </c>
      <c r="K30" s="64"/>
      <c r="L30" s="64"/>
      <c r="M30" s="37">
        <f t="shared" si="63"/>
        <v>12</v>
      </c>
      <c r="N30" s="64">
        <f>'7.GDTX'!M8</f>
        <v>12</v>
      </c>
      <c r="O30" s="64"/>
      <c r="P30" s="64"/>
      <c r="Q30" s="37">
        <f t="shared" si="64"/>
        <v>0</v>
      </c>
      <c r="R30" s="64" t="str">
        <f>'7.GDTX'!Q8</f>
        <v/>
      </c>
      <c r="S30" s="64"/>
      <c r="T30" s="64"/>
      <c r="U30" s="37">
        <f t="shared" si="65"/>
        <v>0</v>
      </c>
      <c r="V30" s="64" t="str">
        <f>'7.GDTX'!U8</f>
        <v/>
      </c>
      <c r="W30" s="64"/>
      <c r="X30" s="64"/>
      <c r="Y30" s="37">
        <f t="shared" si="66"/>
        <v>0</v>
      </c>
      <c r="Z30" s="64" t="str">
        <f>'7.GDTX'!Y8</f>
        <v/>
      </c>
      <c r="AA30" s="64"/>
      <c r="AB30" s="64"/>
      <c r="AC30" s="37">
        <f t="shared" si="67"/>
        <v>0</v>
      </c>
      <c r="AD30" s="64" t="str">
        <f>'7.GDTX'!AC8</f>
        <v/>
      </c>
      <c r="AE30" s="64"/>
      <c r="AF30" s="64"/>
      <c r="AG30" s="37">
        <f t="shared" si="68"/>
        <v>0</v>
      </c>
      <c r="AH30" s="64" t="str">
        <f>'7.GDTX'!AG8</f>
        <v/>
      </c>
      <c r="AI30" s="64"/>
      <c r="AJ30" s="64"/>
      <c r="AK30" s="37">
        <f t="shared" si="69"/>
        <v>0</v>
      </c>
      <c r="AL30" s="64" t="str">
        <f>'7.GDTX'!AK8</f>
        <v/>
      </c>
      <c r="AM30" s="64"/>
      <c r="AN30" s="64"/>
      <c r="AO30" s="37">
        <f t="shared" si="70"/>
        <v>0</v>
      </c>
      <c r="AP30" s="64" t="str">
        <f>'7.GDTX'!AO8</f>
        <v/>
      </c>
      <c r="AQ30" s="64"/>
      <c r="AR30" s="64"/>
      <c r="AS30" s="37">
        <f t="shared" si="71"/>
        <v>0</v>
      </c>
      <c r="AT30" s="64" t="str">
        <f>'7.GDTX'!AS8</f>
        <v/>
      </c>
      <c r="AU30" s="64"/>
      <c r="AV30" s="64"/>
      <c r="AW30" s="37">
        <f t="shared" si="72"/>
        <v>0</v>
      </c>
      <c r="AX30" s="64" t="str">
        <f>'7.GDTX'!AW8</f>
        <v/>
      </c>
      <c r="AY30" s="64"/>
      <c r="AZ30" s="65"/>
      <c r="BA30" s="34"/>
    </row>
    <row r="31" ht="15.75" customHeight="1">
      <c r="A31" s="29"/>
      <c r="B31" s="66" t="s">
        <v>48</v>
      </c>
      <c r="C31" s="31" t="s">
        <v>26</v>
      </c>
      <c r="D31" s="3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50"/>
      <c r="BA31" s="34"/>
    </row>
    <row r="32" ht="15.75" customHeight="1">
      <c r="A32" s="29"/>
      <c r="B32" s="35" t="s">
        <v>49</v>
      </c>
      <c r="C32" s="36"/>
      <c r="D32" s="36" t="s">
        <v>50</v>
      </c>
      <c r="E32" s="37">
        <f t="shared" ref="E32:E36" si="85">F32+G32+H32</f>
        <v>8422</v>
      </c>
      <c r="F32" s="37">
        <f t="shared" ref="F32:H32" si="73">F33+F34+F35+F36</f>
        <v>8161</v>
      </c>
      <c r="G32" s="37">
        <f t="shared" si="73"/>
        <v>65</v>
      </c>
      <c r="H32" s="37">
        <f t="shared" si="73"/>
        <v>196</v>
      </c>
      <c r="I32" s="37">
        <f t="shared" ref="I32:I36" si="87">J32+K32+L32</f>
        <v>8358</v>
      </c>
      <c r="J32" s="37">
        <f t="shared" ref="J32:L32" si="74">J33+J34+J35+J36</f>
        <v>8105</v>
      </c>
      <c r="K32" s="37">
        <f t="shared" si="74"/>
        <v>65</v>
      </c>
      <c r="L32" s="37">
        <f t="shared" si="74"/>
        <v>188</v>
      </c>
      <c r="M32" s="37">
        <f t="shared" ref="M32:M36" si="89">N32+O32+P32</f>
        <v>8274</v>
      </c>
      <c r="N32" s="37">
        <f t="shared" ref="N32:P32" si="75">N33+N34+N35+N36</f>
        <v>8027</v>
      </c>
      <c r="O32" s="37">
        <f t="shared" si="75"/>
        <v>63</v>
      </c>
      <c r="P32" s="37">
        <f t="shared" si="75"/>
        <v>184</v>
      </c>
      <c r="Q32" s="37">
        <f t="shared" ref="Q32:Q36" si="91">R32+S32+T32</f>
        <v>8281</v>
      </c>
      <c r="R32" s="37">
        <f t="shared" ref="R32:T32" si="76">R33+R34+R35+R36</f>
        <v>8025</v>
      </c>
      <c r="S32" s="37">
        <f t="shared" si="76"/>
        <v>63</v>
      </c>
      <c r="T32" s="37">
        <f t="shared" si="76"/>
        <v>193</v>
      </c>
      <c r="U32" s="37">
        <f t="shared" ref="U32:U36" si="93">V32+W32+X32</f>
        <v>8308</v>
      </c>
      <c r="V32" s="37">
        <f t="shared" ref="V32:X32" si="77">V33+V34+V35+V36</f>
        <v>8052</v>
      </c>
      <c r="W32" s="37">
        <f t="shared" si="77"/>
        <v>63</v>
      </c>
      <c r="X32" s="37">
        <f t="shared" si="77"/>
        <v>193</v>
      </c>
      <c r="Y32" s="37">
        <f t="shared" ref="Y32:Y36" si="95">Z32+AA32+AB32</f>
        <v>8312</v>
      </c>
      <c r="Z32" s="37">
        <f t="shared" ref="Z32:AB32" si="78">Z33+Z34+Z35+Z36</f>
        <v>8053</v>
      </c>
      <c r="AA32" s="37">
        <f t="shared" si="78"/>
        <v>63</v>
      </c>
      <c r="AB32" s="37">
        <f t="shared" si="78"/>
        <v>196</v>
      </c>
      <c r="AC32" s="37">
        <f t="shared" ref="AC32:AC36" si="97">AD32+AE32+AF32</f>
        <v>8313</v>
      </c>
      <c r="AD32" s="37">
        <f t="shared" ref="AD32:AF32" si="79">AD33+AD34+AD35+AD36</f>
        <v>8054</v>
      </c>
      <c r="AE32" s="37">
        <f t="shared" si="79"/>
        <v>63</v>
      </c>
      <c r="AF32" s="37">
        <f t="shared" si="79"/>
        <v>196</v>
      </c>
      <c r="AG32" s="37">
        <f t="shared" ref="AG32:AG36" si="99">AH32+AI32+AJ32</f>
        <v>362</v>
      </c>
      <c r="AH32" s="37">
        <f t="shared" ref="AH32:AJ32" si="80">AH33+AH34+AH35+AH36</f>
        <v>322</v>
      </c>
      <c r="AI32" s="37">
        <f t="shared" si="80"/>
        <v>40</v>
      </c>
      <c r="AJ32" s="37">
        <f t="shared" si="80"/>
        <v>0</v>
      </c>
      <c r="AK32" s="37">
        <f t="shared" ref="AK32:AK36" si="101">AL32+AM32+AN32</f>
        <v>52</v>
      </c>
      <c r="AL32" s="37">
        <f t="shared" ref="AL32:AN32" si="81">AL33+AL34+AL35+AL36</f>
        <v>42</v>
      </c>
      <c r="AM32" s="37">
        <f t="shared" si="81"/>
        <v>0</v>
      </c>
      <c r="AN32" s="37">
        <f t="shared" si="81"/>
        <v>10</v>
      </c>
      <c r="AO32" s="37">
        <f t="shared" ref="AO32:AO36" si="103">AP32+AQ32+AR32</f>
        <v>24</v>
      </c>
      <c r="AP32" s="37">
        <f t="shared" ref="AP32:AR32" si="82">AP33+AP34+AP35+AP36</f>
        <v>14</v>
      </c>
      <c r="AQ32" s="37">
        <f t="shared" si="82"/>
        <v>0</v>
      </c>
      <c r="AR32" s="37">
        <f t="shared" si="82"/>
        <v>10</v>
      </c>
      <c r="AS32" s="37">
        <f t="shared" ref="AS32:AS36" si="105">AT32+AU32+AV32</f>
        <v>24</v>
      </c>
      <c r="AT32" s="37">
        <f t="shared" ref="AT32:AV32" si="83">AT33+AT34+AT35+AT36</f>
        <v>14</v>
      </c>
      <c r="AU32" s="37">
        <f t="shared" si="83"/>
        <v>0</v>
      </c>
      <c r="AV32" s="37">
        <f t="shared" si="83"/>
        <v>10</v>
      </c>
      <c r="AW32" s="37">
        <f t="shared" ref="AW32:AW36" si="107">AX32+AY32+AZ32</f>
        <v>24</v>
      </c>
      <c r="AX32" s="37">
        <f t="shared" ref="AX32:AZ32" si="84">AX33+AX34+AX35+AX36</f>
        <v>14</v>
      </c>
      <c r="AY32" s="37">
        <f t="shared" si="84"/>
        <v>0</v>
      </c>
      <c r="AZ32" s="38">
        <f t="shared" si="84"/>
        <v>10</v>
      </c>
      <c r="BA32" s="34"/>
    </row>
    <row r="33" ht="15.75" customHeight="1">
      <c r="A33" s="29"/>
      <c r="B33" s="67" t="s">
        <v>29</v>
      </c>
      <c r="C33" s="49"/>
      <c r="D33" s="57" t="s">
        <v>30</v>
      </c>
      <c r="E33" s="41">
        <f t="shared" si="85"/>
        <v>1614</v>
      </c>
      <c r="F33" s="41">
        <f t="shared" ref="F33:H33" si="86">F38+F39</f>
        <v>1414</v>
      </c>
      <c r="G33" s="41">
        <f t="shared" si="86"/>
        <v>25</v>
      </c>
      <c r="H33" s="41">
        <f t="shared" si="86"/>
        <v>175</v>
      </c>
      <c r="I33" s="41">
        <f t="shared" si="87"/>
        <v>1614</v>
      </c>
      <c r="J33" s="41">
        <f t="shared" ref="J33:L33" si="88">J38+J39</f>
        <v>1414</v>
      </c>
      <c r="K33" s="41">
        <f t="shared" si="88"/>
        <v>25</v>
      </c>
      <c r="L33" s="41">
        <f t="shared" si="88"/>
        <v>175</v>
      </c>
      <c r="M33" s="41">
        <f t="shared" si="89"/>
        <v>1609</v>
      </c>
      <c r="N33" s="41">
        <f t="shared" ref="N33:P33" si="90">N38+N39</f>
        <v>1415</v>
      </c>
      <c r="O33" s="41">
        <f t="shared" si="90"/>
        <v>23</v>
      </c>
      <c r="P33" s="41">
        <f t="shared" si="90"/>
        <v>171</v>
      </c>
      <c r="Q33" s="41">
        <f t="shared" si="91"/>
        <v>1612</v>
      </c>
      <c r="R33" s="41">
        <f t="shared" ref="R33:T33" si="92">R38+R39</f>
        <v>1417</v>
      </c>
      <c r="S33" s="41">
        <f t="shared" si="92"/>
        <v>23</v>
      </c>
      <c r="T33" s="41">
        <f t="shared" si="92"/>
        <v>172</v>
      </c>
      <c r="U33" s="41">
        <f t="shared" si="93"/>
        <v>1612</v>
      </c>
      <c r="V33" s="41">
        <f t="shared" ref="V33:X33" si="94">V38+V39</f>
        <v>1417</v>
      </c>
      <c r="W33" s="41">
        <f t="shared" si="94"/>
        <v>23</v>
      </c>
      <c r="X33" s="41">
        <f t="shared" si="94"/>
        <v>172</v>
      </c>
      <c r="Y33" s="41">
        <f t="shared" si="95"/>
        <v>1616</v>
      </c>
      <c r="Z33" s="41">
        <f t="shared" ref="Z33:AB33" si="96">Z38+Z39</f>
        <v>1418</v>
      </c>
      <c r="AA33" s="41">
        <f t="shared" si="96"/>
        <v>23</v>
      </c>
      <c r="AB33" s="41">
        <f t="shared" si="96"/>
        <v>175</v>
      </c>
      <c r="AC33" s="41">
        <f t="shared" si="97"/>
        <v>1616</v>
      </c>
      <c r="AD33" s="41">
        <f t="shared" ref="AD33:AF33" si="98">AD38+AD39</f>
        <v>1418</v>
      </c>
      <c r="AE33" s="41">
        <f t="shared" si="98"/>
        <v>23</v>
      </c>
      <c r="AF33" s="41">
        <f t="shared" si="98"/>
        <v>175</v>
      </c>
      <c r="AG33" s="41">
        <f t="shared" si="99"/>
        <v>0</v>
      </c>
      <c r="AH33" s="41">
        <f t="shared" ref="AH33:AJ33" si="100">AH38+AH39</f>
        <v>0</v>
      </c>
      <c r="AI33" s="41">
        <f t="shared" si="100"/>
        <v>0</v>
      </c>
      <c r="AJ33" s="41">
        <f t="shared" si="100"/>
        <v>0</v>
      </c>
      <c r="AK33" s="41">
        <f t="shared" si="101"/>
        <v>0</v>
      </c>
      <c r="AL33" s="41">
        <f t="shared" ref="AL33:AN33" si="102">AL38+AL39</f>
        <v>0</v>
      </c>
      <c r="AM33" s="41">
        <f t="shared" si="102"/>
        <v>0</v>
      </c>
      <c r="AN33" s="41">
        <f t="shared" si="102"/>
        <v>0</v>
      </c>
      <c r="AO33" s="41">
        <f t="shared" si="103"/>
        <v>0</v>
      </c>
      <c r="AP33" s="41">
        <f t="shared" ref="AP33:AR33" si="104">AP38+AP39</f>
        <v>0</v>
      </c>
      <c r="AQ33" s="41">
        <f t="shared" si="104"/>
        <v>0</v>
      </c>
      <c r="AR33" s="41">
        <f t="shared" si="104"/>
        <v>0</v>
      </c>
      <c r="AS33" s="41">
        <f t="shared" si="105"/>
        <v>0</v>
      </c>
      <c r="AT33" s="41">
        <f t="shared" ref="AT33:AV33" si="106">AT38+AT39</f>
        <v>0</v>
      </c>
      <c r="AU33" s="41">
        <f t="shared" si="106"/>
        <v>0</v>
      </c>
      <c r="AV33" s="41">
        <f t="shared" si="106"/>
        <v>0</v>
      </c>
      <c r="AW33" s="41">
        <f t="shared" si="107"/>
        <v>0</v>
      </c>
      <c r="AX33" s="41">
        <f t="shared" ref="AX33:AZ33" si="108">AX38+AX39</f>
        <v>0</v>
      </c>
      <c r="AY33" s="41">
        <f t="shared" si="108"/>
        <v>0</v>
      </c>
      <c r="AZ33" s="50">
        <f t="shared" si="108"/>
        <v>0</v>
      </c>
      <c r="BA33" s="34"/>
    </row>
    <row r="34" ht="15.75" customHeight="1">
      <c r="A34" s="29"/>
      <c r="B34" s="67" t="s">
        <v>31</v>
      </c>
      <c r="C34" s="49"/>
      <c r="D34" s="57" t="s">
        <v>30</v>
      </c>
      <c r="E34" s="41">
        <f t="shared" si="85"/>
        <v>3873</v>
      </c>
      <c r="F34" s="41">
        <f t="shared" ref="F34:H34" si="109">F40+F41+F42+F43+F44</f>
        <v>3837</v>
      </c>
      <c r="G34" s="41">
        <f t="shared" si="109"/>
        <v>29</v>
      </c>
      <c r="H34" s="41">
        <f t="shared" si="109"/>
        <v>7</v>
      </c>
      <c r="I34" s="41">
        <f t="shared" si="87"/>
        <v>3872</v>
      </c>
      <c r="J34" s="41">
        <f t="shared" ref="J34:L34" si="110">J40+J41+J42+J43+J44</f>
        <v>3836</v>
      </c>
      <c r="K34" s="41">
        <f t="shared" si="110"/>
        <v>29</v>
      </c>
      <c r="L34" s="41">
        <f t="shared" si="110"/>
        <v>7</v>
      </c>
      <c r="M34" s="41">
        <f t="shared" si="89"/>
        <v>3872</v>
      </c>
      <c r="N34" s="41">
        <f t="shared" ref="N34:P34" si="111">N40+N41+N42+N43+N44</f>
        <v>3836</v>
      </c>
      <c r="O34" s="41">
        <f t="shared" si="111"/>
        <v>29</v>
      </c>
      <c r="P34" s="41">
        <f t="shared" si="111"/>
        <v>7</v>
      </c>
      <c r="Q34" s="41">
        <f t="shared" si="91"/>
        <v>3879</v>
      </c>
      <c r="R34" s="41">
        <f t="shared" ref="R34:T34" si="112">R40+R41+R42+R43+R44</f>
        <v>3843</v>
      </c>
      <c r="S34" s="41">
        <f t="shared" si="112"/>
        <v>29</v>
      </c>
      <c r="T34" s="41">
        <f t="shared" si="112"/>
        <v>7</v>
      </c>
      <c r="U34" s="41">
        <f t="shared" si="93"/>
        <v>3879</v>
      </c>
      <c r="V34" s="41">
        <f t="shared" ref="V34:X34" si="113">V40+V41+V42+V43+V44</f>
        <v>3843</v>
      </c>
      <c r="W34" s="41">
        <f t="shared" si="113"/>
        <v>29</v>
      </c>
      <c r="X34" s="41">
        <f t="shared" si="113"/>
        <v>7</v>
      </c>
      <c r="Y34" s="41">
        <f t="shared" si="95"/>
        <v>3879</v>
      </c>
      <c r="Z34" s="41">
        <f t="shared" ref="Z34:AB34" si="114">Z40+Z41+Z42+Z43+Z44</f>
        <v>3843</v>
      </c>
      <c r="AA34" s="41">
        <f t="shared" si="114"/>
        <v>29</v>
      </c>
      <c r="AB34" s="41">
        <f t="shared" si="114"/>
        <v>7</v>
      </c>
      <c r="AC34" s="41">
        <f t="shared" si="97"/>
        <v>3880</v>
      </c>
      <c r="AD34" s="41">
        <f t="shared" ref="AD34:AF34" si="115">AD40+AD41+AD42+AD43+AD44</f>
        <v>3844</v>
      </c>
      <c r="AE34" s="41">
        <f t="shared" si="115"/>
        <v>29</v>
      </c>
      <c r="AF34" s="41">
        <f t="shared" si="115"/>
        <v>7</v>
      </c>
      <c r="AG34" s="41">
        <f t="shared" si="99"/>
        <v>44</v>
      </c>
      <c r="AH34" s="41">
        <f t="shared" ref="AH34:AJ34" si="116">AH40+AH41+AH42+AH43+AH44</f>
        <v>25</v>
      </c>
      <c r="AI34" s="41">
        <f t="shared" si="116"/>
        <v>19</v>
      </c>
      <c r="AJ34" s="41">
        <f t="shared" si="116"/>
        <v>0</v>
      </c>
      <c r="AK34" s="41">
        <f t="shared" si="101"/>
        <v>0</v>
      </c>
      <c r="AL34" s="41">
        <f t="shared" ref="AL34:AN34" si="117">AL40+AL41+AL42+AL43+AL44</f>
        <v>0</v>
      </c>
      <c r="AM34" s="41">
        <f t="shared" si="117"/>
        <v>0</v>
      </c>
      <c r="AN34" s="41">
        <f t="shared" si="117"/>
        <v>0</v>
      </c>
      <c r="AO34" s="41">
        <f t="shared" si="103"/>
        <v>0</v>
      </c>
      <c r="AP34" s="41">
        <f t="shared" ref="AP34:AR34" si="118">AP40+AP41+AP42+AP43+AP44</f>
        <v>0</v>
      </c>
      <c r="AQ34" s="41">
        <f t="shared" si="118"/>
        <v>0</v>
      </c>
      <c r="AR34" s="41">
        <f t="shared" si="118"/>
        <v>0</v>
      </c>
      <c r="AS34" s="41">
        <f t="shared" si="105"/>
        <v>0</v>
      </c>
      <c r="AT34" s="41">
        <f t="shared" ref="AT34:AV34" si="119">AT40+AT41+AT42+AT43+AT44</f>
        <v>0</v>
      </c>
      <c r="AU34" s="41">
        <f t="shared" si="119"/>
        <v>0</v>
      </c>
      <c r="AV34" s="41">
        <f t="shared" si="119"/>
        <v>0</v>
      </c>
      <c r="AW34" s="41">
        <f t="shared" si="107"/>
        <v>0</v>
      </c>
      <c r="AX34" s="41">
        <f t="shared" ref="AX34:AZ34" si="120">AX40+AX41+AX42+AX43+AX44</f>
        <v>0</v>
      </c>
      <c r="AY34" s="41">
        <f t="shared" si="120"/>
        <v>0</v>
      </c>
      <c r="AZ34" s="50">
        <f t="shared" si="120"/>
        <v>0</v>
      </c>
      <c r="BA34" s="34"/>
    </row>
    <row r="35" ht="15.75" customHeight="1">
      <c r="A35" s="29"/>
      <c r="B35" s="67" t="s">
        <v>33</v>
      </c>
      <c r="C35" s="49"/>
      <c r="D35" s="57" t="s">
        <v>30</v>
      </c>
      <c r="E35" s="41">
        <f t="shared" si="85"/>
        <v>2061</v>
      </c>
      <c r="F35" s="41">
        <f t="shared" ref="F35:H35" si="121">F45+F46+F47+F48</f>
        <v>2041</v>
      </c>
      <c r="G35" s="41">
        <f t="shared" si="121"/>
        <v>11</v>
      </c>
      <c r="H35" s="41">
        <f t="shared" si="121"/>
        <v>9</v>
      </c>
      <c r="I35" s="41">
        <f t="shared" si="87"/>
        <v>2031</v>
      </c>
      <c r="J35" s="41">
        <f t="shared" ref="J35:L35" si="122">J45+J46+J47+J48</f>
        <v>2014</v>
      </c>
      <c r="K35" s="41">
        <f t="shared" si="122"/>
        <v>11</v>
      </c>
      <c r="L35" s="41">
        <f t="shared" si="122"/>
        <v>6</v>
      </c>
      <c r="M35" s="41">
        <f t="shared" si="89"/>
        <v>2006</v>
      </c>
      <c r="N35" s="41">
        <f t="shared" ref="N35:P35" si="123">N45+N46+N47+N48</f>
        <v>1989</v>
      </c>
      <c r="O35" s="41">
        <f t="shared" si="123"/>
        <v>11</v>
      </c>
      <c r="P35" s="41">
        <f t="shared" si="123"/>
        <v>6</v>
      </c>
      <c r="Q35" s="41">
        <f t="shared" si="91"/>
        <v>2009</v>
      </c>
      <c r="R35" s="41">
        <f t="shared" ref="R35:T35" si="124">R45+R46+R47+R48</f>
        <v>1989</v>
      </c>
      <c r="S35" s="41">
        <f t="shared" si="124"/>
        <v>11</v>
      </c>
      <c r="T35" s="41">
        <f t="shared" si="124"/>
        <v>9</v>
      </c>
      <c r="U35" s="41">
        <f t="shared" si="93"/>
        <v>2019</v>
      </c>
      <c r="V35" s="41">
        <f t="shared" ref="V35:X35" si="125">V45+V46+V47+V48</f>
        <v>1999</v>
      </c>
      <c r="W35" s="41">
        <f t="shared" si="125"/>
        <v>11</v>
      </c>
      <c r="X35" s="41">
        <f t="shared" si="125"/>
        <v>9</v>
      </c>
      <c r="Y35" s="41">
        <f t="shared" si="95"/>
        <v>2019</v>
      </c>
      <c r="Z35" s="41">
        <f t="shared" ref="Z35:AB35" si="126">Z45+Z46+Z47+Z48</f>
        <v>1999</v>
      </c>
      <c r="AA35" s="41">
        <f t="shared" si="126"/>
        <v>11</v>
      </c>
      <c r="AB35" s="41">
        <f t="shared" si="126"/>
        <v>9</v>
      </c>
      <c r="AC35" s="41">
        <f t="shared" si="97"/>
        <v>2019</v>
      </c>
      <c r="AD35" s="41">
        <f t="shared" ref="AD35:AF35" si="127">AD45+AD46+AD47+AD48</f>
        <v>1999</v>
      </c>
      <c r="AE35" s="41">
        <f t="shared" si="127"/>
        <v>11</v>
      </c>
      <c r="AF35" s="41">
        <f t="shared" si="127"/>
        <v>9</v>
      </c>
      <c r="AG35" s="41">
        <f t="shared" si="99"/>
        <v>74</v>
      </c>
      <c r="AH35" s="41">
        <f t="shared" ref="AH35:AJ35" si="128">AH45+AH46+AH47+AH48</f>
        <v>58</v>
      </c>
      <c r="AI35" s="41">
        <f t="shared" si="128"/>
        <v>16</v>
      </c>
      <c r="AJ35" s="41">
        <f t="shared" si="128"/>
        <v>0</v>
      </c>
      <c r="AK35" s="41">
        <f t="shared" si="101"/>
        <v>13</v>
      </c>
      <c r="AL35" s="41">
        <f t="shared" ref="AL35:AN35" si="129">AL45+AL46+AL47+AL48</f>
        <v>8</v>
      </c>
      <c r="AM35" s="41">
        <f t="shared" si="129"/>
        <v>0</v>
      </c>
      <c r="AN35" s="41">
        <f t="shared" si="129"/>
        <v>5</v>
      </c>
      <c r="AO35" s="41">
        <f t="shared" si="103"/>
        <v>13</v>
      </c>
      <c r="AP35" s="41">
        <f t="shared" ref="AP35:AR35" si="130">AP45+AP46+AP47+AP48</f>
        <v>8</v>
      </c>
      <c r="AQ35" s="41">
        <f t="shared" si="130"/>
        <v>0</v>
      </c>
      <c r="AR35" s="41">
        <f t="shared" si="130"/>
        <v>5</v>
      </c>
      <c r="AS35" s="41">
        <f t="shared" si="105"/>
        <v>13</v>
      </c>
      <c r="AT35" s="41">
        <f t="shared" ref="AT35:AV35" si="131">AT45+AT46+AT47+AT48</f>
        <v>8</v>
      </c>
      <c r="AU35" s="41">
        <f t="shared" si="131"/>
        <v>0</v>
      </c>
      <c r="AV35" s="41">
        <f t="shared" si="131"/>
        <v>5</v>
      </c>
      <c r="AW35" s="41">
        <f t="shared" si="107"/>
        <v>13</v>
      </c>
      <c r="AX35" s="41">
        <f t="shared" ref="AX35:AZ35" si="132">AX45+AX46+AX47+AX48</f>
        <v>8</v>
      </c>
      <c r="AY35" s="41">
        <f t="shared" si="132"/>
        <v>0</v>
      </c>
      <c r="AZ35" s="50">
        <f t="shared" si="132"/>
        <v>5</v>
      </c>
      <c r="BA35" s="34"/>
    </row>
    <row r="36" ht="15.75" customHeight="1">
      <c r="A36" s="29"/>
      <c r="B36" s="67" t="s">
        <v>51</v>
      </c>
      <c r="C36" s="49"/>
      <c r="D36" s="57" t="s">
        <v>30</v>
      </c>
      <c r="E36" s="41">
        <f t="shared" si="85"/>
        <v>874</v>
      </c>
      <c r="F36" s="41">
        <f t="shared" ref="F36:H36" si="133">F49+F50+F51</f>
        <v>869</v>
      </c>
      <c r="G36" s="41">
        <f t="shared" si="133"/>
        <v>0</v>
      </c>
      <c r="H36" s="41">
        <f t="shared" si="133"/>
        <v>5</v>
      </c>
      <c r="I36" s="41">
        <f t="shared" si="87"/>
        <v>841</v>
      </c>
      <c r="J36" s="41">
        <f t="shared" ref="J36:L36" si="134">J49+J50+J51</f>
        <v>841</v>
      </c>
      <c r="K36" s="41">
        <f t="shared" si="134"/>
        <v>0</v>
      </c>
      <c r="L36" s="41">
        <f t="shared" si="134"/>
        <v>0</v>
      </c>
      <c r="M36" s="41">
        <f t="shared" si="89"/>
        <v>787</v>
      </c>
      <c r="N36" s="41">
        <f t="shared" ref="N36:P36" si="135">N49+N50+N51</f>
        <v>787</v>
      </c>
      <c r="O36" s="41">
        <f t="shared" si="135"/>
        <v>0</v>
      </c>
      <c r="P36" s="41">
        <f t="shared" si="135"/>
        <v>0</v>
      </c>
      <c r="Q36" s="41">
        <f t="shared" si="91"/>
        <v>781</v>
      </c>
      <c r="R36" s="41">
        <f t="shared" ref="R36:T36" si="136">R49+R50+R51</f>
        <v>776</v>
      </c>
      <c r="S36" s="41">
        <f t="shared" si="136"/>
        <v>0</v>
      </c>
      <c r="T36" s="41">
        <f t="shared" si="136"/>
        <v>5</v>
      </c>
      <c r="U36" s="41">
        <f t="shared" si="93"/>
        <v>798</v>
      </c>
      <c r="V36" s="41">
        <f t="shared" ref="V36:X36" si="137">V49+V50+V51</f>
        <v>793</v>
      </c>
      <c r="W36" s="41">
        <f t="shared" si="137"/>
        <v>0</v>
      </c>
      <c r="X36" s="41">
        <f t="shared" si="137"/>
        <v>5</v>
      </c>
      <c r="Y36" s="41">
        <f t="shared" si="95"/>
        <v>798</v>
      </c>
      <c r="Z36" s="41">
        <f t="shared" ref="Z36:AB36" si="138">Z49+Z50+Z51</f>
        <v>793</v>
      </c>
      <c r="AA36" s="41">
        <f t="shared" si="138"/>
        <v>0</v>
      </c>
      <c r="AB36" s="41">
        <f t="shared" si="138"/>
        <v>5</v>
      </c>
      <c r="AC36" s="41">
        <f t="shared" si="97"/>
        <v>798</v>
      </c>
      <c r="AD36" s="41">
        <f t="shared" ref="AD36:AF36" si="139">AD49+AD50+AD51</f>
        <v>793</v>
      </c>
      <c r="AE36" s="41">
        <f t="shared" si="139"/>
        <v>0</v>
      </c>
      <c r="AF36" s="41">
        <f t="shared" si="139"/>
        <v>5</v>
      </c>
      <c r="AG36" s="41">
        <f t="shared" si="99"/>
        <v>244</v>
      </c>
      <c r="AH36" s="41">
        <f t="shared" ref="AH36:AJ36" si="140">AH49+AH50+AH51</f>
        <v>239</v>
      </c>
      <c r="AI36" s="41">
        <f t="shared" si="140"/>
        <v>5</v>
      </c>
      <c r="AJ36" s="41">
        <f t="shared" si="140"/>
        <v>0</v>
      </c>
      <c r="AK36" s="41">
        <f t="shared" si="101"/>
        <v>39</v>
      </c>
      <c r="AL36" s="41">
        <f t="shared" ref="AL36:AN36" si="141">AL49+AL50+AL51</f>
        <v>34</v>
      </c>
      <c r="AM36" s="41">
        <f t="shared" si="141"/>
        <v>0</v>
      </c>
      <c r="AN36" s="41">
        <f t="shared" si="141"/>
        <v>5</v>
      </c>
      <c r="AO36" s="41">
        <f t="shared" si="103"/>
        <v>11</v>
      </c>
      <c r="AP36" s="41">
        <f t="shared" ref="AP36:AR36" si="142">AP49+AP50+AP51</f>
        <v>6</v>
      </c>
      <c r="AQ36" s="41">
        <f t="shared" si="142"/>
        <v>0</v>
      </c>
      <c r="AR36" s="41">
        <f t="shared" si="142"/>
        <v>5</v>
      </c>
      <c r="AS36" s="41">
        <f t="shared" si="105"/>
        <v>11</v>
      </c>
      <c r="AT36" s="41">
        <f t="shared" ref="AT36:AV36" si="143">AT49+AT50+AT51</f>
        <v>6</v>
      </c>
      <c r="AU36" s="41">
        <f t="shared" si="143"/>
        <v>0</v>
      </c>
      <c r="AV36" s="41">
        <f t="shared" si="143"/>
        <v>5</v>
      </c>
      <c r="AW36" s="41">
        <f t="shared" si="107"/>
        <v>11</v>
      </c>
      <c r="AX36" s="41">
        <f t="shared" ref="AX36:AZ36" si="144">AX49+AX50+AX51</f>
        <v>6</v>
      </c>
      <c r="AY36" s="41">
        <f t="shared" si="144"/>
        <v>0</v>
      </c>
      <c r="AZ36" s="50">
        <f t="shared" si="144"/>
        <v>5</v>
      </c>
      <c r="BA36" s="34"/>
    </row>
    <row r="37" ht="15.75" customHeight="1">
      <c r="A37" s="29"/>
      <c r="B37" s="48" t="s">
        <v>52</v>
      </c>
      <c r="C37" s="49"/>
      <c r="D37" s="3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50"/>
      <c r="BA37" s="34"/>
    </row>
    <row r="38" ht="15.75" customHeight="1">
      <c r="A38" s="29"/>
      <c r="B38" s="68" t="s">
        <v>53</v>
      </c>
      <c r="C38" s="69"/>
      <c r="D38" s="70" t="s">
        <v>54</v>
      </c>
      <c r="E38" s="71">
        <f t="shared" ref="E38:E52" si="145">F38+G38+H38</f>
        <v>150</v>
      </c>
      <c r="F38" s="72">
        <f>'1.MN'!F18</f>
        <v>106</v>
      </c>
      <c r="G38" s="72">
        <f>'1.MN'!G18</f>
        <v>2</v>
      </c>
      <c r="H38" s="72">
        <f>'1.MN'!H18</f>
        <v>42</v>
      </c>
      <c r="I38" s="71">
        <f t="shared" ref="I38:I52" si="146">J38+K38+L38</f>
        <v>150</v>
      </c>
      <c r="J38" s="72">
        <f>'1.MN'!J18</f>
        <v>106</v>
      </c>
      <c r="K38" s="72">
        <f>'1.MN'!K18</f>
        <v>2</v>
      </c>
      <c r="L38" s="72">
        <f>'1.MN'!L18</f>
        <v>42</v>
      </c>
      <c r="M38" s="71">
        <f t="shared" ref="M38:M52" si="147">N38+O38+P38</f>
        <v>146</v>
      </c>
      <c r="N38" s="72">
        <f>'1.MN'!N18</f>
        <v>106</v>
      </c>
      <c r="O38" s="72">
        <f>'1.MN'!O18</f>
        <v>2</v>
      </c>
      <c r="P38" s="72">
        <f>'1.MN'!P18</f>
        <v>38</v>
      </c>
      <c r="Q38" s="71">
        <f t="shared" ref="Q38:Q52" si="148">R38+S38+T38</f>
        <v>148</v>
      </c>
      <c r="R38" s="72">
        <f>'1.MN'!R18</f>
        <v>107</v>
      </c>
      <c r="S38" s="72">
        <f>'1.MN'!S18</f>
        <v>2</v>
      </c>
      <c r="T38" s="72">
        <f>'1.MN'!T18</f>
        <v>39</v>
      </c>
      <c r="U38" s="71">
        <f t="shared" ref="U38:U52" si="149">V38+W38+X38</f>
        <v>148</v>
      </c>
      <c r="V38" s="72">
        <f>'1.MN'!V18</f>
        <v>107</v>
      </c>
      <c r="W38" s="72">
        <f>'1.MN'!W18</f>
        <v>2</v>
      </c>
      <c r="X38" s="72">
        <f>'1.MN'!X18</f>
        <v>39</v>
      </c>
      <c r="Y38" s="71">
        <f t="shared" ref="Y38:Y52" si="150">Z38+AA38+AB38</f>
        <v>149</v>
      </c>
      <c r="Z38" s="72">
        <f>'1.MN'!Z18</f>
        <v>107</v>
      </c>
      <c r="AA38" s="72">
        <f>'1.MN'!AA18</f>
        <v>2</v>
      </c>
      <c r="AB38" s="72">
        <f>'1.MN'!AB18</f>
        <v>40</v>
      </c>
      <c r="AC38" s="71">
        <f t="shared" ref="AC38:AC52" si="151">AD38+AE38+AF38</f>
        <v>149</v>
      </c>
      <c r="AD38" s="72">
        <f>'1.MN'!AD18</f>
        <v>107</v>
      </c>
      <c r="AE38" s="72">
        <f>'1.MN'!AE18</f>
        <v>2</v>
      </c>
      <c r="AF38" s="72">
        <f>'1.MN'!AF18</f>
        <v>40</v>
      </c>
      <c r="AG38" s="71">
        <f t="shared" ref="AG38:AG52" si="152">AH38+AI38+AJ38</f>
        <v>0</v>
      </c>
      <c r="AH38" s="72">
        <f>'1.MN'!AH18</f>
        <v>0</v>
      </c>
      <c r="AI38" s="72">
        <f>'1.MN'!AI18</f>
        <v>0</v>
      </c>
      <c r="AJ38" s="72">
        <f>'1.MN'!AJ18</f>
        <v>0</v>
      </c>
      <c r="AK38" s="71">
        <f t="shared" ref="AK38:AK52" si="153">AL38+AM38+AN38</f>
        <v>0</v>
      </c>
      <c r="AL38" s="72">
        <f>'1.MN'!AL18</f>
        <v>0</v>
      </c>
      <c r="AM38" s="72">
        <f>'1.MN'!AM18</f>
        <v>0</v>
      </c>
      <c r="AN38" s="72">
        <f>'1.MN'!AN18</f>
        <v>0</v>
      </c>
      <c r="AO38" s="71">
        <f t="shared" ref="AO38:AO52" si="154">AP38+AQ38+AR38</f>
        <v>0</v>
      </c>
      <c r="AP38" s="72">
        <f>'1.MN'!AP18</f>
        <v>0</v>
      </c>
      <c r="AQ38" s="72">
        <f>'1.MN'!AQ18</f>
        <v>0</v>
      </c>
      <c r="AR38" s="72">
        <f>'1.MN'!AR18</f>
        <v>0</v>
      </c>
      <c r="AS38" s="71">
        <f t="shared" ref="AS38:AS52" si="155">AT38+AU38+AV38</f>
        <v>0</v>
      </c>
      <c r="AT38" s="72">
        <f>'1.MN'!AT18</f>
        <v>0</v>
      </c>
      <c r="AU38" s="72">
        <f>'1.MN'!AU18</f>
        <v>0</v>
      </c>
      <c r="AV38" s="72">
        <f>'1.MN'!AV18</f>
        <v>0</v>
      </c>
      <c r="AW38" s="71">
        <f t="shared" ref="AW38:AW52" si="156">AX38+AY38+AZ38</f>
        <v>0</v>
      </c>
      <c r="AX38" s="72">
        <f>'1.MN'!AX18</f>
        <v>0</v>
      </c>
      <c r="AY38" s="72">
        <f>'1.MN'!AY18</f>
        <v>0</v>
      </c>
      <c r="AZ38" s="73">
        <f>'1.MN'!AZ18</f>
        <v>0</v>
      </c>
      <c r="BA38" s="34"/>
    </row>
    <row r="39" ht="15.75" customHeight="1">
      <c r="A39" s="29"/>
      <c r="B39" s="68" t="s">
        <v>55</v>
      </c>
      <c r="C39" s="69"/>
      <c r="D39" s="70" t="s">
        <v>50</v>
      </c>
      <c r="E39" s="71">
        <f t="shared" si="145"/>
        <v>1464</v>
      </c>
      <c r="F39" s="72">
        <f>'1.MN'!F19</f>
        <v>1308</v>
      </c>
      <c r="G39" s="72">
        <f>'1.MN'!G19</f>
        <v>23</v>
      </c>
      <c r="H39" s="72">
        <f>'1.MN'!H19</f>
        <v>133</v>
      </c>
      <c r="I39" s="71">
        <f t="shared" si="146"/>
        <v>1464</v>
      </c>
      <c r="J39" s="72">
        <f>'1.MN'!J19</f>
        <v>1308</v>
      </c>
      <c r="K39" s="72">
        <f>'1.MN'!K19</f>
        <v>23</v>
      </c>
      <c r="L39" s="72">
        <f>'1.MN'!L19</f>
        <v>133</v>
      </c>
      <c r="M39" s="71">
        <f t="shared" si="147"/>
        <v>1463</v>
      </c>
      <c r="N39" s="72">
        <f>'1.MN'!N19</f>
        <v>1309</v>
      </c>
      <c r="O39" s="72">
        <f>'1.MN'!O19</f>
        <v>21</v>
      </c>
      <c r="P39" s="72">
        <f>'1.MN'!P19</f>
        <v>133</v>
      </c>
      <c r="Q39" s="71">
        <f t="shared" si="148"/>
        <v>1464</v>
      </c>
      <c r="R39" s="72">
        <f>'1.MN'!R19</f>
        <v>1310</v>
      </c>
      <c r="S39" s="72">
        <f>'1.MN'!S19</f>
        <v>21</v>
      </c>
      <c r="T39" s="72">
        <f>'1.MN'!T19</f>
        <v>133</v>
      </c>
      <c r="U39" s="71">
        <f t="shared" si="149"/>
        <v>1464</v>
      </c>
      <c r="V39" s="72">
        <f>'1.MN'!V19</f>
        <v>1310</v>
      </c>
      <c r="W39" s="72">
        <f>'1.MN'!W19</f>
        <v>21</v>
      </c>
      <c r="X39" s="72">
        <f>'1.MN'!X19</f>
        <v>133</v>
      </c>
      <c r="Y39" s="71">
        <f t="shared" si="150"/>
        <v>1467</v>
      </c>
      <c r="Z39" s="72">
        <f>'1.MN'!Z19</f>
        <v>1311</v>
      </c>
      <c r="AA39" s="72">
        <f>'1.MN'!AA19</f>
        <v>21</v>
      </c>
      <c r="AB39" s="72">
        <f>'1.MN'!AB19</f>
        <v>135</v>
      </c>
      <c r="AC39" s="71">
        <f t="shared" si="151"/>
        <v>1467</v>
      </c>
      <c r="AD39" s="72">
        <f>'1.MN'!AD19</f>
        <v>1311</v>
      </c>
      <c r="AE39" s="72">
        <f>'1.MN'!AE19</f>
        <v>21</v>
      </c>
      <c r="AF39" s="72">
        <f>'1.MN'!AF19</f>
        <v>135</v>
      </c>
      <c r="AG39" s="71">
        <f t="shared" si="152"/>
        <v>0</v>
      </c>
      <c r="AH39" s="72">
        <f>'1.MN'!AH19</f>
        <v>0</v>
      </c>
      <c r="AI39" s="72">
        <f>'1.MN'!AI19</f>
        <v>0</v>
      </c>
      <c r="AJ39" s="72">
        <f>'1.MN'!AJ19</f>
        <v>0</v>
      </c>
      <c r="AK39" s="71">
        <f t="shared" si="153"/>
        <v>0</v>
      </c>
      <c r="AL39" s="72">
        <f>'1.MN'!AL19</f>
        <v>0</v>
      </c>
      <c r="AM39" s="72">
        <f>'1.MN'!AM19</f>
        <v>0</v>
      </c>
      <c r="AN39" s="72">
        <f>'1.MN'!AN19</f>
        <v>0</v>
      </c>
      <c r="AO39" s="71">
        <f t="shared" si="154"/>
        <v>0</v>
      </c>
      <c r="AP39" s="72">
        <f>'1.MN'!AP19</f>
        <v>0</v>
      </c>
      <c r="AQ39" s="72">
        <f>'1.MN'!AQ19</f>
        <v>0</v>
      </c>
      <c r="AR39" s="72">
        <f>'1.MN'!AR19</f>
        <v>0</v>
      </c>
      <c r="AS39" s="71">
        <f t="shared" si="155"/>
        <v>0</v>
      </c>
      <c r="AT39" s="72">
        <f>'1.MN'!AT19</f>
        <v>0</v>
      </c>
      <c r="AU39" s="72">
        <f>'1.MN'!AU19</f>
        <v>0</v>
      </c>
      <c r="AV39" s="72">
        <f>'1.MN'!AV19</f>
        <v>0</v>
      </c>
      <c r="AW39" s="71">
        <f t="shared" si="156"/>
        <v>0</v>
      </c>
      <c r="AX39" s="72">
        <f>'1.MN'!AX19</f>
        <v>0</v>
      </c>
      <c r="AY39" s="72">
        <f>'1.MN'!AY19</f>
        <v>0</v>
      </c>
      <c r="AZ39" s="73">
        <f>'1.MN'!AZ19</f>
        <v>0</v>
      </c>
      <c r="BA39" s="34"/>
    </row>
    <row r="40" ht="15.75" customHeight="1">
      <c r="A40" s="29"/>
      <c r="B40" s="74" t="s">
        <v>56</v>
      </c>
      <c r="C40" s="75"/>
      <c r="D40" s="76" t="s">
        <v>30</v>
      </c>
      <c r="E40" s="77">
        <f t="shared" si="145"/>
        <v>807</v>
      </c>
      <c r="F40" s="78">
        <f>'2.TH'!F17+'4.TH-THCS'!F17</f>
        <v>799</v>
      </c>
      <c r="G40" s="78">
        <f>'2.TH'!G17+'4.TH-THCS'!G17</f>
        <v>6</v>
      </c>
      <c r="H40" s="78">
        <f>'2.TH'!H17+'4.TH-THCS'!H17</f>
        <v>2</v>
      </c>
      <c r="I40" s="77">
        <f t="shared" si="146"/>
        <v>807</v>
      </c>
      <c r="J40" s="78">
        <f>'2.TH'!J17+'4.TH-THCS'!J17</f>
        <v>799</v>
      </c>
      <c r="K40" s="78">
        <f>'2.TH'!K17+'4.TH-THCS'!K17</f>
        <v>6</v>
      </c>
      <c r="L40" s="78">
        <f>'2.TH'!L17+'4.TH-THCS'!L17</f>
        <v>2</v>
      </c>
      <c r="M40" s="77">
        <f t="shared" si="147"/>
        <v>807</v>
      </c>
      <c r="N40" s="78">
        <f>'2.TH'!N17+'4.TH-THCS'!N17</f>
        <v>799</v>
      </c>
      <c r="O40" s="78">
        <f>'2.TH'!O17+'4.TH-THCS'!O17</f>
        <v>6</v>
      </c>
      <c r="P40" s="78">
        <f>'2.TH'!P17+'4.TH-THCS'!P17</f>
        <v>2</v>
      </c>
      <c r="Q40" s="77">
        <f t="shared" si="148"/>
        <v>809</v>
      </c>
      <c r="R40" s="78">
        <f>'2.TH'!R17+'4.TH-THCS'!R17</f>
        <v>801</v>
      </c>
      <c r="S40" s="78">
        <f>'2.TH'!S17+'4.TH-THCS'!S17</f>
        <v>6</v>
      </c>
      <c r="T40" s="78">
        <f>'2.TH'!T17+'4.TH-THCS'!T17</f>
        <v>2</v>
      </c>
      <c r="U40" s="77">
        <f t="shared" si="149"/>
        <v>809</v>
      </c>
      <c r="V40" s="78">
        <f>'2.TH'!V17+'4.TH-THCS'!V17</f>
        <v>801</v>
      </c>
      <c r="W40" s="78">
        <f>'2.TH'!W17+'4.TH-THCS'!W17</f>
        <v>6</v>
      </c>
      <c r="X40" s="78">
        <f>'2.TH'!X17+'4.TH-THCS'!X17</f>
        <v>2</v>
      </c>
      <c r="Y40" s="77">
        <f t="shared" si="150"/>
        <v>809</v>
      </c>
      <c r="Z40" s="78">
        <f>'2.TH'!Z17+'4.TH-THCS'!Z17</f>
        <v>801</v>
      </c>
      <c r="AA40" s="78">
        <f>'2.TH'!AA17+'4.TH-THCS'!AA17</f>
        <v>6</v>
      </c>
      <c r="AB40" s="78">
        <f>'2.TH'!AB17+'4.TH-THCS'!AB17</f>
        <v>2</v>
      </c>
      <c r="AC40" s="77">
        <f t="shared" si="151"/>
        <v>809</v>
      </c>
      <c r="AD40" s="78">
        <f>'2.TH'!AD17+'4.TH-THCS'!AD17</f>
        <v>801</v>
      </c>
      <c r="AE40" s="78">
        <f>'2.TH'!AE17+'4.TH-THCS'!AE17</f>
        <v>6</v>
      </c>
      <c r="AF40" s="78">
        <f>'2.TH'!AF17+'4.TH-THCS'!AF17</f>
        <v>2</v>
      </c>
      <c r="AG40" s="77">
        <f t="shared" si="152"/>
        <v>9</v>
      </c>
      <c r="AH40" s="78">
        <f>'2.TH'!AH17+'4.TH-THCS'!AH17</f>
        <v>5</v>
      </c>
      <c r="AI40" s="78">
        <f>'2.TH'!AI17+'4.TH-THCS'!AI17</f>
        <v>4</v>
      </c>
      <c r="AJ40" s="78">
        <f>'2.TH'!AJ17+'4.TH-THCS'!AJ17</f>
        <v>0</v>
      </c>
      <c r="AK40" s="77">
        <f t="shared" si="153"/>
        <v>0</v>
      </c>
      <c r="AL40" s="78">
        <f>'2.TH'!AL17+'4.TH-THCS'!AL17</f>
        <v>0</v>
      </c>
      <c r="AM40" s="78">
        <f>'2.TH'!AM17+'4.TH-THCS'!AM17</f>
        <v>0</v>
      </c>
      <c r="AN40" s="78">
        <f>'2.TH'!AN17+'4.TH-THCS'!AN17</f>
        <v>0</v>
      </c>
      <c r="AO40" s="77">
        <f t="shared" si="154"/>
        <v>0</v>
      </c>
      <c r="AP40" s="78">
        <f>'2.TH'!AP17+'4.TH-THCS'!AP17</f>
        <v>0</v>
      </c>
      <c r="AQ40" s="78">
        <f>'2.TH'!AQ17+'4.TH-THCS'!AQ17</f>
        <v>0</v>
      </c>
      <c r="AR40" s="78">
        <f>'2.TH'!AR17+'4.TH-THCS'!AR17</f>
        <v>0</v>
      </c>
      <c r="AS40" s="77">
        <f t="shared" si="155"/>
        <v>0</v>
      </c>
      <c r="AT40" s="78">
        <f>'2.TH'!AT17+'4.TH-THCS'!AT17</f>
        <v>0</v>
      </c>
      <c r="AU40" s="78">
        <f>'2.TH'!AU17+'4.TH-THCS'!AU17</f>
        <v>0</v>
      </c>
      <c r="AV40" s="78">
        <f>'2.TH'!AV17+'4.TH-THCS'!AV17</f>
        <v>0</v>
      </c>
      <c r="AW40" s="77">
        <f t="shared" si="156"/>
        <v>0</v>
      </c>
      <c r="AX40" s="78">
        <f>'2.TH'!AX17+'4.TH-THCS'!AX17</f>
        <v>0</v>
      </c>
      <c r="AY40" s="78">
        <f>'2.TH'!AY17+'4.TH-THCS'!AY17</f>
        <v>0</v>
      </c>
      <c r="AZ40" s="79">
        <f>'2.TH'!AZ17+'4.TH-THCS'!AZ17</f>
        <v>0</v>
      </c>
      <c r="BA40" s="34"/>
    </row>
    <row r="41" ht="15.75" customHeight="1">
      <c r="A41" s="29"/>
      <c r="B41" s="74" t="s">
        <v>57</v>
      </c>
      <c r="C41" s="75"/>
      <c r="D41" s="76" t="s">
        <v>30</v>
      </c>
      <c r="E41" s="77">
        <f t="shared" si="145"/>
        <v>785</v>
      </c>
      <c r="F41" s="78">
        <f>'2.TH'!F18+'4.TH-THCS'!F18</f>
        <v>777</v>
      </c>
      <c r="G41" s="78">
        <f>'2.TH'!G18+'4.TH-THCS'!G18</f>
        <v>6</v>
      </c>
      <c r="H41" s="78">
        <f>'2.TH'!H18+'4.TH-THCS'!H18</f>
        <v>2</v>
      </c>
      <c r="I41" s="77">
        <f t="shared" si="146"/>
        <v>784</v>
      </c>
      <c r="J41" s="78">
        <f>'2.TH'!J18+'4.TH-THCS'!J18</f>
        <v>776</v>
      </c>
      <c r="K41" s="78">
        <f>'2.TH'!K18+'4.TH-THCS'!K18</f>
        <v>6</v>
      </c>
      <c r="L41" s="78">
        <f>'2.TH'!L18+'4.TH-THCS'!L18</f>
        <v>2</v>
      </c>
      <c r="M41" s="77">
        <f t="shared" si="147"/>
        <v>784</v>
      </c>
      <c r="N41" s="78">
        <f>'2.TH'!N18+'4.TH-THCS'!N18</f>
        <v>776</v>
      </c>
      <c r="O41" s="78">
        <f>'2.TH'!O18+'4.TH-THCS'!O18</f>
        <v>6</v>
      </c>
      <c r="P41" s="78">
        <f>'2.TH'!P18+'4.TH-THCS'!P18</f>
        <v>2</v>
      </c>
      <c r="Q41" s="77">
        <f t="shared" si="148"/>
        <v>785</v>
      </c>
      <c r="R41" s="78">
        <f>'2.TH'!R18+'4.TH-THCS'!R18</f>
        <v>777</v>
      </c>
      <c r="S41" s="78">
        <f>'2.TH'!S18+'4.TH-THCS'!S18</f>
        <v>6</v>
      </c>
      <c r="T41" s="78">
        <f>'2.TH'!T18+'4.TH-THCS'!T18</f>
        <v>2</v>
      </c>
      <c r="U41" s="77">
        <f t="shared" si="149"/>
        <v>785</v>
      </c>
      <c r="V41" s="78">
        <f>'2.TH'!V18+'4.TH-THCS'!V18</f>
        <v>777</v>
      </c>
      <c r="W41" s="78">
        <f>'2.TH'!W18+'4.TH-THCS'!W18</f>
        <v>6</v>
      </c>
      <c r="X41" s="78">
        <f>'2.TH'!X18+'4.TH-THCS'!X18</f>
        <v>2</v>
      </c>
      <c r="Y41" s="77">
        <f t="shared" si="150"/>
        <v>785</v>
      </c>
      <c r="Z41" s="78">
        <f>'2.TH'!Z18+'4.TH-THCS'!Z18</f>
        <v>777</v>
      </c>
      <c r="AA41" s="78">
        <f>'2.TH'!AA18+'4.TH-THCS'!AA18</f>
        <v>6</v>
      </c>
      <c r="AB41" s="78">
        <f>'2.TH'!AB18+'4.TH-THCS'!AB18</f>
        <v>2</v>
      </c>
      <c r="AC41" s="77">
        <f t="shared" si="151"/>
        <v>785</v>
      </c>
      <c r="AD41" s="78">
        <f>'2.TH'!AD18+'4.TH-THCS'!AD18</f>
        <v>777</v>
      </c>
      <c r="AE41" s="78">
        <f>'2.TH'!AE18+'4.TH-THCS'!AE18</f>
        <v>6</v>
      </c>
      <c r="AF41" s="78">
        <f>'2.TH'!AF18+'4.TH-THCS'!AF18</f>
        <v>2</v>
      </c>
      <c r="AG41" s="77">
        <f t="shared" si="152"/>
        <v>9</v>
      </c>
      <c r="AH41" s="78">
        <f>'2.TH'!AH18+'4.TH-THCS'!AH18</f>
        <v>5</v>
      </c>
      <c r="AI41" s="78">
        <f>'2.TH'!AI18+'4.TH-THCS'!AI18</f>
        <v>4</v>
      </c>
      <c r="AJ41" s="78">
        <f>'2.TH'!AJ18+'4.TH-THCS'!AJ18</f>
        <v>0</v>
      </c>
      <c r="AK41" s="77">
        <f t="shared" si="153"/>
        <v>0</v>
      </c>
      <c r="AL41" s="78">
        <f>'2.TH'!AL18+'4.TH-THCS'!AL18</f>
        <v>0</v>
      </c>
      <c r="AM41" s="78">
        <f>'2.TH'!AM18+'4.TH-THCS'!AM18</f>
        <v>0</v>
      </c>
      <c r="AN41" s="78">
        <f>'2.TH'!AN18+'4.TH-THCS'!AN18</f>
        <v>0</v>
      </c>
      <c r="AO41" s="77">
        <f t="shared" si="154"/>
        <v>0</v>
      </c>
      <c r="AP41" s="78">
        <f>'2.TH'!AP18+'4.TH-THCS'!AP18</f>
        <v>0</v>
      </c>
      <c r="AQ41" s="78">
        <f>'2.TH'!AQ18+'4.TH-THCS'!AQ18</f>
        <v>0</v>
      </c>
      <c r="AR41" s="78">
        <f>'2.TH'!AR18+'4.TH-THCS'!AR18</f>
        <v>0</v>
      </c>
      <c r="AS41" s="77">
        <f t="shared" si="155"/>
        <v>0</v>
      </c>
      <c r="AT41" s="78">
        <f>'2.TH'!AT18+'4.TH-THCS'!AT18</f>
        <v>0</v>
      </c>
      <c r="AU41" s="78">
        <f>'2.TH'!AU18+'4.TH-THCS'!AU18</f>
        <v>0</v>
      </c>
      <c r="AV41" s="78">
        <f>'2.TH'!AV18+'4.TH-THCS'!AV18</f>
        <v>0</v>
      </c>
      <c r="AW41" s="77">
        <f t="shared" si="156"/>
        <v>0</v>
      </c>
      <c r="AX41" s="78">
        <f>'2.TH'!AX18+'4.TH-THCS'!AX18</f>
        <v>0</v>
      </c>
      <c r="AY41" s="78">
        <f>'2.TH'!AY18+'4.TH-THCS'!AY18</f>
        <v>0</v>
      </c>
      <c r="AZ41" s="79">
        <f>'2.TH'!AZ18+'4.TH-THCS'!AZ18</f>
        <v>0</v>
      </c>
      <c r="BA41" s="34"/>
    </row>
    <row r="42" ht="15.75" customHeight="1">
      <c r="A42" s="29"/>
      <c r="B42" s="74" t="s">
        <v>58</v>
      </c>
      <c r="C42" s="75"/>
      <c r="D42" s="76" t="s">
        <v>30</v>
      </c>
      <c r="E42" s="77">
        <f t="shared" si="145"/>
        <v>744</v>
      </c>
      <c r="F42" s="78">
        <f>'2.TH'!F19+'4.TH-THCS'!F19</f>
        <v>737</v>
      </c>
      <c r="G42" s="78">
        <f>'2.TH'!G19+'4.TH-THCS'!G19</f>
        <v>6</v>
      </c>
      <c r="H42" s="78">
        <f>'2.TH'!H19+'4.TH-THCS'!H19</f>
        <v>1</v>
      </c>
      <c r="I42" s="77">
        <f t="shared" si="146"/>
        <v>745</v>
      </c>
      <c r="J42" s="78">
        <f>'2.TH'!J19+'4.TH-THCS'!J19</f>
        <v>738</v>
      </c>
      <c r="K42" s="78">
        <f>'2.TH'!K19+'4.TH-THCS'!K19</f>
        <v>6</v>
      </c>
      <c r="L42" s="78">
        <f>'2.TH'!L19+'4.TH-THCS'!L19</f>
        <v>1</v>
      </c>
      <c r="M42" s="77">
        <f t="shared" si="147"/>
        <v>745</v>
      </c>
      <c r="N42" s="78">
        <f>'2.TH'!N19+'4.TH-THCS'!N19</f>
        <v>738</v>
      </c>
      <c r="O42" s="78">
        <f>'2.TH'!O19+'4.TH-THCS'!O19</f>
        <v>6</v>
      </c>
      <c r="P42" s="78">
        <f>'2.TH'!P19+'4.TH-THCS'!P19</f>
        <v>1</v>
      </c>
      <c r="Q42" s="77">
        <f t="shared" si="148"/>
        <v>746</v>
      </c>
      <c r="R42" s="78">
        <f>'2.TH'!R19+'4.TH-THCS'!R19</f>
        <v>739</v>
      </c>
      <c r="S42" s="78">
        <f>'2.TH'!S19+'4.TH-THCS'!S19</f>
        <v>6</v>
      </c>
      <c r="T42" s="78">
        <f>'2.TH'!T19+'4.TH-THCS'!T19</f>
        <v>1</v>
      </c>
      <c r="U42" s="77">
        <f t="shared" si="149"/>
        <v>745</v>
      </c>
      <c r="V42" s="78">
        <f>'2.TH'!V19+'4.TH-THCS'!V19</f>
        <v>738</v>
      </c>
      <c r="W42" s="78">
        <f>'2.TH'!W19+'4.TH-THCS'!W19</f>
        <v>6</v>
      </c>
      <c r="X42" s="78">
        <f>'2.TH'!X19+'4.TH-THCS'!X19</f>
        <v>1</v>
      </c>
      <c r="Y42" s="77">
        <f t="shared" si="150"/>
        <v>745</v>
      </c>
      <c r="Z42" s="78">
        <f>'2.TH'!Z19+'4.TH-THCS'!Z19</f>
        <v>738</v>
      </c>
      <c r="AA42" s="78">
        <f>'2.TH'!AA19+'4.TH-THCS'!AA19</f>
        <v>6</v>
      </c>
      <c r="AB42" s="78">
        <f>'2.TH'!AB19+'4.TH-THCS'!AB19</f>
        <v>1</v>
      </c>
      <c r="AC42" s="77">
        <f t="shared" si="151"/>
        <v>747</v>
      </c>
      <c r="AD42" s="78">
        <f>'2.TH'!AD19+'4.TH-THCS'!AD19</f>
        <v>740</v>
      </c>
      <c r="AE42" s="78">
        <f>'2.TH'!AE19+'4.TH-THCS'!AE19</f>
        <v>6</v>
      </c>
      <c r="AF42" s="78">
        <f>'2.TH'!AF19+'4.TH-THCS'!AF19</f>
        <v>1</v>
      </c>
      <c r="AG42" s="77">
        <f t="shared" si="152"/>
        <v>9</v>
      </c>
      <c r="AH42" s="78">
        <f>'2.TH'!AH19+'4.TH-THCS'!AH19</f>
        <v>5</v>
      </c>
      <c r="AI42" s="78">
        <f>'2.TH'!AI19+'4.TH-THCS'!AI19</f>
        <v>4</v>
      </c>
      <c r="AJ42" s="78">
        <f>'2.TH'!AJ19+'4.TH-THCS'!AJ19</f>
        <v>0</v>
      </c>
      <c r="AK42" s="77">
        <f t="shared" si="153"/>
        <v>0</v>
      </c>
      <c r="AL42" s="78">
        <f>'2.TH'!AL19+'4.TH-THCS'!AL19</f>
        <v>0</v>
      </c>
      <c r="AM42" s="78">
        <f>'2.TH'!AM19+'4.TH-THCS'!AM19</f>
        <v>0</v>
      </c>
      <c r="AN42" s="78">
        <f>'2.TH'!AN19+'4.TH-THCS'!AN19</f>
        <v>0</v>
      </c>
      <c r="AO42" s="77">
        <f t="shared" si="154"/>
        <v>0</v>
      </c>
      <c r="AP42" s="78">
        <f>'2.TH'!AP19+'4.TH-THCS'!AP19</f>
        <v>0</v>
      </c>
      <c r="AQ42" s="78">
        <f>'2.TH'!AQ19+'4.TH-THCS'!AQ19</f>
        <v>0</v>
      </c>
      <c r="AR42" s="78">
        <f>'2.TH'!AR19+'4.TH-THCS'!AR19</f>
        <v>0</v>
      </c>
      <c r="AS42" s="77">
        <f t="shared" si="155"/>
        <v>0</v>
      </c>
      <c r="AT42" s="78">
        <f>'2.TH'!AT19+'4.TH-THCS'!AT19</f>
        <v>0</v>
      </c>
      <c r="AU42" s="78">
        <f>'2.TH'!AU19+'4.TH-THCS'!AU19</f>
        <v>0</v>
      </c>
      <c r="AV42" s="78">
        <f>'2.TH'!AV19+'4.TH-THCS'!AV19</f>
        <v>0</v>
      </c>
      <c r="AW42" s="77">
        <f t="shared" si="156"/>
        <v>0</v>
      </c>
      <c r="AX42" s="78">
        <f>'2.TH'!AX19+'4.TH-THCS'!AX19</f>
        <v>0</v>
      </c>
      <c r="AY42" s="78">
        <f>'2.TH'!AY19+'4.TH-THCS'!AY19</f>
        <v>0</v>
      </c>
      <c r="AZ42" s="79">
        <f>'2.TH'!AZ19+'4.TH-THCS'!AZ19</f>
        <v>0</v>
      </c>
      <c r="BA42" s="34"/>
    </row>
    <row r="43" ht="15.75" customHeight="1">
      <c r="A43" s="29"/>
      <c r="B43" s="74" t="s">
        <v>59</v>
      </c>
      <c r="C43" s="75"/>
      <c r="D43" s="76" t="s">
        <v>30</v>
      </c>
      <c r="E43" s="77">
        <f t="shared" si="145"/>
        <v>766</v>
      </c>
      <c r="F43" s="78">
        <f>'2.TH'!F20+'4.TH-THCS'!F20</f>
        <v>760</v>
      </c>
      <c r="G43" s="78">
        <f>'2.TH'!G20+'4.TH-THCS'!G20</f>
        <v>5</v>
      </c>
      <c r="H43" s="78">
        <f>'2.TH'!H20+'4.TH-THCS'!H20</f>
        <v>1</v>
      </c>
      <c r="I43" s="77">
        <f t="shared" si="146"/>
        <v>765</v>
      </c>
      <c r="J43" s="78">
        <f>'2.TH'!J20+'4.TH-THCS'!J20</f>
        <v>759</v>
      </c>
      <c r="K43" s="78">
        <f>'2.TH'!K20+'4.TH-THCS'!K20</f>
        <v>5</v>
      </c>
      <c r="L43" s="78">
        <f>'2.TH'!L20+'4.TH-THCS'!L20</f>
        <v>1</v>
      </c>
      <c r="M43" s="77">
        <f t="shared" si="147"/>
        <v>765</v>
      </c>
      <c r="N43" s="78">
        <f>'2.TH'!N20+'4.TH-THCS'!N20</f>
        <v>759</v>
      </c>
      <c r="O43" s="78">
        <f>'2.TH'!O20+'4.TH-THCS'!O20</f>
        <v>5</v>
      </c>
      <c r="P43" s="78">
        <f>'2.TH'!P20+'4.TH-THCS'!P20</f>
        <v>1</v>
      </c>
      <c r="Q43" s="77">
        <f t="shared" si="148"/>
        <v>766</v>
      </c>
      <c r="R43" s="78">
        <f>'2.TH'!R20+'4.TH-THCS'!R20</f>
        <v>760</v>
      </c>
      <c r="S43" s="78">
        <f>'2.TH'!S20+'4.TH-THCS'!S20</f>
        <v>5</v>
      </c>
      <c r="T43" s="78">
        <f>'2.TH'!T20+'4.TH-THCS'!T20</f>
        <v>1</v>
      </c>
      <c r="U43" s="77">
        <f t="shared" si="149"/>
        <v>767</v>
      </c>
      <c r="V43" s="78">
        <f>'2.TH'!V20+'4.TH-THCS'!V20</f>
        <v>761</v>
      </c>
      <c r="W43" s="78">
        <f>'2.TH'!W20+'4.TH-THCS'!W20</f>
        <v>5</v>
      </c>
      <c r="X43" s="78">
        <f>'2.TH'!X20+'4.TH-THCS'!X20</f>
        <v>1</v>
      </c>
      <c r="Y43" s="77">
        <f t="shared" si="150"/>
        <v>767</v>
      </c>
      <c r="Z43" s="78">
        <f>'2.TH'!Z20+'4.TH-THCS'!Z20</f>
        <v>761</v>
      </c>
      <c r="AA43" s="78">
        <f>'2.TH'!AA20+'4.TH-THCS'!AA20</f>
        <v>5</v>
      </c>
      <c r="AB43" s="78">
        <f>'2.TH'!AB20+'4.TH-THCS'!AB20</f>
        <v>1</v>
      </c>
      <c r="AC43" s="77">
        <f t="shared" si="151"/>
        <v>766</v>
      </c>
      <c r="AD43" s="78">
        <f>'2.TH'!AD20+'4.TH-THCS'!AD20</f>
        <v>760</v>
      </c>
      <c r="AE43" s="78">
        <f>'2.TH'!AE20+'4.TH-THCS'!AE20</f>
        <v>5</v>
      </c>
      <c r="AF43" s="78">
        <f>'2.TH'!AF20+'4.TH-THCS'!AF20</f>
        <v>1</v>
      </c>
      <c r="AG43" s="77">
        <f t="shared" si="152"/>
        <v>8</v>
      </c>
      <c r="AH43" s="78">
        <f>'2.TH'!AH20+'4.TH-THCS'!AH20</f>
        <v>5</v>
      </c>
      <c r="AI43" s="78">
        <f>'2.TH'!AI20+'4.TH-THCS'!AI20</f>
        <v>3</v>
      </c>
      <c r="AJ43" s="78">
        <f>'2.TH'!AJ20+'4.TH-THCS'!AJ20</f>
        <v>0</v>
      </c>
      <c r="AK43" s="77">
        <f t="shared" si="153"/>
        <v>0</v>
      </c>
      <c r="AL43" s="78">
        <f>'2.TH'!AL20+'4.TH-THCS'!AL20</f>
        <v>0</v>
      </c>
      <c r="AM43" s="78">
        <f>'2.TH'!AM20+'4.TH-THCS'!AM20</f>
        <v>0</v>
      </c>
      <c r="AN43" s="78">
        <f>'2.TH'!AN20+'4.TH-THCS'!AN20</f>
        <v>0</v>
      </c>
      <c r="AO43" s="77">
        <f t="shared" si="154"/>
        <v>0</v>
      </c>
      <c r="AP43" s="78">
        <f>'2.TH'!AP20+'4.TH-THCS'!AP20</f>
        <v>0</v>
      </c>
      <c r="AQ43" s="78">
        <f>'2.TH'!AQ20+'4.TH-THCS'!AQ20</f>
        <v>0</v>
      </c>
      <c r="AR43" s="78">
        <f>'2.TH'!AR20+'4.TH-THCS'!AR20</f>
        <v>0</v>
      </c>
      <c r="AS43" s="77">
        <f t="shared" si="155"/>
        <v>0</v>
      </c>
      <c r="AT43" s="78">
        <f>'2.TH'!AT20+'4.TH-THCS'!AT20</f>
        <v>0</v>
      </c>
      <c r="AU43" s="78">
        <f>'2.TH'!AU20+'4.TH-THCS'!AU20</f>
        <v>0</v>
      </c>
      <c r="AV43" s="78">
        <f>'2.TH'!AV20+'4.TH-THCS'!AV20</f>
        <v>0</v>
      </c>
      <c r="AW43" s="77">
        <f t="shared" si="156"/>
        <v>0</v>
      </c>
      <c r="AX43" s="78">
        <f>'2.TH'!AX20+'4.TH-THCS'!AX20</f>
        <v>0</v>
      </c>
      <c r="AY43" s="78">
        <f>'2.TH'!AY20+'4.TH-THCS'!AY20</f>
        <v>0</v>
      </c>
      <c r="AZ43" s="79">
        <f>'2.TH'!AZ20+'4.TH-THCS'!AZ20</f>
        <v>0</v>
      </c>
      <c r="BA43" s="34"/>
    </row>
    <row r="44" ht="15.75" customHeight="1">
      <c r="A44" s="29"/>
      <c r="B44" s="74" t="s">
        <v>60</v>
      </c>
      <c r="C44" s="75"/>
      <c r="D44" s="76" t="s">
        <v>30</v>
      </c>
      <c r="E44" s="77">
        <f t="shared" si="145"/>
        <v>771</v>
      </c>
      <c r="F44" s="78">
        <f>'2.TH'!F21+'4.TH-THCS'!F21</f>
        <v>764</v>
      </c>
      <c r="G44" s="78">
        <f>'2.TH'!G21+'4.TH-THCS'!G21</f>
        <v>6</v>
      </c>
      <c r="H44" s="78">
        <f>'2.TH'!H21+'4.TH-THCS'!H21</f>
        <v>1</v>
      </c>
      <c r="I44" s="77">
        <f t="shared" si="146"/>
        <v>771</v>
      </c>
      <c r="J44" s="78">
        <f>'2.TH'!J21+'4.TH-THCS'!J21</f>
        <v>764</v>
      </c>
      <c r="K44" s="78">
        <f>'2.TH'!K21+'4.TH-THCS'!K21</f>
        <v>6</v>
      </c>
      <c r="L44" s="78">
        <f>'2.TH'!L21+'4.TH-THCS'!L21</f>
        <v>1</v>
      </c>
      <c r="M44" s="77">
        <f t="shared" si="147"/>
        <v>771</v>
      </c>
      <c r="N44" s="78">
        <f>'2.TH'!N21+'4.TH-THCS'!N21</f>
        <v>764</v>
      </c>
      <c r="O44" s="78">
        <f>'2.TH'!O21+'4.TH-THCS'!O21</f>
        <v>6</v>
      </c>
      <c r="P44" s="78">
        <f>'2.TH'!P21+'4.TH-THCS'!P21</f>
        <v>1</v>
      </c>
      <c r="Q44" s="77">
        <f t="shared" si="148"/>
        <v>773</v>
      </c>
      <c r="R44" s="78">
        <f>'2.TH'!R21+'4.TH-THCS'!R21</f>
        <v>766</v>
      </c>
      <c r="S44" s="78">
        <f>'2.TH'!S21+'4.TH-THCS'!S21</f>
        <v>6</v>
      </c>
      <c r="T44" s="78">
        <f>'2.TH'!T21+'4.TH-THCS'!T21</f>
        <v>1</v>
      </c>
      <c r="U44" s="77">
        <f t="shared" si="149"/>
        <v>773</v>
      </c>
      <c r="V44" s="78">
        <f>'2.TH'!V21+'4.TH-THCS'!V21</f>
        <v>766</v>
      </c>
      <c r="W44" s="78">
        <f>'2.TH'!W21+'4.TH-THCS'!W21</f>
        <v>6</v>
      </c>
      <c r="X44" s="78">
        <f>'2.TH'!X21+'4.TH-THCS'!X21</f>
        <v>1</v>
      </c>
      <c r="Y44" s="77">
        <f t="shared" si="150"/>
        <v>773</v>
      </c>
      <c r="Z44" s="78">
        <f>'2.TH'!Z21+'4.TH-THCS'!Z21</f>
        <v>766</v>
      </c>
      <c r="AA44" s="78">
        <f>'2.TH'!AA21+'4.TH-THCS'!AA21</f>
        <v>6</v>
      </c>
      <c r="AB44" s="78">
        <f>'2.TH'!AB21+'4.TH-THCS'!AB21</f>
        <v>1</v>
      </c>
      <c r="AC44" s="77">
        <f t="shared" si="151"/>
        <v>773</v>
      </c>
      <c r="AD44" s="78">
        <f>'2.TH'!AD21+'4.TH-THCS'!AD21</f>
        <v>766</v>
      </c>
      <c r="AE44" s="78">
        <f>'2.TH'!AE21+'4.TH-THCS'!AE21</f>
        <v>6</v>
      </c>
      <c r="AF44" s="78">
        <f>'2.TH'!AF21+'4.TH-THCS'!AF21</f>
        <v>1</v>
      </c>
      <c r="AG44" s="77">
        <f t="shared" si="152"/>
        <v>9</v>
      </c>
      <c r="AH44" s="78">
        <f>'2.TH'!AH21+'4.TH-THCS'!AH21</f>
        <v>5</v>
      </c>
      <c r="AI44" s="78">
        <f>'2.TH'!AI21+'4.TH-THCS'!AI21</f>
        <v>4</v>
      </c>
      <c r="AJ44" s="78">
        <f>'2.TH'!AJ21+'4.TH-THCS'!AJ21</f>
        <v>0</v>
      </c>
      <c r="AK44" s="77">
        <f t="shared" si="153"/>
        <v>0</v>
      </c>
      <c r="AL44" s="78">
        <f>'2.TH'!AL21+'4.TH-THCS'!AL21</f>
        <v>0</v>
      </c>
      <c r="AM44" s="78">
        <f>'2.TH'!AM21+'4.TH-THCS'!AM21</f>
        <v>0</v>
      </c>
      <c r="AN44" s="78">
        <f>'2.TH'!AN21+'4.TH-THCS'!AN21</f>
        <v>0</v>
      </c>
      <c r="AO44" s="77">
        <f t="shared" si="154"/>
        <v>0</v>
      </c>
      <c r="AP44" s="78">
        <f>'2.TH'!AP21+'4.TH-THCS'!AP21</f>
        <v>0</v>
      </c>
      <c r="AQ44" s="78">
        <f>'2.TH'!AQ21+'4.TH-THCS'!AQ21</f>
        <v>0</v>
      </c>
      <c r="AR44" s="78">
        <f>'2.TH'!AR21+'4.TH-THCS'!AR21</f>
        <v>0</v>
      </c>
      <c r="AS44" s="77">
        <f t="shared" si="155"/>
        <v>0</v>
      </c>
      <c r="AT44" s="78">
        <f>'2.TH'!AT21+'4.TH-THCS'!AT21</f>
        <v>0</v>
      </c>
      <c r="AU44" s="78">
        <f>'2.TH'!AU21+'4.TH-THCS'!AU21</f>
        <v>0</v>
      </c>
      <c r="AV44" s="78">
        <f>'2.TH'!AV21+'4.TH-THCS'!AV21</f>
        <v>0</v>
      </c>
      <c r="AW44" s="77">
        <f t="shared" si="156"/>
        <v>0</v>
      </c>
      <c r="AX44" s="78">
        <f>'2.TH'!AX21+'4.TH-THCS'!AX21</f>
        <v>0</v>
      </c>
      <c r="AY44" s="78">
        <f>'2.TH'!AY21+'4.TH-THCS'!AY21</f>
        <v>0</v>
      </c>
      <c r="AZ44" s="79">
        <f>'2.TH'!AZ21+'4.TH-THCS'!AZ21</f>
        <v>0</v>
      </c>
      <c r="BA44" s="34"/>
    </row>
    <row r="45" ht="15.75" customHeight="1">
      <c r="A45" s="29"/>
      <c r="B45" s="80" t="s">
        <v>61</v>
      </c>
      <c r="C45" s="81"/>
      <c r="D45" s="82" t="s">
        <v>30</v>
      </c>
      <c r="E45" s="83">
        <f t="shared" si="145"/>
        <v>648</v>
      </c>
      <c r="F45" s="84">
        <f>'3.THCS'!F17+'4.TH-THCS'!F22+'6.THCS-THPT'!F17</f>
        <v>641</v>
      </c>
      <c r="G45" s="84">
        <f>'3.THCS'!G17+'4.TH-THCS'!G22+'6.THCS-THPT'!G17</f>
        <v>4</v>
      </c>
      <c r="H45" s="84">
        <f>'3.THCS'!H17+'4.TH-THCS'!H22+'6.THCS-THPT'!H17</f>
        <v>3</v>
      </c>
      <c r="I45" s="83">
        <f t="shared" si="146"/>
        <v>639</v>
      </c>
      <c r="J45" s="84">
        <f>'3.THCS'!J17+'4.TH-THCS'!J22+'6.THCS-THPT'!J17</f>
        <v>632</v>
      </c>
      <c r="K45" s="84">
        <f>'3.THCS'!K17+'4.TH-THCS'!K22+'6.THCS-THPT'!K17</f>
        <v>4</v>
      </c>
      <c r="L45" s="84">
        <f>'3.THCS'!L17+'4.TH-THCS'!L22+'6.THCS-THPT'!L17</f>
        <v>3</v>
      </c>
      <c r="M45" s="83">
        <f t="shared" si="147"/>
        <v>631</v>
      </c>
      <c r="N45" s="84">
        <f>'3.THCS'!N17+'4.TH-THCS'!N22+'6.THCS-THPT'!N17</f>
        <v>624</v>
      </c>
      <c r="O45" s="84">
        <f>'3.THCS'!O17+'4.TH-THCS'!O22+'6.THCS-THPT'!O17</f>
        <v>4</v>
      </c>
      <c r="P45" s="84">
        <f>'3.THCS'!P17+'4.TH-THCS'!P22+'6.THCS-THPT'!P17</f>
        <v>3</v>
      </c>
      <c r="Q45" s="83">
        <f t="shared" si="148"/>
        <v>631</v>
      </c>
      <c r="R45" s="84">
        <f>'3.THCS'!R17+'4.TH-THCS'!R22+'6.THCS-THPT'!R17</f>
        <v>624</v>
      </c>
      <c r="S45" s="84">
        <f>'3.THCS'!S17+'4.TH-THCS'!S22+'6.THCS-THPT'!S17</f>
        <v>4</v>
      </c>
      <c r="T45" s="84">
        <f>'3.THCS'!T17+'4.TH-THCS'!T22+'6.THCS-THPT'!T17</f>
        <v>3</v>
      </c>
      <c r="U45" s="83">
        <f t="shared" si="149"/>
        <v>634</v>
      </c>
      <c r="V45" s="84">
        <f>'3.THCS'!V17+'4.TH-THCS'!V22+'6.THCS-THPT'!V17</f>
        <v>627</v>
      </c>
      <c r="W45" s="84">
        <f>'3.THCS'!W17+'4.TH-THCS'!W22+'6.THCS-THPT'!W17</f>
        <v>4</v>
      </c>
      <c r="X45" s="84">
        <f>'3.THCS'!X17+'4.TH-THCS'!X22+'6.THCS-THPT'!X17</f>
        <v>3</v>
      </c>
      <c r="Y45" s="83">
        <f t="shared" si="150"/>
        <v>634</v>
      </c>
      <c r="Z45" s="84">
        <f>'3.THCS'!Z17+'4.TH-THCS'!Z22+'6.THCS-THPT'!Z17</f>
        <v>627</v>
      </c>
      <c r="AA45" s="84">
        <f>'3.THCS'!AA17+'4.TH-THCS'!AA22+'6.THCS-THPT'!AA17</f>
        <v>4</v>
      </c>
      <c r="AB45" s="84">
        <f>'3.THCS'!AB17+'4.TH-THCS'!AB22+'6.THCS-THPT'!AB17</f>
        <v>3</v>
      </c>
      <c r="AC45" s="83">
        <f t="shared" si="151"/>
        <v>634</v>
      </c>
      <c r="AD45" s="84">
        <f>'3.THCS'!AD17+'4.TH-THCS'!AD22+'6.THCS-THPT'!AD17</f>
        <v>627</v>
      </c>
      <c r="AE45" s="84">
        <f>'3.THCS'!AE17+'4.TH-THCS'!AE22+'6.THCS-THPT'!AE17</f>
        <v>4</v>
      </c>
      <c r="AF45" s="84">
        <f>'3.THCS'!AF17+'4.TH-THCS'!AF22+'6.THCS-THPT'!AF17</f>
        <v>3</v>
      </c>
      <c r="AG45" s="83">
        <f t="shared" si="152"/>
        <v>25</v>
      </c>
      <c r="AH45" s="84">
        <f>'3.THCS'!AH17+'4.TH-THCS'!AH22+'6.THCS-THPT'!AH17</f>
        <v>19</v>
      </c>
      <c r="AI45" s="84">
        <f>'3.THCS'!AI17+'4.TH-THCS'!AI22+'6.THCS-THPT'!AI17</f>
        <v>6</v>
      </c>
      <c r="AJ45" s="84">
        <f>'3.THCS'!AJ17+'4.TH-THCS'!AJ22+'6.THCS-THPT'!AJ17</f>
        <v>0</v>
      </c>
      <c r="AK45" s="83">
        <f t="shared" si="153"/>
        <v>4</v>
      </c>
      <c r="AL45" s="84">
        <f>'3.THCS'!AL17+'4.TH-THCS'!AL22+'6.THCS-THPT'!AL17</f>
        <v>2</v>
      </c>
      <c r="AM45" s="84">
        <f>'3.THCS'!AM17+'4.TH-THCS'!AM22+'6.THCS-THPT'!AM17</f>
        <v>0</v>
      </c>
      <c r="AN45" s="84">
        <f>'3.THCS'!AN17+'4.TH-THCS'!AN22+'6.THCS-THPT'!AN17</f>
        <v>2</v>
      </c>
      <c r="AO45" s="83">
        <f t="shared" si="154"/>
        <v>4</v>
      </c>
      <c r="AP45" s="84">
        <f>'3.THCS'!AP17+'4.TH-THCS'!AP22+'6.THCS-THPT'!AP17</f>
        <v>2</v>
      </c>
      <c r="AQ45" s="84">
        <f>'3.THCS'!AQ17+'4.TH-THCS'!AQ22+'6.THCS-THPT'!AQ17</f>
        <v>0</v>
      </c>
      <c r="AR45" s="84">
        <f>'3.THCS'!AR17+'4.TH-THCS'!AR22+'6.THCS-THPT'!AR17</f>
        <v>2</v>
      </c>
      <c r="AS45" s="83">
        <f t="shared" si="155"/>
        <v>4</v>
      </c>
      <c r="AT45" s="84">
        <f>'3.THCS'!AT17+'4.TH-THCS'!AT22+'6.THCS-THPT'!AT17</f>
        <v>2</v>
      </c>
      <c r="AU45" s="84">
        <f>'3.THCS'!AU17+'4.TH-THCS'!AU22+'6.THCS-THPT'!AU17</f>
        <v>0</v>
      </c>
      <c r="AV45" s="84">
        <f>'3.THCS'!AV17+'4.TH-THCS'!AV22+'6.THCS-THPT'!AV17</f>
        <v>2</v>
      </c>
      <c r="AW45" s="83">
        <f t="shared" si="156"/>
        <v>4</v>
      </c>
      <c r="AX45" s="84">
        <f>'3.THCS'!AX17+'4.TH-THCS'!AX22+'6.THCS-THPT'!AX17</f>
        <v>2</v>
      </c>
      <c r="AY45" s="84">
        <f>'3.THCS'!AY17+'4.TH-THCS'!AY22+'6.THCS-THPT'!AY17</f>
        <v>0</v>
      </c>
      <c r="AZ45" s="85">
        <f>'3.THCS'!AZ17+'4.TH-THCS'!AZ22+'6.THCS-THPT'!AZ17</f>
        <v>2</v>
      </c>
      <c r="BA45" s="34"/>
    </row>
    <row r="46" ht="15.75" customHeight="1">
      <c r="A46" s="29"/>
      <c r="B46" s="80" t="s">
        <v>62</v>
      </c>
      <c r="C46" s="81"/>
      <c r="D46" s="82" t="s">
        <v>30</v>
      </c>
      <c r="E46" s="83">
        <f t="shared" si="145"/>
        <v>542</v>
      </c>
      <c r="F46" s="84">
        <f>'3.THCS'!F18+'4.TH-THCS'!F23+'6.THCS-THPT'!F18</f>
        <v>537</v>
      </c>
      <c r="G46" s="84">
        <f>'3.THCS'!G18+'4.TH-THCS'!G23+'6.THCS-THPT'!G18</f>
        <v>3</v>
      </c>
      <c r="H46" s="84">
        <f>'3.THCS'!H18+'4.TH-THCS'!H23+'6.THCS-THPT'!H18</f>
        <v>2</v>
      </c>
      <c r="I46" s="83">
        <f t="shared" si="146"/>
        <v>535</v>
      </c>
      <c r="J46" s="84">
        <f>'3.THCS'!J18+'4.TH-THCS'!J23+'6.THCS-THPT'!J18</f>
        <v>531</v>
      </c>
      <c r="K46" s="84">
        <f>'3.THCS'!K18+'4.TH-THCS'!K23+'6.THCS-THPT'!K18</f>
        <v>3</v>
      </c>
      <c r="L46" s="84">
        <f>'3.THCS'!L18+'4.TH-THCS'!L23+'6.THCS-THPT'!L18</f>
        <v>1</v>
      </c>
      <c r="M46" s="83">
        <f t="shared" si="147"/>
        <v>527</v>
      </c>
      <c r="N46" s="84">
        <f>'3.THCS'!N18+'4.TH-THCS'!N23+'6.THCS-THPT'!N18</f>
        <v>523</v>
      </c>
      <c r="O46" s="84">
        <f>'3.THCS'!O18+'4.TH-THCS'!O23+'6.THCS-THPT'!O18</f>
        <v>3</v>
      </c>
      <c r="P46" s="84">
        <f>'3.THCS'!P18+'4.TH-THCS'!P23+'6.THCS-THPT'!P18</f>
        <v>1</v>
      </c>
      <c r="Q46" s="83">
        <f t="shared" si="148"/>
        <v>528</v>
      </c>
      <c r="R46" s="84">
        <f>'3.THCS'!R18+'4.TH-THCS'!R23+'6.THCS-THPT'!R18</f>
        <v>523</v>
      </c>
      <c r="S46" s="84">
        <f>'3.THCS'!S18+'4.TH-THCS'!S23+'6.THCS-THPT'!S18</f>
        <v>3</v>
      </c>
      <c r="T46" s="84">
        <f>'3.THCS'!T18+'4.TH-THCS'!T23+'6.THCS-THPT'!T18</f>
        <v>2</v>
      </c>
      <c r="U46" s="83">
        <f t="shared" si="149"/>
        <v>531</v>
      </c>
      <c r="V46" s="84">
        <f>'3.THCS'!V18+'4.TH-THCS'!V23+'6.THCS-THPT'!V18</f>
        <v>526</v>
      </c>
      <c r="W46" s="84">
        <f>'3.THCS'!W18+'4.TH-THCS'!W23+'6.THCS-THPT'!W18</f>
        <v>3</v>
      </c>
      <c r="X46" s="84">
        <f>'3.THCS'!X18+'4.TH-THCS'!X23+'6.THCS-THPT'!X18</f>
        <v>2</v>
      </c>
      <c r="Y46" s="83">
        <f t="shared" si="150"/>
        <v>531</v>
      </c>
      <c r="Z46" s="84">
        <f>'3.THCS'!Z18+'4.TH-THCS'!Z23+'6.THCS-THPT'!Z18</f>
        <v>526</v>
      </c>
      <c r="AA46" s="84">
        <f>'3.THCS'!AA18+'4.TH-THCS'!AA23+'6.THCS-THPT'!AA18</f>
        <v>3</v>
      </c>
      <c r="AB46" s="84">
        <f>'3.THCS'!AB18+'4.TH-THCS'!AB23+'6.THCS-THPT'!AB18</f>
        <v>2</v>
      </c>
      <c r="AC46" s="83">
        <f t="shared" si="151"/>
        <v>531</v>
      </c>
      <c r="AD46" s="84">
        <f>'3.THCS'!AD18+'4.TH-THCS'!AD23+'6.THCS-THPT'!AD18</f>
        <v>526</v>
      </c>
      <c r="AE46" s="84">
        <f>'3.THCS'!AE18+'4.TH-THCS'!AE23+'6.THCS-THPT'!AE18</f>
        <v>3</v>
      </c>
      <c r="AF46" s="84">
        <f>'3.THCS'!AF18+'4.TH-THCS'!AF23+'6.THCS-THPT'!AF18</f>
        <v>2</v>
      </c>
      <c r="AG46" s="83">
        <f t="shared" si="152"/>
        <v>19</v>
      </c>
      <c r="AH46" s="84">
        <f>'3.THCS'!AH18+'4.TH-THCS'!AH23+'6.THCS-THPT'!AH18</f>
        <v>15</v>
      </c>
      <c r="AI46" s="84">
        <f>'3.THCS'!AI18+'4.TH-THCS'!AI23+'6.THCS-THPT'!AI18</f>
        <v>4</v>
      </c>
      <c r="AJ46" s="84">
        <f>'3.THCS'!AJ18+'4.TH-THCS'!AJ23+'6.THCS-THPT'!AJ18</f>
        <v>0</v>
      </c>
      <c r="AK46" s="83">
        <f t="shared" si="153"/>
        <v>3</v>
      </c>
      <c r="AL46" s="84">
        <f>'3.THCS'!AL18+'4.TH-THCS'!AL23+'6.THCS-THPT'!AL18</f>
        <v>2</v>
      </c>
      <c r="AM46" s="84">
        <f>'3.THCS'!AM18+'4.TH-THCS'!AM23+'6.THCS-THPT'!AM18</f>
        <v>0</v>
      </c>
      <c r="AN46" s="84">
        <f>'3.THCS'!AN18+'4.TH-THCS'!AN23+'6.THCS-THPT'!AN18</f>
        <v>1</v>
      </c>
      <c r="AO46" s="83">
        <f t="shared" si="154"/>
        <v>3</v>
      </c>
      <c r="AP46" s="84">
        <f>'3.THCS'!AP18+'4.TH-THCS'!AP23+'6.THCS-THPT'!AP18</f>
        <v>2</v>
      </c>
      <c r="AQ46" s="84">
        <f>'3.THCS'!AQ18+'4.TH-THCS'!AQ23+'6.THCS-THPT'!AQ18</f>
        <v>0</v>
      </c>
      <c r="AR46" s="84">
        <f>'3.THCS'!AR18+'4.TH-THCS'!AR23+'6.THCS-THPT'!AR18</f>
        <v>1</v>
      </c>
      <c r="AS46" s="83">
        <f t="shared" si="155"/>
        <v>3</v>
      </c>
      <c r="AT46" s="84">
        <f>'3.THCS'!AT18+'4.TH-THCS'!AT23+'6.THCS-THPT'!AT18</f>
        <v>2</v>
      </c>
      <c r="AU46" s="84">
        <f>'3.THCS'!AU18+'4.TH-THCS'!AU23+'6.THCS-THPT'!AU18</f>
        <v>0</v>
      </c>
      <c r="AV46" s="84">
        <f>'3.THCS'!AV18+'4.TH-THCS'!AV23+'6.THCS-THPT'!AV18</f>
        <v>1</v>
      </c>
      <c r="AW46" s="83">
        <f t="shared" si="156"/>
        <v>3</v>
      </c>
      <c r="AX46" s="84">
        <f>'3.THCS'!AX18+'4.TH-THCS'!AX23+'6.THCS-THPT'!AX18</f>
        <v>2</v>
      </c>
      <c r="AY46" s="84">
        <f>'3.THCS'!AY18+'4.TH-THCS'!AY23+'6.THCS-THPT'!AY18</f>
        <v>0</v>
      </c>
      <c r="AZ46" s="85">
        <f>'3.THCS'!AZ18+'4.TH-THCS'!AZ23+'6.THCS-THPT'!AZ18</f>
        <v>1</v>
      </c>
      <c r="BA46" s="34"/>
    </row>
    <row r="47" ht="15.75" customHeight="1">
      <c r="A47" s="29"/>
      <c r="B47" s="80" t="s">
        <v>63</v>
      </c>
      <c r="C47" s="81"/>
      <c r="D47" s="82" t="s">
        <v>30</v>
      </c>
      <c r="E47" s="83">
        <f t="shared" si="145"/>
        <v>417</v>
      </c>
      <c r="F47" s="84">
        <f>'3.THCS'!F19+'4.TH-THCS'!F24+'6.THCS-THPT'!F19</f>
        <v>413</v>
      </c>
      <c r="G47" s="84">
        <f>'3.THCS'!G19+'4.TH-THCS'!G24+'6.THCS-THPT'!G19</f>
        <v>2</v>
      </c>
      <c r="H47" s="84">
        <f>'3.THCS'!H19+'4.TH-THCS'!H24+'6.THCS-THPT'!H19</f>
        <v>2</v>
      </c>
      <c r="I47" s="83">
        <f t="shared" si="146"/>
        <v>410</v>
      </c>
      <c r="J47" s="84">
        <f>'3.THCS'!J19+'4.TH-THCS'!J24+'6.THCS-THPT'!J19</f>
        <v>407</v>
      </c>
      <c r="K47" s="84">
        <f>'3.THCS'!K19+'4.TH-THCS'!K24+'6.THCS-THPT'!K19</f>
        <v>2</v>
      </c>
      <c r="L47" s="84">
        <f>'3.THCS'!L19+'4.TH-THCS'!L24+'6.THCS-THPT'!L19</f>
        <v>1</v>
      </c>
      <c r="M47" s="83">
        <f t="shared" si="147"/>
        <v>405</v>
      </c>
      <c r="N47" s="84">
        <f>'3.THCS'!N19+'4.TH-THCS'!N24+'6.THCS-THPT'!N19</f>
        <v>402</v>
      </c>
      <c r="O47" s="84">
        <f>'3.THCS'!O19+'4.TH-THCS'!O24+'6.THCS-THPT'!O19</f>
        <v>2</v>
      </c>
      <c r="P47" s="84">
        <f>'3.THCS'!P19+'4.TH-THCS'!P24+'6.THCS-THPT'!P19</f>
        <v>1</v>
      </c>
      <c r="Q47" s="83">
        <f t="shared" si="148"/>
        <v>406</v>
      </c>
      <c r="R47" s="84">
        <f>'3.THCS'!R19+'4.TH-THCS'!R24+'6.THCS-THPT'!R19</f>
        <v>402</v>
      </c>
      <c r="S47" s="84">
        <f>'3.THCS'!S19+'4.TH-THCS'!S24+'6.THCS-THPT'!S19</f>
        <v>2</v>
      </c>
      <c r="T47" s="84">
        <f>'3.THCS'!T19+'4.TH-THCS'!T24+'6.THCS-THPT'!T19</f>
        <v>2</v>
      </c>
      <c r="U47" s="83">
        <f t="shared" si="149"/>
        <v>408</v>
      </c>
      <c r="V47" s="84">
        <f>'3.THCS'!V19+'4.TH-THCS'!V24+'6.THCS-THPT'!V19</f>
        <v>404</v>
      </c>
      <c r="W47" s="84">
        <f>'3.THCS'!W19+'4.TH-THCS'!W24+'6.THCS-THPT'!W19</f>
        <v>2</v>
      </c>
      <c r="X47" s="84">
        <f>'3.THCS'!X19+'4.TH-THCS'!X24+'6.THCS-THPT'!X19</f>
        <v>2</v>
      </c>
      <c r="Y47" s="83">
        <f t="shared" si="150"/>
        <v>408</v>
      </c>
      <c r="Z47" s="84">
        <f>'3.THCS'!Z19+'4.TH-THCS'!Z24+'6.THCS-THPT'!Z19</f>
        <v>404</v>
      </c>
      <c r="AA47" s="84">
        <f>'3.THCS'!AA19+'4.TH-THCS'!AA24+'6.THCS-THPT'!AA19</f>
        <v>2</v>
      </c>
      <c r="AB47" s="84">
        <f>'3.THCS'!AB19+'4.TH-THCS'!AB24+'6.THCS-THPT'!AB19</f>
        <v>2</v>
      </c>
      <c r="AC47" s="83">
        <f t="shared" si="151"/>
        <v>408</v>
      </c>
      <c r="AD47" s="84">
        <f>'3.THCS'!AD19+'4.TH-THCS'!AD24+'6.THCS-THPT'!AD19</f>
        <v>404</v>
      </c>
      <c r="AE47" s="84">
        <f>'3.THCS'!AE19+'4.TH-THCS'!AE24+'6.THCS-THPT'!AE19</f>
        <v>2</v>
      </c>
      <c r="AF47" s="84">
        <f>'3.THCS'!AF19+'4.TH-THCS'!AF24+'6.THCS-THPT'!AF19</f>
        <v>2</v>
      </c>
      <c r="AG47" s="83">
        <f t="shared" si="152"/>
        <v>15</v>
      </c>
      <c r="AH47" s="84">
        <f>'3.THCS'!AH19+'4.TH-THCS'!AH24+'6.THCS-THPT'!AH19</f>
        <v>12</v>
      </c>
      <c r="AI47" s="84">
        <f>'3.THCS'!AI19+'4.TH-THCS'!AI24+'6.THCS-THPT'!AI19</f>
        <v>3</v>
      </c>
      <c r="AJ47" s="84">
        <f>'3.THCS'!AJ19+'4.TH-THCS'!AJ24+'6.THCS-THPT'!AJ19</f>
        <v>0</v>
      </c>
      <c r="AK47" s="83">
        <f t="shared" si="153"/>
        <v>3</v>
      </c>
      <c r="AL47" s="84">
        <f>'3.THCS'!AL19+'4.TH-THCS'!AL24+'6.THCS-THPT'!AL19</f>
        <v>2</v>
      </c>
      <c r="AM47" s="84">
        <f>'3.THCS'!AM19+'4.TH-THCS'!AM24+'6.THCS-THPT'!AM19</f>
        <v>0</v>
      </c>
      <c r="AN47" s="84">
        <f>'3.THCS'!AN19+'4.TH-THCS'!AN24+'6.THCS-THPT'!AN19</f>
        <v>1</v>
      </c>
      <c r="AO47" s="83">
        <f t="shared" si="154"/>
        <v>3</v>
      </c>
      <c r="AP47" s="84">
        <f>'3.THCS'!AP19+'4.TH-THCS'!AP24+'6.THCS-THPT'!AP19</f>
        <v>2</v>
      </c>
      <c r="AQ47" s="84">
        <f>'3.THCS'!AQ19+'4.TH-THCS'!AQ24+'6.THCS-THPT'!AQ19</f>
        <v>0</v>
      </c>
      <c r="AR47" s="84">
        <f>'3.THCS'!AR19+'4.TH-THCS'!AR24+'6.THCS-THPT'!AR19</f>
        <v>1</v>
      </c>
      <c r="AS47" s="83">
        <f t="shared" si="155"/>
        <v>3</v>
      </c>
      <c r="AT47" s="84">
        <f>'3.THCS'!AT19+'4.TH-THCS'!AT24+'6.THCS-THPT'!AT19</f>
        <v>2</v>
      </c>
      <c r="AU47" s="84">
        <f>'3.THCS'!AU19+'4.TH-THCS'!AU24+'6.THCS-THPT'!AU19</f>
        <v>0</v>
      </c>
      <c r="AV47" s="84">
        <f>'3.THCS'!AV19+'4.TH-THCS'!AV24+'6.THCS-THPT'!AV19</f>
        <v>1</v>
      </c>
      <c r="AW47" s="83">
        <f t="shared" si="156"/>
        <v>3</v>
      </c>
      <c r="AX47" s="84">
        <f>'3.THCS'!AX19+'4.TH-THCS'!AX24+'6.THCS-THPT'!AX19</f>
        <v>2</v>
      </c>
      <c r="AY47" s="84">
        <f>'3.THCS'!AY19+'4.TH-THCS'!AY24+'6.THCS-THPT'!AY19</f>
        <v>0</v>
      </c>
      <c r="AZ47" s="85">
        <f>'3.THCS'!AZ19+'4.TH-THCS'!AZ24+'6.THCS-THPT'!AZ19</f>
        <v>1</v>
      </c>
      <c r="BA47" s="34"/>
    </row>
    <row r="48" ht="15.75" customHeight="1">
      <c r="A48" s="29"/>
      <c r="B48" s="80" t="s">
        <v>64</v>
      </c>
      <c r="C48" s="81"/>
      <c r="D48" s="82" t="s">
        <v>30</v>
      </c>
      <c r="E48" s="83">
        <f t="shared" si="145"/>
        <v>454</v>
      </c>
      <c r="F48" s="84">
        <f>'3.THCS'!F20+'4.TH-THCS'!F25+'6.THCS-THPT'!F20</f>
        <v>450</v>
      </c>
      <c r="G48" s="84">
        <f>'3.THCS'!G20+'4.TH-THCS'!G25+'6.THCS-THPT'!G20</f>
        <v>2</v>
      </c>
      <c r="H48" s="84">
        <f>'3.THCS'!H20+'4.TH-THCS'!H25+'6.THCS-THPT'!H20</f>
        <v>2</v>
      </c>
      <c r="I48" s="83">
        <f t="shared" si="146"/>
        <v>447</v>
      </c>
      <c r="J48" s="84">
        <f>'3.THCS'!J20+'4.TH-THCS'!J25+'6.THCS-THPT'!J20</f>
        <v>444</v>
      </c>
      <c r="K48" s="84">
        <f>'3.THCS'!K20+'4.TH-THCS'!K25+'6.THCS-THPT'!K20</f>
        <v>2</v>
      </c>
      <c r="L48" s="84">
        <f>'3.THCS'!L20+'4.TH-THCS'!L25+'6.THCS-THPT'!L20</f>
        <v>1</v>
      </c>
      <c r="M48" s="83">
        <f t="shared" si="147"/>
        <v>443</v>
      </c>
      <c r="N48" s="84">
        <f>'3.THCS'!N20+'4.TH-THCS'!N25+'6.THCS-THPT'!N20</f>
        <v>440</v>
      </c>
      <c r="O48" s="84">
        <f>'3.THCS'!O20+'4.TH-THCS'!O25+'6.THCS-THPT'!O20</f>
        <v>2</v>
      </c>
      <c r="P48" s="84">
        <f>'3.THCS'!P20+'4.TH-THCS'!P25+'6.THCS-THPT'!P20</f>
        <v>1</v>
      </c>
      <c r="Q48" s="83">
        <f t="shared" si="148"/>
        <v>444</v>
      </c>
      <c r="R48" s="84">
        <f>'3.THCS'!R20+'4.TH-THCS'!R25+'6.THCS-THPT'!R20</f>
        <v>440</v>
      </c>
      <c r="S48" s="84">
        <f>'3.THCS'!S20+'4.TH-THCS'!S25+'6.THCS-THPT'!S20</f>
        <v>2</v>
      </c>
      <c r="T48" s="84">
        <f>'3.THCS'!T20+'4.TH-THCS'!T25+'6.THCS-THPT'!T20</f>
        <v>2</v>
      </c>
      <c r="U48" s="83">
        <f t="shared" si="149"/>
        <v>446</v>
      </c>
      <c r="V48" s="84">
        <f>'3.THCS'!V20+'4.TH-THCS'!V25+'6.THCS-THPT'!V20</f>
        <v>442</v>
      </c>
      <c r="W48" s="84">
        <f>'3.THCS'!W20+'4.TH-THCS'!W25+'6.THCS-THPT'!W20</f>
        <v>2</v>
      </c>
      <c r="X48" s="84">
        <f>'3.THCS'!X20+'4.TH-THCS'!X25+'6.THCS-THPT'!X20</f>
        <v>2</v>
      </c>
      <c r="Y48" s="83">
        <f t="shared" si="150"/>
        <v>446</v>
      </c>
      <c r="Z48" s="84">
        <f>'3.THCS'!Z20+'4.TH-THCS'!Z25+'6.THCS-THPT'!Z20</f>
        <v>442</v>
      </c>
      <c r="AA48" s="84">
        <f>'3.THCS'!AA20+'4.TH-THCS'!AA25+'6.THCS-THPT'!AA20</f>
        <v>2</v>
      </c>
      <c r="AB48" s="84">
        <f>'3.THCS'!AB20+'4.TH-THCS'!AB25+'6.THCS-THPT'!AB20</f>
        <v>2</v>
      </c>
      <c r="AC48" s="83">
        <f t="shared" si="151"/>
        <v>446</v>
      </c>
      <c r="AD48" s="84">
        <f>'3.THCS'!AD20+'4.TH-THCS'!AD25+'6.THCS-THPT'!AD20</f>
        <v>442</v>
      </c>
      <c r="AE48" s="84">
        <f>'3.THCS'!AE20+'4.TH-THCS'!AE25+'6.THCS-THPT'!AE20</f>
        <v>2</v>
      </c>
      <c r="AF48" s="84">
        <f>'3.THCS'!AF20+'4.TH-THCS'!AF25+'6.THCS-THPT'!AF20</f>
        <v>2</v>
      </c>
      <c r="AG48" s="83">
        <f t="shared" si="152"/>
        <v>15</v>
      </c>
      <c r="AH48" s="84">
        <f>'3.THCS'!AH20+'4.TH-THCS'!AH25+'6.THCS-THPT'!AH20</f>
        <v>12</v>
      </c>
      <c r="AI48" s="84">
        <f>'3.THCS'!AI20+'4.TH-THCS'!AI25+'6.THCS-THPT'!AI20</f>
        <v>3</v>
      </c>
      <c r="AJ48" s="84">
        <f>'3.THCS'!AJ20+'4.TH-THCS'!AJ25+'6.THCS-THPT'!AJ20</f>
        <v>0</v>
      </c>
      <c r="AK48" s="83">
        <f t="shared" si="153"/>
        <v>3</v>
      </c>
      <c r="AL48" s="84">
        <f>'3.THCS'!AL20+'4.TH-THCS'!AL25+'6.THCS-THPT'!AL20</f>
        <v>2</v>
      </c>
      <c r="AM48" s="84">
        <f>'3.THCS'!AM20+'4.TH-THCS'!AM25+'6.THCS-THPT'!AM20</f>
        <v>0</v>
      </c>
      <c r="AN48" s="84">
        <f>'3.THCS'!AN20+'4.TH-THCS'!AN25+'6.THCS-THPT'!AN20</f>
        <v>1</v>
      </c>
      <c r="AO48" s="83">
        <f t="shared" si="154"/>
        <v>3</v>
      </c>
      <c r="AP48" s="84">
        <f>'3.THCS'!AP20+'4.TH-THCS'!AP25+'6.THCS-THPT'!AP20</f>
        <v>2</v>
      </c>
      <c r="AQ48" s="84">
        <f>'3.THCS'!AQ20+'4.TH-THCS'!AQ25+'6.THCS-THPT'!AQ20</f>
        <v>0</v>
      </c>
      <c r="AR48" s="84">
        <f>'3.THCS'!AR20+'4.TH-THCS'!AR25+'6.THCS-THPT'!AR20</f>
        <v>1</v>
      </c>
      <c r="AS48" s="83">
        <f t="shared" si="155"/>
        <v>3</v>
      </c>
      <c r="AT48" s="84">
        <f>'3.THCS'!AT20+'4.TH-THCS'!AT25+'6.THCS-THPT'!AT20</f>
        <v>2</v>
      </c>
      <c r="AU48" s="84">
        <f>'3.THCS'!AU20+'4.TH-THCS'!AU25+'6.THCS-THPT'!AU20</f>
        <v>0</v>
      </c>
      <c r="AV48" s="84">
        <f>'3.THCS'!AV20+'4.TH-THCS'!AV25+'6.THCS-THPT'!AV20</f>
        <v>1</v>
      </c>
      <c r="AW48" s="83">
        <f t="shared" si="156"/>
        <v>3</v>
      </c>
      <c r="AX48" s="84">
        <f>'3.THCS'!AX20+'4.TH-THCS'!AX25+'6.THCS-THPT'!AX20</f>
        <v>2</v>
      </c>
      <c r="AY48" s="84">
        <f>'3.THCS'!AY20+'4.TH-THCS'!AY25+'6.THCS-THPT'!AY20</f>
        <v>0</v>
      </c>
      <c r="AZ48" s="85">
        <f>'3.THCS'!AZ20+'4.TH-THCS'!AZ25+'6.THCS-THPT'!AZ20</f>
        <v>1</v>
      </c>
      <c r="BA48" s="34"/>
    </row>
    <row r="49" ht="15.75" customHeight="1">
      <c r="A49" s="29"/>
      <c r="B49" s="86" t="s">
        <v>65</v>
      </c>
      <c r="C49" s="87"/>
      <c r="D49" s="87" t="s">
        <v>30</v>
      </c>
      <c r="E49" s="88">
        <f t="shared" si="145"/>
        <v>317</v>
      </c>
      <c r="F49" s="89">
        <f>'5.THPT'!F17+'6.THCS-THPT'!F21+'7.GDTX'!E12</f>
        <v>315</v>
      </c>
      <c r="G49" s="89">
        <f>'5.THPT'!G17+'6.THCS-THPT'!G21</f>
        <v>0</v>
      </c>
      <c r="H49" s="89">
        <f>'5.THPT'!H17+'6.THCS-THPT'!H21</f>
        <v>2</v>
      </c>
      <c r="I49" s="88">
        <f t="shared" si="146"/>
        <v>305</v>
      </c>
      <c r="J49" s="89">
        <f>'5.THPT'!J17+'6.THCS-THPT'!J21+'7.GDTX'!I12</f>
        <v>305</v>
      </c>
      <c r="K49" s="89">
        <f>'5.THPT'!K17+'6.THCS-THPT'!K21</f>
        <v>0</v>
      </c>
      <c r="L49" s="89">
        <f>'5.THPT'!L17+'6.THCS-THPT'!L21</f>
        <v>0</v>
      </c>
      <c r="M49" s="88">
        <f t="shared" si="147"/>
        <v>288</v>
      </c>
      <c r="N49" s="89">
        <f>'5.THPT'!N17+'6.THCS-THPT'!N21+'7.GDTX'!M12</f>
        <v>288</v>
      </c>
      <c r="O49" s="89">
        <f>'5.THPT'!O17+'6.THCS-THPT'!O21</f>
        <v>0</v>
      </c>
      <c r="P49" s="89">
        <f>'5.THPT'!P17+'6.THCS-THPT'!P21</f>
        <v>0</v>
      </c>
      <c r="Q49" s="88">
        <f t="shared" si="148"/>
        <v>280</v>
      </c>
      <c r="R49" s="89">
        <f>'5.THPT'!R17+'6.THCS-THPT'!R21+'7.GDTX'!Q12</f>
        <v>278</v>
      </c>
      <c r="S49" s="89">
        <f>'5.THPT'!S17+'6.THCS-THPT'!S21</f>
        <v>0</v>
      </c>
      <c r="T49" s="89">
        <f>'5.THPT'!T17+'6.THCS-THPT'!T21</f>
        <v>2</v>
      </c>
      <c r="U49" s="88">
        <f t="shared" si="149"/>
        <v>287</v>
      </c>
      <c r="V49" s="89">
        <f>'5.THPT'!V17+'6.THCS-THPT'!V21+'7.GDTX'!U12</f>
        <v>285</v>
      </c>
      <c r="W49" s="89">
        <f>'5.THPT'!W17+'6.THCS-THPT'!W21</f>
        <v>0</v>
      </c>
      <c r="X49" s="89">
        <f>'5.THPT'!X17+'6.THCS-THPT'!X21</f>
        <v>2</v>
      </c>
      <c r="Y49" s="88">
        <f t="shared" si="150"/>
        <v>287</v>
      </c>
      <c r="Z49" s="89">
        <f>'5.THPT'!Z17+'6.THCS-THPT'!Z21+'7.GDTX'!Y12</f>
        <v>285</v>
      </c>
      <c r="AA49" s="89">
        <f>'5.THPT'!AA17+'6.THCS-THPT'!AA21</f>
        <v>0</v>
      </c>
      <c r="AB49" s="89">
        <f>'5.THPT'!AB17+'6.THCS-THPT'!AB21</f>
        <v>2</v>
      </c>
      <c r="AC49" s="88">
        <f t="shared" si="151"/>
        <v>287</v>
      </c>
      <c r="AD49" s="89">
        <f>'5.THPT'!AD17+'6.THCS-THPT'!AD21+'7.GDTX'!AC12</f>
        <v>285</v>
      </c>
      <c r="AE49" s="89">
        <f>'5.THPT'!AE17+'6.THCS-THPT'!AE21</f>
        <v>0</v>
      </c>
      <c r="AF49" s="89">
        <f>'5.THPT'!AF17+'6.THCS-THPT'!AF21</f>
        <v>2</v>
      </c>
      <c r="AG49" s="88">
        <f t="shared" si="152"/>
        <v>85</v>
      </c>
      <c r="AH49" s="89">
        <f>'5.THPT'!AH17+'6.THCS-THPT'!AH21+'7.GDTX'!AG12</f>
        <v>83</v>
      </c>
      <c r="AI49" s="89">
        <f>'5.THPT'!AI17+'6.THCS-THPT'!AI21</f>
        <v>2</v>
      </c>
      <c r="AJ49" s="89">
        <f>'5.THPT'!AJ17+'6.THCS-THPT'!AJ21</f>
        <v>0</v>
      </c>
      <c r="AK49" s="88">
        <f t="shared" si="153"/>
        <v>14</v>
      </c>
      <c r="AL49" s="89">
        <f>'5.THPT'!AL17+'6.THCS-THPT'!AL21+'7.GDTX'!AK12</f>
        <v>12</v>
      </c>
      <c r="AM49" s="89">
        <f>'5.THPT'!AM17+'6.THCS-THPT'!AM21</f>
        <v>0</v>
      </c>
      <c r="AN49" s="89">
        <f>'5.THPT'!AN17+'6.THCS-THPT'!AN21</f>
        <v>2</v>
      </c>
      <c r="AO49" s="88">
        <f t="shared" si="154"/>
        <v>4</v>
      </c>
      <c r="AP49" s="89">
        <f>'5.THPT'!AP17+'6.THCS-THPT'!AP21+'7.GDTX'!AO12</f>
        <v>2</v>
      </c>
      <c r="AQ49" s="89">
        <f>'5.THPT'!AQ17+'6.THCS-THPT'!AQ21</f>
        <v>0</v>
      </c>
      <c r="AR49" s="89">
        <f>'5.THPT'!AR17+'6.THCS-THPT'!AR21</f>
        <v>2</v>
      </c>
      <c r="AS49" s="88">
        <f t="shared" si="155"/>
        <v>4</v>
      </c>
      <c r="AT49" s="89">
        <f>'5.THPT'!AT17+'6.THCS-THPT'!AT21+'7.GDTX'!AS12</f>
        <v>2</v>
      </c>
      <c r="AU49" s="89">
        <f>'5.THPT'!AU17+'6.THCS-THPT'!AU21</f>
        <v>0</v>
      </c>
      <c r="AV49" s="89">
        <f>'5.THPT'!AV17+'6.THCS-THPT'!AV21</f>
        <v>2</v>
      </c>
      <c r="AW49" s="88">
        <f t="shared" si="156"/>
        <v>4</v>
      </c>
      <c r="AX49" s="89">
        <f>'5.THPT'!AX17+'6.THCS-THPT'!AX21+'7.GDTX'!AW12</f>
        <v>2</v>
      </c>
      <c r="AY49" s="89">
        <f>'5.THPT'!AY17+'6.THCS-THPT'!AY21</f>
        <v>0</v>
      </c>
      <c r="AZ49" s="90">
        <f>'5.THPT'!AZ17+'6.THCS-THPT'!AZ21</f>
        <v>2</v>
      </c>
      <c r="BA49" s="34"/>
    </row>
    <row r="50" ht="15.75" customHeight="1">
      <c r="A50" s="29"/>
      <c r="B50" s="86" t="s">
        <v>66</v>
      </c>
      <c r="C50" s="87"/>
      <c r="D50" s="87" t="s">
        <v>30</v>
      </c>
      <c r="E50" s="88">
        <f t="shared" si="145"/>
        <v>296</v>
      </c>
      <c r="F50" s="89">
        <f>'5.THPT'!F18+'6.THCS-THPT'!F22+'7.GDTX'!E13</f>
        <v>294</v>
      </c>
      <c r="G50" s="89">
        <f>'5.THPT'!G18+'6.THCS-THPT'!G22</f>
        <v>0</v>
      </c>
      <c r="H50" s="89">
        <f>'5.THPT'!H18+'6.THCS-THPT'!H22</f>
        <v>2</v>
      </c>
      <c r="I50" s="88">
        <f t="shared" si="146"/>
        <v>284</v>
      </c>
      <c r="J50" s="89">
        <f>'5.THPT'!J18+'6.THCS-THPT'!J22+'7.GDTX'!I13</f>
        <v>284</v>
      </c>
      <c r="K50" s="89">
        <f>'5.THPT'!K18+'6.THCS-THPT'!K22</f>
        <v>0</v>
      </c>
      <c r="L50" s="89">
        <f>'5.THPT'!L18+'6.THCS-THPT'!L22</f>
        <v>0</v>
      </c>
      <c r="M50" s="88">
        <f t="shared" si="147"/>
        <v>262</v>
      </c>
      <c r="N50" s="89">
        <f>'5.THPT'!N18+'6.THCS-THPT'!N22+'7.GDTX'!M13</f>
        <v>262</v>
      </c>
      <c r="O50" s="89">
        <f>'5.THPT'!O18+'6.THCS-THPT'!O22</f>
        <v>0</v>
      </c>
      <c r="P50" s="89">
        <f>'5.THPT'!P18+'6.THCS-THPT'!P22</f>
        <v>0</v>
      </c>
      <c r="Q50" s="88">
        <f t="shared" si="148"/>
        <v>264</v>
      </c>
      <c r="R50" s="89">
        <f>'5.THPT'!R18+'6.THCS-THPT'!R22+'7.GDTX'!Q13</f>
        <v>262</v>
      </c>
      <c r="S50" s="89">
        <f>'5.THPT'!S18+'6.THCS-THPT'!S22</f>
        <v>0</v>
      </c>
      <c r="T50" s="89">
        <f>'5.THPT'!T18+'6.THCS-THPT'!T22</f>
        <v>2</v>
      </c>
      <c r="U50" s="88">
        <f t="shared" si="149"/>
        <v>269</v>
      </c>
      <c r="V50" s="89">
        <f>'5.THPT'!V18+'6.THCS-THPT'!V22+'7.GDTX'!U13</f>
        <v>267</v>
      </c>
      <c r="W50" s="89">
        <f>'5.THPT'!W18+'6.THCS-THPT'!W22</f>
        <v>0</v>
      </c>
      <c r="X50" s="89">
        <f>'5.THPT'!X18+'6.THCS-THPT'!X22</f>
        <v>2</v>
      </c>
      <c r="Y50" s="88">
        <f t="shared" si="150"/>
        <v>269</v>
      </c>
      <c r="Z50" s="89">
        <f>'5.THPT'!Z18+'6.THCS-THPT'!Z22+'7.GDTX'!Y13</f>
        <v>267</v>
      </c>
      <c r="AA50" s="89">
        <f>'5.THPT'!AA18+'6.THCS-THPT'!AA22</f>
        <v>0</v>
      </c>
      <c r="AB50" s="89">
        <f>'5.THPT'!AB18+'6.THCS-THPT'!AB22</f>
        <v>2</v>
      </c>
      <c r="AC50" s="88">
        <f t="shared" si="151"/>
        <v>269</v>
      </c>
      <c r="AD50" s="89">
        <f>'5.THPT'!AD18+'6.THCS-THPT'!AD22+'7.GDTX'!AC13</f>
        <v>267</v>
      </c>
      <c r="AE50" s="89">
        <f>'5.THPT'!AE18+'6.THCS-THPT'!AE22</f>
        <v>0</v>
      </c>
      <c r="AF50" s="89">
        <f>'5.THPT'!AF18+'6.THCS-THPT'!AF22</f>
        <v>2</v>
      </c>
      <c r="AG50" s="88">
        <f t="shared" si="152"/>
        <v>82</v>
      </c>
      <c r="AH50" s="89">
        <f>'5.THPT'!AH18+'6.THCS-THPT'!AH22+'7.GDTX'!AG13</f>
        <v>80</v>
      </c>
      <c r="AI50" s="89">
        <f>'5.THPT'!AI18+'6.THCS-THPT'!AI22</f>
        <v>2</v>
      </c>
      <c r="AJ50" s="89">
        <f>'5.THPT'!AJ18+'6.THCS-THPT'!AJ22</f>
        <v>0</v>
      </c>
      <c r="AK50" s="88">
        <f t="shared" si="153"/>
        <v>12</v>
      </c>
      <c r="AL50" s="89">
        <f>'5.THPT'!AL18+'6.THCS-THPT'!AL22+'7.GDTX'!AK13</f>
        <v>10</v>
      </c>
      <c r="AM50" s="89">
        <f>'5.THPT'!AM18+'6.THCS-THPT'!AM22</f>
        <v>0</v>
      </c>
      <c r="AN50" s="89">
        <f>'5.THPT'!AN18+'6.THCS-THPT'!AN22</f>
        <v>2</v>
      </c>
      <c r="AO50" s="88">
        <f t="shared" si="154"/>
        <v>4</v>
      </c>
      <c r="AP50" s="89">
        <f>'5.THPT'!AP18+'6.THCS-THPT'!AP22+'7.GDTX'!AO13</f>
        <v>2</v>
      </c>
      <c r="AQ50" s="89">
        <f>'5.THPT'!AQ18+'6.THCS-THPT'!AQ22</f>
        <v>0</v>
      </c>
      <c r="AR50" s="89">
        <f>'5.THPT'!AR18+'6.THCS-THPT'!AR22</f>
        <v>2</v>
      </c>
      <c r="AS50" s="88">
        <f t="shared" si="155"/>
        <v>4</v>
      </c>
      <c r="AT50" s="89">
        <f>'5.THPT'!AT18+'6.THCS-THPT'!AT22+'7.GDTX'!AS13</f>
        <v>2</v>
      </c>
      <c r="AU50" s="89">
        <f>'5.THPT'!AU18+'6.THCS-THPT'!AU22</f>
        <v>0</v>
      </c>
      <c r="AV50" s="89">
        <f>'5.THPT'!AV18+'6.THCS-THPT'!AV22</f>
        <v>2</v>
      </c>
      <c r="AW50" s="88">
        <f t="shared" si="156"/>
        <v>4</v>
      </c>
      <c r="AX50" s="89">
        <f>'5.THPT'!AX18+'6.THCS-THPT'!AX22+'7.GDTX'!AW13</f>
        <v>2</v>
      </c>
      <c r="AY50" s="89">
        <f>'5.THPT'!AY18+'6.THCS-THPT'!AY22</f>
        <v>0</v>
      </c>
      <c r="AZ50" s="90">
        <f>'5.THPT'!AZ18+'6.THCS-THPT'!AZ22</f>
        <v>2</v>
      </c>
      <c r="BA50" s="34"/>
    </row>
    <row r="51" ht="15.75" customHeight="1">
      <c r="A51" s="29"/>
      <c r="B51" s="86" t="s">
        <v>67</v>
      </c>
      <c r="C51" s="87"/>
      <c r="D51" s="87" t="s">
        <v>30</v>
      </c>
      <c r="E51" s="88">
        <f t="shared" si="145"/>
        <v>261</v>
      </c>
      <c r="F51" s="89">
        <f>'5.THPT'!F19+'6.THCS-THPT'!F23+'7.GDTX'!E14</f>
        <v>260</v>
      </c>
      <c r="G51" s="89">
        <f>'5.THPT'!G19+'6.THCS-THPT'!G23</f>
        <v>0</v>
      </c>
      <c r="H51" s="89">
        <f>'5.THPT'!H19+'6.THCS-THPT'!H23</f>
        <v>1</v>
      </c>
      <c r="I51" s="88">
        <f t="shared" si="146"/>
        <v>252</v>
      </c>
      <c r="J51" s="89">
        <f>'5.THPT'!J19+'6.THCS-THPT'!J23+'7.GDTX'!I14</f>
        <v>252</v>
      </c>
      <c r="K51" s="89">
        <f>'5.THPT'!K19+'6.THCS-THPT'!K23</f>
        <v>0</v>
      </c>
      <c r="L51" s="89">
        <f>'5.THPT'!L19+'6.THCS-THPT'!L23</f>
        <v>0</v>
      </c>
      <c r="M51" s="88">
        <f t="shared" si="147"/>
        <v>237</v>
      </c>
      <c r="N51" s="89">
        <f>'5.THPT'!N19+'6.THCS-THPT'!N23+'7.GDTX'!M14</f>
        <v>237</v>
      </c>
      <c r="O51" s="89">
        <f>'5.THPT'!O19+'6.THCS-THPT'!O23</f>
        <v>0</v>
      </c>
      <c r="P51" s="89">
        <f>'5.THPT'!P19+'6.THCS-THPT'!P23</f>
        <v>0</v>
      </c>
      <c r="Q51" s="88">
        <f t="shared" si="148"/>
        <v>237</v>
      </c>
      <c r="R51" s="89">
        <f>'5.THPT'!R19+'6.THCS-THPT'!R23+'7.GDTX'!Q14</f>
        <v>236</v>
      </c>
      <c r="S51" s="89">
        <f>'5.THPT'!S19+'6.THCS-THPT'!S23</f>
        <v>0</v>
      </c>
      <c r="T51" s="89">
        <f>'5.THPT'!T19+'6.THCS-THPT'!T23</f>
        <v>1</v>
      </c>
      <c r="U51" s="88">
        <f t="shared" si="149"/>
        <v>242</v>
      </c>
      <c r="V51" s="89">
        <f>'5.THPT'!V19+'6.THCS-THPT'!V23+'7.GDTX'!U14</f>
        <v>241</v>
      </c>
      <c r="W51" s="89">
        <f>'5.THPT'!W19+'6.THCS-THPT'!W23</f>
        <v>0</v>
      </c>
      <c r="X51" s="89">
        <f>'5.THPT'!X19+'6.THCS-THPT'!X23</f>
        <v>1</v>
      </c>
      <c r="Y51" s="88">
        <f t="shared" si="150"/>
        <v>242</v>
      </c>
      <c r="Z51" s="89">
        <f>'5.THPT'!Z19+'6.THCS-THPT'!Z23+'7.GDTX'!Y14</f>
        <v>241</v>
      </c>
      <c r="AA51" s="89">
        <f>'5.THPT'!AA19+'6.THCS-THPT'!AA23</f>
        <v>0</v>
      </c>
      <c r="AB51" s="89">
        <f>'5.THPT'!AB19+'6.THCS-THPT'!AB23</f>
        <v>1</v>
      </c>
      <c r="AC51" s="88">
        <f t="shared" si="151"/>
        <v>242</v>
      </c>
      <c r="AD51" s="89">
        <f>'5.THPT'!AD19+'6.THCS-THPT'!AD23+'7.GDTX'!AC14</f>
        <v>241</v>
      </c>
      <c r="AE51" s="89">
        <f>'5.THPT'!AE19+'6.THCS-THPT'!AE23</f>
        <v>0</v>
      </c>
      <c r="AF51" s="89">
        <f>'5.THPT'!AF19+'6.THCS-THPT'!AF23</f>
        <v>1</v>
      </c>
      <c r="AG51" s="88">
        <f t="shared" si="152"/>
        <v>77</v>
      </c>
      <c r="AH51" s="89">
        <f>'5.THPT'!AH19+'6.THCS-THPT'!AH23+'7.GDTX'!AG14</f>
        <v>76</v>
      </c>
      <c r="AI51" s="89">
        <f>'5.THPT'!AI19+'6.THCS-THPT'!AI23</f>
        <v>1</v>
      </c>
      <c r="AJ51" s="89">
        <f>'5.THPT'!AJ19+'6.THCS-THPT'!AJ23</f>
        <v>0</v>
      </c>
      <c r="AK51" s="88">
        <f t="shared" si="153"/>
        <v>13</v>
      </c>
      <c r="AL51" s="89">
        <f>'5.THPT'!AL19+'6.THCS-THPT'!AL23+'7.GDTX'!AK14</f>
        <v>12</v>
      </c>
      <c r="AM51" s="89">
        <f>'5.THPT'!AM19+'6.THCS-THPT'!AM23</f>
        <v>0</v>
      </c>
      <c r="AN51" s="89">
        <f>'5.THPT'!AN19+'6.THCS-THPT'!AN23</f>
        <v>1</v>
      </c>
      <c r="AO51" s="88">
        <f t="shared" si="154"/>
        <v>3</v>
      </c>
      <c r="AP51" s="89">
        <f>'5.THPT'!AP19+'6.THCS-THPT'!AP23+'7.GDTX'!AO14</f>
        <v>2</v>
      </c>
      <c r="AQ51" s="89">
        <f>'5.THPT'!AQ19+'6.THCS-THPT'!AQ23</f>
        <v>0</v>
      </c>
      <c r="AR51" s="89">
        <f>'5.THPT'!AR19+'6.THCS-THPT'!AR23</f>
        <v>1</v>
      </c>
      <c r="AS51" s="88">
        <f t="shared" si="155"/>
        <v>3</v>
      </c>
      <c r="AT51" s="89">
        <f>'5.THPT'!AT19+'6.THCS-THPT'!AT23+'7.GDTX'!AS14</f>
        <v>2</v>
      </c>
      <c r="AU51" s="89">
        <f>'5.THPT'!AU19+'6.THCS-THPT'!AU23</f>
        <v>0</v>
      </c>
      <c r="AV51" s="89">
        <f>'5.THPT'!AV19+'6.THCS-THPT'!AV23</f>
        <v>1</v>
      </c>
      <c r="AW51" s="88">
        <f t="shared" si="156"/>
        <v>3</v>
      </c>
      <c r="AX51" s="89">
        <f>'5.THPT'!AX19+'6.THCS-THPT'!AX23+'7.GDTX'!AW14</f>
        <v>2</v>
      </c>
      <c r="AY51" s="89">
        <f>'5.THPT'!AY19+'6.THCS-THPT'!AY23</f>
        <v>0</v>
      </c>
      <c r="AZ51" s="90">
        <f>'5.THPT'!AZ19+'6.THCS-THPT'!AZ23</f>
        <v>1</v>
      </c>
      <c r="BA51" s="34"/>
    </row>
    <row r="52" ht="15.75" customHeight="1">
      <c r="A52" s="29"/>
      <c r="B52" s="67" t="s">
        <v>68</v>
      </c>
      <c r="C52" s="31"/>
      <c r="D52" s="31" t="s">
        <v>30</v>
      </c>
      <c r="E52" s="41">
        <f t="shared" si="145"/>
        <v>0</v>
      </c>
      <c r="F52" s="42">
        <f>'2.TH'!F22+'3.THCS'!F21+'5.THPT'!F20+'4.TH-THCS'!F26+'6.THCS-THPT'!F24+'7.GDTX'!E15</f>
        <v>0</v>
      </c>
      <c r="G52" s="42">
        <f>'2.TH'!G22+'3.THCS'!G21+'5.THPT'!G20+'4.TH-THCS'!G26+'6.THCS-THPT'!G24</f>
        <v>0</v>
      </c>
      <c r="H52" s="42">
        <f>'2.TH'!H22+'3.THCS'!H21+'5.THPT'!H20+'4.TH-THCS'!H26+'6.THCS-THPT'!H24</f>
        <v>0</v>
      </c>
      <c r="I52" s="41">
        <f t="shared" si="146"/>
        <v>0</v>
      </c>
      <c r="J52" s="42">
        <f>'2.TH'!J22+'3.THCS'!J21+'5.THPT'!J20+'4.TH-THCS'!J26+'6.THCS-THPT'!J24+'7.GDTX'!I15</f>
        <v>0</v>
      </c>
      <c r="K52" s="42">
        <f>'2.TH'!K22+'3.THCS'!K21+'5.THPT'!K20+'4.TH-THCS'!K26+'6.THCS-THPT'!K24</f>
        <v>0</v>
      </c>
      <c r="L52" s="42">
        <f>'2.TH'!L22+'3.THCS'!L21+'5.THPT'!L20+'4.TH-THCS'!L26+'6.THCS-THPT'!L24</f>
        <v>0</v>
      </c>
      <c r="M52" s="41">
        <f t="shared" si="147"/>
        <v>0</v>
      </c>
      <c r="N52" s="42">
        <f>'2.TH'!N22+'3.THCS'!N21+'5.THPT'!N20+'4.TH-THCS'!N26+'6.THCS-THPT'!N24+'7.GDTX'!M15</f>
        <v>0</v>
      </c>
      <c r="O52" s="42">
        <f>'2.TH'!O22+'3.THCS'!O21+'5.THPT'!O20+'4.TH-THCS'!O26+'6.THCS-THPT'!O24</f>
        <v>0</v>
      </c>
      <c r="P52" s="42">
        <f>'2.TH'!P22+'3.THCS'!P21+'5.THPT'!P20+'4.TH-THCS'!P26+'6.THCS-THPT'!P24</f>
        <v>0</v>
      </c>
      <c r="Q52" s="41">
        <f t="shared" si="148"/>
        <v>0</v>
      </c>
      <c r="R52" s="42">
        <f>'2.TH'!R22+'3.THCS'!R21+'5.THPT'!R20+'4.TH-THCS'!R26+'6.THCS-THPT'!R24+'7.GDTX'!Q15</f>
        <v>0</v>
      </c>
      <c r="S52" s="42">
        <f>'2.TH'!S22+'3.THCS'!S21+'5.THPT'!S20+'4.TH-THCS'!S26+'6.THCS-THPT'!S24</f>
        <v>0</v>
      </c>
      <c r="T52" s="42">
        <f>'2.TH'!T22+'3.THCS'!T21+'5.THPT'!T20+'4.TH-THCS'!T26+'6.THCS-THPT'!T24</f>
        <v>0</v>
      </c>
      <c r="U52" s="41">
        <f t="shared" si="149"/>
        <v>0</v>
      </c>
      <c r="V52" s="42">
        <f>'2.TH'!V22+'3.THCS'!V21+'5.THPT'!V20+'4.TH-THCS'!V26+'6.THCS-THPT'!V24+'7.GDTX'!U15</f>
        <v>0</v>
      </c>
      <c r="W52" s="42">
        <f>'2.TH'!W22+'3.THCS'!W21+'5.THPT'!W20+'4.TH-THCS'!W26+'6.THCS-THPT'!W24</f>
        <v>0</v>
      </c>
      <c r="X52" s="42">
        <f>'2.TH'!X22+'3.THCS'!X21+'5.THPT'!X20+'4.TH-THCS'!X26+'6.THCS-THPT'!X24</f>
        <v>0</v>
      </c>
      <c r="Y52" s="41">
        <f t="shared" si="150"/>
        <v>0</v>
      </c>
      <c r="Z52" s="42">
        <f>'2.TH'!Z22+'3.THCS'!Z21+'5.THPT'!Z20+'4.TH-THCS'!Z26+'6.THCS-THPT'!Z24+'7.GDTX'!Y15</f>
        <v>0</v>
      </c>
      <c r="AA52" s="42">
        <f>'2.TH'!AA22+'3.THCS'!AA21+'5.THPT'!AA20+'4.TH-THCS'!AA26+'6.THCS-THPT'!AA24</f>
        <v>0</v>
      </c>
      <c r="AB52" s="42">
        <f>'2.TH'!AB22+'3.THCS'!AB21+'5.THPT'!AB20+'4.TH-THCS'!AB26+'6.THCS-THPT'!AB24</f>
        <v>0</v>
      </c>
      <c r="AC52" s="41">
        <f t="shared" si="151"/>
        <v>2</v>
      </c>
      <c r="AD52" s="42">
        <f>'2.TH'!AD22+'3.THCS'!AD21+'5.THPT'!AD20+'4.TH-THCS'!AD26+'6.THCS-THPT'!AD24+'7.GDTX'!AC15</f>
        <v>2</v>
      </c>
      <c r="AE52" s="42">
        <f>'2.TH'!AE22+'3.THCS'!AE21+'5.THPT'!AE20+'4.TH-THCS'!AE26+'6.THCS-THPT'!AE24</f>
        <v>0</v>
      </c>
      <c r="AF52" s="42">
        <f>'2.TH'!AF22+'3.THCS'!AF21+'5.THPT'!AF20+'4.TH-THCS'!AF26+'6.THCS-THPT'!AF24</f>
        <v>0</v>
      </c>
      <c r="AG52" s="41">
        <f t="shared" si="152"/>
        <v>0</v>
      </c>
      <c r="AH52" s="42">
        <f>'2.TH'!AH22+'3.THCS'!AH21+'5.THPT'!AH20+'4.TH-THCS'!AH26+'6.THCS-THPT'!AH24+'7.GDTX'!AG15</f>
        <v>0</v>
      </c>
      <c r="AI52" s="42">
        <f>'2.TH'!AI22+'3.THCS'!AI21+'5.THPT'!AI20+'4.TH-THCS'!AI26+'6.THCS-THPT'!AI24</f>
        <v>0</v>
      </c>
      <c r="AJ52" s="42">
        <f>'2.TH'!AJ22+'3.THCS'!AJ21+'5.THPT'!AJ20+'4.TH-THCS'!AJ26+'6.THCS-THPT'!AJ24</f>
        <v>0</v>
      </c>
      <c r="AK52" s="41">
        <f t="shared" si="153"/>
        <v>0</v>
      </c>
      <c r="AL52" s="42">
        <f>'2.TH'!AL22+'3.THCS'!AL21+'5.THPT'!AL20+'4.TH-THCS'!AL26+'6.THCS-THPT'!AL24+'7.GDTX'!AK15</f>
        <v>0</v>
      </c>
      <c r="AM52" s="42">
        <f>'2.TH'!AM22+'3.THCS'!AM21+'5.THPT'!AM20+'4.TH-THCS'!AM26+'6.THCS-THPT'!AM24</f>
        <v>0</v>
      </c>
      <c r="AN52" s="42">
        <f>'2.TH'!AN22+'3.THCS'!AN21+'5.THPT'!AN20+'4.TH-THCS'!AN26+'6.THCS-THPT'!AN24</f>
        <v>0</v>
      </c>
      <c r="AO52" s="41">
        <f t="shared" si="154"/>
        <v>0</v>
      </c>
      <c r="AP52" s="42">
        <f>'2.TH'!AP22+'3.THCS'!AP21+'5.THPT'!AP20+'4.TH-THCS'!AP26+'6.THCS-THPT'!AP24+'7.GDTX'!AO15</f>
        <v>0</v>
      </c>
      <c r="AQ52" s="42">
        <f>'2.TH'!AQ22+'3.THCS'!AQ21+'5.THPT'!AQ20+'4.TH-THCS'!AQ26+'6.THCS-THPT'!AQ24</f>
        <v>0</v>
      </c>
      <c r="AR52" s="42">
        <f>'2.TH'!AR22+'3.THCS'!AR21+'5.THPT'!AR20+'4.TH-THCS'!AR26+'6.THCS-THPT'!AR24</f>
        <v>0</v>
      </c>
      <c r="AS52" s="41">
        <f t="shared" si="155"/>
        <v>0</v>
      </c>
      <c r="AT52" s="42">
        <f>'2.TH'!AT22+'3.THCS'!AT21+'5.THPT'!AT20+'4.TH-THCS'!AT26+'6.THCS-THPT'!AT24+'7.GDTX'!AS15</f>
        <v>0</v>
      </c>
      <c r="AU52" s="42">
        <f>'2.TH'!AU22+'3.THCS'!AU21+'5.THPT'!AU20+'4.TH-THCS'!AU26+'6.THCS-THPT'!AU24</f>
        <v>0</v>
      </c>
      <c r="AV52" s="42">
        <f>'2.TH'!AV22+'3.THCS'!AV21+'5.THPT'!AV20+'4.TH-THCS'!AV26+'6.THCS-THPT'!AV24</f>
        <v>0</v>
      </c>
      <c r="AW52" s="41">
        <f t="shared" si="156"/>
        <v>0</v>
      </c>
      <c r="AX52" s="42">
        <f>'2.TH'!AX22+'3.THCS'!AX21+'5.THPT'!AX20+'4.TH-THCS'!AX26+'6.THCS-THPT'!AX24+'7.GDTX'!AW15</f>
        <v>0</v>
      </c>
      <c r="AY52" s="42">
        <f>'2.TH'!AY22+'3.THCS'!AY21+'5.THPT'!AY20+'4.TH-THCS'!AY26+'6.THCS-THPT'!AY24</f>
        <v>0</v>
      </c>
      <c r="AZ52" s="43">
        <f>'2.TH'!AZ22+'3.THCS'!AZ21+'5.THPT'!AZ20+'4.TH-THCS'!AZ26+'6.THCS-THPT'!AZ24</f>
        <v>0</v>
      </c>
      <c r="BA52" s="34"/>
    </row>
    <row r="53" ht="15.75" customHeight="1">
      <c r="A53" s="29"/>
      <c r="B53" s="66" t="s">
        <v>69</v>
      </c>
      <c r="C53" s="31" t="s">
        <v>26</v>
      </c>
      <c r="D53" s="31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3"/>
      <c r="BA53" s="34"/>
    </row>
    <row r="54" ht="15.75" customHeight="1">
      <c r="A54" s="29"/>
      <c r="B54" s="91" t="s">
        <v>70</v>
      </c>
      <c r="C54" s="36"/>
      <c r="D54" s="36" t="s">
        <v>71</v>
      </c>
      <c r="E54" s="37">
        <f t="shared" ref="E54:E58" si="169">F54+G54+H54</f>
        <v>271345</v>
      </c>
      <c r="F54" s="37">
        <f t="shared" ref="F54:H54" si="157">F55+F56+F57+F58</f>
        <v>265119</v>
      </c>
      <c r="G54" s="37">
        <f t="shared" si="157"/>
        <v>2125</v>
      </c>
      <c r="H54" s="37">
        <f t="shared" si="157"/>
        <v>4101</v>
      </c>
      <c r="I54" s="37">
        <f t="shared" ref="I54:I58" si="171">J54+K54+L54</f>
        <v>268788</v>
      </c>
      <c r="J54" s="37">
        <f t="shared" ref="J54:L54" si="158">J55+J56+J57+J58</f>
        <v>262655</v>
      </c>
      <c r="K54" s="37">
        <f t="shared" si="158"/>
        <v>2127</v>
      </c>
      <c r="L54" s="37">
        <f t="shared" si="158"/>
        <v>4006</v>
      </c>
      <c r="M54" s="37">
        <f t="shared" ref="M54:M58" si="173">N54+O54+P54</f>
        <v>266061</v>
      </c>
      <c r="N54" s="37">
        <f t="shared" ref="N54:P54" si="159">N55+N56+N57+N58</f>
        <v>259803</v>
      </c>
      <c r="O54" s="37">
        <f t="shared" si="159"/>
        <v>2126</v>
      </c>
      <c r="P54" s="37">
        <f t="shared" si="159"/>
        <v>4132</v>
      </c>
      <c r="Q54" s="37">
        <f t="shared" ref="Q54:Q58" si="175">R54+S54+T54</f>
        <v>265553</v>
      </c>
      <c r="R54" s="37">
        <f t="shared" ref="R54:T54" si="160">R55+R56+R57+R58</f>
        <v>259095</v>
      </c>
      <c r="S54" s="37">
        <f t="shared" si="160"/>
        <v>2115</v>
      </c>
      <c r="T54" s="37">
        <f t="shared" si="160"/>
        <v>4343</v>
      </c>
      <c r="U54" s="37">
        <f t="shared" ref="U54:U58" si="177">V54+W54+X54</f>
        <v>260909.739</v>
      </c>
      <c r="V54" s="37">
        <f t="shared" ref="V54:X54" si="161">V55+V56+V57+V58</f>
        <v>257121.062</v>
      </c>
      <c r="W54" s="37">
        <f t="shared" si="161"/>
        <v>2115</v>
      </c>
      <c r="X54" s="37">
        <f t="shared" si="161"/>
        <v>1673.677</v>
      </c>
      <c r="Y54" s="37">
        <f t="shared" ref="Y54:Y58" si="179">Z54+AA54+AB54</f>
        <v>240874.567</v>
      </c>
      <c r="Z54" s="37">
        <f t="shared" ref="Z54:AB54" si="162">Z55+Z56+Z57+Z58</f>
        <v>236999.837</v>
      </c>
      <c r="AA54" s="37">
        <f t="shared" si="162"/>
        <v>2101</v>
      </c>
      <c r="AB54" s="37">
        <f t="shared" si="162"/>
        <v>1773.73</v>
      </c>
      <c r="AC54" s="37">
        <f t="shared" ref="AC54:AC58" si="181">AD54+AE54+AF54</f>
        <v>240663.474</v>
      </c>
      <c r="AD54" s="37">
        <f t="shared" ref="AD54:AF54" si="163">AD55+AD56+AD57+AD58</f>
        <v>236769.796</v>
      </c>
      <c r="AE54" s="37">
        <f t="shared" si="163"/>
        <v>2101</v>
      </c>
      <c r="AF54" s="37">
        <f t="shared" si="163"/>
        <v>1792.678</v>
      </c>
      <c r="AG54" s="37">
        <f t="shared" ref="AG54:AG58" si="183">AH54+AI54+AJ54</f>
        <v>6045</v>
      </c>
      <c r="AH54" s="37">
        <f t="shared" ref="AH54:AJ54" si="164">AH55+AH56+AH57+AH58</f>
        <v>4980</v>
      </c>
      <c r="AI54" s="37">
        <f t="shared" si="164"/>
        <v>1065</v>
      </c>
      <c r="AJ54" s="37">
        <f t="shared" si="164"/>
        <v>0</v>
      </c>
      <c r="AK54" s="37">
        <f t="shared" ref="AK54:AK58" si="185">AL54+AM54+AN54</f>
        <v>476</v>
      </c>
      <c r="AL54" s="37">
        <f t="shared" ref="AL54:AN54" si="165">AL55+AL56+AL57+AL58</f>
        <v>476</v>
      </c>
      <c r="AM54" s="37">
        <f t="shared" si="165"/>
        <v>0</v>
      </c>
      <c r="AN54" s="37">
        <f t="shared" si="165"/>
        <v>0</v>
      </c>
      <c r="AO54" s="37">
        <f t="shared" ref="AO54:AO58" si="187">AP54+AQ54+AR54</f>
        <v>0</v>
      </c>
      <c r="AP54" s="37">
        <f t="shared" ref="AP54:AR54" si="166">AP55+AP56+AP57+AP58</f>
        <v>0</v>
      </c>
      <c r="AQ54" s="37">
        <f t="shared" si="166"/>
        <v>0</v>
      </c>
      <c r="AR54" s="37">
        <f t="shared" si="166"/>
        <v>0</v>
      </c>
      <c r="AS54" s="37">
        <f t="shared" ref="AS54:AS58" si="189">AT54+AU54+AV54</f>
        <v>0</v>
      </c>
      <c r="AT54" s="37">
        <f t="shared" ref="AT54:AV54" si="167">AT55+AT56+AT57+AT58</f>
        <v>0</v>
      </c>
      <c r="AU54" s="37">
        <f t="shared" si="167"/>
        <v>0</v>
      </c>
      <c r="AV54" s="37">
        <f t="shared" si="167"/>
        <v>0</v>
      </c>
      <c r="AW54" s="37">
        <f t="shared" ref="AW54:AW58" si="191">AX54+AY54+AZ54</f>
        <v>0</v>
      </c>
      <c r="AX54" s="37">
        <f t="shared" ref="AX54:AZ54" si="168">AX55+AX56+AX57+AX58</f>
        <v>0</v>
      </c>
      <c r="AY54" s="37">
        <f t="shared" si="168"/>
        <v>0</v>
      </c>
      <c r="AZ54" s="38">
        <f t="shared" si="168"/>
        <v>0</v>
      </c>
      <c r="BA54" s="34"/>
    </row>
    <row r="55" ht="15.75" customHeight="1">
      <c r="A55" s="29"/>
      <c r="B55" s="67" t="s">
        <v>29</v>
      </c>
      <c r="C55" s="57"/>
      <c r="D55" s="57" t="s">
        <v>30</v>
      </c>
      <c r="E55" s="41">
        <f t="shared" si="169"/>
        <v>44609</v>
      </c>
      <c r="F55" s="41">
        <f t="shared" ref="F55:H55" si="170">F60+F61</f>
        <v>40224</v>
      </c>
      <c r="G55" s="41">
        <f t="shared" si="170"/>
        <v>754</v>
      </c>
      <c r="H55" s="41">
        <f t="shared" si="170"/>
        <v>3631</v>
      </c>
      <c r="I55" s="41">
        <f t="shared" si="171"/>
        <v>45111</v>
      </c>
      <c r="J55" s="41">
        <f t="shared" ref="J55:L55" si="172">J60+J61</f>
        <v>40631</v>
      </c>
      <c r="K55" s="41">
        <f t="shared" si="172"/>
        <v>756</v>
      </c>
      <c r="L55" s="41">
        <f t="shared" si="172"/>
        <v>3724</v>
      </c>
      <c r="M55" s="41">
        <f t="shared" si="173"/>
        <v>45413</v>
      </c>
      <c r="N55" s="41">
        <f t="shared" ref="N55:P55" si="174">N60+N61</f>
        <v>40804</v>
      </c>
      <c r="O55" s="41">
        <f t="shared" si="174"/>
        <v>756</v>
      </c>
      <c r="P55" s="41">
        <f t="shared" si="174"/>
        <v>3853</v>
      </c>
      <c r="Q55" s="41">
        <f t="shared" si="175"/>
        <v>45632</v>
      </c>
      <c r="R55" s="41">
        <f t="shared" ref="R55:T55" si="176">R60+R61</f>
        <v>41013</v>
      </c>
      <c r="S55" s="41">
        <f t="shared" si="176"/>
        <v>756</v>
      </c>
      <c r="T55" s="41">
        <f t="shared" si="176"/>
        <v>3863</v>
      </c>
      <c r="U55" s="41">
        <f t="shared" si="177"/>
        <v>40927.739</v>
      </c>
      <c r="V55" s="41">
        <f t="shared" ref="V55:X55" si="178">V60+V61</f>
        <v>38976.062</v>
      </c>
      <c r="W55" s="41">
        <f t="shared" si="178"/>
        <v>756</v>
      </c>
      <c r="X55" s="41">
        <f t="shared" si="178"/>
        <v>1195.677</v>
      </c>
      <c r="Y55" s="41">
        <f t="shared" si="179"/>
        <v>41259.779</v>
      </c>
      <c r="Z55" s="41">
        <f t="shared" ref="Z55:AB55" si="180">Z60+Z61</f>
        <v>39220.049</v>
      </c>
      <c r="AA55" s="41">
        <f t="shared" si="180"/>
        <v>742</v>
      </c>
      <c r="AB55" s="41">
        <f t="shared" si="180"/>
        <v>1297.73</v>
      </c>
      <c r="AC55" s="41">
        <f t="shared" si="181"/>
        <v>41331.727</v>
      </c>
      <c r="AD55" s="41">
        <f t="shared" ref="AD55:AF55" si="182">AD60+AD61</f>
        <v>39274.049</v>
      </c>
      <c r="AE55" s="41">
        <f t="shared" si="182"/>
        <v>742</v>
      </c>
      <c r="AF55" s="41">
        <f t="shared" si="182"/>
        <v>1315.678</v>
      </c>
      <c r="AG55" s="41">
        <f t="shared" si="183"/>
        <v>0</v>
      </c>
      <c r="AH55" s="41">
        <f t="shared" ref="AH55:AJ55" si="184">AH60+AH61</f>
        <v>0</v>
      </c>
      <c r="AI55" s="41">
        <f t="shared" si="184"/>
        <v>0</v>
      </c>
      <c r="AJ55" s="41">
        <f t="shared" si="184"/>
        <v>0</v>
      </c>
      <c r="AK55" s="41">
        <f t="shared" si="185"/>
        <v>0</v>
      </c>
      <c r="AL55" s="41">
        <f t="shared" ref="AL55:AN55" si="186">AL60+AL61</f>
        <v>0</v>
      </c>
      <c r="AM55" s="41">
        <f t="shared" si="186"/>
        <v>0</v>
      </c>
      <c r="AN55" s="41">
        <f t="shared" si="186"/>
        <v>0</v>
      </c>
      <c r="AO55" s="41">
        <f t="shared" si="187"/>
        <v>0</v>
      </c>
      <c r="AP55" s="41">
        <f t="shared" ref="AP55:AR55" si="188">AP60+AP61</f>
        <v>0</v>
      </c>
      <c r="AQ55" s="41">
        <f t="shared" si="188"/>
        <v>0</v>
      </c>
      <c r="AR55" s="41">
        <f t="shared" si="188"/>
        <v>0</v>
      </c>
      <c r="AS55" s="41">
        <f t="shared" si="189"/>
        <v>0</v>
      </c>
      <c r="AT55" s="41">
        <f t="shared" ref="AT55:AV55" si="190">AT60+AT61</f>
        <v>0</v>
      </c>
      <c r="AU55" s="41">
        <f t="shared" si="190"/>
        <v>0</v>
      </c>
      <c r="AV55" s="41">
        <f t="shared" si="190"/>
        <v>0</v>
      </c>
      <c r="AW55" s="41">
        <f t="shared" si="191"/>
        <v>0</v>
      </c>
      <c r="AX55" s="41">
        <f t="shared" ref="AX55:AZ55" si="192">AX60+AX61</f>
        <v>0</v>
      </c>
      <c r="AY55" s="41">
        <f t="shared" si="192"/>
        <v>0</v>
      </c>
      <c r="AZ55" s="50">
        <f t="shared" si="192"/>
        <v>0</v>
      </c>
      <c r="BA55" s="34"/>
    </row>
    <row r="56" ht="15.75" customHeight="1">
      <c r="A56" s="29"/>
      <c r="B56" s="67" t="s">
        <v>31</v>
      </c>
      <c r="C56" s="57"/>
      <c r="D56" s="57" t="s">
        <v>30</v>
      </c>
      <c r="E56" s="41">
        <f t="shared" si="169"/>
        <v>113116</v>
      </c>
      <c r="F56" s="41">
        <f t="shared" ref="F56:H56" si="193">F62+F63+F64+F65+F66</f>
        <v>111981</v>
      </c>
      <c r="G56" s="41">
        <f t="shared" si="193"/>
        <v>934</v>
      </c>
      <c r="H56" s="41">
        <f t="shared" si="193"/>
        <v>201</v>
      </c>
      <c r="I56" s="41">
        <f t="shared" si="171"/>
        <v>112603</v>
      </c>
      <c r="J56" s="41">
        <f t="shared" ref="J56:L56" si="194">J62+J63+J64+J65+J66</f>
        <v>111468</v>
      </c>
      <c r="K56" s="41">
        <f t="shared" si="194"/>
        <v>934</v>
      </c>
      <c r="L56" s="41">
        <f t="shared" si="194"/>
        <v>201</v>
      </c>
      <c r="M56" s="41">
        <f t="shared" si="173"/>
        <v>112550</v>
      </c>
      <c r="N56" s="41">
        <f t="shared" ref="N56:P56" si="195">N62+N63+N64+N65+N66</f>
        <v>111417</v>
      </c>
      <c r="O56" s="41">
        <f t="shared" si="195"/>
        <v>934</v>
      </c>
      <c r="P56" s="41">
        <f t="shared" si="195"/>
        <v>199</v>
      </c>
      <c r="Q56" s="41">
        <f t="shared" si="175"/>
        <v>112265</v>
      </c>
      <c r="R56" s="41">
        <f t="shared" ref="R56:T56" si="196">R62+R63+R64+R65+R66</f>
        <v>111142</v>
      </c>
      <c r="S56" s="41">
        <f t="shared" si="196"/>
        <v>924</v>
      </c>
      <c r="T56" s="41">
        <f t="shared" si="196"/>
        <v>199</v>
      </c>
      <c r="U56" s="41">
        <f t="shared" si="177"/>
        <v>112159</v>
      </c>
      <c r="V56" s="41">
        <f t="shared" ref="V56:X56" si="197">V62+V63+V64+V65+V66</f>
        <v>111037</v>
      </c>
      <c r="W56" s="41">
        <f t="shared" si="197"/>
        <v>924</v>
      </c>
      <c r="X56" s="41">
        <f t="shared" si="197"/>
        <v>198</v>
      </c>
      <c r="Y56" s="41">
        <f t="shared" si="179"/>
        <v>100646.421</v>
      </c>
      <c r="Z56" s="41">
        <f t="shared" ref="Z56:AB56" si="198">Z62+Z63+Z64+Z65+Z66</f>
        <v>99526.421</v>
      </c>
      <c r="AA56" s="41">
        <f t="shared" si="198"/>
        <v>924</v>
      </c>
      <c r="AB56" s="41">
        <f t="shared" si="198"/>
        <v>196</v>
      </c>
      <c r="AC56" s="41">
        <f t="shared" si="181"/>
        <v>100611.421</v>
      </c>
      <c r="AD56" s="41">
        <f t="shared" ref="AD56:AF56" si="199">AD62+AD63+AD64+AD65+AD66</f>
        <v>99491.421</v>
      </c>
      <c r="AE56" s="41">
        <f t="shared" si="199"/>
        <v>924</v>
      </c>
      <c r="AF56" s="41">
        <f t="shared" si="199"/>
        <v>196</v>
      </c>
      <c r="AG56" s="41">
        <f t="shared" si="183"/>
        <v>1349</v>
      </c>
      <c r="AH56" s="41">
        <f t="shared" ref="AH56:AJ56" si="200">AH62+AH63+AH64+AH65+AH66</f>
        <v>719</v>
      </c>
      <c r="AI56" s="41">
        <f t="shared" si="200"/>
        <v>630</v>
      </c>
      <c r="AJ56" s="41">
        <f t="shared" si="200"/>
        <v>0</v>
      </c>
      <c r="AK56" s="41">
        <f t="shared" si="185"/>
        <v>0</v>
      </c>
      <c r="AL56" s="41">
        <f t="shared" ref="AL56:AN56" si="201">AL62+AL63+AL64+AL65+AL66</f>
        <v>0</v>
      </c>
      <c r="AM56" s="41">
        <f t="shared" si="201"/>
        <v>0</v>
      </c>
      <c r="AN56" s="41">
        <f t="shared" si="201"/>
        <v>0</v>
      </c>
      <c r="AO56" s="41">
        <f t="shared" si="187"/>
        <v>0</v>
      </c>
      <c r="AP56" s="41">
        <f t="shared" ref="AP56:AR56" si="202">AP62+AP63+AP64+AP65+AP66</f>
        <v>0</v>
      </c>
      <c r="AQ56" s="41">
        <f t="shared" si="202"/>
        <v>0</v>
      </c>
      <c r="AR56" s="41">
        <f t="shared" si="202"/>
        <v>0</v>
      </c>
      <c r="AS56" s="41">
        <f t="shared" si="189"/>
        <v>0</v>
      </c>
      <c r="AT56" s="41">
        <f t="shared" ref="AT56:AV56" si="203">AT62+AT63+AT64+AT65+AT66</f>
        <v>0</v>
      </c>
      <c r="AU56" s="41">
        <f t="shared" si="203"/>
        <v>0</v>
      </c>
      <c r="AV56" s="41">
        <f t="shared" si="203"/>
        <v>0</v>
      </c>
      <c r="AW56" s="41">
        <f t="shared" si="191"/>
        <v>0</v>
      </c>
      <c r="AX56" s="41">
        <f t="shared" ref="AX56:AZ56" si="204">AX62+AX63+AX64+AX65+AX66</f>
        <v>0</v>
      </c>
      <c r="AY56" s="41">
        <f t="shared" si="204"/>
        <v>0</v>
      </c>
      <c r="AZ56" s="50">
        <f t="shared" si="204"/>
        <v>0</v>
      </c>
      <c r="BA56" s="34"/>
    </row>
    <row r="57" ht="15.75" customHeight="1">
      <c r="A57" s="29"/>
      <c r="B57" s="67" t="s">
        <v>33</v>
      </c>
      <c r="C57" s="57"/>
      <c r="D57" s="57" t="s">
        <v>30</v>
      </c>
      <c r="E57" s="41">
        <f t="shared" si="169"/>
        <v>78983</v>
      </c>
      <c r="F57" s="41">
        <f t="shared" ref="F57:H57" si="205">F67+F68+F69+F70</f>
        <v>78356</v>
      </c>
      <c r="G57" s="41">
        <f t="shared" si="205"/>
        <v>437</v>
      </c>
      <c r="H57" s="41">
        <f t="shared" si="205"/>
        <v>190</v>
      </c>
      <c r="I57" s="41">
        <f t="shared" si="171"/>
        <v>77687</v>
      </c>
      <c r="J57" s="41">
        <f t="shared" ref="J57:L57" si="206">J67+J68+J69+J70</f>
        <v>77169</v>
      </c>
      <c r="K57" s="41">
        <f t="shared" si="206"/>
        <v>437</v>
      </c>
      <c r="L57" s="41">
        <f t="shared" si="206"/>
        <v>81</v>
      </c>
      <c r="M57" s="41">
        <f t="shared" si="173"/>
        <v>76662</v>
      </c>
      <c r="N57" s="41">
        <f t="shared" ref="N57:P57" si="207">N67+N68+N69+N70</f>
        <v>76146</v>
      </c>
      <c r="O57" s="41">
        <f t="shared" si="207"/>
        <v>436</v>
      </c>
      <c r="P57" s="41">
        <f t="shared" si="207"/>
        <v>80</v>
      </c>
      <c r="Q57" s="41">
        <f t="shared" si="175"/>
        <v>76234</v>
      </c>
      <c r="R57" s="41">
        <f t="shared" ref="R57:T57" si="208">R67+R68+R69+R70</f>
        <v>75618</v>
      </c>
      <c r="S57" s="41">
        <f t="shared" si="208"/>
        <v>435</v>
      </c>
      <c r="T57" s="41">
        <f t="shared" si="208"/>
        <v>181</v>
      </c>
      <c r="U57" s="41">
        <f t="shared" si="177"/>
        <v>76445</v>
      </c>
      <c r="V57" s="41">
        <f t="shared" ref="V57:X57" si="209">V67+V68+V69+V70</f>
        <v>75830</v>
      </c>
      <c r="W57" s="41">
        <f t="shared" si="209"/>
        <v>435</v>
      </c>
      <c r="X57" s="41">
        <f t="shared" si="209"/>
        <v>180</v>
      </c>
      <c r="Y57" s="41">
        <f t="shared" si="179"/>
        <v>67668.367</v>
      </c>
      <c r="Z57" s="41">
        <f t="shared" ref="Z57:AB57" si="210">Z67+Z68+Z69+Z70</f>
        <v>67054.367</v>
      </c>
      <c r="AA57" s="41">
        <f t="shared" si="210"/>
        <v>435</v>
      </c>
      <c r="AB57" s="41">
        <f t="shared" si="210"/>
        <v>179</v>
      </c>
      <c r="AC57" s="41">
        <f t="shared" si="181"/>
        <v>67479.326</v>
      </c>
      <c r="AD57" s="41">
        <f t="shared" ref="AD57:AF57" si="211">AD67+AD68+AD69+AD70</f>
        <v>66864.326</v>
      </c>
      <c r="AE57" s="41">
        <f t="shared" si="211"/>
        <v>435</v>
      </c>
      <c r="AF57" s="41">
        <f t="shared" si="211"/>
        <v>180</v>
      </c>
      <c r="AG57" s="41">
        <f t="shared" si="183"/>
        <v>1578</v>
      </c>
      <c r="AH57" s="41">
        <f t="shared" ref="AH57:AJ57" si="212">AH67+AH68+AH69+AH70</f>
        <v>1143</v>
      </c>
      <c r="AI57" s="41">
        <f t="shared" si="212"/>
        <v>435</v>
      </c>
      <c r="AJ57" s="41">
        <f t="shared" si="212"/>
        <v>0</v>
      </c>
      <c r="AK57" s="41">
        <f t="shared" si="185"/>
        <v>271</v>
      </c>
      <c r="AL57" s="41">
        <f t="shared" ref="AL57:AN57" si="213">AL67+AL68+AL69+AL70</f>
        <v>271</v>
      </c>
      <c r="AM57" s="41">
        <f t="shared" si="213"/>
        <v>0</v>
      </c>
      <c r="AN57" s="41">
        <f t="shared" si="213"/>
        <v>0</v>
      </c>
      <c r="AO57" s="41">
        <f t="shared" si="187"/>
        <v>0</v>
      </c>
      <c r="AP57" s="41">
        <f t="shared" ref="AP57:AR57" si="214">AP67+AP68+AP69+AP70</f>
        <v>0</v>
      </c>
      <c r="AQ57" s="41">
        <f t="shared" si="214"/>
        <v>0</v>
      </c>
      <c r="AR57" s="41">
        <f t="shared" si="214"/>
        <v>0</v>
      </c>
      <c r="AS57" s="41">
        <f t="shared" si="189"/>
        <v>0</v>
      </c>
      <c r="AT57" s="41">
        <f t="shared" ref="AT57:AV57" si="215">AT67+AT68+AT69+AT70</f>
        <v>0</v>
      </c>
      <c r="AU57" s="41">
        <f t="shared" si="215"/>
        <v>0</v>
      </c>
      <c r="AV57" s="41">
        <f t="shared" si="215"/>
        <v>0</v>
      </c>
      <c r="AW57" s="41">
        <f t="shared" si="191"/>
        <v>0</v>
      </c>
      <c r="AX57" s="41">
        <f t="shared" ref="AX57:AZ57" si="216">AX67+AX68+AX69+AX70</f>
        <v>0</v>
      </c>
      <c r="AY57" s="41">
        <f t="shared" si="216"/>
        <v>0</v>
      </c>
      <c r="AZ57" s="50">
        <f t="shared" si="216"/>
        <v>0</v>
      </c>
      <c r="BA57" s="34"/>
    </row>
    <row r="58" ht="15.75" customHeight="1">
      <c r="A58" s="29"/>
      <c r="B58" s="67" t="s">
        <v>51</v>
      </c>
      <c r="C58" s="57"/>
      <c r="D58" s="57" t="s">
        <v>30</v>
      </c>
      <c r="E58" s="41">
        <f t="shared" si="169"/>
        <v>34637</v>
      </c>
      <c r="F58" s="41">
        <f t="shared" ref="F58:H58" si="217">F71+F72+F73</f>
        <v>34558</v>
      </c>
      <c r="G58" s="41">
        <f t="shared" si="217"/>
        <v>0</v>
      </c>
      <c r="H58" s="41">
        <f t="shared" si="217"/>
        <v>79</v>
      </c>
      <c r="I58" s="41">
        <f t="shared" si="171"/>
        <v>33387</v>
      </c>
      <c r="J58" s="41">
        <f t="shared" ref="J58:L58" si="218">J71+J72+J73</f>
        <v>33387</v>
      </c>
      <c r="K58" s="41">
        <f t="shared" si="218"/>
        <v>0</v>
      </c>
      <c r="L58" s="41">
        <f t="shared" si="218"/>
        <v>0</v>
      </c>
      <c r="M58" s="41">
        <f t="shared" si="173"/>
        <v>31436</v>
      </c>
      <c r="N58" s="41">
        <f t="shared" ref="N58:P58" si="219">N71+N72+N73</f>
        <v>31436</v>
      </c>
      <c r="O58" s="41">
        <f t="shared" si="219"/>
        <v>0</v>
      </c>
      <c r="P58" s="41">
        <f t="shared" si="219"/>
        <v>0</v>
      </c>
      <c r="Q58" s="41">
        <f t="shared" si="175"/>
        <v>31422</v>
      </c>
      <c r="R58" s="41">
        <f t="shared" ref="R58:T58" si="220">R71+R72+R73</f>
        <v>31322</v>
      </c>
      <c r="S58" s="41">
        <f t="shared" si="220"/>
        <v>0</v>
      </c>
      <c r="T58" s="41">
        <f t="shared" si="220"/>
        <v>100</v>
      </c>
      <c r="U58" s="41">
        <f t="shared" si="177"/>
        <v>31378</v>
      </c>
      <c r="V58" s="41">
        <f t="shared" ref="V58:X58" si="221">V71+V72+V73</f>
        <v>31278</v>
      </c>
      <c r="W58" s="41">
        <f t="shared" si="221"/>
        <v>0</v>
      </c>
      <c r="X58" s="41">
        <f t="shared" si="221"/>
        <v>100</v>
      </c>
      <c r="Y58" s="41">
        <f t="shared" si="179"/>
        <v>31300</v>
      </c>
      <c r="Z58" s="41">
        <f t="shared" ref="Z58:AB58" si="222">Z71+Z72+Z73</f>
        <v>31199</v>
      </c>
      <c r="AA58" s="41">
        <f t="shared" si="222"/>
        <v>0</v>
      </c>
      <c r="AB58" s="41">
        <f t="shared" si="222"/>
        <v>101</v>
      </c>
      <c r="AC58" s="41">
        <f t="shared" si="181"/>
        <v>31241</v>
      </c>
      <c r="AD58" s="41">
        <f t="shared" ref="AD58:AF58" si="223">AD71+AD72+AD73</f>
        <v>31140</v>
      </c>
      <c r="AE58" s="41">
        <f t="shared" si="223"/>
        <v>0</v>
      </c>
      <c r="AF58" s="41">
        <f t="shared" si="223"/>
        <v>101</v>
      </c>
      <c r="AG58" s="41">
        <f t="shared" si="183"/>
        <v>3118</v>
      </c>
      <c r="AH58" s="41">
        <f t="shared" ref="AH58:AJ58" si="224">AH71+AH72+AH73</f>
        <v>3118</v>
      </c>
      <c r="AI58" s="41">
        <f t="shared" si="224"/>
        <v>0</v>
      </c>
      <c r="AJ58" s="41">
        <f t="shared" si="224"/>
        <v>0</v>
      </c>
      <c r="AK58" s="41">
        <f t="shared" si="185"/>
        <v>205</v>
      </c>
      <c r="AL58" s="41">
        <f t="shared" ref="AL58:AN58" si="225">AL71+AL72+AL73</f>
        <v>205</v>
      </c>
      <c r="AM58" s="41">
        <f t="shared" si="225"/>
        <v>0</v>
      </c>
      <c r="AN58" s="41">
        <f t="shared" si="225"/>
        <v>0</v>
      </c>
      <c r="AO58" s="41">
        <f t="shared" si="187"/>
        <v>0</v>
      </c>
      <c r="AP58" s="41">
        <f t="shared" ref="AP58:AR58" si="226">AP71+AP72+AP73</f>
        <v>0</v>
      </c>
      <c r="AQ58" s="41">
        <f t="shared" si="226"/>
        <v>0</v>
      </c>
      <c r="AR58" s="41">
        <f t="shared" si="226"/>
        <v>0</v>
      </c>
      <c r="AS58" s="41">
        <f t="shared" si="189"/>
        <v>0</v>
      </c>
      <c r="AT58" s="41">
        <f t="shared" ref="AT58:AV58" si="227">AT71+AT72+AT73</f>
        <v>0</v>
      </c>
      <c r="AU58" s="41">
        <f t="shared" si="227"/>
        <v>0</v>
      </c>
      <c r="AV58" s="41">
        <f t="shared" si="227"/>
        <v>0</v>
      </c>
      <c r="AW58" s="41">
        <f t="shared" si="191"/>
        <v>0</v>
      </c>
      <c r="AX58" s="41">
        <f t="shared" ref="AX58:AZ58" si="228">AX71+AX72+AX73</f>
        <v>0</v>
      </c>
      <c r="AY58" s="41">
        <f t="shared" si="228"/>
        <v>0</v>
      </c>
      <c r="AZ58" s="50">
        <f t="shared" si="228"/>
        <v>0</v>
      </c>
      <c r="BA58" s="34"/>
    </row>
    <row r="59" ht="15.75" customHeight="1">
      <c r="A59" s="29"/>
      <c r="B59" s="48" t="s">
        <v>52</v>
      </c>
      <c r="C59" s="49"/>
      <c r="D59" s="31" t="s">
        <v>30</v>
      </c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3"/>
      <c r="BA59" s="34"/>
    </row>
    <row r="60" ht="15.75" customHeight="1">
      <c r="A60" s="29"/>
      <c r="B60" s="68" t="s">
        <v>72</v>
      </c>
      <c r="C60" s="69"/>
      <c r="D60" s="70" t="s">
        <v>30</v>
      </c>
      <c r="E60" s="71">
        <f t="shared" ref="E60:E74" si="229">F60+G60+H60</f>
        <v>2896</v>
      </c>
      <c r="F60" s="72">
        <f>'1.MN'!F23</f>
        <v>2270</v>
      </c>
      <c r="G60" s="72">
        <f>'1.MN'!G23</f>
        <v>51</v>
      </c>
      <c r="H60" s="72">
        <f>'1.MN'!H23</f>
        <v>575</v>
      </c>
      <c r="I60" s="71">
        <f t="shared" ref="I60:I74" si="230">J60+K60+L60</f>
        <v>3017</v>
      </c>
      <c r="J60" s="72">
        <f>'1.MN'!J23</f>
        <v>2390</v>
      </c>
      <c r="K60" s="72">
        <f>'1.MN'!K23</f>
        <v>51</v>
      </c>
      <c r="L60" s="72">
        <f>'1.MN'!L23</f>
        <v>576</v>
      </c>
      <c r="M60" s="71">
        <f t="shared" ref="M60:M74" si="231">N60+O60+P60</f>
        <v>3124</v>
      </c>
      <c r="N60" s="72">
        <f>'1.MN'!N23</f>
        <v>2484</v>
      </c>
      <c r="O60" s="72">
        <f>'1.MN'!O23</f>
        <v>51</v>
      </c>
      <c r="P60" s="72">
        <f>'1.MN'!P23</f>
        <v>589</v>
      </c>
      <c r="Q60" s="71">
        <f t="shared" ref="Q60:Q74" si="232">R60+S60+T60</f>
        <v>3194</v>
      </c>
      <c r="R60" s="72">
        <f>'1.MN'!R23</f>
        <v>2541</v>
      </c>
      <c r="S60" s="72">
        <f>'1.MN'!S23</f>
        <v>51</v>
      </c>
      <c r="T60" s="72">
        <f>'1.MN'!T23</f>
        <v>602</v>
      </c>
      <c r="U60" s="71">
        <f t="shared" ref="U60:U74" si="233">V60+W60+X60</f>
        <v>3205</v>
      </c>
      <c r="V60" s="72">
        <f>'1.MN'!V23</f>
        <v>2543</v>
      </c>
      <c r="W60" s="72">
        <f>'1.MN'!W23</f>
        <v>51</v>
      </c>
      <c r="X60" s="72">
        <f>'1.MN'!X23</f>
        <v>611</v>
      </c>
      <c r="Y60" s="71">
        <f t="shared" ref="Y60:Y74" si="234">Z60+AA60+AB60</f>
        <v>3304</v>
      </c>
      <c r="Z60" s="72">
        <f>'1.MN'!Z23</f>
        <v>2597</v>
      </c>
      <c r="AA60" s="72">
        <f>'1.MN'!AA23</f>
        <v>44</v>
      </c>
      <c r="AB60" s="72">
        <f>'1.MN'!AB23</f>
        <v>663</v>
      </c>
      <c r="AC60" s="71">
        <f t="shared" ref="AC60:AC74" si="235">AD60+AE60+AF60</f>
        <v>3321</v>
      </c>
      <c r="AD60" s="72">
        <f>'1.MN'!AD23</f>
        <v>2612</v>
      </c>
      <c r="AE60" s="72">
        <f>'1.MN'!AE23</f>
        <v>44</v>
      </c>
      <c r="AF60" s="72">
        <f>'1.MN'!AF23</f>
        <v>665</v>
      </c>
      <c r="AG60" s="71">
        <f t="shared" ref="AG60:AG74" si="236">AH60+AI60+AJ60</f>
        <v>0</v>
      </c>
      <c r="AH60" s="72">
        <f>'1.MN'!AH23</f>
        <v>0</v>
      </c>
      <c r="AI60" s="72">
        <f>'1.MN'!AI23</f>
        <v>0</v>
      </c>
      <c r="AJ60" s="72">
        <f>'1.MN'!AJ23</f>
        <v>0</v>
      </c>
      <c r="AK60" s="71">
        <f t="shared" ref="AK60:AK74" si="237">AL60+AM60+AN60</f>
        <v>0</v>
      </c>
      <c r="AL60" s="72">
        <f>'1.MN'!AL23</f>
        <v>0</v>
      </c>
      <c r="AM60" s="72">
        <f>'1.MN'!AM23</f>
        <v>0</v>
      </c>
      <c r="AN60" s="72">
        <f>'1.MN'!AN23</f>
        <v>0</v>
      </c>
      <c r="AO60" s="71">
        <f t="shared" ref="AO60:AO74" si="238">AP60+AQ60+AR60</f>
        <v>0</v>
      </c>
      <c r="AP60" s="72">
        <f>'1.MN'!AP23</f>
        <v>0</v>
      </c>
      <c r="AQ60" s="72">
        <f>'1.MN'!AQ23</f>
        <v>0</v>
      </c>
      <c r="AR60" s="72">
        <f>'1.MN'!AR23</f>
        <v>0</v>
      </c>
      <c r="AS60" s="71">
        <f t="shared" ref="AS60:AS74" si="239">AT60+AU60+AV60</f>
        <v>0</v>
      </c>
      <c r="AT60" s="72">
        <f>'1.MN'!AT23</f>
        <v>0</v>
      </c>
      <c r="AU60" s="72">
        <f>'1.MN'!AU23</f>
        <v>0</v>
      </c>
      <c r="AV60" s="72">
        <f>'1.MN'!AV23</f>
        <v>0</v>
      </c>
      <c r="AW60" s="71">
        <f t="shared" ref="AW60:AW74" si="240">AX60+AY60+AZ60</f>
        <v>0</v>
      </c>
      <c r="AX60" s="72">
        <f>'1.MN'!AX23</f>
        <v>0</v>
      </c>
      <c r="AY60" s="72">
        <f>'1.MN'!AY23</f>
        <v>0</v>
      </c>
      <c r="AZ60" s="73">
        <f>'1.MN'!AZ23</f>
        <v>0</v>
      </c>
      <c r="BA60" s="34"/>
    </row>
    <row r="61" ht="15.75" customHeight="1">
      <c r="A61" s="29"/>
      <c r="B61" s="68" t="s">
        <v>73</v>
      </c>
      <c r="C61" s="69"/>
      <c r="D61" s="70" t="s">
        <v>30</v>
      </c>
      <c r="E61" s="71">
        <f t="shared" si="229"/>
        <v>41713</v>
      </c>
      <c r="F61" s="72">
        <f>'1.MN'!F30</f>
        <v>37954</v>
      </c>
      <c r="G61" s="72">
        <f>'1.MN'!G30</f>
        <v>703</v>
      </c>
      <c r="H61" s="72">
        <f>'1.MN'!H30</f>
        <v>3056</v>
      </c>
      <c r="I61" s="71">
        <f t="shared" si="230"/>
        <v>42094</v>
      </c>
      <c r="J61" s="72">
        <f>'1.MN'!J30</f>
        <v>38241</v>
      </c>
      <c r="K61" s="72">
        <f>'1.MN'!K30</f>
        <v>705</v>
      </c>
      <c r="L61" s="72">
        <f>'1.MN'!L30</f>
        <v>3148</v>
      </c>
      <c r="M61" s="71">
        <f t="shared" si="231"/>
        <v>42289</v>
      </c>
      <c r="N61" s="72">
        <f>'1.MN'!N30</f>
        <v>38320</v>
      </c>
      <c r="O61" s="72">
        <f>'1.MN'!O30</f>
        <v>705</v>
      </c>
      <c r="P61" s="72">
        <f>'1.MN'!P30</f>
        <v>3264</v>
      </c>
      <c r="Q61" s="71">
        <f t="shared" si="232"/>
        <v>42438</v>
      </c>
      <c r="R61" s="72">
        <f>'1.MN'!R30</f>
        <v>38472</v>
      </c>
      <c r="S61" s="72">
        <f>'1.MN'!S30</f>
        <v>705</v>
      </c>
      <c r="T61" s="72">
        <f>'1.MN'!T30</f>
        <v>3261</v>
      </c>
      <c r="U61" s="71">
        <f t="shared" si="233"/>
        <v>37722.739</v>
      </c>
      <c r="V61" s="72">
        <f>'1.MN'!V30</f>
        <v>36433.062</v>
      </c>
      <c r="W61" s="72">
        <f>'1.MN'!W30</f>
        <v>705</v>
      </c>
      <c r="X61" s="72">
        <f>'1.MN'!X30</f>
        <v>584.677</v>
      </c>
      <c r="Y61" s="71">
        <f t="shared" si="234"/>
        <v>37955.779</v>
      </c>
      <c r="Z61" s="72">
        <f>'1.MN'!Z30</f>
        <v>36623.049</v>
      </c>
      <c r="AA61" s="72">
        <f>'1.MN'!AA30</f>
        <v>698</v>
      </c>
      <c r="AB61" s="72">
        <f>'1.MN'!AB30</f>
        <v>634.73</v>
      </c>
      <c r="AC61" s="71">
        <f t="shared" si="235"/>
        <v>38010.727</v>
      </c>
      <c r="AD61" s="72">
        <f>'1.MN'!AD30</f>
        <v>36662.049</v>
      </c>
      <c r="AE61" s="72">
        <f>'1.MN'!AE30</f>
        <v>698</v>
      </c>
      <c r="AF61" s="72">
        <f>'1.MN'!AF30</f>
        <v>650.678</v>
      </c>
      <c r="AG61" s="71">
        <f t="shared" si="236"/>
        <v>0</v>
      </c>
      <c r="AH61" s="72">
        <f>'1.MN'!AH30</f>
        <v>0</v>
      </c>
      <c r="AI61" s="72">
        <f>'1.MN'!AI30</f>
        <v>0</v>
      </c>
      <c r="AJ61" s="72">
        <f>'1.MN'!AJ30</f>
        <v>0</v>
      </c>
      <c r="AK61" s="71">
        <f t="shared" si="237"/>
        <v>0</v>
      </c>
      <c r="AL61" s="72">
        <f>'1.MN'!AL30</f>
        <v>0</v>
      </c>
      <c r="AM61" s="72">
        <f>'1.MN'!AM30</f>
        <v>0</v>
      </c>
      <c r="AN61" s="72">
        <f>'1.MN'!AN30</f>
        <v>0</v>
      </c>
      <c r="AO61" s="71">
        <f t="shared" si="238"/>
        <v>0</v>
      </c>
      <c r="AP61" s="72">
        <f>'1.MN'!AP30</f>
        <v>0</v>
      </c>
      <c r="AQ61" s="72">
        <f>'1.MN'!AQ30</f>
        <v>0</v>
      </c>
      <c r="AR61" s="72">
        <f>'1.MN'!AR30</f>
        <v>0</v>
      </c>
      <c r="AS61" s="71">
        <f t="shared" si="239"/>
        <v>0</v>
      </c>
      <c r="AT61" s="72">
        <f>'1.MN'!AT30</f>
        <v>0</v>
      </c>
      <c r="AU61" s="72">
        <f>'1.MN'!AU30</f>
        <v>0</v>
      </c>
      <c r="AV61" s="72">
        <f>'1.MN'!AV30</f>
        <v>0</v>
      </c>
      <c r="AW61" s="71">
        <f t="shared" si="240"/>
        <v>0</v>
      </c>
      <c r="AX61" s="72">
        <f>'1.MN'!AX30</f>
        <v>0</v>
      </c>
      <c r="AY61" s="72">
        <f>'1.MN'!AY30</f>
        <v>0</v>
      </c>
      <c r="AZ61" s="73">
        <f>'1.MN'!AZ30</f>
        <v>0</v>
      </c>
      <c r="BA61" s="34"/>
    </row>
    <row r="62" ht="15.75" customHeight="1">
      <c r="A62" s="29"/>
      <c r="B62" s="74" t="s">
        <v>74</v>
      </c>
      <c r="C62" s="75"/>
      <c r="D62" s="76" t="s">
        <v>30</v>
      </c>
      <c r="E62" s="77">
        <f t="shared" si="229"/>
        <v>23216</v>
      </c>
      <c r="F62" s="78">
        <f>'2.TH'!F26+'4.TH-THCS'!F30</f>
        <v>22954</v>
      </c>
      <c r="G62" s="78">
        <f>'2.TH'!G26+'4.TH-THCS'!G30</f>
        <v>208</v>
      </c>
      <c r="H62" s="78">
        <f>'2.TH'!H26+'4.TH-THCS'!H30</f>
        <v>54</v>
      </c>
      <c r="I62" s="77">
        <f t="shared" si="230"/>
        <v>23140</v>
      </c>
      <c r="J62" s="78">
        <f>'2.TH'!J26+'4.TH-THCS'!J30</f>
        <v>22878</v>
      </c>
      <c r="K62" s="78">
        <f>'2.TH'!K26+'4.TH-THCS'!K30</f>
        <v>208</v>
      </c>
      <c r="L62" s="78">
        <f>'2.TH'!L26+'4.TH-THCS'!L30</f>
        <v>54</v>
      </c>
      <c r="M62" s="77">
        <f t="shared" si="231"/>
        <v>23128</v>
      </c>
      <c r="N62" s="78">
        <f>'2.TH'!N26+'4.TH-THCS'!N30</f>
        <v>22867</v>
      </c>
      <c r="O62" s="78">
        <f>'2.TH'!O26+'4.TH-THCS'!O30</f>
        <v>208</v>
      </c>
      <c r="P62" s="78">
        <f>'2.TH'!P26+'4.TH-THCS'!P30</f>
        <v>53</v>
      </c>
      <c r="Q62" s="77">
        <f t="shared" si="232"/>
        <v>23096</v>
      </c>
      <c r="R62" s="78">
        <f>'2.TH'!R26+'4.TH-THCS'!R30</f>
        <v>22841</v>
      </c>
      <c r="S62" s="78">
        <f>'2.TH'!S26+'4.TH-THCS'!S30</f>
        <v>202</v>
      </c>
      <c r="T62" s="78">
        <f>'2.TH'!T26+'4.TH-THCS'!T30</f>
        <v>53</v>
      </c>
      <c r="U62" s="77">
        <f t="shared" si="233"/>
        <v>23073</v>
      </c>
      <c r="V62" s="78">
        <f>'2.TH'!V26+'4.TH-THCS'!V30</f>
        <v>22818</v>
      </c>
      <c r="W62" s="78">
        <f>'2.TH'!W26+'4.TH-THCS'!W30</f>
        <v>202</v>
      </c>
      <c r="X62" s="78">
        <f>'2.TH'!X26+'4.TH-THCS'!X30</f>
        <v>53</v>
      </c>
      <c r="Y62" s="77">
        <f t="shared" si="234"/>
        <v>20731.316</v>
      </c>
      <c r="Z62" s="78">
        <f>'2.TH'!Z26+'4.TH-THCS'!Z30</f>
        <v>20478.316</v>
      </c>
      <c r="AA62" s="78">
        <f>'2.TH'!AA26+'4.TH-THCS'!AA30</f>
        <v>202</v>
      </c>
      <c r="AB62" s="78">
        <f>'2.TH'!AB26+'4.TH-THCS'!AB30</f>
        <v>51</v>
      </c>
      <c r="AC62" s="77">
        <f t="shared" si="235"/>
        <v>20721.316</v>
      </c>
      <c r="AD62" s="78">
        <f>'2.TH'!AD26+'4.TH-THCS'!AD30</f>
        <v>20468.316</v>
      </c>
      <c r="AE62" s="78">
        <f>'2.TH'!AE26+'4.TH-THCS'!AE30</f>
        <v>202</v>
      </c>
      <c r="AF62" s="78">
        <f>'2.TH'!AF26+'4.TH-THCS'!AF30</f>
        <v>51</v>
      </c>
      <c r="AG62" s="77">
        <f t="shared" si="236"/>
        <v>305</v>
      </c>
      <c r="AH62" s="78">
        <f>'2.TH'!AH26+'4.TH-THCS'!AH30</f>
        <v>168</v>
      </c>
      <c r="AI62" s="78">
        <f>'2.TH'!AI26+'4.TH-THCS'!AI30</f>
        <v>137</v>
      </c>
      <c r="AJ62" s="78">
        <f>'2.TH'!AJ26+'4.TH-THCS'!AJ30</f>
        <v>0</v>
      </c>
      <c r="AK62" s="77">
        <f t="shared" si="237"/>
        <v>0</v>
      </c>
      <c r="AL62" s="78">
        <f>'2.TH'!AL26+'4.TH-THCS'!AL30</f>
        <v>0</v>
      </c>
      <c r="AM62" s="78">
        <f>'2.TH'!AM26+'4.TH-THCS'!AM30</f>
        <v>0</v>
      </c>
      <c r="AN62" s="78">
        <f>'2.TH'!AN26+'4.TH-THCS'!AN30</f>
        <v>0</v>
      </c>
      <c r="AO62" s="77">
        <f t="shared" si="238"/>
        <v>0</v>
      </c>
      <c r="AP62" s="78">
        <f>'2.TH'!AP26+'4.TH-THCS'!AP30</f>
        <v>0</v>
      </c>
      <c r="AQ62" s="78">
        <f>'2.TH'!AQ26+'4.TH-THCS'!AQ30</f>
        <v>0</v>
      </c>
      <c r="AR62" s="78">
        <f>'2.TH'!AR26+'4.TH-THCS'!AR30</f>
        <v>0</v>
      </c>
      <c r="AS62" s="77">
        <f t="shared" si="239"/>
        <v>0</v>
      </c>
      <c r="AT62" s="78">
        <f>'2.TH'!AT26+'4.TH-THCS'!AT30</f>
        <v>0</v>
      </c>
      <c r="AU62" s="78">
        <f>'2.TH'!AU26+'4.TH-THCS'!AU30</f>
        <v>0</v>
      </c>
      <c r="AV62" s="78">
        <f>'2.TH'!AV26+'4.TH-THCS'!AV30</f>
        <v>0</v>
      </c>
      <c r="AW62" s="77">
        <f t="shared" si="240"/>
        <v>0</v>
      </c>
      <c r="AX62" s="78">
        <f>'2.TH'!AX26+'4.TH-THCS'!AX30</f>
        <v>0</v>
      </c>
      <c r="AY62" s="78">
        <f>'2.TH'!AY26+'4.TH-THCS'!AY30</f>
        <v>0</v>
      </c>
      <c r="AZ62" s="79">
        <f>'2.TH'!AZ26+'4.TH-THCS'!AZ30</f>
        <v>0</v>
      </c>
      <c r="BA62" s="34"/>
    </row>
    <row r="63" ht="15.75" customHeight="1">
      <c r="A63" s="29"/>
      <c r="B63" s="74" t="s">
        <v>75</v>
      </c>
      <c r="C63" s="75"/>
      <c r="D63" s="76" t="s">
        <v>30</v>
      </c>
      <c r="E63" s="77">
        <f t="shared" si="229"/>
        <v>22565</v>
      </c>
      <c r="F63" s="78">
        <f>'2.TH'!F27+'4.TH-THCS'!F31</f>
        <v>22334</v>
      </c>
      <c r="G63" s="78">
        <f>'2.TH'!G27+'4.TH-THCS'!G31</f>
        <v>180</v>
      </c>
      <c r="H63" s="78">
        <f>'2.TH'!H27+'4.TH-THCS'!H31</f>
        <v>51</v>
      </c>
      <c r="I63" s="77">
        <f t="shared" si="230"/>
        <v>22491</v>
      </c>
      <c r="J63" s="78">
        <f>'2.TH'!J27+'4.TH-THCS'!J31</f>
        <v>22260</v>
      </c>
      <c r="K63" s="78">
        <f>'2.TH'!K27+'4.TH-THCS'!K31</f>
        <v>180</v>
      </c>
      <c r="L63" s="78">
        <f>'2.TH'!L27+'4.TH-THCS'!L31</f>
        <v>51</v>
      </c>
      <c r="M63" s="77">
        <f t="shared" si="231"/>
        <v>22470</v>
      </c>
      <c r="N63" s="78">
        <f>'2.TH'!N27+'4.TH-THCS'!N31</f>
        <v>22240</v>
      </c>
      <c r="O63" s="78">
        <f>'2.TH'!O27+'4.TH-THCS'!O31</f>
        <v>180</v>
      </c>
      <c r="P63" s="78">
        <f>'2.TH'!P27+'4.TH-THCS'!P31</f>
        <v>50</v>
      </c>
      <c r="Q63" s="77">
        <f t="shared" si="232"/>
        <v>22396</v>
      </c>
      <c r="R63" s="78">
        <f>'2.TH'!R27+'4.TH-THCS'!R31</f>
        <v>22168</v>
      </c>
      <c r="S63" s="78">
        <f>'2.TH'!S27+'4.TH-THCS'!S31</f>
        <v>178</v>
      </c>
      <c r="T63" s="78">
        <f>'2.TH'!T27+'4.TH-THCS'!T31</f>
        <v>50</v>
      </c>
      <c r="U63" s="77">
        <f t="shared" si="233"/>
        <v>22376</v>
      </c>
      <c r="V63" s="78">
        <f>'2.TH'!V27+'4.TH-THCS'!V31</f>
        <v>22148</v>
      </c>
      <c r="W63" s="78">
        <f>'2.TH'!W27+'4.TH-THCS'!W31</f>
        <v>178</v>
      </c>
      <c r="X63" s="78">
        <f>'2.TH'!X27+'4.TH-THCS'!X31</f>
        <v>50</v>
      </c>
      <c r="Y63" s="77">
        <f t="shared" si="234"/>
        <v>20089.285</v>
      </c>
      <c r="Z63" s="78">
        <f>'2.TH'!Z27+'4.TH-THCS'!Z31</f>
        <v>19861.285</v>
      </c>
      <c r="AA63" s="78">
        <f>'2.TH'!AA27+'4.TH-THCS'!AA31</f>
        <v>178</v>
      </c>
      <c r="AB63" s="78">
        <f>'2.TH'!AB27+'4.TH-THCS'!AB31</f>
        <v>50</v>
      </c>
      <c r="AC63" s="77">
        <f t="shared" si="235"/>
        <v>20087.285</v>
      </c>
      <c r="AD63" s="78">
        <f>'2.TH'!AD27+'4.TH-THCS'!AD31</f>
        <v>19859.285</v>
      </c>
      <c r="AE63" s="78">
        <f>'2.TH'!AE27+'4.TH-THCS'!AE31</f>
        <v>178</v>
      </c>
      <c r="AF63" s="78">
        <f>'2.TH'!AF27+'4.TH-THCS'!AF31</f>
        <v>50</v>
      </c>
      <c r="AG63" s="77">
        <f t="shared" si="236"/>
        <v>266</v>
      </c>
      <c r="AH63" s="78">
        <f>'2.TH'!AH27+'4.TH-THCS'!AH31</f>
        <v>145</v>
      </c>
      <c r="AI63" s="78">
        <f>'2.TH'!AI27+'4.TH-THCS'!AI31</f>
        <v>121</v>
      </c>
      <c r="AJ63" s="78">
        <f>'2.TH'!AJ27+'4.TH-THCS'!AJ31</f>
        <v>0</v>
      </c>
      <c r="AK63" s="77">
        <f t="shared" si="237"/>
        <v>0</v>
      </c>
      <c r="AL63" s="78">
        <f>'2.TH'!AL27+'4.TH-THCS'!AL31</f>
        <v>0</v>
      </c>
      <c r="AM63" s="78">
        <f>'2.TH'!AM27+'4.TH-THCS'!AM31</f>
        <v>0</v>
      </c>
      <c r="AN63" s="78">
        <f>'2.TH'!AN27+'4.TH-THCS'!AN31</f>
        <v>0</v>
      </c>
      <c r="AO63" s="77">
        <f t="shared" si="238"/>
        <v>0</v>
      </c>
      <c r="AP63" s="78">
        <f>'2.TH'!AP27+'4.TH-THCS'!AP31</f>
        <v>0</v>
      </c>
      <c r="AQ63" s="78">
        <f>'2.TH'!AQ27+'4.TH-THCS'!AQ31</f>
        <v>0</v>
      </c>
      <c r="AR63" s="78">
        <f>'2.TH'!AR27+'4.TH-THCS'!AR31</f>
        <v>0</v>
      </c>
      <c r="AS63" s="77">
        <f t="shared" si="239"/>
        <v>0</v>
      </c>
      <c r="AT63" s="78">
        <f>'2.TH'!AT27+'4.TH-THCS'!AT31</f>
        <v>0</v>
      </c>
      <c r="AU63" s="78">
        <f>'2.TH'!AU27+'4.TH-THCS'!AU31</f>
        <v>0</v>
      </c>
      <c r="AV63" s="78">
        <f>'2.TH'!AV27+'4.TH-THCS'!AV31</f>
        <v>0</v>
      </c>
      <c r="AW63" s="77">
        <f t="shared" si="240"/>
        <v>0</v>
      </c>
      <c r="AX63" s="78">
        <f>'2.TH'!AX27+'4.TH-THCS'!AX31</f>
        <v>0</v>
      </c>
      <c r="AY63" s="78">
        <f>'2.TH'!AY27+'4.TH-THCS'!AY31</f>
        <v>0</v>
      </c>
      <c r="AZ63" s="79">
        <f>'2.TH'!AZ27+'4.TH-THCS'!AZ31</f>
        <v>0</v>
      </c>
      <c r="BA63" s="34"/>
    </row>
    <row r="64" ht="15.75" customHeight="1">
      <c r="A64" s="29"/>
      <c r="B64" s="74" t="s">
        <v>76</v>
      </c>
      <c r="C64" s="75"/>
      <c r="D64" s="76" t="s">
        <v>30</v>
      </c>
      <c r="E64" s="77">
        <f t="shared" si="229"/>
        <v>21516</v>
      </c>
      <c r="F64" s="78">
        <f>'2.TH'!F28+'4.TH-THCS'!F32</f>
        <v>21278</v>
      </c>
      <c r="G64" s="78">
        <f>'2.TH'!G28+'4.TH-THCS'!G32</f>
        <v>210</v>
      </c>
      <c r="H64" s="78">
        <f>'2.TH'!H28+'4.TH-THCS'!H32</f>
        <v>28</v>
      </c>
      <c r="I64" s="77">
        <f t="shared" si="230"/>
        <v>21378</v>
      </c>
      <c r="J64" s="78">
        <f>'2.TH'!J28+'4.TH-THCS'!J32</f>
        <v>21141</v>
      </c>
      <c r="K64" s="78">
        <f>'2.TH'!K28+'4.TH-THCS'!K32</f>
        <v>210</v>
      </c>
      <c r="L64" s="78">
        <f>'2.TH'!L28+'4.TH-THCS'!L32</f>
        <v>27</v>
      </c>
      <c r="M64" s="77">
        <f t="shared" si="231"/>
        <v>21372</v>
      </c>
      <c r="N64" s="78">
        <f>'2.TH'!N28+'4.TH-THCS'!N32</f>
        <v>21135</v>
      </c>
      <c r="O64" s="78">
        <f>'2.TH'!O28+'4.TH-THCS'!O32</f>
        <v>210</v>
      </c>
      <c r="P64" s="78">
        <f>'2.TH'!P28+'4.TH-THCS'!P32</f>
        <v>27</v>
      </c>
      <c r="Q64" s="77">
        <f t="shared" si="232"/>
        <v>21334</v>
      </c>
      <c r="R64" s="78">
        <f>'2.TH'!R28+'4.TH-THCS'!R32</f>
        <v>21097</v>
      </c>
      <c r="S64" s="78">
        <f>'2.TH'!S28+'4.TH-THCS'!S32</f>
        <v>210</v>
      </c>
      <c r="T64" s="78">
        <f>'2.TH'!T28+'4.TH-THCS'!T32</f>
        <v>27</v>
      </c>
      <c r="U64" s="77">
        <f t="shared" si="233"/>
        <v>21312</v>
      </c>
      <c r="V64" s="78">
        <f>'2.TH'!V28+'4.TH-THCS'!V32</f>
        <v>21075</v>
      </c>
      <c r="W64" s="78">
        <f>'2.TH'!W28+'4.TH-THCS'!W32</f>
        <v>210</v>
      </c>
      <c r="X64" s="78">
        <f>'2.TH'!X28+'4.TH-THCS'!X32</f>
        <v>27</v>
      </c>
      <c r="Y64" s="77">
        <f t="shared" si="234"/>
        <v>19133.161</v>
      </c>
      <c r="Z64" s="78">
        <f>'2.TH'!Z28+'4.TH-THCS'!Z32</f>
        <v>18896.161</v>
      </c>
      <c r="AA64" s="78">
        <f>'2.TH'!AA28+'4.TH-THCS'!AA32</f>
        <v>210</v>
      </c>
      <c r="AB64" s="78">
        <f>'2.TH'!AB28+'4.TH-THCS'!AB32</f>
        <v>27</v>
      </c>
      <c r="AC64" s="77">
        <f t="shared" si="235"/>
        <v>19124.161</v>
      </c>
      <c r="AD64" s="78">
        <f>'2.TH'!AD28+'4.TH-THCS'!AD32</f>
        <v>18887.161</v>
      </c>
      <c r="AE64" s="78">
        <f>'2.TH'!AE28+'4.TH-THCS'!AE32</f>
        <v>210</v>
      </c>
      <c r="AF64" s="78">
        <f>'2.TH'!AF28+'4.TH-THCS'!AF32</f>
        <v>27</v>
      </c>
      <c r="AG64" s="77">
        <f t="shared" si="236"/>
        <v>257</v>
      </c>
      <c r="AH64" s="78">
        <f>'2.TH'!AH28+'4.TH-THCS'!AH32</f>
        <v>116</v>
      </c>
      <c r="AI64" s="78">
        <f>'2.TH'!AI28+'4.TH-THCS'!AI32</f>
        <v>141</v>
      </c>
      <c r="AJ64" s="78">
        <f>'2.TH'!AJ28+'4.TH-THCS'!AJ32</f>
        <v>0</v>
      </c>
      <c r="AK64" s="77">
        <f t="shared" si="237"/>
        <v>0</v>
      </c>
      <c r="AL64" s="78">
        <f>'2.TH'!AL28+'4.TH-THCS'!AL32</f>
        <v>0</v>
      </c>
      <c r="AM64" s="78">
        <f>'2.TH'!AM28+'4.TH-THCS'!AM32</f>
        <v>0</v>
      </c>
      <c r="AN64" s="78">
        <f>'2.TH'!AN28+'4.TH-THCS'!AN32</f>
        <v>0</v>
      </c>
      <c r="AO64" s="77">
        <f t="shared" si="238"/>
        <v>0</v>
      </c>
      <c r="AP64" s="78">
        <f>'2.TH'!AP28+'4.TH-THCS'!AP32</f>
        <v>0</v>
      </c>
      <c r="AQ64" s="78">
        <f>'2.TH'!AQ28+'4.TH-THCS'!AQ32</f>
        <v>0</v>
      </c>
      <c r="AR64" s="78">
        <f>'2.TH'!AR28+'4.TH-THCS'!AR32</f>
        <v>0</v>
      </c>
      <c r="AS64" s="77">
        <f t="shared" si="239"/>
        <v>0</v>
      </c>
      <c r="AT64" s="78">
        <f>'2.TH'!AT28+'4.TH-THCS'!AT32</f>
        <v>0</v>
      </c>
      <c r="AU64" s="78">
        <f>'2.TH'!AU28+'4.TH-THCS'!AU32</f>
        <v>0</v>
      </c>
      <c r="AV64" s="78">
        <f>'2.TH'!AV28+'4.TH-THCS'!AV32</f>
        <v>0</v>
      </c>
      <c r="AW64" s="77">
        <f t="shared" si="240"/>
        <v>0</v>
      </c>
      <c r="AX64" s="78">
        <f>'2.TH'!AX28+'4.TH-THCS'!AX32</f>
        <v>0</v>
      </c>
      <c r="AY64" s="78">
        <f>'2.TH'!AY28+'4.TH-THCS'!AY32</f>
        <v>0</v>
      </c>
      <c r="AZ64" s="79">
        <f>'2.TH'!AZ28+'4.TH-THCS'!AZ32</f>
        <v>0</v>
      </c>
      <c r="BA64" s="34"/>
    </row>
    <row r="65" ht="15.75" customHeight="1">
      <c r="A65" s="29"/>
      <c r="B65" s="74" t="s">
        <v>77</v>
      </c>
      <c r="C65" s="75"/>
      <c r="D65" s="76" t="s">
        <v>30</v>
      </c>
      <c r="E65" s="77">
        <f t="shared" si="229"/>
        <v>22410</v>
      </c>
      <c r="F65" s="78">
        <f>'2.TH'!F29+'4.TH-THCS'!F33</f>
        <v>22232</v>
      </c>
      <c r="G65" s="78">
        <f>'2.TH'!G29+'4.TH-THCS'!G33</f>
        <v>140</v>
      </c>
      <c r="H65" s="78">
        <f>'2.TH'!H29+'4.TH-THCS'!H33</f>
        <v>38</v>
      </c>
      <c r="I65" s="77">
        <f t="shared" si="230"/>
        <v>22312</v>
      </c>
      <c r="J65" s="78">
        <f>'2.TH'!J29+'4.TH-THCS'!J33</f>
        <v>22133</v>
      </c>
      <c r="K65" s="78">
        <f>'2.TH'!K29+'4.TH-THCS'!K33</f>
        <v>140</v>
      </c>
      <c r="L65" s="78">
        <f>'2.TH'!L29+'4.TH-THCS'!L33</f>
        <v>39</v>
      </c>
      <c r="M65" s="77">
        <f t="shared" si="231"/>
        <v>22297</v>
      </c>
      <c r="N65" s="78">
        <f>'2.TH'!N29+'4.TH-THCS'!N33</f>
        <v>22118</v>
      </c>
      <c r="O65" s="78">
        <f>'2.TH'!O29+'4.TH-THCS'!O33</f>
        <v>140</v>
      </c>
      <c r="P65" s="78">
        <f>'2.TH'!P29+'4.TH-THCS'!P33</f>
        <v>39</v>
      </c>
      <c r="Q65" s="77">
        <f t="shared" si="232"/>
        <v>22228</v>
      </c>
      <c r="R65" s="78">
        <f>'2.TH'!R29+'4.TH-THCS'!R33</f>
        <v>22050</v>
      </c>
      <c r="S65" s="78">
        <f>'2.TH'!S29+'4.TH-THCS'!S33</f>
        <v>139</v>
      </c>
      <c r="T65" s="78">
        <f>'2.TH'!T29+'4.TH-THCS'!T33</f>
        <v>39</v>
      </c>
      <c r="U65" s="77">
        <f t="shared" si="233"/>
        <v>22211</v>
      </c>
      <c r="V65" s="78">
        <f>'2.TH'!V29+'4.TH-THCS'!V33</f>
        <v>22034</v>
      </c>
      <c r="W65" s="78">
        <f>'2.TH'!W29+'4.TH-THCS'!W33</f>
        <v>139</v>
      </c>
      <c r="X65" s="78">
        <f>'2.TH'!X29+'4.TH-THCS'!X33</f>
        <v>38</v>
      </c>
      <c r="Y65" s="77">
        <f t="shared" si="234"/>
        <v>19929.264</v>
      </c>
      <c r="Z65" s="78">
        <f>'2.TH'!Z29+'4.TH-THCS'!Z33</f>
        <v>19752.264</v>
      </c>
      <c r="AA65" s="78">
        <f>'2.TH'!AA29+'4.TH-THCS'!AA33</f>
        <v>139</v>
      </c>
      <c r="AB65" s="78">
        <f>'2.TH'!AB29+'4.TH-THCS'!AB33</f>
        <v>38</v>
      </c>
      <c r="AC65" s="77">
        <f t="shared" si="235"/>
        <v>19925.264</v>
      </c>
      <c r="AD65" s="78">
        <f>'2.TH'!AD29+'4.TH-THCS'!AD33</f>
        <v>19748.264</v>
      </c>
      <c r="AE65" s="78">
        <f>'2.TH'!AE29+'4.TH-THCS'!AE33</f>
        <v>139</v>
      </c>
      <c r="AF65" s="78">
        <f>'2.TH'!AF29+'4.TH-THCS'!AF33</f>
        <v>38</v>
      </c>
      <c r="AG65" s="77">
        <f t="shared" si="236"/>
        <v>234</v>
      </c>
      <c r="AH65" s="78">
        <f>'2.TH'!AH29+'4.TH-THCS'!AH33</f>
        <v>145</v>
      </c>
      <c r="AI65" s="78">
        <f>'2.TH'!AI29+'4.TH-THCS'!AI33</f>
        <v>89</v>
      </c>
      <c r="AJ65" s="78">
        <f>'2.TH'!AJ29+'4.TH-THCS'!AJ33</f>
        <v>0</v>
      </c>
      <c r="AK65" s="77">
        <f t="shared" si="237"/>
        <v>0</v>
      </c>
      <c r="AL65" s="78">
        <f>'2.TH'!AL29+'4.TH-THCS'!AL33</f>
        <v>0</v>
      </c>
      <c r="AM65" s="78">
        <f>'2.TH'!AM29+'4.TH-THCS'!AM33</f>
        <v>0</v>
      </c>
      <c r="AN65" s="78">
        <f>'2.TH'!AN29+'4.TH-THCS'!AN33</f>
        <v>0</v>
      </c>
      <c r="AO65" s="77">
        <f t="shared" si="238"/>
        <v>0</v>
      </c>
      <c r="AP65" s="78">
        <f>'2.TH'!AP29+'4.TH-THCS'!AP33</f>
        <v>0</v>
      </c>
      <c r="AQ65" s="78">
        <f>'2.TH'!AQ29+'4.TH-THCS'!AQ33</f>
        <v>0</v>
      </c>
      <c r="AR65" s="78">
        <f>'2.TH'!AR29+'4.TH-THCS'!AR33</f>
        <v>0</v>
      </c>
      <c r="AS65" s="77">
        <f t="shared" si="239"/>
        <v>0</v>
      </c>
      <c r="AT65" s="78">
        <f>'2.TH'!AT29+'4.TH-THCS'!AT33</f>
        <v>0</v>
      </c>
      <c r="AU65" s="78">
        <f>'2.TH'!AU29+'4.TH-THCS'!AU33</f>
        <v>0</v>
      </c>
      <c r="AV65" s="78">
        <f>'2.TH'!AV29+'4.TH-THCS'!AV33</f>
        <v>0</v>
      </c>
      <c r="AW65" s="77">
        <f t="shared" si="240"/>
        <v>0</v>
      </c>
      <c r="AX65" s="78">
        <f>'2.TH'!AX29+'4.TH-THCS'!AX33</f>
        <v>0</v>
      </c>
      <c r="AY65" s="78">
        <f>'2.TH'!AY29+'4.TH-THCS'!AY33</f>
        <v>0</v>
      </c>
      <c r="AZ65" s="79">
        <f>'2.TH'!AZ29+'4.TH-THCS'!AZ33</f>
        <v>0</v>
      </c>
      <c r="BA65" s="34"/>
    </row>
    <row r="66" ht="15.75" customHeight="1">
      <c r="A66" s="29"/>
      <c r="B66" s="74" t="s">
        <v>78</v>
      </c>
      <c r="C66" s="75"/>
      <c r="D66" s="76" t="s">
        <v>30</v>
      </c>
      <c r="E66" s="77">
        <f t="shared" si="229"/>
        <v>23409</v>
      </c>
      <c r="F66" s="78">
        <f>'2.TH'!F30+'4.TH-THCS'!F34</f>
        <v>23183</v>
      </c>
      <c r="G66" s="78">
        <f>'2.TH'!G30+'4.TH-THCS'!G34</f>
        <v>196</v>
      </c>
      <c r="H66" s="78">
        <f>'2.TH'!H30+'4.TH-THCS'!H34</f>
        <v>30</v>
      </c>
      <c r="I66" s="77">
        <f t="shared" si="230"/>
        <v>23282</v>
      </c>
      <c r="J66" s="78">
        <f>'2.TH'!J30+'4.TH-THCS'!J34</f>
        <v>23056</v>
      </c>
      <c r="K66" s="78">
        <f>'2.TH'!K30+'4.TH-THCS'!K34</f>
        <v>196</v>
      </c>
      <c r="L66" s="78">
        <f>'2.TH'!L30+'4.TH-THCS'!L34</f>
        <v>30</v>
      </c>
      <c r="M66" s="77">
        <f t="shared" si="231"/>
        <v>23283</v>
      </c>
      <c r="N66" s="78">
        <f>'2.TH'!N30+'4.TH-THCS'!N34</f>
        <v>23057</v>
      </c>
      <c r="O66" s="78">
        <f>'2.TH'!O30+'4.TH-THCS'!O34</f>
        <v>196</v>
      </c>
      <c r="P66" s="78">
        <f>'2.TH'!P30+'4.TH-THCS'!P34</f>
        <v>30</v>
      </c>
      <c r="Q66" s="77">
        <f t="shared" si="232"/>
        <v>23211</v>
      </c>
      <c r="R66" s="78">
        <f>'2.TH'!R30+'4.TH-THCS'!R34</f>
        <v>22986</v>
      </c>
      <c r="S66" s="78">
        <f>'2.TH'!S30+'4.TH-THCS'!S34</f>
        <v>195</v>
      </c>
      <c r="T66" s="78">
        <f>'2.TH'!T30+'4.TH-THCS'!T34</f>
        <v>30</v>
      </c>
      <c r="U66" s="77">
        <f t="shared" si="233"/>
        <v>23187</v>
      </c>
      <c r="V66" s="78">
        <f>'2.TH'!V30+'4.TH-THCS'!V34</f>
        <v>22962</v>
      </c>
      <c r="W66" s="78">
        <f>'2.TH'!W30+'4.TH-THCS'!W34</f>
        <v>195</v>
      </c>
      <c r="X66" s="78">
        <f>'2.TH'!X30+'4.TH-THCS'!X34</f>
        <v>30</v>
      </c>
      <c r="Y66" s="77">
        <f t="shared" si="234"/>
        <v>20763.395</v>
      </c>
      <c r="Z66" s="78">
        <f>'2.TH'!Z30+'4.TH-THCS'!Z34</f>
        <v>20538.395</v>
      </c>
      <c r="AA66" s="78">
        <f>'2.TH'!AA30+'4.TH-THCS'!AA34</f>
        <v>195</v>
      </c>
      <c r="AB66" s="78">
        <f>'2.TH'!AB30+'4.TH-THCS'!AB34</f>
        <v>30</v>
      </c>
      <c r="AC66" s="77">
        <f t="shared" si="235"/>
        <v>20753.395</v>
      </c>
      <c r="AD66" s="78">
        <f>'2.TH'!AD30+'4.TH-THCS'!AD34</f>
        <v>20528.395</v>
      </c>
      <c r="AE66" s="78">
        <f>'2.TH'!AE30+'4.TH-THCS'!AE34</f>
        <v>195</v>
      </c>
      <c r="AF66" s="78">
        <f>'2.TH'!AF30+'4.TH-THCS'!AF34</f>
        <v>30</v>
      </c>
      <c r="AG66" s="77">
        <f t="shared" si="236"/>
        <v>287</v>
      </c>
      <c r="AH66" s="78">
        <f>'2.TH'!AH30+'4.TH-THCS'!AH34</f>
        <v>145</v>
      </c>
      <c r="AI66" s="78">
        <f>'2.TH'!AI30+'4.TH-THCS'!AI34</f>
        <v>142</v>
      </c>
      <c r="AJ66" s="78">
        <f>'2.TH'!AJ30+'4.TH-THCS'!AJ34</f>
        <v>0</v>
      </c>
      <c r="AK66" s="77">
        <f t="shared" si="237"/>
        <v>0</v>
      </c>
      <c r="AL66" s="78">
        <f>'2.TH'!AL30+'4.TH-THCS'!AL34</f>
        <v>0</v>
      </c>
      <c r="AM66" s="78">
        <f>'2.TH'!AM30+'4.TH-THCS'!AM34</f>
        <v>0</v>
      </c>
      <c r="AN66" s="78">
        <f>'2.TH'!AN30+'4.TH-THCS'!AN34</f>
        <v>0</v>
      </c>
      <c r="AO66" s="77">
        <f t="shared" si="238"/>
        <v>0</v>
      </c>
      <c r="AP66" s="78">
        <f>'2.TH'!AP30+'4.TH-THCS'!AP34</f>
        <v>0</v>
      </c>
      <c r="AQ66" s="78">
        <f>'2.TH'!AQ30+'4.TH-THCS'!AQ34</f>
        <v>0</v>
      </c>
      <c r="AR66" s="78">
        <f>'2.TH'!AR30+'4.TH-THCS'!AR34</f>
        <v>0</v>
      </c>
      <c r="AS66" s="77">
        <f t="shared" si="239"/>
        <v>0</v>
      </c>
      <c r="AT66" s="78">
        <f>'2.TH'!AT30+'4.TH-THCS'!AT34</f>
        <v>0</v>
      </c>
      <c r="AU66" s="78">
        <f>'2.TH'!AU30+'4.TH-THCS'!AU34</f>
        <v>0</v>
      </c>
      <c r="AV66" s="78">
        <f>'2.TH'!AV30+'4.TH-THCS'!AV34</f>
        <v>0</v>
      </c>
      <c r="AW66" s="77">
        <f t="shared" si="240"/>
        <v>0</v>
      </c>
      <c r="AX66" s="78">
        <f>'2.TH'!AX30+'4.TH-THCS'!AX34</f>
        <v>0</v>
      </c>
      <c r="AY66" s="78">
        <f>'2.TH'!AY30+'4.TH-THCS'!AY34</f>
        <v>0</v>
      </c>
      <c r="AZ66" s="79">
        <f>'2.TH'!AZ30+'4.TH-THCS'!AZ34</f>
        <v>0</v>
      </c>
      <c r="BA66" s="34"/>
    </row>
    <row r="67" ht="15.75" customHeight="1">
      <c r="A67" s="29"/>
      <c r="B67" s="80" t="s">
        <v>79</v>
      </c>
      <c r="C67" s="81"/>
      <c r="D67" s="82" t="s">
        <v>30</v>
      </c>
      <c r="E67" s="83">
        <f t="shared" si="229"/>
        <v>26337</v>
      </c>
      <c r="F67" s="84">
        <f>'3.THCS'!F25+'4.TH-THCS'!F35+'6.THCS-THPT'!F28</f>
        <v>26109</v>
      </c>
      <c r="G67" s="84">
        <f>'3.THCS'!G25+'4.TH-THCS'!G35+'6.THCS-THPT'!G28</f>
        <v>156</v>
      </c>
      <c r="H67" s="84">
        <f>'3.THCS'!H25+'4.TH-THCS'!H35+'6.THCS-THPT'!H28</f>
        <v>72</v>
      </c>
      <c r="I67" s="83">
        <f t="shared" si="230"/>
        <v>25889</v>
      </c>
      <c r="J67" s="84">
        <f>'3.THCS'!J25+'4.TH-THCS'!J35+'6.THCS-THPT'!J28</f>
        <v>25700</v>
      </c>
      <c r="K67" s="84">
        <f>'3.THCS'!K25+'4.TH-THCS'!K35+'6.THCS-THPT'!K28</f>
        <v>156</v>
      </c>
      <c r="L67" s="84">
        <f>'3.THCS'!L25+'4.TH-THCS'!L35+'6.THCS-THPT'!L28</f>
        <v>33</v>
      </c>
      <c r="M67" s="83">
        <f t="shared" si="231"/>
        <v>25527</v>
      </c>
      <c r="N67" s="84">
        <f>'3.THCS'!N25+'4.TH-THCS'!N35+'6.THCS-THPT'!N28</f>
        <v>25340</v>
      </c>
      <c r="O67" s="84">
        <f>'3.THCS'!O25+'4.TH-THCS'!O35+'6.THCS-THPT'!O28</f>
        <v>155</v>
      </c>
      <c r="P67" s="84">
        <f>'3.THCS'!P25+'4.TH-THCS'!P35+'6.THCS-THPT'!P28</f>
        <v>32</v>
      </c>
      <c r="Q67" s="83">
        <f t="shared" si="232"/>
        <v>25432</v>
      </c>
      <c r="R67" s="84">
        <f>'3.THCS'!R25+'4.TH-THCS'!R35+'6.THCS-THPT'!R28</f>
        <v>25208</v>
      </c>
      <c r="S67" s="84">
        <f>'3.THCS'!S25+'4.TH-THCS'!S35+'6.THCS-THPT'!S28</f>
        <v>154</v>
      </c>
      <c r="T67" s="84">
        <f>'3.THCS'!T25+'4.TH-THCS'!T35+'6.THCS-THPT'!T28</f>
        <v>70</v>
      </c>
      <c r="U67" s="83">
        <f t="shared" si="233"/>
        <v>25497</v>
      </c>
      <c r="V67" s="84">
        <f>'3.THCS'!V25+'4.TH-THCS'!V35+'6.THCS-THPT'!V28</f>
        <v>25273</v>
      </c>
      <c r="W67" s="84">
        <f>'3.THCS'!W25+'4.TH-THCS'!W35+'6.THCS-THPT'!W28</f>
        <v>154</v>
      </c>
      <c r="X67" s="84">
        <f>'3.THCS'!X25+'4.TH-THCS'!X35+'6.THCS-THPT'!X28</f>
        <v>70</v>
      </c>
      <c r="Y67" s="83">
        <f t="shared" si="234"/>
        <v>22712.658</v>
      </c>
      <c r="Z67" s="84">
        <f>'3.THCS'!Z25+'4.TH-THCS'!Z35+'6.THCS-THPT'!Z28</f>
        <v>22489.658</v>
      </c>
      <c r="AA67" s="84">
        <f>'3.THCS'!AA25+'4.TH-THCS'!AA35+'6.THCS-THPT'!AA28</f>
        <v>154</v>
      </c>
      <c r="AB67" s="84">
        <f>'3.THCS'!AB25+'4.TH-THCS'!AB35+'6.THCS-THPT'!AB28</f>
        <v>69</v>
      </c>
      <c r="AC67" s="83">
        <f t="shared" si="235"/>
        <v>22662.645</v>
      </c>
      <c r="AD67" s="84">
        <f>'3.THCS'!AD25+'4.TH-THCS'!AD35+'6.THCS-THPT'!AD28</f>
        <v>22439.645</v>
      </c>
      <c r="AE67" s="84">
        <f>'3.THCS'!AE25+'4.TH-THCS'!AE35+'6.THCS-THPT'!AE28</f>
        <v>154</v>
      </c>
      <c r="AF67" s="84">
        <f>'3.THCS'!AF25+'4.TH-THCS'!AF35+'6.THCS-THPT'!AF28</f>
        <v>69</v>
      </c>
      <c r="AG67" s="83">
        <f t="shared" si="236"/>
        <v>556</v>
      </c>
      <c r="AH67" s="84">
        <f>'3.THCS'!AH25+'4.TH-THCS'!AH35+'6.THCS-THPT'!AH28</f>
        <v>402</v>
      </c>
      <c r="AI67" s="84">
        <f>'3.THCS'!AI25+'4.TH-THCS'!AI35+'6.THCS-THPT'!AI28</f>
        <v>154</v>
      </c>
      <c r="AJ67" s="84">
        <f>'3.THCS'!AJ25+'4.TH-THCS'!AJ35+'6.THCS-THPT'!AJ28</f>
        <v>0</v>
      </c>
      <c r="AK67" s="83">
        <f t="shared" si="237"/>
        <v>69</v>
      </c>
      <c r="AL67" s="84">
        <f>'3.THCS'!AL25+'4.TH-THCS'!AL35+'6.THCS-THPT'!AL28</f>
        <v>69</v>
      </c>
      <c r="AM67" s="84">
        <f>'3.THCS'!AM25+'4.TH-THCS'!AM35+'6.THCS-THPT'!AM28</f>
        <v>0</v>
      </c>
      <c r="AN67" s="84">
        <f>'3.THCS'!AN25+'4.TH-THCS'!AN35+'6.THCS-THPT'!AN28</f>
        <v>0</v>
      </c>
      <c r="AO67" s="83">
        <f t="shared" si="238"/>
        <v>0</v>
      </c>
      <c r="AP67" s="84">
        <f>'3.THCS'!AP25+'4.TH-THCS'!AP35+'6.THCS-THPT'!AP28</f>
        <v>0</v>
      </c>
      <c r="AQ67" s="84">
        <f>'3.THCS'!AQ25+'4.TH-THCS'!AQ35+'6.THCS-THPT'!AQ28</f>
        <v>0</v>
      </c>
      <c r="AR67" s="84">
        <f>'3.THCS'!AR25+'4.TH-THCS'!AR35+'6.THCS-THPT'!AR28</f>
        <v>0</v>
      </c>
      <c r="AS67" s="83">
        <f t="shared" si="239"/>
        <v>0</v>
      </c>
      <c r="AT67" s="84">
        <f>'3.THCS'!AT25+'4.TH-THCS'!AT35+'6.THCS-THPT'!AT28</f>
        <v>0</v>
      </c>
      <c r="AU67" s="84">
        <f>'3.THCS'!AU25+'4.TH-THCS'!AU35+'6.THCS-THPT'!AU28</f>
        <v>0</v>
      </c>
      <c r="AV67" s="84">
        <f>'3.THCS'!AV25+'4.TH-THCS'!AV35+'6.THCS-THPT'!AV28</f>
        <v>0</v>
      </c>
      <c r="AW67" s="83">
        <f t="shared" si="240"/>
        <v>0</v>
      </c>
      <c r="AX67" s="84">
        <f>'3.THCS'!AX25+'4.TH-THCS'!AX35+'6.THCS-THPT'!AX28</f>
        <v>0</v>
      </c>
      <c r="AY67" s="84">
        <f>'3.THCS'!AY25+'4.TH-THCS'!AY35+'6.THCS-THPT'!AY28</f>
        <v>0</v>
      </c>
      <c r="AZ67" s="85">
        <f>'3.THCS'!AZ25+'4.TH-THCS'!AZ35+'6.THCS-THPT'!AZ28</f>
        <v>0</v>
      </c>
      <c r="BA67" s="34"/>
    </row>
    <row r="68" ht="15.75" customHeight="1">
      <c r="A68" s="29"/>
      <c r="B68" s="80" t="s">
        <v>80</v>
      </c>
      <c r="C68" s="81"/>
      <c r="D68" s="82" t="s">
        <v>30</v>
      </c>
      <c r="E68" s="83">
        <f t="shared" si="229"/>
        <v>20728</v>
      </c>
      <c r="F68" s="84">
        <f>'3.THCS'!F26+'4.TH-THCS'!F36+'6.THCS-THPT'!F29</f>
        <v>20560</v>
      </c>
      <c r="G68" s="84">
        <f>'3.THCS'!G26+'4.TH-THCS'!G36+'6.THCS-THPT'!G29</f>
        <v>127</v>
      </c>
      <c r="H68" s="84">
        <f>'3.THCS'!H26+'4.TH-THCS'!H36+'6.THCS-THPT'!H29</f>
        <v>41</v>
      </c>
      <c r="I68" s="83">
        <f t="shared" si="230"/>
        <v>20430</v>
      </c>
      <c r="J68" s="84">
        <f>'3.THCS'!J26+'4.TH-THCS'!J36+'6.THCS-THPT'!J29</f>
        <v>20285</v>
      </c>
      <c r="K68" s="84">
        <f>'3.THCS'!K26+'4.TH-THCS'!K36+'6.THCS-THPT'!K29</f>
        <v>127</v>
      </c>
      <c r="L68" s="84">
        <f>'3.THCS'!L26+'4.TH-THCS'!L36+'6.THCS-THPT'!L29</f>
        <v>18</v>
      </c>
      <c r="M68" s="83">
        <f t="shared" si="231"/>
        <v>20134</v>
      </c>
      <c r="N68" s="84">
        <f>'3.THCS'!N26+'4.TH-THCS'!N36+'6.THCS-THPT'!N29</f>
        <v>19989</v>
      </c>
      <c r="O68" s="84">
        <f>'3.THCS'!O26+'4.TH-THCS'!O36+'6.THCS-THPT'!O29</f>
        <v>127</v>
      </c>
      <c r="P68" s="84">
        <f>'3.THCS'!P26+'4.TH-THCS'!P36+'6.THCS-THPT'!P29</f>
        <v>18</v>
      </c>
      <c r="Q68" s="83">
        <f t="shared" si="232"/>
        <v>19984</v>
      </c>
      <c r="R68" s="84">
        <f>'3.THCS'!R26+'4.TH-THCS'!R36+'6.THCS-THPT'!R29</f>
        <v>19817</v>
      </c>
      <c r="S68" s="84">
        <f>'3.THCS'!S26+'4.TH-THCS'!S36+'6.THCS-THPT'!S29</f>
        <v>127</v>
      </c>
      <c r="T68" s="84">
        <f>'3.THCS'!T26+'4.TH-THCS'!T36+'6.THCS-THPT'!T29</f>
        <v>40</v>
      </c>
      <c r="U68" s="83">
        <f t="shared" si="233"/>
        <v>20041</v>
      </c>
      <c r="V68" s="84">
        <f>'3.THCS'!V26+'4.TH-THCS'!V36+'6.THCS-THPT'!V29</f>
        <v>19875</v>
      </c>
      <c r="W68" s="84">
        <f>'3.THCS'!W26+'4.TH-THCS'!W36+'6.THCS-THPT'!W29</f>
        <v>127</v>
      </c>
      <c r="X68" s="84">
        <f>'3.THCS'!X26+'4.TH-THCS'!X36+'6.THCS-THPT'!X29</f>
        <v>39</v>
      </c>
      <c r="Y68" s="83">
        <f t="shared" si="234"/>
        <v>17800.143</v>
      </c>
      <c r="Z68" s="84">
        <f>'3.THCS'!Z26+'4.TH-THCS'!Z36+'6.THCS-THPT'!Z29</f>
        <v>17634.143</v>
      </c>
      <c r="AA68" s="84">
        <f>'3.THCS'!AA26+'4.TH-THCS'!AA36+'6.THCS-THPT'!AA29</f>
        <v>127</v>
      </c>
      <c r="AB68" s="84">
        <f>'3.THCS'!AB26+'4.TH-THCS'!AB36+'6.THCS-THPT'!AB29</f>
        <v>39</v>
      </c>
      <c r="AC68" s="83">
        <f t="shared" si="235"/>
        <v>17741.138</v>
      </c>
      <c r="AD68" s="84">
        <f>'3.THCS'!AD26+'4.TH-THCS'!AD36+'6.THCS-THPT'!AD29</f>
        <v>17574.138</v>
      </c>
      <c r="AE68" s="84">
        <f>'3.THCS'!AE26+'4.TH-THCS'!AE36+'6.THCS-THPT'!AE29</f>
        <v>127</v>
      </c>
      <c r="AF68" s="84">
        <f>'3.THCS'!AF26+'4.TH-THCS'!AF36+'6.THCS-THPT'!AF29</f>
        <v>40</v>
      </c>
      <c r="AG68" s="83">
        <f t="shared" si="236"/>
        <v>426</v>
      </c>
      <c r="AH68" s="84">
        <f>'3.THCS'!AH26+'4.TH-THCS'!AH36+'6.THCS-THPT'!AH29</f>
        <v>299</v>
      </c>
      <c r="AI68" s="84">
        <f>'3.THCS'!AI26+'4.TH-THCS'!AI36+'6.THCS-THPT'!AI29</f>
        <v>127</v>
      </c>
      <c r="AJ68" s="84">
        <f>'3.THCS'!AJ26+'4.TH-THCS'!AJ36+'6.THCS-THPT'!AJ29</f>
        <v>0</v>
      </c>
      <c r="AK68" s="83">
        <f t="shared" si="237"/>
        <v>69</v>
      </c>
      <c r="AL68" s="84">
        <f>'3.THCS'!AL26+'4.TH-THCS'!AL36+'6.THCS-THPT'!AL29</f>
        <v>69</v>
      </c>
      <c r="AM68" s="84">
        <f>'3.THCS'!AM26+'4.TH-THCS'!AM36+'6.THCS-THPT'!AM29</f>
        <v>0</v>
      </c>
      <c r="AN68" s="84">
        <f>'3.THCS'!AN26+'4.TH-THCS'!AN36+'6.THCS-THPT'!AN29</f>
        <v>0</v>
      </c>
      <c r="AO68" s="83">
        <f t="shared" si="238"/>
        <v>0</v>
      </c>
      <c r="AP68" s="84">
        <f>'3.THCS'!AP26+'4.TH-THCS'!AP36+'6.THCS-THPT'!AP29</f>
        <v>0</v>
      </c>
      <c r="AQ68" s="84">
        <f>'3.THCS'!AQ26+'4.TH-THCS'!AQ36+'6.THCS-THPT'!AQ29</f>
        <v>0</v>
      </c>
      <c r="AR68" s="84">
        <f>'3.THCS'!AR26+'4.TH-THCS'!AR36+'6.THCS-THPT'!AR29</f>
        <v>0</v>
      </c>
      <c r="AS68" s="83">
        <f t="shared" si="239"/>
        <v>0</v>
      </c>
      <c r="AT68" s="84">
        <f>'3.THCS'!AT26+'4.TH-THCS'!AT36+'6.THCS-THPT'!AT29</f>
        <v>0</v>
      </c>
      <c r="AU68" s="84">
        <f>'3.THCS'!AU26+'4.TH-THCS'!AU36+'6.THCS-THPT'!AU29</f>
        <v>0</v>
      </c>
      <c r="AV68" s="84">
        <f>'3.THCS'!AV26+'4.TH-THCS'!AV36+'6.THCS-THPT'!AV29</f>
        <v>0</v>
      </c>
      <c r="AW68" s="83">
        <f t="shared" si="240"/>
        <v>0</v>
      </c>
      <c r="AX68" s="84">
        <f>'3.THCS'!AX26+'4.TH-THCS'!AX36+'6.THCS-THPT'!AX29</f>
        <v>0</v>
      </c>
      <c r="AY68" s="84">
        <f>'3.THCS'!AY26+'4.TH-THCS'!AY36+'6.THCS-THPT'!AY29</f>
        <v>0</v>
      </c>
      <c r="AZ68" s="85">
        <f>'3.THCS'!AZ26+'4.TH-THCS'!AZ36+'6.THCS-THPT'!AZ29</f>
        <v>0</v>
      </c>
      <c r="BA68" s="34"/>
    </row>
    <row r="69" ht="15.75" customHeight="1">
      <c r="A69" s="29"/>
      <c r="B69" s="80" t="s">
        <v>81</v>
      </c>
      <c r="C69" s="81"/>
      <c r="D69" s="82" t="s">
        <v>30</v>
      </c>
      <c r="E69" s="83">
        <f t="shared" si="229"/>
        <v>15064</v>
      </c>
      <c r="F69" s="84">
        <f>'3.THCS'!F27+'4.TH-THCS'!F37+'6.THCS-THPT'!F30</f>
        <v>14956</v>
      </c>
      <c r="G69" s="84">
        <f>'3.THCS'!G27+'4.TH-THCS'!G37+'6.THCS-THPT'!G30</f>
        <v>75</v>
      </c>
      <c r="H69" s="84">
        <f>'3.THCS'!H27+'4.TH-THCS'!H37+'6.THCS-THPT'!H30</f>
        <v>33</v>
      </c>
      <c r="I69" s="83">
        <f t="shared" si="230"/>
        <v>14829</v>
      </c>
      <c r="J69" s="84">
        <f>'3.THCS'!J27+'4.TH-THCS'!J37+'6.THCS-THPT'!J30</f>
        <v>14742</v>
      </c>
      <c r="K69" s="84">
        <f>'3.THCS'!K27+'4.TH-THCS'!K37+'6.THCS-THPT'!K30</f>
        <v>75</v>
      </c>
      <c r="L69" s="84">
        <f>'3.THCS'!L27+'4.TH-THCS'!L37+'6.THCS-THPT'!L30</f>
        <v>12</v>
      </c>
      <c r="M69" s="83">
        <f t="shared" si="231"/>
        <v>14622</v>
      </c>
      <c r="N69" s="84">
        <f>'3.THCS'!N27+'4.TH-THCS'!N37+'6.THCS-THPT'!N30</f>
        <v>14535</v>
      </c>
      <c r="O69" s="84">
        <f>'3.THCS'!O27+'4.TH-THCS'!O37+'6.THCS-THPT'!O30</f>
        <v>75</v>
      </c>
      <c r="P69" s="84">
        <f>'3.THCS'!P27+'4.TH-THCS'!P37+'6.THCS-THPT'!P30</f>
        <v>12</v>
      </c>
      <c r="Q69" s="83">
        <f t="shared" si="232"/>
        <v>14519</v>
      </c>
      <c r="R69" s="84">
        <f>'3.THCS'!R27+'4.TH-THCS'!R37+'6.THCS-THPT'!R30</f>
        <v>14413</v>
      </c>
      <c r="S69" s="84">
        <f>'3.THCS'!S27+'4.TH-THCS'!S37+'6.THCS-THPT'!S30</f>
        <v>75</v>
      </c>
      <c r="T69" s="84">
        <f>'3.THCS'!T27+'4.TH-THCS'!T37+'6.THCS-THPT'!T30</f>
        <v>31</v>
      </c>
      <c r="U69" s="83">
        <f t="shared" si="233"/>
        <v>14576</v>
      </c>
      <c r="V69" s="84">
        <f>'3.THCS'!V27+'4.TH-THCS'!V37+'6.THCS-THPT'!V30</f>
        <v>14470</v>
      </c>
      <c r="W69" s="84">
        <f>'3.THCS'!W27+'4.TH-THCS'!W37+'6.THCS-THPT'!W30</f>
        <v>75</v>
      </c>
      <c r="X69" s="84">
        <f>'3.THCS'!X27+'4.TH-THCS'!X37+'6.THCS-THPT'!X30</f>
        <v>31</v>
      </c>
      <c r="Y69" s="83">
        <f t="shared" si="234"/>
        <v>12919.55</v>
      </c>
      <c r="Z69" s="84">
        <f>'3.THCS'!Z27+'4.TH-THCS'!Z37+'6.THCS-THPT'!Z30</f>
        <v>12813.55</v>
      </c>
      <c r="AA69" s="84">
        <f>'3.THCS'!AA27+'4.TH-THCS'!AA37+'6.THCS-THPT'!AA30</f>
        <v>75</v>
      </c>
      <c r="AB69" s="84">
        <f>'3.THCS'!AB27+'4.TH-THCS'!AB37+'6.THCS-THPT'!AB30</f>
        <v>31</v>
      </c>
      <c r="AC69" s="83">
        <f t="shared" si="235"/>
        <v>12872.535</v>
      </c>
      <c r="AD69" s="84">
        <f>'3.THCS'!AD27+'4.TH-THCS'!AD37+'6.THCS-THPT'!AD30</f>
        <v>12766.535</v>
      </c>
      <c r="AE69" s="84">
        <f>'3.THCS'!AE27+'4.TH-THCS'!AE37+'6.THCS-THPT'!AE30</f>
        <v>75</v>
      </c>
      <c r="AF69" s="84">
        <f>'3.THCS'!AF27+'4.TH-THCS'!AF37+'6.THCS-THPT'!AF30</f>
        <v>31</v>
      </c>
      <c r="AG69" s="83">
        <f t="shared" si="236"/>
        <v>288</v>
      </c>
      <c r="AH69" s="84">
        <f>'3.THCS'!AH27+'4.TH-THCS'!AH37+'6.THCS-THPT'!AH30</f>
        <v>213</v>
      </c>
      <c r="AI69" s="84">
        <f>'3.THCS'!AI27+'4.TH-THCS'!AI37+'6.THCS-THPT'!AI30</f>
        <v>75</v>
      </c>
      <c r="AJ69" s="84">
        <f>'3.THCS'!AJ27+'4.TH-THCS'!AJ37+'6.THCS-THPT'!AJ30</f>
        <v>0</v>
      </c>
      <c r="AK69" s="83">
        <f t="shared" si="237"/>
        <v>68</v>
      </c>
      <c r="AL69" s="84">
        <f>'3.THCS'!AL27+'4.TH-THCS'!AL37+'6.THCS-THPT'!AL30</f>
        <v>68</v>
      </c>
      <c r="AM69" s="84">
        <f>'3.THCS'!AM27+'4.TH-THCS'!AM37+'6.THCS-THPT'!AM30</f>
        <v>0</v>
      </c>
      <c r="AN69" s="84">
        <f>'3.THCS'!AN27+'4.TH-THCS'!AN37+'6.THCS-THPT'!AN30</f>
        <v>0</v>
      </c>
      <c r="AO69" s="83">
        <f t="shared" si="238"/>
        <v>0</v>
      </c>
      <c r="AP69" s="84">
        <f>'3.THCS'!AP27+'4.TH-THCS'!AP37+'6.THCS-THPT'!AP30</f>
        <v>0</v>
      </c>
      <c r="AQ69" s="84">
        <f>'3.THCS'!AQ27+'4.TH-THCS'!AQ37+'6.THCS-THPT'!AQ30</f>
        <v>0</v>
      </c>
      <c r="AR69" s="84">
        <f>'3.THCS'!AR27+'4.TH-THCS'!AR37+'6.THCS-THPT'!AR30</f>
        <v>0</v>
      </c>
      <c r="AS69" s="83">
        <f t="shared" si="239"/>
        <v>0</v>
      </c>
      <c r="AT69" s="84">
        <f>'3.THCS'!AT27+'4.TH-THCS'!AT37+'6.THCS-THPT'!AT30</f>
        <v>0</v>
      </c>
      <c r="AU69" s="84">
        <f>'3.THCS'!AU27+'4.TH-THCS'!AU37+'6.THCS-THPT'!AU30</f>
        <v>0</v>
      </c>
      <c r="AV69" s="84">
        <f>'3.THCS'!AV27+'4.TH-THCS'!AV37+'6.THCS-THPT'!AV30</f>
        <v>0</v>
      </c>
      <c r="AW69" s="83">
        <f t="shared" si="240"/>
        <v>0</v>
      </c>
      <c r="AX69" s="84">
        <f>'3.THCS'!AX27+'4.TH-THCS'!AX37+'6.THCS-THPT'!AX30</f>
        <v>0</v>
      </c>
      <c r="AY69" s="84">
        <f>'3.THCS'!AY27+'4.TH-THCS'!AY37+'6.THCS-THPT'!AY30</f>
        <v>0</v>
      </c>
      <c r="AZ69" s="85">
        <f>'3.THCS'!AZ27+'4.TH-THCS'!AZ37+'6.THCS-THPT'!AZ30</f>
        <v>0</v>
      </c>
      <c r="BA69" s="34"/>
    </row>
    <row r="70" ht="15.75" customHeight="1">
      <c r="A70" s="29"/>
      <c r="B70" s="80" t="s">
        <v>82</v>
      </c>
      <c r="C70" s="81"/>
      <c r="D70" s="82" t="s">
        <v>30</v>
      </c>
      <c r="E70" s="83">
        <f t="shared" si="229"/>
        <v>16854</v>
      </c>
      <c r="F70" s="84">
        <f>'3.THCS'!F28+'4.TH-THCS'!F38+'6.THCS-THPT'!F31</f>
        <v>16731</v>
      </c>
      <c r="G70" s="84">
        <f>'3.THCS'!G28+'4.TH-THCS'!G38+'6.THCS-THPT'!G31</f>
        <v>79</v>
      </c>
      <c r="H70" s="84">
        <f>'3.THCS'!H28+'4.TH-THCS'!H38+'6.THCS-THPT'!H31</f>
        <v>44</v>
      </c>
      <c r="I70" s="83">
        <f t="shared" si="230"/>
        <v>16539</v>
      </c>
      <c r="J70" s="84">
        <f>'3.THCS'!J28+'4.TH-THCS'!J38+'6.THCS-THPT'!J31</f>
        <v>16442</v>
      </c>
      <c r="K70" s="84">
        <f>'3.THCS'!K28+'4.TH-THCS'!K38+'6.THCS-THPT'!K31</f>
        <v>79</v>
      </c>
      <c r="L70" s="84">
        <f>'3.THCS'!L28+'4.TH-THCS'!L38+'6.THCS-THPT'!L31</f>
        <v>18</v>
      </c>
      <c r="M70" s="83">
        <f t="shared" si="231"/>
        <v>16379</v>
      </c>
      <c r="N70" s="84">
        <f>'3.THCS'!N28+'4.TH-THCS'!N38+'6.THCS-THPT'!N31</f>
        <v>16282</v>
      </c>
      <c r="O70" s="84">
        <f>'3.THCS'!O28+'4.TH-THCS'!O38+'6.THCS-THPT'!O31</f>
        <v>79</v>
      </c>
      <c r="P70" s="84">
        <f>'3.THCS'!P28+'4.TH-THCS'!P38+'6.THCS-THPT'!P31</f>
        <v>18</v>
      </c>
      <c r="Q70" s="83">
        <f t="shared" si="232"/>
        <v>16299</v>
      </c>
      <c r="R70" s="84">
        <f>'3.THCS'!R28+'4.TH-THCS'!R38+'6.THCS-THPT'!R31</f>
        <v>16180</v>
      </c>
      <c r="S70" s="84">
        <f>'3.THCS'!S28+'4.TH-THCS'!S38+'6.THCS-THPT'!S31</f>
        <v>79</v>
      </c>
      <c r="T70" s="84">
        <f>'3.THCS'!T28+'4.TH-THCS'!T38+'6.THCS-THPT'!T31</f>
        <v>40</v>
      </c>
      <c r="U70" s="83">
        <f t="shared" si="233"/>
        <v>16331</v>
      </c>
      <c r="V70" s="84">
        <f>'3.THCS'!V28+'4.TH-THCS'!V38+'6.THCS-THPT'!V31</f>
        <v>16212</v>
      </c>
      <c r="W70" s="84">
        <f>'3.THCS'!W28+'4.TH-THCS'!W38+'6.THCS-THPT'!W31</f>
        <v>79</v>
      </c>
      <c r="X70" s="84">
        <f>'3.THCS'!X28+'4.TH-THCS'!X38+'6.THCS-THPT'!X31</f>
        <v>40</v>
      </c>
      <c r="Y70" s="83">
        <f t="shared" si="234"/>
        <v>14236.016</v>
      </c>
      <c r="Z70" s="84">
        <f>'3.THCS'!Z28+'4.TH-THCS'!Z38+'6.THCS-THPT'!Z31</f>
        <v>14117.016</v>
      </c>
      <c r="AA70" s="84">
        <f>'3.THCS'!AA28+'4.TH-THCS'!AA38+'6.THCS-THPT'!AA31</f>
        <v>79</v>
      </c>
      <c r="AB70" s="84">
        <f>'3.THCS'!AB28+'4.TH-THCS'!AB38+'6.THCS-THPT'!AB31</f>
        <v>40</v>
      </c>
      <c r="AC70" s="83">
        <f t="shared" si="235"/>
        <v>14203.008</v>
      </c>
      <c r="AD70" s="84">
        <f>'3.THCS'!AD28+'4.TH-THCS'!AD38+'6.THCS-THPT'!AD31</f>
        <v>14084.008</v>
      </c>
      <c r="AE70" s="84">
        <f>'3.THCS'!AE28+'4.TH-THCS'!AE38+'6.THCS-THPT'!AE31</f>
        <v>79</v>
      </c>
      <c r="AF70" s="84">
        <f>'3.THCS'!AF28+'4.TH-THCS'!AF38+'6.THCS-THPT'!AF31</f>
        <v>40</v>
      </c>
      <c r="AG70" s="83">
        <f t="shared" si="236"/>
        <v>308</v>
      </c>
      <c r="AH70" s="84">
        <f>'3.THCS'!AH28+'4.TH-THCS'!AH38+'6.THCS-THPT'!AH31</f>
        <v>229</v>
      </c>
      <c r="AI70" s="84">
        <f>'3.THCS'!AI28+'4.TH-THCS'!AI38+'6.THCS-THPT'!AI31</f>
        <v>79</v>
      </c>
      <c r="AJ70" s="84">
        <f>'3.THCS'!AJ28+'4.TH-THCS'!AJ38+'6.THCS-THPT'!AJ31</f>
        <v>0</v>
      </c>
      <c r="AK70" s="83">
        <f t="shared" si="237"/>
        <v>65</v>
      </c>
      <c r="AL70" s="84">
        <f>'3.THCS'!AL28+'4.TH-THCS'!AL38+'6.THCS-THPT'!AL31</f>
        <v>65</v>
      </c>
      <c r="AM70" s="84">
        <f>'3.THCS'!AM28+'4.TH-THCS'!AM38+'6.THCS-THPT'!AM31</f>
        <v>0</v>
      </c>
      <c r="AN70" s="84">
        <f>'3.THCS'!AN28+'4.TH-THCS'!AN38+'6.THCS-THPT'!AN31</f>
        <v>0</v>
      </c>
      <c r="AO70" s="83">
        <f t="shared" si="238"/>
        <v>0</v>
      </c>
      <c r="AP70" s="84">
        <f>'3.THCS'!AP28+'4.TH-THCS'!AP38+'6.THCS-THPT'!AP31</f>
        <v>0</v>
      </c>
      <c r="AQ70" s="84">
        <f>'3.THCS'!AQ28+'4.TH-THCS'!AQ38+'6.THCS-THPT'!AQ31</f>
        <v>0</v>
      </c>
      <c r="AR70" s="84">
        <f>'3.THCS'!AR28+'4.TH-THCS'!AR38+'6.THCS-THPT'!AR31</f>
        <v>0</v>
      </c>
      <c r="AS70" s="83">
        <f t="shared" si="239"/>
        <v>0</v>
      </c>
      <c r="AT70" s="84">
        <f>'3.THCS'!AT28+'4.TH-THCS'!AT38+'6.THCS-THPT'!AT31</f>
        <v>0</v>
      </c>
      <c r="AU70" s="84">
        <f>'3.THCS'!AU28+'4.TH-THCS'!AU38+'6.THCS-THPT'!AU31</f>
        <v>0</v>
      </c>
      <c r="AV70" s="84">
        <f>'3.THCS'!AV28+'4.TH-THCS'!AV38+'6.THCS-THPT'!AV31</f>
        <v>0</v>
      </c>
      <c r="AW70" s="83">
        <f t="shared" si="240"/>
        <v>0</v>
      </c>
      <c r="AX70" s="84">
        <f>'3.THCS'!AX28+'4.TH-THCS'!AX38+'6.THCS-THPT'!AX31</f>
        <v>0</v>
      </c>
      <c r="AY70" s="84">
        <f>'3.THCS'!AY28+'4.TH-THCS'!AY38+'6.THCS-THPT'!AY31</f>
        <v>0</v>
      </c>
      <c r="AZ70" s="85">
        <f>'3.THCS'!AZ28+'4.TH-THCS'!AZ38+'6.THCS-THPT'!AZ31</f>
        <v>0</v>
      </c>
      <c r="BA70" s="34"/>
    </row>
    <row r="71" ht="15.75" customHeight="1">
      <c r="A71" s="29"/>
      <c r="B71" s="86" t="s">
        <v>83</v>
      </c>
      <c r="C71" s="87"/>
      <c r="D71" s="87" t="s">
        <v>30</v>
      </c>
      <c r="E71" s="88">
        <f t="shared" si="229"/>
        <v>12925</v>
      </c>
      <c r="F71" s="89">
        <f>'5.THPT'!F24+'6.THCS-THPT'!F32+'7.GDTX'!E19</f>
        <v>12891</v>
      </c>
      <c r="G71" s="89">
        <f>'5.THPT'!G24+'6.THCS-THPT'!G32</f>
        <v>0</v>
      </c>
      <c r="H71" s="89">
        <f>'5.THPT'!H24+'6.THCS-THPT'!H32</f>
        <v>34</v>
      </c>
      <c r="I71" s="88">
        <f t="shared" si="230"/>
        <v>12448</v>
      </c>
      <c r="J71" s="89">
        <f>'5.THPT'!J24+'6.THCS-THPT'!J32+'7.GDTX'!I19</f>
        <v>12448</v>
      </c>
      <c r="K71" s="89">
        <f>'5.THPT'!K24+'6.THCS-THPT'!K32</f>
        <v>0</v>
      </c>
      <c r="L71" s="89">
        <f>'5.THPT'!L24+'6.THCS-THPT'!L32</f>
        <v>0</v>
      </c>
      <c r="M71" s="88">
        <f t="shared" si="231"/>
        <v>11567</v>
      </c>
      <c r="N71" s="89">
        <f>'5.THPT'!N24+'6.THCS-THPT'!N32+'7.GDTX'!M19</f>
        <v>11567</v>
      </c>
      <c r="O71" s="89">
        <f>'5.THPT'!O24+'6.THCS-THPT'!O32</f>
        <v>0</v>
      </c>
      <c r="P71" s="89">
        <f>'5.THPT'!P24+'6.THCS-THPT'!P32</f>
        <v>0</v>
      </c>
      <c r="Q71" s="88">
        <f t="shared" si="232"/>
        <v>11538</v>
      </c>
      <c r="R71" s="89">
        <f>'5.THPT'!R24+'6.THCS-THPT'!R32+'7.GDTX'!Q19</f>
        <v>11503</v>
      </c>
      <c r="S71" s="89">
        <f>'5.THPT'!S24+'6.THCS-THPT'!S32</f>
        <v>0</v>
      </c>
      <c r="T71" s="89">
        <f>'5.THPT'!T24+'6.THCS-THPT'!T32</f>
        <v>35</v>
      </c>
      <c r="U71" s="88">
        <f t="shared" si="233"/>
        <v>11511</v>
      </c>
      <c r="V71" s="89">
        <f>'5.THPT'!V24+'6.THCS-THPT'!V32+'7.GDTX'!U19</f>
        <v>11476</v>
      </c>
      <c r="W71" s="89">
        <f>'5.THPT'!W24+'6.THCS-THPT'!W32</f>
        <v>0</v>
      </c>
      <c r="X71" s="89">
        <f>'5.THPT'!X24+'6.THCS-THPT'!X32</f>
        <v>35</v>
      </c>
      <c r="Y71" s="88">
        <f t="shared" si="234"/>
        <v>11457</v>
      </c>
      <c r="Z71" s="89">
        <f>'5.THPT'!Z24+'6.THCS-THPT'!Z32+'7.GDTX'!Y19</f>
        <v>11422</v>
      </c>
      <c r="AA71" s="89">
        <f>'5.THPT'!AA24+'6.THCS-THPT'!AA32</f>
        <v>0</v>
      </c>
      <c r="AB71" s="89">
        <f>'5.THPT'!AB24+'6.THCS-THPT'!AB32</f>
        <v>35</v>
      </c>
      <c r="AC71" s="88">
        <f t="shared" si="235"/>
        <v>11422</v>
      </c>
      <c r="AD71" s="89">
        <f>'5.THPT'!AD24+'6.THCS-THPT'!AD32+'7.GDTX'!AC19</f>
        <v>11387</v>
      </c>
      <c r="AE71" s="89">
        <f>'5.THPT'!AE24+'6.THCS-THPT'!AE32</f>
        <v>0</v>
      </c>
      <c r="AF71" s="89">
        <f>'5.THPT'!AF24+'6.THCS-THPT'!AF32</f>
        <v>35</v>
      </c>
      <c r="AG71" s="88">
        <f t="shared" si="236"/>
        <v>1090</v>
      </c>
      <c r="AH71" s="89">
        <f>'5.THPT'!AH24+'6.THCS-THPT'!AH32+'7.GDTX'!AG19</f>
        <v>1090</v>
      </c>
      <c r="AI71" s="89">
        <f>'5.THPT'!AI24+'6.THCS-THPT'!AI32</f>
        <v>0</v>
      </c>
      <c r="AJ71" s="89">
        <f>'5.THPT'!AJ24+'6.THCS-THPT'!AJ32</f>
        <v>0</v>
      </c>
      <c r="AK71" s="88">
        <f t="shared" si="237"/>
        <v>70</v>
      </c>
      <c r="AL71" s="89">
        <f>'5.THPT'!AL24+'6.THCS-THPT'!AL32+'7.GDTX'!AK19</f>
        <v>70</v>
      </c>
      <c r="AM71" s="89">
        <f>'5.THPT'!AM24+'6.THCS-THPT'!AM32</f>
        <v>0</v>
      </c>
      <c r="AN71" s="89">
        <f>'5.THPT'!AN24+'6.THCS-THPT'!AN32</f>
        <v>0</v>
      </c>
      <c r="AO71" s="88">
        <f t="shared" si="238"/>
        <v>0</v>
      </c>
      <c r="AP71" s="89">
        <f>'5.THPT'!AP24+'6.THCS-THPT'!AP32+'7.GDTX'!AO19</f>
        <v>0</v>
      </c>
      <c r="AQ71" s="89">
        <f>'5.THPT'!AQ24+'6.THCS-THPT'!AQ32</f>
        <v>0</v>
      </c>
      <c r="AR71" s="89">
        <f>'5.THPT'!AR24+'6.THCS-THPT'!AR32</f>
        <v>0</v>
      </c>
      <c r="AS71" s="88">
        <f t="shared" si="239"/>
        <v>0</v>
      </c>
      <c r="AT71" s="89">
        <f>'5.THPT'!AT24+'6.THCS-THPT'!AT32+'7.GDTX'!AS19</f>
        <v>0</v>
      </c>
      <c r="AU71" s="89">
        <f>'5.THPT'!AU24+'6.THCS-THPT'!AU32</f>
        <v>0</v>
      </c>
      <c r="AV71" s="89">
        <f>'5.THPT'!AV24+'6.THCS-THPT'!AV32</f>
        <v>0</v>
      </c>
      <c r="AW71" s="88">
        <f t="shared" si="240"/>
        <v>0</v>
      </c>
      <c r="AX71" s="89">
        <f>'5.THPT'!AX24+'6.THCS-THPT'!AX32+'7.GDTX'!AW19</f>
        <v>0</v>
      </c>
      <c r="AY71" s="89">
        <f>'5.THPT'!AY24+'6.THCS-THPT'!AY32</f>
        <v>0</v>
      </c>
      <c r="AZ71" s="90">
        <f>'5.THPT'!AZ24+'6.THCS-THPT'!AZ32</f>
        <v>0</v>
      </c>
      <c r="BA71" s="34"/>
    </row>
    <row r="72" ht="15.75" customHeight="1">
      <c r="A72" s="29"/>
      <c r="B72" s="86" t="s">
        <v>84</v>
      </c>
      <c r="C72" s="87"/>
      <c r="D72" s="87" t="s">
        <v>30</v>
      </c>
      <c r="E72" s="88">
        <f t="shared" si="229"/>
        <v>11392</v>
      </c>
      <c r="F72" s="89">
        <f>'5.THPT'!F25+'6.THCS-THPT'!F33+'7.GDTX'!E20</f>
        <v>11371</v>
      </c>
      <c r="G72" s="89">
        <f>'5.THPT'!G25+'6.THCS-THPT'!G33</f>
        <v>0</v>
      </c>
      <c r="H72" s="89">
        <f>'5.THPT'!H25+'6.THCS-THPT'!H33</f>
        <v>21</v>
      </c>
      <c r="I72" s="88">
        <f t="shared" si="230"/>
        <v>10943</v>
      </c>
      <c r="J72" s="89">
        <f>'5.THPT'!J25+'6.THCS-THPT'!J33+'7.GDTX'!I20</f>
        <v>10943</v>
      </c>
      <c r="K72" s="89">
        <f>'5.THPT'!K25+'6.THCS-THPT'!K33</f>
        <v>0</v>
      </c>
      <c r="L72" s="89">
        <f>'5.THPT'!L25+'6.THCS-THPT'!L33</f>
        <v>0</v>
      </c>
      <c r="M72" s="88">
        <f t="shared" si="231"/>
        <v>10310</v>
      </c>
      <c r="N72" s="89">
        <f>'5.THPT'!N25+'6.THCS-THPT'!N33+'7.GDTX'!M20</f>
        <v>10310</v>
      </c>
      <c r="O72" s="89">
        <f>'5.THPT'!O25+'6.THCS-THPT'!O33</f>
        <v>0</v>
      </c>
      <c r="P72" s="89">
        <f>'5.THPT'!P25+'6.THCS-THPT'!P33</f>
        <v>0</v>
      </c>
      <c r="Q72" s="88">
        <f t="shared" si="232"/>
        <v>10318</v>
      </c>
      <c r="R72" s="89">
        <f>'5.THPT'!R25+'6.THCS-THPT'!R33+'7.GDTX'!Q20</f>
        <v>10277</v>
      </c>
      <c r="S72" s="89">
        <f>'5.THPT'!S25+'6.THCS-THPT'!S33</f>
        <v>0</v>
      </c>
      <c r="T72" s="89">
        <f>'5.THPT'!T25+'6.THCS-THPT'!T33</f>
        <v>41</v>
      </c>
      <c r="U72" s="88">
        <f t="shared" si="233"/>
        <v>10305</v>
      </c>
      <c r="V72" s="89">
        <f>'5.THPT'!V25+'6.THCS-THPT'!V33+'7.GDTX'!U20</f>
        <v>10264</v>
      </c>
      <c r="W72" s="89">
        <f>'5.THPT'!W25+'6.THCS-THPT'!W33</f>
        <v>0</v>
      </c>
      <c r="X72" s="89">
        <f>'5.THPT'!X25+'6.THCS-THPT'!X33</f>
        <v>41</v>
      </c>
      <c r="Y72" s="88">
        <f t="shared" si="234"/>
        <v>10292</v>
      </c>
      <c r="Z72" s="89">
        <f>'5.THPT'!Z25+'6.THCS-THPT'!Z33+'7.GDTX'!Y20</f>
        <v>10250</v>
      </c>
      <c r="AA72" s="89">
        <f>'5.THPT'!AA25+'6.THCS-THPT'!AA33</f>
        <v>0</v>
      </c>
      <c r="AB72" s="89">
        <f>'5.THPT'!AB25+'6.THCS-THPT'!AB33</f>
        <v>42</v>
      </c>
      <c r="AC72" s="88">
        <f t="shared" si="235"/>
        <v>10279</v>
      </c>
      <c r="AD72" s="89">
        <f>'5.THPT'!AD25+'6.THCS-THPT'!AD33+'7.GDTX'!AC20</f>
        <v>10237</v>
      </c>
      <c r="AE72" s="89">
        <f>'5.THPT'!AE25+'6.THCS-THPT'!AE33</f>
        <v>0</v>
      </c>
      <c r="AF72" s="89">
        <f>'5.THPT'!AF25+'6.THCS-THPT'!AF33</f>
        <v>42</v>
      </c>
      <c r="AG72" s="88">
        <f t="shared" si="236"/>
        <v>1075</v>
      </c>
      <c r="AH72" s="89">
        <f>'5.THPT'!AH25+'6.THCS-THPT'!AH33+'7.GDTX'!AG20</f>
        <v>1075</v>
      </c>
      <c r="AI72" s="89">
        <f>'5.THPT'!AI25+'6.THCS-THPT'!AI33</f>
        <v>0</v>
      </c>
      <c r="AJ72" s="89">
        <f>'5.THPT'!AJ25+'6.THCS-THPT'!AJ33</f>
        <v>0</v>
      </c>
      <c r="AK72" s="88">
        <f t="shared" si="237"/>
        <v>70</v>
      </c>
      <c r="AL72" s="89">
        <f>'5.THPT'!AL25+'6.THCS-THPT'!AL33+'7.GDTX'!AK20</f>
        <v>70</v>
      </c>
      <c r="AM72" s="89">
        <f>'5.THPT'!AM25+'6.THCS-THPT'!AM33</f>
        <v>0</v>
      </c>
      <c r="AN72" s="89">
        <f>'5.THPT'!AN25+'6.THCS-THPT'!AN33</f>
        <v>0</v>
      </c>
      <c r="AO72" s="88">
        <f t="shared" si="238"/>
        <v>0</v>
      </c>
      <c r="AP72" s="89">
        <f>'5.THPT'!AP25+'6.THCS-THPT'!AP33+'7.GDTX'!AO20</f>
        <v>0</v>
      </c>
      <c r="AQ72" s="89">
        <f>'5.THPT'!AQ25+'6.THCS-THPT'!AQ33</f>
        <v>0</v>
      </c>
      <c r="AR72" s="89">
        <f>'5.THPT'!AR25+'6.THCS-THPT'!AR33</f>
        <v>0</v>
      </c>
      <c r="AS72" s="88">
        <f t="shared" si="239"/>
        <v>0</v>
      </c>
      <c r="AT72" s="89">
        <f>'5.THPT'!AT25+'6.THCS-THPT'!AT33+'7.GDTX'!AS20</f>
        <v>0</v>
      </c>
      <c r="AU72" s="89">
        <f>'5.THPT'!AU25+'6.THCS-THPT'!AU33</f>
        <v>0</v>
      </c>
      <c r="AV72" s="89">
        <f>'5.THPT'!AV25+'6.THCS-THPT'!AV33</f>
        <v>0</v>
      </c>
      <c r="AW72" s="88">
        <f t="shared" si="240"/>
        <v>0</v>
      </c>
      <c r="AX72" s="89">
        <f>'5.THPT'!AX25+'6.THCS-THPT'!AX33+'7.GDTX'!AW20</f>
        <v>0</v>
      </c>
      <c r="AY72" s="89">
        <f>'5.THPT'!AY25+'6.THCS-THPT'!AY33</f>
        <v>0</v>
      </c>
      <c r="AZ72" s="90">
        <f>'5.THPT'!AZ25+'6.THCS-THPT'!AZ33</f>
        <v>0</v>
      </c>
      <c r="BA72" s="34"/>
    </row>
    <row r="73" ht="15.75" customHeight="1">
      <c r="A73" s="29"/>
      <c r="B73" s="86" t="s">
        <v>85</v>
      </c>
      <c r="C73" s="87"/>
      <c r="D73" s="87" t="s">
        <v>30</v>
      </c>
      <c r="E73" s="88">
        <f t="shared" si="229"/>
        <v>10320</v>
      </c>
      <c r="F73" s="89">
        <f>'5.THPT'!F26+'6.THCS-THPT'!F34+'7.GDTX'!E21</f>
        <v>10296</v>
      </c>
      <c r="G73" s="89">
        <f>'5.THPT'!G26+'6.THCS-THPT'!G34</f>
        <v>0</v>
      </c>
      <c r="H73" s="89">
        <f>'5.THPT'!H26+'6.THCS-THPT'!H34</f>
        <v>24</v>
      </c>
      <c r="I73" s="88">
        <f t="shared" si="230"/>
        <v>9996</v>
      </c>
      <c r="J73" s="89">
        <f>'5.THPT'!J26+'6.THCS-THPT'!J34+'7.GDTX'!I21</f>
        <v>9996</v>
      </c>
      <c r="K73" s="89">
        <f>'5.THPT'!K26+'6.THCS-THPT'!K34</f>
        <v>0</v>
      </c>
      <c r="L73" s="89">
        <f>'5.THPT'!L26+'6.THCS-THPT'!L34</f>
        <v>0</v>
      </c>
      <c r="M73" s="88">
        <f t="shared" si="231"/>
        <v>9559</v>
      </c>
      <c r="N73" s="89">
        <f>'5.THPT'!N26+'6.THCS-THPT'!N34+'7.GDTX'!M21</f>
        <v>9559</v>
      </c>
      <c r="O73" s="89">
        <f>'5.THPT'!O26+'6.THCS-THPT'!O34</f>
        <v>0</v>
      </c>
      <c r="P73" s="89">
        <f>'5.THPT'!P26+'6.THCS-THPT'!P34</f>
        <v>0</v>
      </c>
      <c r="Q73" s="88">
        <f t="shared" si="232"/>
        <v>9566</v>
      </c>
      <c r="R73" s="89">
        <f>'5.THPT'!R26+'6.THCS-THPT'!R34+'7.GDTX'!Q21</f>
        <v>9542</v>
      </c>
      <c r="S73" s="89">
        <f>'5.THPT'!S26+'6.THCS-THPT'!S34</f>
        <v>0</v>
      </c>
      <c r="T73" s="89">
        <f>'5.THPT'!T26+'6.THCS-THPT'!T34</f>
        <v>24</v>
      </c>
      <c r="U73" s="88">
        <f t="shared" si="233"/>
        <v>9562</v>
      </c>
      <c r="V73" s="89">
        <f>'5.THPT'!V26+'6.THCS-THPT'!V34+'7.GDTX'!U21</f>
        <v>9538</v>
      </c>
      <c r="W73" s="89">
        <f>'5.THPT'!W26+'6.THCS-THPT'!W34</f>
        <v>0</v>
      </c>
      <c r="X73" s="89">
        <f>'5.THPT'!X26+'6.THCS-THPT'!X34</f>
        <v>24</v>
      </c>
      <c r="Y73" s="88">
        <f t="shared" si="234"/>
        <v>9551</v>
      </c>
      <c r="Z73" s="89">
        <f>'5.THPT'!Z26+'6.THCS-THPT'!Z34+'7.GDTX'!Y21</f>
        <v>9527</v>
      </c>
      <c r="AA73" s="89">
        <f>'5.THPT'!AA26+'6.THCS-THPT'!AA34</f>
        <v>0</v>
      </c>
      <c r="AB73" s="89">
        <f>'5.THPT'!AB26+'6.THCS-THPT'!AB34</f>
        <v>24</v>
      </c>
      <c r="AC73" s="88">
        <f t="shared" si="235"/>
        <v>9540</v>
      </c>
      <c r="AD73" s="89">
        <f>'5.THPT'!AD26+'6.THCS-THPT'!AD34+'7.GDTX'!AC21</f>
        <v>9516</v>
      </c>
      <c r="AE73" s="89">
        <f>'5.THPT'!AE26+'6.THCS-THPT'!AE34</f>
        <v>0</v>
      </c>
      <c r="AF73" s="89">
        <f>'5.THPT'!AF26+'6.THCS-THPT'!AF34</f>
        <v>24</v>
      </c>
      <c r="AG73" s="88">
        <f t="shared" si="236"/>
        <v>953</v>
      </c>
      <c r="AH73" s="89">
        <f>'5.THPT'!AH26+'6.THCS-THPT'!AH34+'7.GDTX'!AG21</f>
        <v>953</v>
      </c>
      <c r="AI73" s="89">
        <f>'5.THPT'!AI26+'6.THCS-THPT'!AI34</f>
        <v>0</v>
      </c>
      <c r="AJ73" s="89">
        <f>'5.THPT'!AJ26+'6.THCS-THPT'!AJ34</f>
        <v>0</v>
      </c>
      <c r="AK73" s="88">
        <f t="shared" si="237"/>
        <v>65</v>
      </c>
      <c r="AL73" s="89">
        <f>'5.THPT'!AL26+'6.THCS-THPT'!AL34+'7.GDTX'!AK21</f>
        <v>65</v>
      </c>
      <c r="AM73" s="89">
        <f>'5.THPT'!AM26+'6.THCS-THPT'!AM34</f>
        <v>0</v>
      </c>
      <c r="AN73" s="89">
        <f>'5.THPT'!AN26+'6.THCS-THPT'!AN34</f>
        <v>0</v>
      </c>
      <c r="AO73" s="88">
        <f t="shared" si="238"/>
        <v>0</v>
      </c>
      <c r="AP73" s="89">
        <f>'5.THPT'!AP26+'6.THCS-THPT'!AP34+'7.GDTX'!AO21</f>
        <v>0</v>
      </c>
      <c r="AQ73" s="89">
        <f>'5.THPT'!AQ26+'6.THCS-THPT'!AQ34</f>
        <v>0</v>
      </c>
      <c r="AR73" s="89">
        <f>'5.THPT'!AR26+'6.THCS-THPT'!AR34</f>
        <v>0</v>
      </c>
      <c r="AS73" s="88">
        <f t="shared" si="239"/>
        <v>0</v>
      </c>
      <c r="AT73" s="89">
        <f>'5.THPT'!AT26+'6.THCS-THPT'!AT34+'7.GDTX'!AS21</f>
        <v>0</v>
      </c>
      <c r="AU73" s="89">
        <f>'5.THPT'!AU26+'6.THCS-THPT'!AU34</f>
        <v>0</v>
      </c>
      <c r="AV73" s="89">
        <f>'5.THPT'!AV26+'6.THCS-THPT'!AV34</f>
        <v>0</v>
      </c>
      <c r="AW73" s="88">
        <f t="shared" si="240"/>
        <v>0</v>
      </c>
      <c r="AX73" s="89">
        <f>'5.THPT'!AX26+'6.THCS-THPT'!AX34+'7.GDTX'!AW21</f>
        <v>0</v>
      </c>
      <c r="AY73" s="89">
        <f>'5.THPT'!AY26+'6.THCS-THPT'!AY34</f>
        <v>0</v>
      </c>
      <c r="AZ73" s="90">
        <f>'5.THPT'!AZ26+'6.THCS-THPT'!AZ34</f>
        <v>0</v>
      </c>
      <c r="BA73" s="34"/>
    </row>
    <row r="74" ht="15.75" customHeight="1">
      <c r="A74" s="29"/>
      <c r="B74" s="67" t="s">
        <v>86</v>
      </c>
      <c r="C74" s="31"/>
      <c r="D74" s="31" t="s">
        <v>30</v>
      </c>
      <c r="E74" s="41">
        <f t="shared" si="229"/>
        <v>0</v>
      </c>
      <c r="F74" s="42">
        <f>'2.TH'!F31+'3.THCS'!F29+'5.THPT'!F27+'4.TH-THCS'!F39+'6.THCS-THPT'!F35+'7.GDTX'!E22</f>
        <v>0</v>
      </c>
      <c r="G74" s="42">
        <f>'2.TH'!G31+'3.THCS'!G29+'5.THPT'!G27+'4.TH-THCS'!G39+'6.THCS-THPT'!G35</f>
        <v>0</v>
      </c>
      <c r="H74" s="42">
        <f>'2.TH'!H31+'3.THCS'!H29+'5.THPT'!H27+'4.TH-THCS'!H39+'6.THCS-THPT'!H35</f>
        <v>0</v>
      </c>
      <c r="I74" s="41">
        <f t="shared" si="230"/>
        <v>0</v>
      </c>
      <c r="J74" s="42">
        <f>'2.TH'!J31+'3.THCS'!J29+'5.THPT'!J27+'4.TH-THCS'!J39+'6.THCS-THPT'!J35+'7.GDTX'!I22</f>
        <v>0</v>
      </c>
      <c r="K74" s="42">
        <f>'2.TH'!K31+'3.THCS'!K29+'5.THPT'!K27+'4.TH-THCS'!K39+'6.THCS-THPT'!K35</f>
        <v>0</v>
      </c>
      <c r="L74" s="42">
        <f>'2.TH'!L31+'3.THCS'!L29+'5.THPT'!L27+'4.TH-THCS'!L39+'6.THCS-THPT'!L35</f>
        <v>0</v>
      </c>
      <c r="M74" s="41">
        <f t="shared" si="231"/>
        <v>0</v>
      </c>
      <c r="N74" s="42">
        <f>'2.TH'!N31+'3.THCS'!N29+'5.THPT'!N27+'4.TH-THCS'!N39+'6.THCS-THPT'!N35+'7.GDTX'!M22</f>
        <v>0</v>
      </c>
      <c r="O74" s="42">
        <f>'2.TH'!O31+'3.THCS'!O29+'5.THPT'!O27+'4.TH-THCS'!O39+'6.THCS-THPT'!O35</f>
        <v>0</v>
      </c>
      <c r="P74" s="42">
        <f>'2.TH'!P31+'3.THCS'!P29+'5.THPT'!P27+'4.TH-THCS'!P39+'6.THCS-THPT'!P35</f>
        <v>0</v>
      </c>
      <c r="Q74" s="41">
        <f t="shared" si="232"/>
        <v>0</v>
      </c>
      <c r="R74" s="42">
        <f>'2.TH'!R31+'3.THCS'!R29+'5.THPT'!R27+'4.TH-THCS'!R39+'6.THCS-THPT'!R35+'7.GDTX'!Q22</f>
        <v>0</v>
      </c>
      <c r="S74" s="42">
        <f>'2.TH'!S31+'3.THCS'!S29+'5.THPT'!S27+'4.TH-THCS'!S39+'6.THCS-THPT'!S35</f>
        <v>0</v>
      </c>
      <c r="T74" s="42">
        <f>'2.TH'!T31+'3.THCS'!T29+'5.THPT'!T27+'4.TH-THCS'!T39+'6.THCS-THPT'!T35</f>
        <v>0</v>
      </c>
      <c r="U74" s="41">
        <f t="shared" si="233"/>
        <v>0</v>
      </c>
      <c r="V74" s="42">
        <f>'2.TH'!V31+'3.THCS'!V29+'5.THPT'!V27+'4.TH-THCS'!V39+'6.THCS-THPT'!V35+'7.GDTX'!U22</f>
        <v>0</v>
      </c>
      <c r="W74" s="42">
        <f>'2.TH'!W31+'3.THCS'!W29+'5.THPT'!W27+'4.TH-THCS'!W39+'6.THCS-THPT'!W35</f>
        <v>0</v>
      </c>
      <c r="X74" s="42">
        <f>'2.TH'!X31+'3.THCS'!X29+'5.THPT'!X27+'4.TH-THCS'!X39+'6.THCS-THPT'!X35</f>
        <v>0</v>
      </c>
      <c r="Y74" s="41">
        <f t="shared" si="234"/>
        <v>0</v>
      </c>
      <c r="Z74" s="42">
        <f>'2.TH'!Z31+'3.THCS'!Z29+'5.THPT'!Z27+'4.TH-THCS'!Z39+'6.THCS-THPT'!Z35+'7.GDTX'!Y22</f>
        <v>0</v>
      </c>
      <c r="AA74" s="42">
        <f>'2.TH'!AA31+'3.THCS'!AA29+'5.THPT'!AA27+'4.TH-THCS'!AA39+'6.THCS-THPT'!AA35</f>
        <v>0</v>
      </c>
      <c r="AB74" s="42">
        <f>'2.TH'!AB31+'3.THCS'!AB29+'5.THPT'!AB27+'4.TH-THCS'!AB39+'6.THCS-THPT'!AB35</f>
        <v>0</v>
      </c>
      <c r="AC74" s="41">
        <f t="shared" si="235"/>
        <v>0</v>
      </c>
      <c r="AD74" s="42">
        <f>'2.TH'!AD31+'3.THCS'!AD29+'5.THPT'!AD27+'4.TH-THCS'!AD39+'6.THCS-THPT'!AD35+'7.GDTX'!AC22</f>
        <v>0</v>
      </c>
      <c r="AE74" s="42">
        <f>'2.TH'!AE31+'3.THCS'!AE29+'5.THPT'!AE27+'4.TH-THCS'!AE39+'6.THCS-THPT'!AE35</f>
        <v>0</v>
      </c>
      <c r="AF74" s="42">
        <f>'2.TH'!AF31+'3.THCS'!AF29+'5.THPT'!AF27+'4.TH-THCS'!AF39+'6.THCS-THPT'!AF35</f>
        <v>0</v>
      </c>
      <c r="AG74" s="41">
        <f t="shared" si="236"/>
        <v>0</v>
      </c>
      <c r="AH74" s="42">
        <f>'2.TH'!AH31+'3.THCS'!AH29+'5.THPT'!AH27+'4.TH-THCS'!AH39+'6.THCS-THPT'!AH35+'7.GDTX'!AG22</f>
        <v>0</v>
      </c>
      <c r="AI74" s="42">
        <f>'2.TH'!AI31+'3.THCS'!AI29+'5.THPT'!AI27+'4.TH-THCS'!AI39+'6.THCS-THPT'!AI35</f>
        <v>0</v>
      </c>
      <c r="AJ74" s="42">
        <f>'2.TH'!AJ31+'3.THCS'!AJ29+'5.THPT'!AJ27+'4.TH-THCS'!AJ39+'6.THCS-THPT'!AJ35</f>
        <v>0</v>
      </c>
      <c r="AK74" s="41">
        <f t="shared" si="237"/>
        <v>0</v>
      </c>
      <c r="AL74" s="42">
        <f>'2.TH'!AL31+'3.THCS'!AL29+'5.THPT'!AL27+'4.TH-THCS'!AL39+'6.THCS-THPT'!AL35+'7.GDTX'!AK22</f>
        <v>0</v>
      </c>
      <c r="AM74" s="42">
        <f>'2.TH'!AM31+'3.THCS'!AM29+'5.THPT'!AM27+'4.TH-THCS'!AM39+'6.THCS-THPT'!AM35</f>
        <v>0</v>
      </c>
      <c r="AN74" s="42">
        <f>'2.TH'!AN31+'3.THCS'!AN29+'5.THPT'!AN27+'4.TH-THCS'!AN39+'6.THCS-THPT'!AN35</f>
        <v>0</v>
      </c>
      <c r="AO74" s="41">
        <f t="shared" si="238"/>
        <v>0</v>
      </c>
      <c r="AP74" s="42">
        <f>'2.TH'!AP31+'3.THCS'!AP29+'5.THPT'!AP27+'4.TH-THCS'!AP39+'6.THCS-THPT'!AP35+'7.GDTX'!AO22</f>
        <v>0</v>
      </c>
      <c r="AQ74" s="42">
        <f>'2.TH'!AQ31+'3.THCS'!AQ29+'5.THPT'!AQ27+'4.TH-THCS'!AQ39+'6.THCS-THPT'!AQ35</f>
        <v>0</v>
      </c>
      <c r="AR74" s="42">
        <f>'2.TH'!AR31+'3.THCS'!AR29+'5.THPT'!AR27+'4.TH-THCS'!AR39+'6.THCS-THPT'!AR35</f>
        <v>0</v>
      </c>
      <c r="AS74" s="41">
        <f t="shared" si="239"/>
        <v>0</v>
      </c>
      <c r="AT74" s="42">
        <f>'2.TH'!AT31+'3.THCS'!AT29+'5.THPT'!AT27+'4.TH-THCS'!AT39+'6.THCS-THPT'!AT35+'7.GDTX'!AS22</f>
        <v>0</v>
      </c>
      <c r="AU74" s="42">
        <f>'2.TH'!AU31+'3.THCS'!AU29+'5.THPT'!AU27+'4.TH-THCS'!AU39+'6.THCS-THPT'!AU35</f>
        <v>0</v>
      </c>
      <c r="AV74" s="42">
        <f>'2.TH'!AV31+'3.THCS'!AV29+'5.THPT'!AV27+'4.TH-THCS'!AV39+'6.THCS-THPT'!AV35</f>
        <v>0</v>
      </c>
      <c r="AW74" s="41">
        <f t="shared" si="240"/>
        <v>0</v>
      </c>
      <c r="AX74" s="42">
        <f>'2.TH'!AX31+'3.THCS'!AX29+'5.THPT'!AX27+'4.TH-THCS'!AX39+'6.THCS-THPT'!AX35+'7.GDTX'!AW22</f>
        <v>0</v>
      </c>
      <c r="AY74" s="42">
        <f>'2.TH'!AY31+'3.THCS'!AY29+'5.THPT'!AY27+'4.TH-THCS'!AY39+'6.THCS-THPT'!AY35</f>
        <v>0</v>
      </c>
      <c r="AZ74" s="43">
        <f>'2.TH'!AZ31+'3.THCS'!AZ29+'5.THPT'!AZ27+'4.TH-THCS'!AZ39+'6.THCS-THPT'!AZ35</f>
        <v>0</v>
      </c>
      <c r="BA74" s="34"/>
    </row>
    <row r="75" ht="15.75" customHeight="1">
      <c r="A75" s="92"/>
      <c r="B75" s="93" t="s">
        <v>87</v>
      </c>
      <c r="C75" s="94"/>
      <c r="D75" s="87"/>
      <c r="E75" s="88">
        <f t="shared" ref="E75:AZ75" si="241">E54</f>
        <v>271345</v>
      </c>
      <c r="F75" s="88">
        <f t="shared" si="241"/>
        <v>265119</v>
      </c>
      <c r="G75" s="88">
        <f t="shared" si="241"/>
        <v>2125</v>
      </c>
      <c r="H75" s="88">
        <f t="shared" si="241"/>
        <v>4101</v>
      </c>
      <c r="I75" s="88">
        <f t="shared" si="241"/>
        <v>268788</v>
      </c>
      <c r="J75" s="88">
        <f t="shared" si="241"/>
        <v>262655</v>
      </c>
      <c r="K75" s="88">
        <f t="shared" si="241"/>
        <v>2127</v>
      </c>
      <c r="L75" s="88">
        <f t="shared" si="241"/>
        <v>4006</v>
      </c>
      <c r="M75" s="88">
        <f t="shared" si="241"/>
        <v>266061</v>
      </c>
      <c r="N75" s="88">
        <f t="shared" si="241"/>
        <v>259803</v>
      </c>
      <c r="O75" s="88">
        <f t="shared" si="241"/>
        <v>2126</v>
      </c>
      <c r="P75" s="88">
        <f t="shared" si="241"/>
        <v>4132</v>
      </c>
      <c r="Q75" s="88">
        <f t="shared" si="241"/>
        <v>265553</v>
      </c>
      <c r="R75" s="88">
        <f t="shared" si="241"/>
        <v>259095</v>
      </c>
      <c r="S75" s="88">
        <f t="shared" si="241"/>
        <v>2115</v>
      </c>
      <c r="T75" s="88">
        <f t="shared" si="241"/>
        <v>4343</v>
      </c>
      <c r="U75" s="88">
        <f t="shared" si="241"/>
        <v>260909.739</v>
      </c>
      <c r="V75" s="88">
        <f t="shared" si="241"/>
        <v>257121.062</v>
      </c>
      <c r="W75" s="88">
        <f t="shared" si="241"/>
        <v>2115</v>
      </c>
      <c r="X75" s="88">
        <f t="shared" si="241"/>
        <v>1673.677</v>
      </c>
      <c r="Y75" s="88">
        <f t="shared" si="241"/>
        <v>240874.567</v>
      </c>
      <c r="Z75" s="88">
        <f t="shared" si="241"/>
        <v>236999.837</v>
      </c>
      <c r="AA75" s="88">
        <f t="shared" si="241"/>
        <v>2101</v>
      </c>
      <c r="AB75" s="88">
        <f t="shared" si="241"/>
        <v>1773.73</v>
      </c>
      <c r="AC75" s="88">
        <f t="shared" si="241"/>
        <v>240663.474</v>
      </c>
      <c r="AD75" s="88">
        <f t="shared" si="241"/>
        <v>236769.796</v>
      </c>
      <c r="AE75" s="88">
        <f t="shared" si="241"/>
        <v>2101</v>
      </c>
      <c r="AF75" s="88">
        <f t="shared" si="241"/>
        <v>1792.678</v>
      </c>
      <c r="AG75" s="88">
        <f t="shared" si="241"/>
        <v>6045</v>
      </c>
      <c r="AH75" s="88">
        <f t="shared" si="241"/>
        <v>4980</v>
      </c>
      <c r="AI75" s="88">
        <f t="shared" si="241"/>
        <v>1065</v>
      </c>
      <c r="AJ75" s="88">
        <f t="shared" si="241"/>
        <v>0</v>
      </c>
      <c r="AK75" s="88">
        <f t="shared" si="241"/>
        <v>476</v>
      </c>
      <c r="AL75" s="88">
        <f t="shared" si="241"/>
        <v>476</v>
      </c>
      <c r="AM75" s="88">
        <f t="shared" si="241"/>
        <v>0</v>
      </c>
      <c r="AN75" s="88">
        <f t="shared" si="241"/>
        <v>0</v>
      </c>
      <c r="AO75" s="88">
        <f t="shared" si="241"/>
        <v>0</v>
      </c>
      <c r="AP75" s="88">
        <f t="shared" si="241"/>
        <v>0</v>
      </c>
      <c r="AQ75" s="88">
        <f t="shared" si="241"/>
        <v>0</v>
      </c>
      <c r="AR75" s="88">
        <f t="shared" si="241"/>
        <v>0</v>
      </c>
      <c r="AS75" s="88">
        <f t="shared" si="241"/>
        <v>0</v>
      </c>
      <c r="AT75" s="88">
        <f t="shared" si="241"/>
        <v>0</v>
      </c>
      <c r="AU75" s="88">
        <f t="shared" si="241"/>
        <v>0</v>
      </c>
      <c r="AV75" s="88">
        <f t="shared" si="241"/>
        <v>0</v>
      </c>
      <c r="AW75" s="88">
        <f t="shared" si="241"/>
        <v>0</v>
      </c>
      <c r="AX75" s="88">
        <f t="shared" si="241"/>
        <v>0</v>
      </c>
      <c r="AY75" s="88">
        <f t="shared" si="241"/>
        <v>0</v>
      </c>
      <c r="AZ75" s="95">
        <f t="shared" si="241"/>
        <v>0</v>
      </c>
      <c r="BA75" s="96"/>
    </row>
    <row r="76" ht="15.75" customHeight="1">
      <c r="A76" s="29"/>
      <c r="B76" s="67" t="s">
        <v>88</v>
      </c>
      <c r="C76" s="31"/>
      <c r="D76" s="31" t="s">
        <v>89</v>
      </c>
      <c r="E76" s="41">
        <f t="shared" ref="E76:E80" si="242">F76+G76+H76</f>
        <v>130590</v>
      </c>
      <c r="F76" s="42">
        <f>'1.MN'!F32+'2.TH'!F33+'3.THCS'!F31+'5.THPT'!F29+'4.TH-THCS'!F41+'6.THCS-THPT'!F37+'7.GDTX'!E24</f>
        <v>128146</v>
      </c>
      <c r="G76" s="42">
        <f>'1.MN'!G32+'2.TH'!G33+'3.THCS'!G31+'5.THPT'!G29+'4.TH-THCS'!G41+'6.THCS-THPT'!G37</f>
        <v>963</v>
      </c>
      <c r="H76" s="42">
        <f>'1.MN'!H32+'2.TH'!H33+'3.THCS'!H31+'5.THPT'!H29+'4.TH-THCS'!H41+'6.THCS-THPT'!H37</f>
        <v>1481</v>
      </c>
      <c r="I76" s="41">
        <f t="shared" ref="I76:I80" si="243">J76+K76+L76</f>
        <v>129130</v>
      </c>
      <c r="J76" s="42">
        <f>'1.MN'!J32+'2.TH'!J33+'3.THCS'!J31+'5.THPT'!J29+'4.TH-THCS'!J41+'6.THCS-THPT'!J37+'7.GDTX'!I24</f>
        <v>126561</v>
      </c>
      <c r="K76" s="42">
        <f>'1.MN'!K32+'2.TH'!K33+'3.THCS'!K31+'5.THPT'!K29+'4.TH-THCS'!K41+'6.THCS-THPT'!K37</f>
        <v>978</v>
      </c>
      <c r="L76" s="42">
        <f>'1.MN'!L32+'2.TH'!L33+'3.THCS'!L31+'5.THPT'!L29+'4.TH-THCS'!L41+'6.THCS-THPT'!L37</f>
        <v>1591</v>
      </c>
      <c r="M76" s="41">
        <f t="shared" ref="M76:M80" si="244">N76+O76+P76</f>
        <v>129282</v>
      </c>
      <c r="N76" s="42">
        <f>'1.MN'!N32+'2.TH'!N33+'3.THCS'!N31+'5.THPT'!N29+'4.TH-THCS'!N41+'6.THCS-THPT'!N37+'7.GDTX'!M24</f>
        <v>126716</v>
      </c>
      <c r="O76" s="42">
        <f>'1.MN'!O32+'2.TH'!O33+'3.THCS'!O31+'5.THPT'!O29+'4.TH-THCS'!O41+'6.THCS-THPT'!O37</f>
        <v>978</v>
      </c>
      <c r="P76" s="42">
        <f>'1.MN'!P32+'2.TH'!P33+'3.THCS'!P31+'5.THPT'!P29+'4.TH-THCS'!P41+'6.THCS-THPT'!P37</f>
        <v>1588</v>
      </c>
      <c r="Q76" s="41">
        <f t="shared" ref="Q76:Q80" si="245">R76+S76+T76</f>
        <v>129043</v>
      </c>
      <c r="R76" s="42">
        <f>'1.MN'!R32+'2.TH'!R33+'3.THCS'!R31+'5.THPT'!R29+'4.TH-THCS'!R41+'6.THCS-THPT'!R37+'7.GDTX'!Q24</f>
        <v>126397</v>
      </c>
      <c r="S76" s="42">
        <f>'1.MN'!S32+'2.TH'!S33+'3.THCS'!S31+'5.THPT'!S29+'4.TH-THCS'!S41+'6.THCS-THPT'!S37</f>
        <v>974</v>
      </c>
      <c r="T76" s="42">
        <f>'1.MN'!T32+'2.TH'!T33+'3.THCS'!T31+'5.THPT'!T29+'4.TH-THCS'!T41+'6.THCS-THPT'!T37</f>
        <v>1672</v>
      </c>
      <c r="U76" s="41">
        <f t="shared" ref="U76:U80" si="246">V76+W76+X76</f>
        <v>127119.222</v>
      </c>
      <c r="V76" s="42">
        <f>'1.MN'!V32+'2.TH'!V33+'3.THCS'!V31+'5.THPT'!V29+'4.TH-THCS'!V41+'6.THCS-THPT'!V37+'7.GDTX'!U24</f>
        <v>125695.007</v>
      </c>
      <c r="W76" s="42">
        <f>'1.MN'!W32+'2.TH'!W33+'3.THCS'!W31+'5.THPT'!W29+'4.TH-THCS'!W41+'6.THCS-THPT'!W37</f>
        <v>974</v>
      </c>
      <c r="X76" s="42">
        <f>'1.MN'!X32+'2.TH'!X33+'3.THCS'!X31+'5.THPT'!X29+'4.TH-THCS'!X41+'6.THCS-THPT'!X37</f>
        <v>450.215</v>
      </c>
      <c r="Y76" s="41">
        <f t="shared" ref="Y76:Y80" si="247">Z76+AA76+AB76</f>
        <v>119821.923</v>
      </c>
      <c r="Z76" s="42">
        <f>'1.MN'!Z32+'2.TH'!Z33+'3.THCS'!Z31+'5.THPT'!Z29+'4.TH-THCS'!Z41+'6.THCS-THPT'!Z37+'7.GDTX'!Y24</f>
        <v>114774.694</v>
      </c>
      <c r="AA76" s="42">
        <f>'1.MN'!AA32+'2.TH'!AA33+'3.THCS'!AA31+'5.THPT'!AA29+'4.TH-THCS'!AA41+'6.THCS-THPT'!AA37</f>
        <v>4572</v>
      </c>
      <c r="AB76" s="42">
        <f>'1.MN'!AB32+'2.TH'!AB33+'3.THCS'!AB31+'5.THPT'!AB29+'4.TH-THCS'!AB41+'6.THCS-THPT'!AB37</f>
        <v>475.229</v>
      </c>
      <c r="AC76" s="41">
        <f t="shared" ref="AC76:AC80" si="248">AD76+AE76+AF76</f>
        <v>116638.907</v>
      </c>
      <c r="AD76" s="42">
        <f>'1.MN'!AD32+'2.TH'!AD33+'3.THCS'!AD31+'5.THPT'!AD29+'4.TH-THCS'!AD41+'6.THCS-THPT'!AD37+'7.GDTX'!AC24</f>
        <v>115198.678</v>
      </c>
      <c r="AE76" s="42">
        <f>'1.MN'!AE32+'2.TH'!AE33+'3.THCS'!AE31+'5.THPT'!AE29+'4.TH-THCS'!AE41+'6.THCS-THPT'!AE37</f>
        <v>974</v>
      </c>
      <c r="AF76" s="42">
        <f>'1.MN'!AF32+'2.TH'!AF33+'3.THCS'!AF31+'5.THPT'!AF29+'4.TH-THCS'!AF41+'6.THCS-THPT'!AF37</f>
        <v>466.229</v>
      </c>
      <c r="AG76" s="41">
        <f t="shared" ref="AG76:AG80" si="249">AH76+AI76+AJ76</f>
        <v>2443</v>
      </c>
      <c r="AH76" s="42">
        <f>'1.MN'!AH32+'2.TH'!AH33+'3.THCS'!AH31+'5.THPT'!AH29+'4.TH-THCS'!AH41+'6.THCS-THPT'!AH37+'7.GDTX'!AG24</f>
        <v>2241</v>
      </c>
      <c r="AI76" s="42">
        <f>'1.MN'!AI32+'2.TH'!AI33+'3.THCS'!AI31+'5.THPT'!AI29+'4.TH-THCS'!AI41+'6.THCS-THPT'!AI37</f>
        <v>202</v>
      </c>
      <c r="AJ76" s="42">
        <f>'1.MN'!AJ32+'2.TH'!AJ33+'3.THCS'!AJ31+'5.THPT'!AJ29+'4.TH-THCS'!AJ41+'6.THCS-THPT'!AJ37</f>
        <v>0</v>
      </c>
      <c r="AK76" s="41">
        <f t="shared" ref="AK76:AK80" si="250">AL76+AM76+AN76</f>
        <v>0</v>
      </c>
      <c r="AL76" s="42">
        <f>'1.MN'!AL32+'2.TH'!AL33+'3.THCS'!AL31+'5.THPT'!AL29+'4.TH-THCS'!AL41+'6.THCS-THPT'!AL37+'7.GDTX'!AK24</f>
        <v>0</v>
      </c>
      <c r="AM76" s="42">
        <f>'1.MN'!AM32+'2.TH'!AM33+'3.THCS'!AM31+'5.THPT'!AM29+'4.TH-THCS'!AM41+'6.THCS-THPT'!AM37</f>
        <v>0</v>
      </c>
      <c r="AN76" s="42">
        <f>'1.MN'!AN32+'2.TH'!AN33+'3.THCS'!AN31+'5.THPT'!AN29+'4.TH-THCS'!AN41+'6.THCS-THPT'!AN37</f>
        <v>0</v>
      </c>
      <c r="AO76" s="41">
        <f t="shared" ref="AO76:AO80" si="251">AP76+AQ76+AR76</f>
        <v>0</v>
      </c>
      <c r="AP76" s="42">
        <f>'1.MN'!AP32+'2.TH'!AP33+'3.THCS'!AP31+'5.THPT'!AP29+'4.TH-THCS'!AP41+'6.THCS-THPT'!AP37+'7.GDTX'!AO24</f>
        <v>0</v>
      </c>
      <c r="AQ76" s="42">
        <f>'1.MN'!AQ32+'2.TH'!AQ33+'3.THCS'!AQ31+'5.THPT'!AQ29+'4.TH-THCS'!AQ41+'6.THCS-THPT'!AQ37</f>
        <v>0</v>
      </c>
      <c r="AR76" s="42">
        <f>'1.MN'!AR32+'2.TH'!AR33+'3.THCS'!AR31+'5.THPT'!AR29+'4.TH-THCS'!AR41+'6.THCS-THPT'!AR37</f>
        <v>0</v>
      </c>
      <c r="AS76" s="41">
        <f t="shared" ref="AS76:AS80" si="252">AT76+AU76+AV76</f>
        <v>0</v>
      </c>
      <c r="AT76" s="42">
        <f>'1.MN'!AT32+'2.TH'!AT33+'3.THCS'!AT31+'5.THPT'!AT29+'4.TH-THCS'!AT41+'6.THCS-THPT'!AT37+'7.GDTX'!AS24</f>
        <v>0</v>
      </c>
      <c r="AU76" s="42">
        <f>'1.MN'!AU32+'2.TH'!AU33+'3.THCS'!AU31+'5.THPT'!AU29+'4.TH-THCS'!AU41+'6.THCS-THPT'!AU37</f>
        <v>0</v>
      </c>
      <c r="AV76" s="42">
        <f>'1.MN'!AV32+'2.TH'!AV33+'3.THCS'!AV31+'5.THPT'!AV29+'4.TH-THCS'!AV41+'6.THCS-THPT'!AV37</f>
        <v>0</v>
      </c>
      <c r="AW76" s="41">
        <f t="shared" ref="AW76:AW80" si="253">AX76+AY76+AZ76</f>
        <v>0</v>
      </c>
      <c r="AX76" s="42">
        <f>'1.MN'!AX32+'2.TH'!AX33+'3.THCS'!AX31+'5.THPT'!AX29+'4.TH-THCS'!AX41+'6.THCS-THPT'!AX37+'7.GDTX'!AW24</f>
        <v>0</v>
      </c>
      <c r="AY76" s="42">
        <f>'1.MN'!AY32+'2.TH'!AY33+'3.THCS'!AY31+'5.THPT'!AY29+'4.TH-THCS'!AY41+'6.THCS-THPT'!AY37</f>
        <v>0</v>
      </c>
      <c r="AZ76" s="43">
        <f>'1.MN'!AZ32+'2.TH'!AZ33+'3.THCS'!AZ31+'5.THPT'!AZ29+'4.TH-THCS'!AZ41+'6.THCS-THPT'!AZ37</f>
        <v>0</v>
      </c>
      <c r="BA76" s="34"/>
    </row>
    <row r="77" ht="15.75" customHeight="1">
      <c r="A77" s="29"/>
      <c r="B77" s="67" t="s">
        <v>90</v>
      </c>
      <c r="C77" s="31"/>
      <c r="D77" s="31" t="s">
        <v>30</v>
      </c>
      <c r="E77" s="41">
        <f t="shared" si="242"/>
        <v>103564</v>
      </c>
      <c r="F77" s="42">
        <f>'1.MN'!F33+'2.TH'!F34+'3.THCS'!F32+'5.THPT'!F30+'4.TH-THCS'!F42+'6.THCS-THPT'!F38+'7.GDTX'!E25</f>
        <v>101466</v>
      </c>
      <c r="G77" s="42">
        <f>'1.MN'!G33+'2.TH'!G34+'3.THCS'!G32+'5.THPT'!G30+'4.TH-THCS'!G42+'6.THCS-THPT'!G38</f>
        <v>1413</v>
      </c>
      <c r="H77" s="42">
        <f>'1.MN'!H33+'2.TH'!H34+'3.THCS'!H32+'5.THPT'!H30+'4.TH-THCS'!H42+'6.THCS-THPT'!H38</f>
        <v>685</v>
      </c>
      <c r="I77" s="41">
        <f t="shared" si="243"/>
        <v>101629</v>
      </c>
      <c r="J77" s="42">
        <f>'1.MN'!J33+'2.TH'!J34+'3.THCS'!J32+'5.THPT'!J30+'4.TH-THCS'!J42+'6.THCS-THPT'!J38+'7.GDTX'!I25</f>
        <v>99474</v>
      </c>
      <c r="K77" s="42">
        <f>'1.MN'!K33+'2.TH'!K34+'3.THCS'!K32+'5.THPT'!K30+'4.TH-THCS'!K42+'6.THCS-THPT'!K38</f>
        <v>1422</v>
      </c>
      <c r="L77" s="42">
        <f>'1.MN'!L33+'2.TH'!L34+'3.THCS'!L32+'5.THPT'!L30+'4.TH-THCS'!L42+'6.THCS-THPT'!L38</f>
        <v>733</v>
      </c>
      <c r="M77" s="41">
        <f t="shared" si="244"/>
        <v>102079</v>
      </c>
      <c r="N77" s="42">
        <f>'1.MN'!N33+'2.TH'!N34+'3.THCS'!N32+'5.THPT'!N30+'4.TH-THCS'!N42+'6.THCS-THPT'!N38+'7.GDTX'!M25</f>
        <v>99901</v>
      </c>
      <c r="O77" s="42">
        <f>'1.MN'!O33+'2.TH'!O34+'3.THCS'!O32+'5.THPT'!O30+'4.TH-THCS'!O42+'6.THCS-THPT'!O38</f>
        <v>1423</v>
      </c>
      <c r="P77" s="42">
        <f>'1.MN'!P33+'2.TH'!P34+'3.THCS'!P32+'5.THPT'!P30+'4.TH-THCS'!P42+'6.THCS-THPT'!P38</f>
        <v>755</v>
      </c>
      <c r="Q77" s="41">
        <f t="shared" si="245"/>
        <v>101725</v>
      </c>
      <c r="R77" s="42">
        <f>'1.MN'!R33+'2.TH'!R34+'3.THCS'!R32+'5.THPT'!R30+'4.TH-THCS'!R42+'6.THCS-THPT'!R38+'7.GDTX'!Q25</f>
        <v>99204</v>
      </c>
      <c r="S77" s="42">
        <f>'1.MN'!S33+'2.TH'!S34+'3.THCS'!S32+'5.THPT'!S30+'4.TH-THCS'!S42+'6.THCS-THPT'!S38</f>
        <v>1419</v>
      </c>
      <c r="T77" s="42">
        <f>'1.MN'!T33+'2.TH'!T34+'3.THCS'!T32+'5.THPT'!T30+'4.TH-THCS'!T42+'6.THCS-THPT'!T38</f>
        <v>1102</v>
      </c>
      <c r="U77" s="41">
        <f t="shared" si="246"/>
        <v>100502</v>
      </c>
      <c r="V77" s="42">
        <f>'1.MN'!V33+'2.TH'!V34+'3.THCS'!V32+'5.THPT'!V30+'4.TH-THCS'!V42+'6.THCS-THPT'!V38+'7.GDTX'!U25</f>
        <v>98317</v>
      </c>
      <c r="W77" s="42">
        <f>'1.MN'!W33+'2.TH'!W34+'3.THCS'!W32+'5.THPT'!W30+'4.TH-THCS'!W42+'6.THCS-THPT'!W38</f>
        <v>1419</v>
      </c>
      <c r="X77" s="42">
        <f>'1.MN'!X33+'2.TH'!X34+'3.THCS'!X32+'5.THPT'!X30+'4.TH-THCS'!X42+'6.THCS-THPT'!X38</f>
        <v>766</v>
      </c>
      <c r="Y77" s="41">
        <f t="shared" si="247"/>
        <v>97043.183</v>
      </c>
      <c r="Z77" s="42">
        <f>'1.MN'!Z33+'2.TH'!Z34+'3.THCS'!Z32+'5.THPT'!Z30+'4.TH-THCS'!Z42+'6.THCS-THPT'!Z38+'7.GDTX'!Y25</f>
        <v>90843.183</v>
      </c>
      <c r="AA77" s="42">
        <f>'1.MN'!AA33+'2.TH'!AA34+'3.THCS'!AA32+'5.THPT'!AA30+'4.TH-THCS'!AA42+'6.THCS-THPT'!AA38</f>
        <v>5434</v>
      </c>
      <c r="AB77" s="42">
        <f>'1.MN'!AB33+'2.TH'!AB34+'3.THCS'!AB32+'5.THPT'!AB30+'4.TH-THCS'!AB42+'6.THCS-THPT'!AB38</f>
        <v>766</v>
      </c>
      <c r="AC77" s="41">
        <f t="shared" si="248"/>
        <v>91990.167</v>
      </c>
      <c r="AD77" s="42">
        <f>'1.MN'!AD33+'2.TH'!AD34+'3.THCS'!AD32+'5.THPT'!AD30+'4.TH-THCS'!AD42+'6.THCS-THPT'!AD38+'7.GDTX'!AC25</f>
        <v>89794.167</v>
      </c>
      <c r="AE77" s="42">
        <f>'1.MN'!AE33+'2.TH'!AE34+'3.THCS'!AE32+'5.THPT'!AE30+'4.TH-THCS'!AE42+'6.THCS-THPT'!AE38</f>
        <v>1418</v>
      </c>
      <c r="AF77" s="42">
        <f>'1.MN'!AF33+'2.TH'!AF34+'3.THCS'!AF32+'5.THPT'!AF30+'4.TH-THCS'!AF42+'6.THCS-THPT'!AF38</f>
        <v>778</v>
      </c>
      <c r="AG77" s="41">
        <f t="shared" si="249"/>
        <v>1373</v>
      </c>
      <c r="AH77" s="42">
        <f>'1.MN'!AH33+'2.TH'!AH34+'3.THCS'!AH32+'5.THPT'!AH30+'4.TH-THCS'!AH42+'6.THCS-THPT'!AH38+'7.GDTX'!AG25</f>
        <v>1003</v>
      </c>
      <c r="AI77" s="42">
        <f>'1.MN'!AI33+'2.TH'!AI34+'3.THCS'!AI32+'5.THPT'!AI30+'4.TH-THCS'!AI42+'6.THCS-THPT'!AI38</f>
        <v>370</v>
      </c>
      <c r="AJ77" s="42">
        <f>'1.MN'!AJ33+'2.TH'!AJ34+'3.THCS'!AJ32+'5.THPT'!AJ30+'4.TH-THCS'!AJ42+'6.THCS-THPT'!AJ38</f>
        <v>0</v>
      </c>
      <c r="AK77" s="41">
        <f t="shared" si="250"/>
        <v>0</v>
      </c>
      <c r="AL77" s="42">
        <f>'1.MN'!AL33+'2.TH'!AL34+'3.THCS'!AL32+'5.THPT'!AL30+'4.TH-THCS'!AL42+'6.THCS-THPT'!AL38+'7.GDTX'!AK25</f>
        <v>0</v>
      </c>
      <c r="AM77" s="42">
        <f>'1.MN'!AM33+'2.TH'!AM34+'3.THCS'!AM32+'5.THPT'!AM30+'4.TH-THCS'!AM42+'6.THCS-THPT'!AM38</f>
        <v>0</v>
      </c>
      <c r="AN77" s="42">
        <f>'1.MN'!AN33+'2.TH'!AN34+'3.THCS'!AN32+'5.THPT'!AN30+'4.TH-THCS'!AN42+'6.THCS-THPT'!AN38</f>
        <v>0</v>
      </c>
      <c r="AO77" s="41">
        <f t="shared" si="251"/>
        <v>0</v>
      </c>
      <c r="AP77" s="42">
        <f>'1.MN'!AP33+'2.TH'!AP34+'3.THCS'!AP32+'5.THPT'!AP30+'4.TH-THCS'!AP42+'6.THCS-THPT'!AP38+'7.GDTX'!AO25</f>
        <v>0</v>
      </c>
      <c r="AQ77" s="42">
        <f>'1.MN'!AQ33+'2.TH'!AQ34+'3.THCS'!AQ32+'5.THPT'!AQ30+'4.TH-THCS'!AQ42+'6.THCS-THPT'!AQ38</f>
        <v>0</v>
      </c>
      <c r="AR77" s="42">
        <f>'1.MN'!AR33+'2.TH'!AR34+'3.THCS'!AR32+'5.THPT'!AR30+'4.TH-THCS'!AR42+'6.THCS-THPT'!AR38</f>
        <v>0</v>
      </c>
      <c r="AS77" s="41">
        <f t="shared" si="252"/>
        <v>0</v>
      </c>
      <c r="AT77" s="42">
        <f>'1.MN'!AT33+'2.TH'!AT34+'3.THCS'!AT32+'5.THPT'!AT30+'4.TH-THCS'!AT42+'6.THCS-THPT'!AT38+'7.GDTX'!AS25</f>
        <v>0</v>
      </c>
      <c r="AU77" s="42">
        <f>'1.MN'!AU33+'2.TH'!AU34+'3.THCS'!AU32+'5.THPT'!AU30+'4.TH-THCS'!AU42+'6.THCS-THPT'!AU38</f>
        <v>0</v>
      </c>
      <c r="AV77" s="42">
        <f>'1.MN'!AV33+'2.TH'!AV34+'3.THCS'!AV32+'5.THPT'!AV30+'4.TH-THCS'!AV42+'6.THCS-THPT'!AV38</f>
        <v>0</v>
      </c>
      <c r="AW77" s="41">
        <f t="shared" si="253"/>
        <v>0</v>
      </c>
      <c r="AX77" s="42">
        <f>'1.MN'!AX33+'2.TH'!AX34+'3.THCS'!AX32+'5.THPT'!AX30+'4.TH-THCS'!AX42+'6.THCS-THPT'!AX38+'7.GDTX'!AW25</f>
        <v>0</v>
      </c>
      <c r="AY77" s="42">
        <f>'1.MN'!AY33+'2.TH'!AY34+'3.THCS'!AY32+'5.THPT'!AY30+'4.TH-THCS'!AY42+'6.THCS-THPT'!AY38</f>
        <v>0</v>
      </c>
      <c r="AZ77" s="43">
        <f>'1.MN'!AZ33+'2.TH'!AZ34+'3.THCS'!AZ32+'5.THPT'!AZ30+'4.TH-THCS'!AZ42+'6.THCS-THPT'!AZ38</f>
        <v>0</v>
      </c>
      <c r="BA77" s="34"/>
    </row>
    <row r="78" ht="15.75" customHeight="1">
      <c r="A78" s="29"/>
      <c r="B78" s="67" t="s">
        <v>91</v>
      </c>
      <c r="C78" s="31"/>
      <c r="D78" s="31" t="s">
        <v>30</v>
      </c>
      <c r="E78" s="41">
        <f t="shared" si="242"/>
        <v>51317</v>
      </c>
      <c r="F78" s="42">
        <f>'1.MN'!F34+'2.TH'!F35+'3.THCS'!F33+'5.THPT'!F31+'4.TH-THCS'!F43+'6.THCS-THPT'!F39+'7.GDTX'!E26</f>
        <v>50344</v>
      </c>
      <c r="G78" s="42">
        <f>'1.MN'!G34+'2.TH'!G35+'3.THCS'!G33+'5.THPT'!G31+'4.TH-THCS'!G43+'6.THCS-THPT'!G39</f>
        <v>644</v>
      </c>
      <c r="H78" s="42">
        <f>'1.MN'!H34+'2.TH'!H35+'3.THCS'!H33+'5.THPT'!H31+'4.TH-THCS'!H43+'6.THCS-THPT'!H39</f>
        <v>329</v>
      </c>
      <c r="I78" s="41">
        <f t="shared" si="243"/>
        <v>50347</v>
      </c>
      <c r="J78" s="42">
        <f>'1.MN'!J34+'2.TH'!J35+'3.THCS'!J33+'5.THPT'!J31+'4.TH-THCS'!J43+'6.THCS-THPT'!J39+'7.GDTX'!I26</f>
        <v>49349</v>
      </c>
      <c r="K78" s="42">
        <f>'1.MN'!K34+'2.TH'!K35+'3.THCS'!K33+'5.THPT'!K31+'4.TH-THCS'!K43+'6.THCS-THPT'!K39</f>
        <v>646</v>
      </c>
      <c r="L78" s="42">
        <f>'1.MN'!L34+'2.TH'!L35+'3.THCS'!L33+'5.THPT'!L31+'4.TH-THCS'!L43+'6.THCS-THPT'!L39</f>
        <v>352</v>
      </c>
      <c r="M78" s="41">
        <f t="shared" si="244"/>
        <v>50786</v>
      </c>
      <c r="N78" s="42">
        <f>'1.MN'!N34+'2.TH'!N35+'3.THCS'!N33+'5.THPT'!N31+'4.TH-THCS'!N43+'6.THCS-THPT'!N39+'7.GDTX'!M26</f>
        <v>49792</v>
      </c>
      <c r="O78" s="42">
        <f>'1.MN'!O34+'2.TH'!O35+'3.THCS'!O33+'5.THPT'!O31+'4.TH-THCS'!O43+'6.THCS-THPT'!O39</f>
        <v>647</v>
      </c>
      <c r="P78" s="42">
        <f>'1.MN'!P34+'2.TH'!P35+'3.THCS'!P33+'5.THPT'!P31+'4.TH-THCS'!P43+'6.THCS-THPT'!P39</f>
        <v>347</v>
      </c>
      <c r="Q78" s="41">
        <f t="shared" si="245"/>
        <v>50648</v>
      </c>
      <c r="R78" s="42">
        <f>'1.MN'!R34+'2.TH'!R35+'3.THCS'!R33+'5.THPT'!R31+'4.TH-THCS'!R43+'6.THCS-THPT'!R39+'7.GDTX'!Q26</f>
        <v>49468</v>
      </c>
      <c r="S78" s="42">
        <f>'1.MN'!S34+'2.TH'!S35+'3.THCS'!S33+'5.THPT'!S31+'4.TH-THCS'!S43+'6.THCS-THPT'!S39</f>
        <v>646</v>
      </c>
      <c r="T78" s="42">
        <f>'1.MN'!T34+'2.TH'!T35+'3.THCS'!T33+'5.THPT'!T31+'4.TH-THCS'!T43+'6.THCS-THPT'!T39</f>
        <v>534</v>
      </c>
      <c r="U78" s="41">
        <f t="shared" si="246"/>
        <v>49987</v>
      </c>
      <c r="V78" s="42">
        <f>'1.MN'!V34+'2.TH'!V35+'3.THCS'!V33+'5.THPT'!V31+'4.TH-THCS'!V43+'6.THCS-THPT'!V39+'7.GDTX'!U26</f>
        <v>48980</v>
      </c>
      <c r="W78" s="42">
        <f>'1.MN'!W34+'2.TH'!W35+'3.THCS'!W33+'5.THPT'!W31+'4.TH-THCS'!W43+'6.THCS-THPT'!W39</f>
        <v>646</v>
      </c>
      <c r="X78" s="42">
        <f>'1.MN'!X34+'2.TH'!X35+'3.THCS'!X33+'5.THPT'!X31+'4.TH-THCS'!X43+'6.THCS-THPT'!X39</f>
        <v>361</v>
      </c>
      <c r="Y78" s="41">
        <f t="shared" si="247"/>
        <v>48561.576</v>
      </c>
      <c r="Z78" s="42">
        <f>'1.MN'!Z34+'2.TH'!Z35+'3.THCS'!Z33+'5.THPT'!Z31+'4.TH-THCS'!Z43+'6.THCS-THPT'!Z39+'7.GDTX'!Y26</f>
        <v>44963.576</v>
      </c>
      <c r="AA78" s="42">
        <f>'1.MN'!AA34+'2.TH'!AA35+'3.THCS'!AA33+'5.THPT'!AA31+'4.TH-THCS'!AA43+'6.THCS-THPT'!AA39</f>
        <v>3225</v>
      </c>
      <c r="AB78" s="42">
        <f>'1.MN'!AB34+'2.TH'!AB35+'3.THCS'!AB33+'5.THPT'!AB31+'4.TH-THCS'!AB43+'6.THCS-THPT'!AB39</f>
        <v>373</v>
      </c>
      <c r="AC78" s="41">
        <f t="shared" si="248"/>
        <v>46126.568</v>
      </c>
      <c r="AD78" s="42">
        <f>'1.MN'!AD34+'2.TH'!AD35+'3.THCS'!AD33+'5.THPT'!AD31+'4.TH-THCS'!AD43+'6.THCS-THPT'!AD39+'7.GDTX'!AC26</f>
        <v>45104.568</v>
      </c>
      <c r="AE78" s="42">
        <f>'1.MN'!AE34+'2.TH'!AE35+'3.THCS'!AE33+'5.THPT'!AE31+'4.TH-THCS'!AE43+'6.THCS-THPT'!AE39</f>
        <v>646</v>
      </c>
      <c r="AF78" s="42">
        <f>'1.MN'!AF34+'2.TH'!AF35+'3.THCS'!AF33+'5.THPT'!AF31+'4.TH-THCS'!AF43+'6.THCS-THPT'!AF39</f>
        <v>376</v>
      </c>
      <c r="AG78" s="41">
        <f t="shared" si="249"/>
        <v>713</v>
      </c>
      <c r="AH78" s="42">
        <f>'1.MN'!AH34+'2.TH'!AH35+'3.THCS'!AH33+'5.THPT'!AH31+'4.TH-THCS'!AH43+'6.THCS-THPT'!AH39+'7.GDTX'!AG26</f>
        <v>545</v>
      </c>
      <c r="AI78" s="42">
        <f>'1.MN'!AI34+'2.TH'!AI35+'3.THCS'!AI33+'5.THPT'!AI31+'4.TH-THCS'!AI43+'6.THCS-THPT'!AI39</f>
        <v>168</v>
      </c>
      <c r="AJ78" s="42">
        <f>'1.MN'!AJ34+'2.TH'!AJ35+'3.THCS'!AJ33+'5.THPT'!AJ31+'4.TH-THCS'!AJ43+'6.THCS-THPT'!AJ39</f>
        <v>0</v>
      </c>
      <c r="AK78" s="41">
        <f t="shared" si="250"/>
        <v>0</v>
      </c>
      <c r="AL78" s="42">
        <f>'1.MN'!AL34+'2.TH'!AL35+'3.THCS'!AL33+'5.THPT'!AL31+'4.TH-THCS'!AL43+'6.THCS-THPT'!AL39+'7.GDTX'!AK26</f>
        <v>0</v>
      </c>
      <c r="AM78" s="42">
        <f>'1.MN'!AM34+'2.TH'!AM35+'3.THCS'!AM33+'5.THPT'!AM31+'4.TH-THCS'!AM43+'6.THCS-THPT'!AM39</f>
        <v>0</v>
      </c>
      <c r="AN78" s="42">
        <f>'1.MN'!AN34+'2.TH'!AN35+'3.THCS'!AN33+'5.THPT'!AN31+'4.TH-THCS'!AN43+'6.THCS-THPT'!AN39</f>
        <v>0</v>
      </c>
      <c r="AO78" s="41">
        <f t="shared" si="251"/>
        <v>0</v>
      </c>
      <c r="AP78" s="42">
        <f>'1.MN'!AP34+'2.TH'!AP35+'3.THCS'!AP33+'5.THPT'!AP31+'4.TH-THCS'!AP43+'6.THCS-THPT'!AP39+'7.GDTX'!AO26</f>
        <v>0</v>
      </c>
      <c r="AQ78" s="42">
        <f>'1.MN'!AQ34+'2.TH'!AQ35+'3.THCS'!AQ33+'5.THPT'!AQ31+'4.TH-THCS'!AQ43+'6.THCS-THPT'!AQ39</f>
        <v>0</v>
      </c>
      <c r="AR78" s="42">
        <f>'1.MN'!AR34+'2.TH'!AR35+'3.THCS'!AR33+'5.THPT'!AR31+'4.TH-THCS'!AR43+'6.THCS-THPT'!AR39</f>
        <v>0</v>
      </c>
      <c r="AS78" s="41">
        <f t="shared" si="252"/>
        <v>0</v>
      </c>
      <c r="AT78" s="42">
        <f>'1.MN'!AT34+'2.TH'!AT35+'3.THCS'!AT33+'5.THPT'!AT31+'4.TH-THCS'!AT43+'6.THCS-THPT'!AT39+'7.GDTX'!AS26</f>
        <v>0</v>
      </c>
      <c r="AU78" s="42">
        <f>'1.MN'!AU34+'2.TH'!AU35+'3.THCS'!AU33+'5.THPT'!AU31+'4.TH-THCS'!AU43+'6.THCS-THPT'!AU39</f>
        <v>0</v>
      </c>
      <c r="AV78" s="42">
        <f>'1.MN'!AV34+'2.TH'!AV35+'3.THCS'!AV33+'5.THPT'!AV31+'4.TH-THCS'!AV43+'6.THCS-THPT'!AV39</f>
        <v>0</v>
      </c>
      <c r="AW78" s="41">
        <f t="shared" si="253"/>
        <v>0</v>
      </c>
      <c r="AX78" s="42">
        <f>'1.MN'!AX34+'2.TH'!AX35+'3.THCS'!AX33+'5.THPT'!AX31+'4.TH-THCS'!AX43+'6.THCS-THPT'!AX39+'7.GDTX'!AW26</f>
        <v>0</v>
      </c>
      <c r="AY78" s="42">
        <f>'1.MN'!AY34+'2.TH'!AY35+'3.THCS'!AY33+'5.THPT'!AY31+'4.TH-THCS'!AY43+'6.THCS-THPT'!AY39</f>
        <v>0</v>
      </c>
      <c r="AZ78" s="43">
        <f>'1.MN'!AZ34+'2.TH'!AZ35+'3.THCS'!AZ33+'5.THPT'!AZ31+'4.TH-THCS'!AZ43+'6.THCS-THPT'!AZ39</f>
        <v>0</v>
      </c>
      <c r="BA78" s="34"/>
    </row>
    <row r="79" ht="15.75" customHeight="1">
      <c r="A79" s="29"/>
      <c r="B79" s="67" t="s">
        <v>92</v>
      </c>
      <c r="C79" s="31"/>
      <c r="D79" s="31" t="s">
        <v>30</v>
      </c>
      <c r="E79" s="41">
        <f t="shared" si="242"/>
        <v>1867</v>
      </c>
      <c r="F79" s="42">
        <f>'1.MN'!F35+'2.TH'!F36+'3.THCS'!F34+'5.THPT'!F32+'4.TH-THCS'!F44+'6.THCS-THPT'!F40+'7.GDTX'!E27</f>
        <v>1866</v>
      </c>
      <c r="G79" s="42">
        <f>'1.MN'!G35+'2.TH'!G36+'3.THCS'!G34+'5.THPT'!G32+'4.TH-THCS'!G44+'6.THCS-THPT'!G40</f>
        <v>0</v>
      </c>
      <c r="H79" s="42">
        <f>'1.MN'!H35+'2.TH'!H36+'3.THCS'!H34+'5.THPT'!H32+'4.TH-THCS'!H44+'6.THCS-THPT'!H40</f>
        <v>1</v>
      </c>
      <c r="I79" s="41">
        <f t="shared" si="243"/>
        <v>458</v>
      </c>
      <c r="J79" s="42">
        <f>'1.MN'!J35+'2.TH'!J36+'3.THCS'!J34+'5.THPT'!J32+'4.TH-THCS'!J44+'6.THCS-THPT'!J40+'7.GDTX'!I27</f>
        <v>457</v>
      </c>
      <c r="K79" s="42">
        <f>'1.MN'!K35+'2.TH'!K36+'3.THCS'!K34+'5.THPT'!K32+'4.TH-THCS'!K44+'6.THCS-THPT'!K40</f>
        <v>0</v>
      </c>
      <c r="L79" s="42">
        <f>'1.MN'!L35+'2.TH'!L36+'3.THCS'!L34+'5.THPT'!L32+'4.TH-THCS'!L44+'6.THCS-THPT'!L40</f>
        <v>1</v>
      </c>
      <c r="M79" s="41">
        <f t="shared" si="244"/>
        <v>655</v>
      </c>
      <c r="N79" s="42">
        <f>'1.MN'!N35+'2.TH'!N36+'3.THCS'!N34+'5.THPT'!N32+'4.TH-THCS'!N44+'6.THCS-THPT'!N40+'7.GDTX'!M27</f>
        <v>654</v>
      </c>
      <c r="O79" s="42">
        <f>'1.MN'!O35+'2.TH'!O36+'3.THCS'!O34+'5.THPT'!O32+'4.TH-THCS'!O44+'6.THCS-THPT'!O40</f>
        <v>0</v>
      </c>
      <c r="P79" s="42">
        <f>'1.MN'!P35+'2.TH'!P36+'3.THCS'!P34+'5.THPT'!P32+'4.TH-THCS'!P44+'6.THCS-THPT'!P40</f>
        <v>1</v>
      </c>
      <c r="Q79" s="41">
        <f t="shared" si="245"/>
        <v>434</v>
      </c>
      <c r="R79" s="42">
        <f>'1.MN'!R35+'2.TH'!R36+'3.THCS'!R34+'5.THPT'!R32+'4.TH-THCS'!R44+'6.THCS-THPT'!R40+'7.GDTX'!Q27</f>
        <v>433</v>
      </c>
      <c r="S79" s="42">
        <f>'1.MN'!S35+'2.TH'!S36+'3.THCS'!S34+'5.THPT'!S32+'4.TH-THCS'!S44+'6.THCS-THPT'!S40</f>
        <v>0</v>
      </c>
      <c r="T79" s="42">
        <f>'1.MN'!T35+'2.TH'!T36+'3.THCS'!T34+'5.THPT'!T32+'4.TH-THCS'!T44+'6.THCS-THPT'!T40</f>
        <v>1</v>
      </c>
      <c r="U79" s="41">
        <f t="shared" si="246"/>
        <v>416</v>
      </c>
      <c r="V79" s="42">
        <f>'1.MN'!V35+'2.TH'!V36+'3.THCS'!V34+'5.THPT'!V32+'4.TH-THCS'!V44+'6.THCS-THPT'!V40+'7.GDTX'!U27</f>
        <v>415</v>
      </c>
      <c r="W79" s="42">
        <f>'1.MN'!W35+'2.TH'!W36+'3.THCS'!W34+'5.THPT'!W32+'4.TH-THCS'!W44+'6.THCS-THPT'!W40</f>
        <v>0</v>
      </c>
      <c r="X79" s="42">
        <f>'1.MN'!X35+'2.TH'!X36+'3.THCS'!X34+'5.THPT'!X32+'4.TH-THCS'!X44+'6.THCS-THPT'!X40</f>
        <v>1</v>
      </c>
      <c r="Y79" s="41">
        <f t="shared" si="247"/>
        <v>421</v>
      </c>
      <c r="Z79" s="42">
        <f>'1.MN'!Z35+'2.TH'!Z36+'3.THCS'!Z34+'5.THPT'!Z32+'4.TH-THCS'!Z44+'6.THCS-THPT'!Z40+'7.GDTX'!Y27</f>
        <v>411</v>
      </c>
      <c r="AA79" s="42">
        <f>'1.MN'!AA35+'2.TH'!AA36+'3.THCS'!AA34+'5.THPT'!AA32+'4.TH-THCS'!AA44+'6.THCS-THPT'!AA40</f>
        <v>9</v>
      </c>
      <c r="AB79" s="42">
        <f>'1.MN'!AB35+'2.TH'!AB36+'3.THCS'!AB34+'5.THPT'!AB32+'4.TH-THCS'!AB44+'6.THCS-THPT'!AB40</f>
        <v>1</v>
      </c>
      <c r="AC79" s="41">
        <f t="shared" si="248"/>
        <v>416</v>
      </c>
      <c r="AD79" s="42">
        <f>'1.MN'!AD35+'2.TH'!AD36+'3.THCS'!AD34+'5.THPT'!AD32+'4.TH-THCS'!AD44+'6.THCS-THPT'!AD40+'7.GDTX'!AC27</f>
        <v>415</v>
      </c>
      <c r="AE79" s="42">
        <f>'1.MN'!AE35+'2.TH'!AE36+'3.THCS'!AE34+'5.THPT'!AE32+'4.TH-THCS'!AE44+'6.THCS-THPT'!AE40</f>
        <v>0</v>
      </c>
      <c r="AF79" s="42">
        <f>'1.MN'!AF35+'2.TH'!AF36+'3.THCS'!AF34+'5.THPT'!AF32+'4.TH-THCS'!AF44+'6.THCS-THPT'!AF40</f>
        <v>1</v>
      </c>
      <c r="AG79" s="41">
        <f t="shared" si="249"/>
        <v>1</v>
      </c>
      <c r="AH79" s="42">
        <f>'1.MN'!AH35+'2.TH'!AH36+'3.THCS'!AH34+'5.THPT'!AH32+'4.TH-THCS'!AH44+'6.THCS-THPT'!AH40+'7.GDTX'!AG27</f>
        <v>1</v>
      </c>
      <c r="AI79" s="42">
        <f>'1.MN'!AI35+'2.TH'!AI36+'3.THCS'!AI34+'5.THPT'!AI32+'4.TH-THCS'!AI44+'6.THCS-THPT'!AI40</f>
        <v>0</v>
      </c>
      <c r="AJ79" s="42">
        <f>'1.MN'!AJ35+'2.TH'!AJ36+'3.THCS'!AJ34+'5.THPT'!AJ32+'4.TH-THCS'!AJ44+'6.THCS-THPT'!AJ40</f>
        <v>0</v>
      </c>
      <c r="AK79" s="41">
        <f t="shared" si="250"/>
        <v>0</v>
      </c>
      <c r="AL79" s="42">
        <f>'1.MN'!AL35+'2.TH'!AL36+'3.THCS'!AL34+'5.THPT'!AL32+'4.TH-THCS'!AL44+'6.THCS-THPT'!AL40+'7.GDTX'!AK27</f>
        <v>0</v>
      </c>
      <c r="AM79" s="42">
        <f>'1.MN'!AM35+'2.TH'!AM36+'3.THCS'!AM34+'5.THPT'!AM32+'4.TH-THCS'!AM44+'6.THCS-THPT'!AM40</f>
        <v>0</v>
      </c>
      <c r="AN79" s="42">
        <f>'1.MN'!AN35+'2.TH'!AN36+'3.THCS'!AN34+'5.THPT'!AN32+'4.TH-THCS'!AN44+'6.THCS-THPT'!AN40</f>
        <v>0</v>
      </c>
      <c r="AO79" s="41">
        <f t="shared" si="251"/>
        <v>0</v>
      </c>
      <c r="AP79" s="42">
        <f>'1.MN'!AP35+'2.TH'!AP36+'3.THCS'!AP34+'5.THPT'!AP32+'4.TH-THCS'!AP44+'6.THCS-THPT'!AP40+'7.GDTX'!AO27</f>
        <v>0</v>
      </c>
      <c r="AQ79" s="42">
        <f>'1.MN'!AQ35+'2.TH'!AQ36+'3.THCS'!AQ34+'5.THPT'!AQ32+'4.TH-THCS'!AQ44+'6.THCS-THPT'!AQ40</f>
        <v>0</v>
      </c>
      <c r="AR79" s="42">
        <f>'1.MN'!AR35+'2.TH'!AR36+'3.THCS'!AR34+'5.THPT'!AR32+'4.TH-THCS'!AR44+'6.THCS-THPT'!AR40</f>
        <v>0</v>
      </c>
      <c r="AS79" s="41">
        <f t="shared" si="252"/>
        <v>0</v>
      </c>
      <c r="AT79" s="42">
        <f>'1.MN'!AT35+'2.TH'!AT36+'3.THCS'!AT34+'5.THPT'!AT32+'4.TH-THCS'!AT44+'6.THCS-THPT'!AT40+'7.GDTX'!AS27</f>
        <v>0</v>
      </c>
      <c r="AU79" s="42">
        <f>'1.MN'!AU35+'2.TH'!AU36+'3.THCS'!AU34+'5.THPT'!AU32+'4.TH-THCS'!AU44+'6.THCS-THPT'!AU40</f>
        <v>0</v>
      </c>
      <c r="AV79" s="42">
        <f>'1.MN'!AV35+'2.TH'!AV36+'3.THCS'!AV34+'5.THPT'!AV32+'4.TH-THCS'!AV44+'6.THCS-THPT'!AV40</f>
        <v>0</v>
      </c>
      <c r="AW79" s="41">
        <f t="shared" si="253"/>
        <v>0</v>
      </c>
      <c r="AX79" s="42">
        <f>'1.MN'!AX35+'2.TH'!AX36+'3.THCS'!AX34+'5.THPT'!AX32+'4.TH-THCS'!AX44+'6.THCS-THPT'!AX40+'7.GDTX'!AW27</f>
        <v>0</v>
      </c>
      <c r="AY79" s="42">
        <f>'1.MN'!AY35+'2.TH'!AY36+'3.THCS'!AY34+'5.THPT'!AY32+'4.TH-THCS'!AY44+'6.THCS-THPT'!AY40</f>
        <v>0</v>
      </c>
      <c r="AZ79" s="43">
        <f>'1.MN'!AZ35+'2.TH'!AZ36+'3.THCS'!AZ34+'5.THPT'!AZ32+'4.TH-THCS'!AZ44+'6.THCS-THPT'!AZ40</f>
        <v>0</v>
      </c>
      <c r="BA79" s="34"/>
    </row>
    <row r="80" ht="15.75" customHeight="1">
      <c r="A80" s="29"/>
      <c r="B80" s="67" t="s">
        <v>93</v>
      </c>
      <c r="C80" s="31"/>
      <c r="D80" s="31" t="s">
        <v>89</v>
      </c>
      <c r="E80" s="41">
        <f t="shared" si="242"/>
        <v>92295</v>
      </c>
      <c r="F80" s="42">
        <f>'2.TH'!F37+'4.TH-THCS'!F45</f>
        <v>90699</v>
      </c>
      <c r="G80" s="42">
        <f>'2.TH'!G37+'4.TH-THCS'!G45</f>
        <v>1402</v>
      </c>
      <c r="H80" s="42">
        <f>'2.TH'!H37+'4.TH-THCS'!H45</f>
        <v>194</v>
      </c>
      <c r="I80" s="41">
        <f t="shared" si="243"/>
        <v>86992</v>
      </c>
      <c r="J80" s="42">
        <f>'2.TH'!J37+'4.TH-THCS'!J45</f>
        <v>85396</v>
      </c>
      <c r="K80" s="42">
        <f>'2.TH'!K37+'4.TH-THCS'!K45</f>
        <v>1402</v>
      </c>
      <c r="L80" s="42">
        <f>'2.TH'!L37+'4.TH-THCS'!L45</f>
        <v>194</v>
      </c>
      <c r="M80" s="41">
        <f t="shared" si="244"/>
        <v>78325</v>
      </c>
      <c r="N80" s="42">
        <f>'2.TH'!N37+'4.TH-THCS'!N45</f>
        <v>76731</v>
      </c>
      <c r="O80" s="42">
        <f>'2.TH'!O37+'4.TH-THCS'!O45</f>
        <v>1402</v>
      </c>
      <c r="P80" s="42">
        <f>'2.TH'!P37+'4.TH-THCS'!P45</f>
        <v>192</v>
      </c>
      <c r="Q80" s="41">
        <f t="shared" si="245"/>
        <v>67034</v>
      </c>
      <c r="R80" s="42">
        <f>'2.TH'!R37+'4.TH-THCS'!R45</f>
        <v>66308</v>
      </c>
      <c r="S80" s="42">
        <f>'2.TH'!S37+'4.TH-THCS'!S45</f>
        <v>534</v>
      </c>
      <c r="T80" s="42">
        <f>'2.TH'!T37+'4.TH-THCS'!T45</f>
        <v>192</v>
      </c>
      <c r="U80" s="41">
        <f t="shared" si="246"/>
        <v>67029</v>
      </c>
      <c r="V80" s="42">
        <f>'2.TH'!V37+'4.TH-THCS'!V45</f>
        <v>66304</v>
      </c>
      <c r="W80" s="42">
        <f>'2.TH'!W37+'4.TH-THCS'!W45</f>
        <v>534</v>
      </c>
      <c r="X80" s="42">
        <f>'2.TH'!X37+'4.TH-THCS'!X45</f>
        <v>191</v>
      </c>
      <c r="Y80" s="41">
        <f t="shared" si="247"/>
        <v>58663.427</v>
      </c>
      <c r="Z80" s="42">
        <f>'2.TH'!Z37+'4.TH-THCS'!Z45</f>
        <v>57940.427</v>
      </c>
      <c r="AA80" s="42">
        <f>'2.TH'!AA37+'4.TH-THCS'!AA45</f>
        <v>534</v>
      </c>
      <c r="AB80" s="42">
        <f>'2.TH'!AB37+'4.TH-THCS'!AB45</f>
        <v>189</v>
      </c>
      <c r="AC80" s="41">
        <f t="shared" si="248"/>
        <v>57463.427</v>
      </c>
      <c r="AD80" s="42">
        <f>'2.TH'!AD37+'4.TH-THCS'!AD45</f>
        <v>57274.427</v>
      </c>
      <c r="AE80" s="42">
        <f>'2.TH'!AE37+'4.TH-THCS'!AE45</f>
        <v>0</v>
      </c>
      <c r="AF80" s="42">
        <f>'2.TH'!AF37+'4.TH-THCS'!AF45</f>
        <v>189</v>
      </c>
      <c r="AG80" s="41">
        <f t="shared" si="249"/>
        <v>0</v>
      </c>
      <c r="AH80" s="42">
        <f>'2.TH'!AH37+'4.TH-THCS'!AH45</f>
        <v>0</v>
      </c>
      <c r="AI80" s="42">
        <f>'2.TH'!AI37+'4.TH-THCS'!AI45</f>
        <v>0</v>
      </c>
      <c r="AJ80" s="42">
        <f>'2.TH'!AJ37+'4.TH-THCS'!AJ45</f>
        <v>0</v>
      </c>
      <c r="AK80" s="41">
        <f t="shared" si="250"/>
        <v>0</v>
      </c>
      <c r="AL80" s="42">
        <f>'2.TH'!AL37+'4.TH-THCS'!AL45</f>
        <v>0</v>
      </c>
      <c r="AM80" s="42">
        <f>'2.TH'!AM37+'4.TH-THCS'!AM45</f>
        <v>0</v>
      </c>
      <c r="AN80" s="42">
        <f>'2.TH'!AN37+'4.TH-THCS'!AN45</f>
        <v>0</v>
      </c>
      <c r="AO80" s="41">
        <f t="shared" si="251"/>
        <v>0</v>
      </c>
      <c r="AP80" s="42">
        <f>'2.TH'!AP37+'4.TH-THCS'!AP45</f>
        <v>0</v>
      </c>
      <c r="AQ80" s="42">
        <f>'2.TH'!AQ37+'4.TH-THCS'!AQ45</f>
        <v>0</v>
      </c>
      <c r="AR80" s="42">
        <f>'2.TH'!AR37+'4.TH-THCS'!AR45</f>
        <v>0</v>
      </c>
      <c r="AS80" s="41">
        <f t="shared" si="252"/>
        <v>0</v>
      </c>
      <c r="AT80" s="42">
        <f>'2.TH'!AT37+'4.TH-THCS'!AT45</f>
        <v>0</v>
      </c>
      <c r="AU80" s="42">
        <f>'2.TH'!AU37+'4.TH-THCS'!AU45</f>
        <v>0</v>
      </c>
      <c r="AV80" s="42">
        <f>'2.TH'!AV37+'4.TH-THCS'!AV45</f>
        <v>0</v>
      </c>
      <c r="AW80" s="41">
        <f t="shared" si="253"/>
        <v>0</v>
      </c>
      <c r="AX80" s="42">
        <f>'2.TH'!AX37+'4.TH-THCS'!AX45</f>
        <v>0</v>
      </c>
      <c r="AY80" s="42">
        <f>'2.TH'!AY37+'4.TH-THCS'!AY45</f>
        <v>0</v>
      </c>
      <c r="AZ80" s="43">
        <f>'2.TH'!AZ37+'4.TH-THCS'!AZ45</f>
        <v>0</v>
      </c>
      <c r="BA80" s="34"/>
    </row>
    <row r="81" ht="15.75" customHeight="1">
      <c r="A81" s="97"/>
      <c r="B81" s="56" t="s">
        <v>94</v>
      </c>
      <c r="C81" s="98"/>
      <c r="D81" s="99" t="s">
        <v>44</v>
      </c>
      <c r="E81" s="100">
        <f t="shared" ref="E81:AZ81" si="254">IFERROR(E80/E56*100,0)</f>
        <v>81.59323173</v>
      </c>
      <c r="F81" s="101">
        <f t="shared" si="254"/>
        <v>80.99499022</v>
      </c>
      <c r="G81" s="101">
        <f t="shared" si="254"/>
        <v>150.1070664</v>
      </c>
      <c r="H81" s="101">
        <f t="shared" si="254"/>
        <v>96.51741294</v>
      </c>
      <c r="I81" s="100">
        <f t="shared" si="254"/>
        <v>77.25549053</v>
      </c>
      <c r="J81" s="101">
        <f t="shared" si="254"/>
        <v>76.61032763</v>
      </c>
      <c r="K81" s="101">
        <f t="shared" si="254"/>
        <v>150.1070664</v>
      </c>
      <c r="L81" s="101">
        <f t="shared" si="254"/>
        <v>96.51741294</v>
      </c>
      <c r="M81" s="100">
        <f t="shared" si="254"/>
        <v>69.59129276</v>
      </c>
      <c r="N81" s="101">
        <f t="shared" si="254"/>
        <v>68.86830555</v>
      </c>
      <c r="O81" s="101">
        <f t="shared" si="254"/>
        <v>150.1070664</v>
      </c>
      <c r="P81" s="101">
        <f t="shared" si="254"/>
        <v>96.48241206</v>
      </c>
      <c r="Q81" s="100">
        <f t="shared" si="254"/>
        <v>59.71050639</v>
      </c>
      <c r="R81" s="101">
        <f t="shared" si="254"/>
        <v>59.66061435</v>
      </c>
      <c r="S81" s="101">
        <f t="shared" si="254"/>
        <v>57.79220779</v>
      </c>
      <c r="T81" s="101">
        <f t="shared" si="254"/>
        <v>96.48241206</v>
      </c>
      <c r="U81" s="100">
        <f t="shared" si="254"/>
        <v>59.76248005</v>
      </c>
      <c r="V81" s="101">
        <f t="shared" si="254"/>
        <v>59.71342886</v>
      </c>
      <c r="W81" s="101">
        <f t="shared" si="254"/>
        <v>57.79220779</v>
      </c>
      <c r="X81" s="101">
        <f t="shared" si="254"/>
        <v>96.46464646</v>
      </c>
      <c r="Y81" s="100">
        <f t="shared" si="254"/>
        <v>58.28664986</v>
      </c>
      <c r="Z81" s="101">
        <f t="shared" si="254"/>
        <v>58.21612635</v>
      </c>
      <c r="AA81" s="101">
        <f t="shared" si="254"/>
        <v>57.79220779</v>
      </c>
      <c r="AB81" s="101">
        <f t="shared" si="254"/>
        <v>96.42857143</v>
      </c>
      <c r="AC81" s="100">
        <f t="shared" si="254"/>
        <v>57.11421867</v>
      </c>
      <c r="AD81" s="101">
        <f t="shared" si="254"/>
        <v>57.5672017</v>
      </c>
      <c r="AE81" s="101">
        <f t="shared" si="254"/>
        <v>0</v>
      </c>
      <c r="AF81" s="101">
        <f t="shared" si="254"/>
        <v>96.42857143</v>
      </c>
      <c r="AG81" s="100">
        <f t="shared" si="254"/>
        <v>0</v>
      </c>
      <c r="AH81" s="101">
        <f t="shared" si="254"/>
        <v>0</v>
      </c>
      <c r="AI81" s="101">
        <f t="shared" si="254"/>
        <v>0</v>
      </c>
      <c r="AJ81" s="101">
        <f t="shared" si="254"/>
        <v>0</v>
      </c>
      <c r="AK81" s="100">
        <f t="shared" si="254"/>
        <v>0</v>
      </c>
      <c r="AL81" s="101">
        <f t="shared" si="254"/>
        <v>0</v>
      </c>
      <c r="AM81" s="101">
        <f t="shared" si="254"/>
        <v>0</v>
      </c>
      <c r="AN81" s="101">
        <f t="shared" si="254"/>
        <v>0</v>
      </c>
      <c r="AO81" s="100">
        <f t="shared" si="254"/>
        <v>0</v>
      </c>
      <c r="AP81" s="101">
        <f t="shared" si="254"/>
        <v>0</v>
      </c>
      <c r="AQ81" s="101">
        <f t="shared" si="254"/>
        <v>0</v>
      </c>
      <c r="AR81" s="101">
        <f t="shared" si="254"/>
        <v>0</v>
      </c>
      <c r="AS81" s="100">
        <f t="shared" si="254"/>
        <v>0</v>
      </c>
      <c r="AT81" s="101">
        <f t="shared" si="254"/>
        <v>0</v>
      </c>
      <c r="AU81" s="101">
        <f t="shared" si="254"/>
        <v>0</v>
      </c>
      <c r="AV81" s="101">
        <f t="shared" si="254"/>
        <v>0</v>
      </c>
      <c r="AW81" s="100">
        <f t="shared" si="254"/>
        <v>0</v>
      </c>
      <c r="AX81" s="101">
        <f t="shared" si="254"/>
        <v>0</v>
      </c>
      <c r="AY81" s="101">
        <f t="shared" si="254"/>
        <v>0</v>
      </c>
      <c r="AZ81" s="101">
        <f t="shared" si="254"/>
        <v>0</v>
      </c>
      <c r="BA81" s="102"/>
    </row>
    <row r="82" ht="15.75" customHeight="1">
      <c r="A82" s="29"/>
      <c r="B82" s="67" t="s">
        <v>95</v>
      </c>
      <c r="C82" s="31"/>
      <c r="D82" s="31" t="s">
        <v>89</v>
      </c>
      <c r="E82" s="41">
        <f>F82+G82+H82</f>
        <v>63248</v>
      </c>
      <c r="F82" s="42">
        <f>'3.THCS'!F35+'4.TH-THCS'!F46+'6.THCS-THPT'!F41</f>
        <v>62721</v>
      </c>
      <c r="G82" s="42">
        <f>'3.THCS'!G35+'4.TH-THCS'!G46+'6.THCS-THPT'!G41</f>
        <v>437</v>
      </c>
      <c r="H82" s="42">
        <f>'3.THCS'!H35+'4.TH-THCS'!H46+'6.THCS-THPT'!H41</f>
        <v>90</v>
      </c>
      <c r="I82" s="41">
        <f>J82+K82+L82</f>
        <v>71863</v>
      </c>
      <c r="J82" s="42">
        <f>'3.THCS'!J35+'4.TH-THCS'!J46+'6.THCS-THPT'!J41</f>
        <v>71336</v>
      </c>
      <c r="K82" s="42">
        <f>'3.THCS'!K35+'4.TH-THCS'!K46+'6.THCS-THPT'!K41</f>
        <v>437</v>
      </c>
      <c r="L82" s="42">
        <f>'3.THCS'!L35+'4.TH-THCS'!L46+'6.THCS-THPT'!L41</f>
        <v>90</v>
      </c>
      <c r="M82" s="41">
        <f>N82+O82+P82</f>
        <v>66538</v>
      </c>
      <c r="N82" s="42">
        <f>'3.THCS'!N35+'4.TH-THCS'!N46+'6.THCS-THPT'!N41</f>
        <v>66014</v>
      </c>
      <c r="O82" s="42">
        <f>'3.THCS'!O35+'4.TH-THCS'!O46+'6.THCS-THPT'!O41</f>
        <v>437</v>
      </c>
      <c r="P82" s="42">
        <f>'3.THCS'!P35+'4.TH-THCS'!P46+'6.THCS-THPT'!P41</f>
        <v>87</v>
      </c>
      <c r="Q82" s="41">
        <f>R82+S82+T82</f>
        <v>63895</v>
      </c>
      <c r="R82" s="42">
        <f>'3.THCS'!R35+'4.TH-THCS'!R46+'6.THCS-THPT'!R41</f>
        <v>63371</v>
      </c>
      <c r="S82" s="42">
        <f>'3.THCS'!S35+'4.TH-THCS'!S46+'6.THCS-THPT'!S41</f>
        <v>437</v>
      </c>
      <c r="T82" s="42">
        <f>'3.THCS'!T35+'4.TH-THCS'!T46+'6.THCS-THPT'!T41</f>
        <v>87</v>
      </c>
      <c r="U82" s="41">
        <f>V82+W82+X82</f>
        <v>62327</v>
      </c>
      <c r="V82" s="42">
        <f>'3.THCS'!V35+'4.TH-THCS'!V46+'6.THCS-THPT'!V41</f>
        <v>61804</v>
      </c>
      <c r="W82" s="42">
        <f>'3.THCS'!W35+'4.TH-THCS'!W46+'6.THCS-THPT'!W41</f>
        <v>437</v>
      </c>
      <c r="X82" s="42">
        <f>'3.THCS'!X35+'4.TH-THCS'!X46+'6.THCS-THPT'!X41</f>
        <v>86</v>
      </c>
      <c r="Y82" s="41">
        <f>Z82+AA82+AB82</f>
        <v>60753.945</v>
      </c>
      <c r="Z82" s="42">
        <f>'3.THCS'!Z35+'4.TH-THCS'!Z46+'6.THCS-THPT'!Z41</f>
        <v>55692.945</v>
      </c>
      <c r="AA82" s="42">
        <f>'3.THCS'!AA35+'4.TH-THCS'!AA46+'6.THCS-THPT'!AA41</f>
        <v>4976</v>
      </c>
      <c r="AB82" s="42">
        <f>'3.THCS'!AB35+'4.TH-THCS'!AB46+'6.THCS-THPT'!AB41</f>
        <v>85</v>
      </c>
      <c r="AC82" s="41">
        <f>AD82+AE82+AF82</f>
        <v>49703.919</v>
      </c>
      <c r="AD82" s="42">
        <f>'3.THCS'!AD35+'4.TH-THCS'!AD46+'6.THCS-THPT'!AD41</f>
        <v>49618.919</v>
      </c>
      <c r="AE82" s="42">
        <f>'3.THCS'!AE35+'4.TH-THCS'!AE46+'6.THCS-THPT'!AE41</f>
        <v>0</v>
      </c>
      <c r="AF82" s="42">
        <f>'3.THCS'!AF35+'4.TH-THCS'!AF46+'6.THCS-THPT'!AF41</f>
        <v>85</v>
      </c>
      <c r="AG82" s="41">
        <f>AH82+AI82+AJ82</f>
        <v>514</v>
      </c>
      <c r="AH82" s="42">
        <f>'3.THCS'!AH35+'4.TH-THCS'!AH46+'6.THCS-THPT'!AH41</f>
        <v>514</v>
      </c>
      <c r="AI82" s="42">
        <f>'3.THCS'!AI35+'4.TH-THCS'!AI46+'6.THCS-THPT'!AI41</f>
        <v>0</v>
      </c>
      <c r="AJ82" s="42">
        <f>'3.THCS'!AJ35+'4.TH-THCS'!AJ46+'6.THCS-THPT'!AJ41</f>
        <v>0</v>
      </c>
      <c r="AK82" s="41">
        <f>AL82+AM82+AN82</f>
        <v>0</v>
      </c>
      <c r="AL82" s="42">
        <f>'3.THCS'!AL35+'4.TH-THCS'!AL46+'6.THCS-THPT'!AL41</f>
        <v>0</v>
      </c>
      <c r="AM82" s="42">
        <f>'3.THCS'!AM35+'4.TH-THCS'!AM46+'6.THCS-THPT'!AM41</f>
        <v>0</v>
      </c>
      <c r="AN82" s="42">
        <f>'3.THCS'!AN35+'4.TH-THCS'!AN46+'6.THCS-THPT'!AN41</f>
        <v>0</v>
      </c>
      <c r="AO82" s="41">
        <f>AP82+AQ82+AR82</f>
        <v>0</v>
      </c>
      <c r="AP82" s="42">
        <f>'3.THCS'!AP35+'4.TH-THCS'!AP46+'6.THCS-THPT'!AP41</f>
        <v>0</v>
      </c>
      <c r="AQ82" s="42">
        <f>'3.THCS'!AQ35+'4.TH-THCS'!AQ46+'6.THCS-THPT'!AQ41</f>
        <v>0</v>
      </c>
      <c r="AR82" s="42">
        <f>'3.THCS'!AR35+'4.TH-THCS'!AR46+'6.THCS-THPT'!AR41</f>
        <v>0</v>
      </c>
      <c r="AS82" s="41">
        <f>AT82+AU82+AV82</f>
        <v>0</v>
      </c>
      <c r="AT82" s="42">
        <f>'3.THCS'!AT35+'4.TH-THCS'!AT46+'6.THCS-THPT'!AT41</f>
        <v>0</v>
      </c>
      <c r="AU82" s="42">
        <f>'3.THCS'!AU35+'4.TH-THCS'!AU46+'6.THCS-THPT'!AU41</f>
        <v>0</v>
      </c>
      <c r="AV82" s="42">
        <f>'3.THCS'!AV35+'4.TH-THCS'!AV46+'6.THCS-THPT'!AV41</f>
        <v>0</v>
      </c>
      <c r="AW82" s="41">
        <f>AX82+AY82+AZ82</f>
        <v>0</v>
      </c>
      <c r="AX82" s="42">
        <f>'3.THCS'!AX35+'4.TH-THCS'!AX46+'6.THCS-THPT'!AX41</f>
        <v>0</v>
      </c>
      <c r="AY82" s="42">
        <f>'3.THCS'!AY35+'4.TH-THCS'!AY46+'6.THCS-THPT'!AY41</f>
        <v>0</v>
      </c>
      <c r="AZ82" s="43">
        <f>'3.THCS'!AZ35+'4.TH-THCS'!AZ46+'6.THCS-THPT'!AZ41</f>
        <v>0</v>
      </c>
      <c r="BA82" s="34"/>
    </row>
    <row r="83" ht="15.75" customHeight="1">
      <c r="A83" s="97"/>
      <c r="B83" s="56" t="s">
        <v>96</v>
      </c>
      <c r="C83" s="98"/>
      <c r="D83" s="99" t="s">
        <v>44</v>
      </c>
      <c r="E83" s="100">
        <f t="shared" ref="E83:AZ83" si="255">IFERROR(E82/E57*100,0)</f>
        <v>80.07799147</v>
      </c>
      <c r="F83" s="101">
        <f t="shared" si="255"/>
        <v>80.0461994</v>
      </c>
      <c r="G83" s="101">
        <f t="shared" si="255"/>
        <v>100</v>
      </c>
      <c r="H83" s="101">
        <f t="shared" si="255"/>
        <v>47.36842105</v>
      </c>
      <c r="I83" s="100">
        <f t="shared" si="255"/>
        <v>92.50325022</v>
      </c>
      <c r="J83" s="101">
        <f t="shared" si="255"/>
        <v>92.44126527</v>
      </c>
      <c r="K83" s="101">
        <f t="shared" si="255"/>
        <v>100</v>
      </c>
      <c r="L83" s="101">
        <f t="shared" si="255"/>
        <v>111.1111111</v>
      </c>
      <c r="M83" s="100">
        <f t="shared" si="255"/>
        <v>86.79397876</v>
      </c>
      <c r="N83" s="101">
        <f t="shared" si="255"/>
        <v>86.69398261</v>
      </c>
      <c r="O83" s="101">
        <f t="shared" si="255"/>
        <v>100.2293578</v>
      </c>
      <c r="P83" s="101">
        <f t="shared" si="255"/>
        <v>108.75</v>
      </c>
      <c r="Q83" s="100">
        <f t="shared" si="255"/>
        <v>83.81430858</v>
      </c>
      <c r="R83" s="101">
        <f t="shared" si="255"/>
        <v>83.80412071</v>
      </c>
      <c r="S83" s="101">
        <f t="shared" si="255"/>
        <v>100.4597701</v>
      </c>
      <c r="T83" s="101">
        <f t="shared" si="255"/>
        <v>48.06629834</v>
      </c>
      <c r="U83" s="100">
        <f t="shared" si="255"/>
        <v>81.53182026</v>
      </c>
      <c r="V83" s="101">
        <f t="shared" si="255"/>
        <v>81.50336279</v>
      </c>
      <c r="W83" s="101">
        <f t="shared" si="255"/>
        <v>100.4597701</v>
      </c>
      <c r="X83" s="101">
        <f t="shared" si="255"/>
        <v>47.77777778</v>
      </c>
      <c r="Y83" s="100">
        <f t="shared" si="255"/>
        <v>89.78189913</v>
      </c>
      <c r="Z83" s="101">
        <f t="shared" si="255"/>
        <v>83.05640258</v>
      </c>
      <c r="AA83" s="101">
        <f t="shared" si="255"/>
        <v>1143.908046</v>
      </c>
      <c r="AB83" s="101">
        <f t="shared" si="255"/>
        <v>47.48603352</v>
      </c>
      <c r="AC83" s="100">
        <f t="shared" si="255"/>
        <v>73.65799564</v>
      </c>
      <c r="AD83" s="101">
        <f t="shared" si="255"/>
        <v>74.20835888</v>
      </c>
      <c r="AE83" s="101">
        <f t="shared" si="255"/>
        <v>0</v>
      </c>
      <c r="AF83" s="101">
        <f t="shared" si="255"/>
        <v>47.22222222</v>
      </c>
      <c r="AG83" s="100">
        <f t="shared" si="255"/>
        <v>32.57287706</v>
      </c>
      <c r="AH83" s="101">
        <f t="shared" si="255"/>
        <v>44.96937883</v>
      </c>
      <c r="AI83" s="101">
        <f t="shared" si="255"/>
        <v>0</v>
      </c>
      <c r="AJ83" s="101">
        <f t="shared" si="255"/>
        <v>0</v>
      </c>
      <c r="AK83" s="100">
        <f t="shared" si="255"/>
        <v>0</v>
      </c>
      <c r="AL83" s="101">
        <f t="shared" si="255"/>
        <v>0</v>
      </c>
      <c r="AM83" s="101">
        <f t="shared" si="255"/>
        <v>0</v>
      </c>
      <c r="AN83" s="101">
        <f t="shared" si="255"/>
        <v>0</v>
      </c>
      <c r="AO83" s="100">
        <f t="shared" si="255"/>
        <v>0</v>
      </c>
      <c r="AP83" s="101">
        <f t="shared" si="255"/>
        <v>0</v>
      </c>
      <c r="AQ83" s="101">
        <f t="shared" si="255"/>
        <v>0</v>
      </c>
      <c r="AR83" s="101">
        <f t="shared" si="255"/>
        <v>0</v>
      </c>
      <c r="AS83" s="100">
        <f t="shared" si="255"/>
        <v>0</v>
      </c>
      <c r="AT83" s="101">
        <f t="shared" si="255"/>
        <v>0</v>
      </c>
      <c r="AU83" s="101">
        <f t="shared" si="255"/>
        <v>0</v>
      </c>
      <c r="AV83" s="101">
        <f t="shared" si="255"/>
        <v>0</v>
      </c>
      <c r="AW83" s="100">
        <f t="shared" si="255"/>
        <v>0</v>
      </c>
      <c r="AX83" s="101">
        <f t="shared" si="255"/>
        <v>0</v>
      </c>
      <c r="AY83" s="101">
        <f t="shared" si="255"/>
        <v>0</v>
      </c>
      <c r="AZ83" s="101">
        <f t="shared" si="255"/>
        <v>0</v>
      </c>
      <c r="BA83" s="102"/>
    </row>
    <row r="84" ht="15.75" customHeight="1">
      <c r="A84" s="29"/>
      <c r="B84" s="67" t="s">
        <v>97</v>
      </c>
      <c r="C84" s="31"/>
      <c r="D84" s="31" t="s">
        <v>89</v>
      </c>
      <c r="E84" s="41">
        <f>F84+G84+H84</f>
        <v>27544</v>
      </c>
      <c r="F84" s="42">
        <f>'5.THPT'!F33+'6.THCS-THPT'!F42+'7.GDTX'!E28</f>
        <v>27544</v>
      </c>
      <c r="G84" s="42">
        <f>'5.THPT'!G33+'6.THCS-THPT'!G42</f>
        <v>0</v>
      </c>
      <c r="H84" s="42">
        <f>'5.THPT'!H33+'6.THCS-THPT'!H42</f>
        <v>0</v>
      </c>
      <c r="I84" s="41">
        <f>J84+K84+L84</f>
        <v>24901</v>
      </c>
      <c r="J84" s="42">
        <f>'5.THPT'!J33+'6.THCS-THPT'!J42+'7.GDTX'!I28</f>
        <v>24901</v>
      </c>
      <c r="K84" s="42">
        <f>'5.THPT'!K33+'6.THCS-THPT'!K42</f>
        <v>0</v>
      </c>
      <c r="L84" s="42">
        <f>'5.THPT'!L33+'6.THCS-THPT'!L42</f>
        <v>0</v>
      </c>
      <c r="M84" s="41">
        <f>N84+O84+P84</f>
        <v>22213</v>
      </c>
      <c r="N84" s="42">
        <f>'5.THPT'!N33+'6.THCS-THPT'!N42+'7.GDTX'!M28</f>
        <v>22213</v>
      </c>
      <c r="O84" s="42">
        <f>'5.THPT'!O33+'6.THCS-THPT'!O42</f>
        <v>0</v>
      </c>
      <c r="P84" s="42">
        <f>'5.THPT'!P33+'6.THCS-THPT'!P42</f>
        <v>0</v>
      </c>
      <c r="Q84" s="41">
        <f>R84+S84+T84</f>
        <v>20437</v>
      </c>
      <c r="R84" s="42">
        <f>'5.THPT'!R33+'6.THCS-THPT'!R42+'7.GDTX'!Q28</f>
        <v>20437</v>
      </c>
      <c r="S84" s="42">
        <f>'5.THPT'!S33+'6.THCS-THPT'!S42</f>
        <v>0</v>
      </c>
      <c r="T84" s="42">
        <f>'5.THPT'!T33+'6.THCS-THPT'!T42</f>
        <v>0</v>
      </c>
      <c r="U84" s="41">
        <f>V84+W84+X84</f>
        <v>20309</v>
      </c>
      <c r="V84" s="42">
        <f>'5.THPT'!V33+'6.THCS-THPT'!V42+'7.GDTX'!U28</f>
        <v>20309</v>
      </c>
      <c r="W84" s="42">
        <f>'5.THPT'!W33+'6.THCS-THPT'!W42</f>
        <v>0</v>
      </c>
      <c r="X84" s="42">
        <f>'5.THPT'!X33+'6.THCS-THPT'!X42</f>
        <v>0</v>
      </c>
      <c r="Y84" s="41">
        <f>Z84+AA84+AB84</f>
        <v>17329</v>
      </c>
      <c r="Z84" s="42">
        <f>'5.THPT'!Z33+'6.THCS-THPT'!Z42+'7.GDTX'!Y28</f>
        <v>17329</v>
      </c>
      <c r="AA84" s="42">
        <f>'5.THPT'!AA33+'6.THCS-THPT'!AA42</f>
        <v>0</v>
      </c>
      <c r="AB84" s="42">
        <f>'5.THPT'!AB33+'6.THCS-THPT'!AB42</f>
        <v>0</v>
      </c>
      <c r="AC84" s="41">
        <f>AD84+AE84+AF84</f>
        <v>19614</v>
      </c>
      <c r="AD84" s="42">
        <f>'5.THPT'!AD33+'6.THCS-THPT'!AD42+'7.GDTX'!AC28</f>
        <v>19614</v>
      </c>
      <c r="AE84" s="42">
        <f>'5.THPT'!AE33+'6.THCS-THPT'!AE42</f>
        <v>0</v>
      </c>
      <c r="AF84" s="42">
        <f>'5.THPT'!AF33+'6.THCS-THPT'!AF42</f>
        <v>0</v>
      </c>
      <c r="AG84" s="41">
        <f>AH84+AI84+AJ84</f>
        <v>1628</v>
      </c>
      <c r="AH84" s="42">
        <f>'5.THPT'!AH33+'6.THCS-THPT'!AH42+'7.GDTX'!AG28</f>
        <v>1628</v>
      </c>
      <c r="AI84" s="42">
        <f>'5.THPT'!AI33+'6.THCS-THPT'!AI42</f>
        <v>0</v>
      </c>
      <c r="AJ84" s="42">
        <f>'5.THPT'!AJ33+'6.THCS-THPT'!AJ42</f>
        <v>0</v>
      </c>
      <c r="AK84" s="41">
        <f>AL84+AM84+AN84</f>
        <v>0</v>
      </c>
      <c r="AL84" s="42">
        <f>'5.THPT'!AL33+'6.THCS-THPT'!AL42+'7.GDTX'!AK28</f>
        <v>0</v>
      </c>
      <c r="AM84" s="42">
        <f>'5.THPT'!AM33+'6.THCS-THPT'!AM42</f>
        <v>0</v>
      </c>
      <c r="AN84" s="42">
        <f>'5.THPT'!AN33+'6.THCS-THPT'!AN42</f>
        <v>0</v>
      </c>
      <c r="AO84" s="41">
        <f>AP84+AQ84+AR84</f>
        <v>0</v>
      </c>
      <c r="AP84" s="42">
        <f>'5.THPT'!AP33+'6.THCS-THPT'!AP42+'7.GDTX'!AO28</f>
        <v>0</v>
      </c>
      <c r="AQ84" s="42">
        <f>'5.THPT'!AQ33+'6.THCS-THPT'!AQ42</f>
        <v>0</v>
      </c>
      <c r="AR84" s="42">
        <f>'5.THPT'!AR33+'6.THCS-THPT'!AR42</f>
        <v>0</v>
      </c>
      <c r="AS84" s="41">
        <f>AT84+AU84+AV84</f>
        <v>0</v>
      </c>
      <c r="AT84" s="42">
        <f>'5.THPT'!AT33+'6.THCS-THPT'!AT42+'7.GDTX'!AS28</f>
        <v>0</v>
      </c>
      <c r="AU84" s="42">
        <f>'5.THPT'!AU33+'6.THCS-THPT'!AU42</f>
        <v>0</v>
      </c>
      <c r="AV84" s="42">
        <f>'5.THPT'!AV33+'6.THCS-THPT'!AV42</f>
        <v>0</v>
      </c>
      <c r="AW84" s="41">
        <f>AX84+AY84+AZ84</f>
        <v>0</v>
      </c>
      <c r="AX84" s="42">
        <f>'5.THPT'!AX33+'6.THCS-THPT'!AX42+'7.GDTX'!AW28</f>
        <v>0</v>
      </c>
      <c r="AY84" s="42">
        <f>'5.THPT'!AY33+'6.THCS-THPT'!AY42</f>
        <v>0</v>
      </c>
      <c r="AZ84" s="43">
        <f>'5.THPT'!AZ33+'6.THCS-THPT'!AZ42</f>
        <v>0</v>
      </c>
      <c r="BA84" s="34"/>
    </row>
    <row r="85" ht="15.75" customHeight="1">
      <c r="A85" s="103"/>
      <c r="B85" s="56" t="s">
        <v>98</v>
      </c>
      <c r="C85" s="104"/>
      <c r="D85" s="105" t="s">
        <v>44</v>
      </c>
      <c r="E85" s="100">
        <f t="shared" ref="E85:AZ85" si="256">IFERROR(E84/E58*100,0)</f>
        <v>79.52189855</v>
      </c>
      <c r="F85" s="106">
        <f t="shared" si="256"/>
        <v>79.70368656</v>
      </c>
      <c r="G85" s="106">
        <f t="shared" si="256"/>
        <v>0</v>
      </c>
      <c r="H85" s="106">
        <f t="shared" si="256"/>
        <v>0</v>
      </c>
      <c r="I85" s="100">
        <f t="shared" si="256"/>
        <v>74.5829215</v>
      </c>
      <c r="J85" s="106">
        <f t="shared" si="256"/>
        <v>74.5829215</v>
      </c>
      <c r="K85" s="106">
        <f t="shared" si="256"/>
        <v>0</v>
      </c>
      <c r="L85" s="106">
        <f t="shared" si="256"/>
        <v>0</v>
      </c>
      <c r="M85" s="100">
        <f t="shared" si="256"/>
        <v>70.66102558</v>
      </c>
      <c r="N85" s="106">
        <f t="shared" si="256"/>
        <v>70.66102558</v>
      </c>
      <c r="O85" s="106">
        <f t="shared" si="256"/>
        <v>0</v>
      </c>
      <c r="P85" s="106">
        <f t="shared" si="256"/>
        <v>0</v>
      </c>
      <c r="Q85" s="100">
        <f t="shared" si="256"/>
        <v>65.04041754</v>
      </c>
      <c r="R85" s="106">
        <f t="shared" si="256"/>
        <v>65.24806845</v>
      </c>
      <c r="S85" s="106">
        <f t="shared" si="256"/>
        <v>0</v>
      </c>
      <c r="T85" s="106">
        <f t="shared" si="256"/>
        <v>0</v>
      </c>
      <c r="U85" s="100">
        <f t="shared" si="256"/>
        <v>64.72369176</v>
      </c>
      <c r="V85" s="106">
        <f t="shared" si="256"/>
        <v>64.93062216</v>
      </c>
      <c r="W85" s="106">
        <f t="shared" si="256"/>
        <v>0</v>
      </c>
      <c r="X85" s="106">
        <f t="shared" si="256"/>
        <v>0</v>
      </c>
      <c r="Y85" s="100">
        <f t="shared" si="256"/>
        <v>55.36421725</v>
      </c>
      <c r="Z85" s="106">
        <f t="shared" si="256"/>
        <v>55.54344691</v>
      </c>
      <c r="AA85" s="106">
        <f t="shared" si="256"/>
        <v>0</v>
      </c>
      <c r="AB85" s="106">
        <f t="shared" si="256"/>
        <v>0</v>
      </c>
      <c r="AC85" s="100">
        <f t="shared" si="256"/>
        <v>62.78288147</v>
      </c>
      <c r="AD85" s="106">
        <f t="shared" si="256"/>
        <v>62.98651252</v>
      </c>
      <c r="AE85" s="106">
        <f t="shared" si="256"/>
        <v>0</v>
      </c>
      <c r="AF85" s="106">
        <f t="shared" si="256"/>
        <v>0</v>
      </c>
      <c r="AG85" s="100">
        <f t="shared" si="256"/>
        <v>52.21295702</v>
      </c>
      <c r="AH85" s="106">
        <f t="shared" si="256"/>
        <v>52.21295702</v>
      </c>
      <c r="AI85" s="106">
        <f t="shared" si="256"/>
        <v>0</v>
      </c>
      <c r="AJ85" s="106">
        <f t="shared" si="256"/>
        <v>0</v>
      </c>
      <c r="AK85" s="100">
        <f t="shared" si="256"/>
        <v>0</v>
      </c>
      <c r="AL85" s="106">
        <f t="shared" si="256"/>
        <v>0</v>
      </c>
      <c r="AM85" s="106">
        <f t="shared" si="256"/>
        <v>0</v>
      </c>
      <c r="AN85" s="106">
        <f t="shared" si="256"/>
        <v>0</v>
      </c>
      <c r="AO85" s="100">
        <f t="shared" si="256"/>
        <v>0</v>
      </c>
      <c r="AP85" s="106">
        <f t="shared" si="256"/>
        <v>0</v>
      </c>
      <c r="AQ85" s="106">
        <f t="shared" si="256"/>
        <v>0</v>
      </c>
      <c r="AR85" s="106">
        <f t="shared" si="256"/>
        <v>0</v>
      </c>
      <c r="AS85" s="100">
        <f t="shared" si="256"/>
        <v>0</v>
      </c>
      <c r="AT85" s="106">
        <f t="shared" si="256"/>
        <v>0</v>
      </c>
      <c r="AU85" s="106">
        <f t="shared" si="256"/>
        <v>0</v>
      </c>
      <c r="AV85" s="106">
        <f t="shared" si="256"/>
        <v>0</v>
      </c>
      <c r="AW85" s="100">
        <f t="shared" si="256"/>
        <v>0</v>
      </c>
      <c r="AX85" s="106">
        <f t="shared" si="256"/>
        <v>0</v>
      </c>
      <c r="AY85" s="106">
        <f t="shared" si="256"/>
        <v>0</v>
      </c>
      <c r="AZ85" s="106">
        <f t="shared" si="256"/>
        <v>0</v>
      </c>
      <c r="BA85" s="107"/>
    </row>
    <row r="86" ht="15.75" customHeight="1">
      <c r="A86" s="108"/>
      <c r="B86" s="109" t="s">
        <v>99</v>
      </c>
      <c r="C86" s="110" t="s">
        <v>26</v>
      </c>
      <c r="D86" s="110"/>
      <c r="E86" s="111"/>
      <c r="F86" s="112"/>
      <c r="G86" s="112"/>
      <c r="H86" s="112"/>
      <c r="I86" s="111"/>
      <c r="J86" s="112"/>
      <c r="K86" s="112"/>
      <c r="L86" s="112"/>
      <c r="M86" s="111"/>
      <c r="N86" s="112"/>
      <c r="O86" s="112"/>
      <c r="P86" s="112"/>
      <c r="Q86" s="111"/>
      <c r="R86" s="112"/>
      <c r="S86" s="112"/>
      <c r="T86" s="112"/>
      <c r="U86" s="111"/>
      <c r="V86" s="112"/>
      <c r="W86" s="112"/>
      <c r="X86" s="112"/>
      <c r="Y86" s="111"/>
      <c r="Z86" s="112"/>
      <c r="AA86" s="112"/>
      <c r="AB86" s="112"/>
      <c r="AC86" s="111"/>
      <c r="AD86" s="112"/>
      <c r="AE86" s="112"/>
      <c r="AF86" s="112"/>
      <c r="AG86" s="111"/>
      <c r="AH86" s="112"/>
      <c r="AI86" s="112"/>
      <c r="AJ86" s="112"/>
      <c r="AK86" s="111"/>
      <c r="AL86" s="112"/>
      <c r="AM86" s="112"/>
      <c r="AN86" s="112"/>
      <c r="AO86" s="111"/>
      <c r="AP86" s="112"/>
      <c r="AQ86" s="112"/>
      <c r="AR86" s="112"/>
      <c r="AS86" s="111"/>
      <c r="AT86" s="112"/>
      <c r="AU86" s="112"/>
      <c r="AV86" s="112"/>
      <c r="AW86" s="111"/>
      <c r="AX86" s="112"/>
      <c r="AY86" s="112"/>
      <c r="AZ86" s="113"/>
      <c r="BA86" s="114"/>
    </row>
    <row r="87" ht="15.75" hidden="1" customHeight="1">
      <c r="A87" s="29"/>
      <c r="B87" s="67" t="s">
        <v>100</v>
      </c>
      <c r="C87" s="31"/>
      <c r="D87" s="31" t="s">
        <v>44</v>
      </c>
      <c r="E87" s="115">
        <f>'1.MN'!E42</f>
        <v>3.531750194</v>
      </c>
      <c r="F87" s="116" t="s">
        <v>101</v>
      </c>
      <c r="G87" s="116" t="s">
        <v>101</v>
      </c>
      <c r="H87" s="116" t="s">
        <v>101</v>
      </c>
      <c r="I87" s="115">
        <f>'1.MN'!I42</f>
        <v>349.1469331</v>
      </c>
      <c r="J87" s="116" t="s">
        <v>101</v>
      </c>
      <c r="K87" s="116" t="s">
        <v>101</v>
      </c>
      <c r="L87" s="116" t="s">
        <v>101</v>
      </c>
      <c r="M87" s="115">
        <f>'1.MN'!M42</f>
        <v>2.211461538</v>
      </c>
      <c r="N87" s="116" t="s">
        <v>101</v>
      </c>
      <c r="O87" s="116" t="s">
        <v>101</v>
      </c>
      <c r="P87" s="116" t="s">
        <v>101</v>
      </c>
      <c r="Q87" s="115">
        <f>'1.MN'!Q42</f>
        <v>2.277033445</v>
      </c>
      <c r="R87" s="116" t="s">
        <v>101</v>
      </c>
      <c r="S87" s="116" t="s">
        <v>101</v>
      </c>
      <c r="T87" s="116" t="s">
        <v>101</v>
      </c>
      <c r="U87" s="115">
        <f>'1.MN'!U42</f>
        <v>1.587494983</v>
      </c>
      <c r="V87" s="116" t="s">
        <v>101</v>
      </c>
      <c r="W87" s="116" t="s">
        <v>101</v>
      </c>
      <c r="X87" s="116" t="s">
        <v>101</v>
      </c>
      <c r="Y87" s="115">
        <f>'1.MN'!Y42</f>
        <v>1.618598662</v>
      </c>
      <c r="Z87" s="116" t="s">
        <v>101</v>
      </c>
      <c r="AA87" s="116" t="s">
        <v>101</v>
      </c>
      <c r="AB87" s="116" t="s">
        <v>101</v>
      </c>
      <c r="AC87" s="115">
        <f>'1.MN'!AC42</f>
        <v>1.631976589</v>
      </c>
      <c r="AD87" s="116" t="s">
        <v>101</v>
      </c>
      <c r="AE87" s="116" t="s">
        <v>101</v>
      </c>
      <c r="AF87" s="116" t="s">
        <v>101</v>
      </c>
      <c r="AG87" s="115" t="str">
        <f>'1.MN'!AG42</f>
        <v>#DIV/0!</v>
      </c>
      <c r="AH87" s="116" t="s">
        <v>101</v>
      </c>
      <c r="AI87" s="116" t="s">
        <v>101</v>
      </c>
      <c r="AJ87" s="116" t="s">
        <v>101</v>
      </c>
      <c r="AK87" s="115" t="str">
        <f>'1.MN'!AK42</f>
        <v>#DIV/0!</v>
      </c>
      <c r="AL87" s="116" t="s">
        <v>101</v>
      </c>
      <c r="AM87" s="116" t="s">
        <v>101</v>
      </c>
      <c r="AN87" s="116" t="s">
        <v>101</v>
      </c>
      <c r="AO87" s="115" t="str">
        <f>'1.MN'!AO42</f>
        <v>#DIV/0!</v>
      </c>
      <c r="AP87" s="116" t="s">
        <v>101</v>
      </c>
      <c r="AQ87" s="116" t="s">
        <v>101</v>
      </c>
      <c r="AR87" s="116" t="s">
        <v>101</v>
      </c>
      <c r="AS87" s="115" t="str">
        <f>'1.MN'!AS42</f>
        <v>#DIV/0!</v>
      </c>
      <c r="AT87" s="116" t="s">
        <v>101</v>
      </c>
      <c r="AU87" s="116" t="s">
        <v>101</v>
      </c>
      <c r="AV87" s="116" t="s">
        <v>101</v>
      </c>
      <c r="AW87" s="115" t="str">
        <f>'1.MN'!AW42</f>
        <v>#DIV/0!</v>
      </c>
      <c r="AX87" s="116" t="s">
        <v>101</v>
      </c>
      <c r="AY87" s="116" t="s">
        <v>101</v>
      </c>
      <c r="AZ87" s="117" t="s">
        <v>101</v>
      </c>
      <c r="BA87" s="34"/>
    </row>
    <row r="88" ht="15.75" hidden="1" customHeight="1">
      <c r="A88" s="29"/>
      <c r="B88" s="67" t="s">
        <v>102</v>
      </c>
      <c r="C88" s="49"/>
      <c r="D88" s="31" t="s">
        <v>44</v>
      </c>
      <c r="E88" s="115">
        <f>'1.MN'!E43</f>
        <v>4.704179104</v>
      </c>
      <c r="F88" s="116" t="s">
        <v>101</v>
      </c>
      <c r="G88" s="116" t="s">
        <v>101</v>
      </c>
      <c r="H88" s="116" t="s">
        <v>101</v>
      </c>
      <c r="I88" s="115">
        <f>'1.MN'!I43</f>
        <v>350.2428161</v>
      </c>
      <c r="J88" s="116" t="s">
        <v>101</v>
      </c>
      <c r="K88" s="116" t="s">
        <v>101</v>
      </c>
      <c r="L88" s="116" t="s">
        <v>101</v>
      </c>
      <c r="M88" s="115">
        <f>'1.MN'!M43</f>
        <v>3.029715719</v>
      </c>
      <c r="N88" s="116" t="s">
        <v>101</v>
      </c>
      <c r="O88" s="116" t="s">
        <v>101</v>
      </c>
      <c r="P88" s="116" t="s">
        <v>101</v>
      </c>
      <c r="Q88" s="115">
        <f>'1.MN'!Q43</f>
        <v>3.04229097</v>
      </c>
      <c r="R88" s="116" t="s">
        <v>101</v>
      </c>
      <c r="S88" s="116" t="s">
        <v>101</v>
      </c>
      <c r="T88" s="116" t="s">
        <v>101</v>
      </c>
      <c r="U88" s="115">
        <f>'1.MN'!U43</f>
        <v>2.238137124</v>
      </c>
      <c r="V88" s="116" t="s">
        <v>101</v>
      </c>
      <c r="W88" s="116" t="s">
        <v>101</v>
      </c>
      <c r="X88" s="116" t="s">
        <v>101</v>
      </c>
      <c r="Y88" s="115">
        <f>'1.MN'!Y43</f>
        <v>2.24526087</v>
      </c>
      <c r="Z88" s="116" t="s">
        <v>101</v>
      </c>
      <c r="AA88" s="116" t="s">
        <v>101</v>
      </c>
      <c r="AB88" s="116" t="s">
        <v>101</v>
      </c>
      <c r="AC88" s="115">
        <f>'1.MN'!AC43</f>
        <v>2.245929766</v>
      </c>
      <c r="AD88" s="116" t="s">
        <v>101</v>
      </c>
      <c r="AE88" s="116" t="s">
        <v>101</v>
      </c>
      <c r="AF88" s="116" t="s">
        <v>101</v>
      </c>
      <c r="AG88" s="115" t="str">
        <f>'1.MN'!AG43</f>
        <v>#DIV/0!</v>
      </c>
      <c r="AH88" s="116" t="s">
        <v>101</v>
      </c>
      <c r="AI88" s="116" t="s">
        <v>101</v>
      </c>
      <c r="AJ88" s="116" t="s">
        <v>101</v>
      </c>
      <c r="AK88" s="115" t="str">
        <f>'1.MN'!AK43</f>
        <v>#DIV/0!</v>
      </c>
      <c r="AL88" s="116" t="s">
        <v>101</v>
      </c>
      <c r="AM88" s="116" t="s">
        <v>101</v>
      </c>
      <c r="AN88" s="116" t="s">
        <v>101</v>
      </c>
      <c r="AO88" s="115" t="str">
        <f>'1.MN'!AO43</f>
        <v>#DIV/0!</v>
      </c>
      <c r="AP88" s="116" t="s">
        <v>101</v>
      </c>
      <c r="AQ88" s="116" t="s">
        <v>101</v>
      </c>
      <c r="AR88" s="116" t="s">
        <v>101</v>
      </c>
      <c r="AS88" s="115" t="str">
        <f>'1.MN'!AS43</f>
        <v>#DIV/0!</v>
      </c>
      <c r="AT88" s="116" t="s">
        <v>101</v>
      </c>
      <c r="AU88" s="116" t="s">
        <v>101</v>
      </c>
      <c r="AV88" s="116" t="s">
        <v>101</v>
      </c>
      <c r="AW88" s="115" t="str">
        <f>'1.MN'!AW43</f>
        <v>#DIV/0!</v>
      </c>
      <c r="AX88" s="116" t="s">
        <v>101</v>
      </c>
      <c r="AY88" s="116" t="s">
        <v>101</v>
      </c>
      <c r="AZ88" s="117" t="s">
        <v>101</v>
      </c>
      <c r="BA88" s="34"/>
    </row>
    <row r="89" ht="15.75" hidden="1" customHeight="1">
      <c r="A89" s="29"/>
      <c r="B89" s="67" t="s">
        <v>103</v>
      </c>
      <c r="C89" s="31"/>
      <c r="D89" s="31" t="s">
        <v>44</v>
      </c>
      <c r="E89" s="115" t="str">
        <f>('2.TH'!E38+'4.TH-THCS'!E48)/2</f>
        <v>#VALUE!</v>
      </c>
      <c r="F89" s="116" t="s">
        <v>101</v>
      </c>
      <c r="G89" s="116" t="s">
        <v>101</v>
      </c>
      <c r="H89" s="116" t="s">
        <v>101</v>
      </c>
      <c r="I89" s="115" t="str">
        <f>('2.TH'!I38+'4.TH-THCS'!I48)/2</f>
        <v>#VALUE!</v>
      </c>
      <c r="J89" s="116" t="s">
        <v>101</v>
      </c>
      <c r="K89" s="116" t="s">
        <v>101</v>
      </c>
      <c r="L89" s="116" t="s">
        <v>101</v>
      </c>
      <c r="M89" s="115" t="str">
        <f>('2.TH'!M38+'4.TH-THCS'!M48)/2</f>
        <v>#VALUE!</v>
      </c>
      <c r="N89" s="116" t="s">
        <v>101</v>
      </c>
      <c r="O89" s="116" t="s">
        <v>101</v>
      </c>
      <c r="P89" s="116" t="s">
        <v>101</v>
      </c>
      <c r="Q89" s="115" t="str">
        <f>('2.TH'!Q38+'4.TH-THCS'!Q48)/2</f>
        <v>#VALUE!</v>
      </c>
      <c r="R89" s="116" t="s">
        <v>101</v>
      </c>
      <c r="S89" s="116" t="s">
        <v>101</v>
      </c>
      <c r="T89" s="116" t="s">
        <v>101</v>
      </c>
      <c r="U89" s="115" t="str">
        <f>('2.TH'!U38+'4.TH-THCS'!U48)/2</f>
        <v>#VALUE!</v>
      </c>
      <c r="V89" s="116" t="s">
        <v>101</v>
      </c>
      <c r="W89" s="116" t="s">
        <v>101</v>
      </c>
      <c r="X89" s="116" t="s">
        <v>101</v>
      </c>
      <c r="Y89" s="115" t="str">
        <f>('2.TH'!Y38+'4.TH-THCS'!Y48)/2</f>
        <v>#VALUE!</v>
      </c>
      <c r="Z89" s="116" t="s">
        <v>101</v>
      </c>
      <c r="AA89" s="116" t="s">
        <v>101</v>
      </c>
      <c r="AB89" s="116" t="s">
        <v>101</v>
      </c>
      <c r="AC89" s="115" t="str">
        <f>('2.TH'!AC38+'4.TH-THCS'!AC48)/2</f>
        <v>#VALUE!</v>
      </c>
      <c r="AD89" s="116" t="s">
        <v>101</v>
      </c>
      <c r="AE89" s="116" t="s">
        <v>101</v>
      </c>
      <c r="AF89" s="116" t="s">
        <v>101</v>
      </c>
      <c r="AG89" s="115" t="str">
        <f>('2.TH'!AG38+'4.TH-THCS'!AG48)/2</f>
        <v>#DIV/0!</v>
      </c>
      <c r="AH89" s="116" t="s">
        <v>101</v>
      </c>
      <c r="AI89" s="116" t="s">
        <v>101</v>
      </c>
      <c r="AJ89" s="116" t="s">
        <v>101</v>
      </c>
      <c r="AK89" s="115" t="str">
        <f>('2.TH'!AK38+'4.TH-THCS'!AK48)/2</f>
        <v>#DIV/0!</v>
      </c>
      <c r="AL89" s="116" t="s">
        <v>101</v>
      </c>
      <c r="AM89" s="116" t="s">
        <v>101</v>
      </c>
      <c r="AN89" s="116" t="s">
        <v>101</v>
      </c>
      <c r="AO89" s="115" t="str">
        <f>('2.TH'!AO38+'4.TH-THCS'!AO48)/2</f>
        <v>#DIV/0!</v>
      </c>
      <c r="AP89" s="116" t="s">
        <v>101</v>
      </c>
      <c r="AQ89" s="116" t="s">
        <v>101</v>
      </c>
      <c r="AR89" s="116" t="s">
        <v>101</v>
      </c>
      <c r="AS89" s="115" t="str">
        <f>('2.TH'!AS38+'4.TH-THCS'!AS48)/2</f>
        <v>#DIV/0!</v>
      </c>
      <c r="AT89" s="116" t="s">
        <v>101</v>
      </c>
      <c r="AU89" s="116" t="s">
        <v>101</v>
      </c>
      <c r="AV89" s="116" t="s">
        <v>101</v>
      </c>
      <c r="AW89" s="115" t="str">
        <f>('2.TH'!AW38+'4.TH-THCS'!AW48)/2</f>
        <v>#DIV/0!</v>
      </c>
      <c r="AX89" s="116" t="s">
        <v>101</v>
      </c>
      <c r="AY89" s="116" t="s">
        <v>101</v>
      </c>
      <c r="AZ89" s="117" t="s">
        <v>101</v>
      </c>
      <c r="BA89" s="34"/>
    </row>
    <row r="90" ht="15.75" hidden="1" customHeight="1">
      <c r="A90" s="29"/>
      <c r="B90" s="67" t="s">
        <v>104</v>
      </c>
      <c r="C90" s="31"/>
      <c r="D90" s="31" t="s">
        <v>44</v>
      </c>
      <c r="E90" s="115">
        <f>('3.THCS'!E36+'4.TH-THCS'!E49+'6.THCS-THPT'!E44)/3</f>
        <v>8.17443867</v>
      </c>
      <c r="F90" s="116" t="s">
        <v>101</v>
      </c>
      <c r="G90" s="116" t="s">
        <v>101</v>
      </c>
      <c r="H90" s="116" t="s">
        <v>101</v>
      </c>
      <c r="I90" s="115">
        <f>('3.THCS'!I36+'4.TH-THCS'!I49+'6.THCS-THPT'!I44)/3</f>
        <v>0</v>
      </c>
      <c r="J90" s="116" t="s">
        <v>101</v>
      </c>
      <c r="K90" s="116" t="s">
        <v>101</v>
      </c>
      <c r="L90" s="116" t="s">
        <v>101</v>
      </c>
      <c r="M90" s="115">
        <f>('3.THCS'!M36+'4.TH-THCS'!M49+'6.THCS-THPT'!M44)/3</f>
        <v>0</v>
      </c>
      <c r="N90" s="116" t="s">
        <v>101</v>
      </c>
      <c r="O90" s="116" t="s">
        <v>101</v>
      </c>
      <c r="P90" s="116" t="s">
        <v>101</v>
      </c>
      <c r="Q90" s="115">
        <f>('3.THCS'!Q36+'4.TH-THCS'!Q49+'6.THCS-THPT'!Q44)/3</f>
        <v>0</v>
      </c>
      <c r="R90" s="116" t="s">
        <v>101</v>
      </c>
      <c r="S90" s="116" t="s">
        <v>101</v>
      </c>
      <c r="T90" s="116" t="s">
        <v>101</v>
      </c>
      <c r="U90" s="115">
        <f>('3.THCS'!U36+'4.TH-THCS'!U49+'6.THCS-THPT'!U44)/3</f>
        <v>0</v>
      </c>
      <c r="V90" s="116" t="s">
        <v>101</v>
      </c>
      <c r="W90" s="116" t="s">
        <v>101</v>
      </c>
      <c r="X90" s="116" t="s">
        <v>101</v>
      </c>
      <c r="Y90" s="115">
        <f>('3.THCS'!Y36+'4.TH-THCS'!Y49+'6.THCS-THPT'!Y44)/3</f>
        <v>0</v>
      </c>
      <c r="Z90" s="116" t="s">
        <v>101</v>
      </c>
      <c r="AA90" s="116" t="s">
        <v>101</v>
      </c>
      <c r="AB90" s="116" t="s">
        <v>101</v>
      </c>
      <c r="AC90" s="115">
        <f>('3.THCS'!AC36+'4.TH-THCS'!AC49+'6.THCS-THPT'!AC44)/3</f>
        <v>0</v>
      </c>
      <c r="AD90" s="116" t="s">
        <v>101</v>
      </c>
      <c r="AE90" s="116" t="s">
        <v>101</v>
      </c>
      <c r="AF90" s="116" t="s">
        <v>101</v>
      </c>
      <c r="AG90" s="115" t="str">
        <f>('3.THCS'!AG36+'4.TH-THCS'!AG49+'6.THCS-THPT'!AG44)/3</f>
        <v>#DIV/0!</v>
      </c>
      <c r="AH90" s="116" t="s">
        <v>101</v>
      </c>
      <c r="AI90" s="116" t="s">
        <v>101</v>
      </c>
      <c r="AJ90" s="116" t="s">
        <v>101</v>
      </c>
      <c r="AK90" s="115" t="str">
        <f>('3.THCS'!AK36+'4.TH-THCS'!AK49+'6.THCS-THPT'!AK44)/3</f>
        <v>#DIV/0!</v>
      </c>
      <c r="AL90" s="116" t="s">
        <v>101</v>
      </c>
      <c r="AM90" s="116" t="s">
        <v>101</v>
      </c>
      <c r="AN90" s="116" t="s">
        <v>101</v>
      </c>
      <c r="AO90" s="115" t="str">
        <f>('3.THCS'!AO36+'4.TH-THCS'!AO49+'6.THCS-THPT'!AO44)/3</f>
        <v>#DIV/0!</v>
      </c>
      <c r="AP90" s="116" t="s">
        <v>101</v>
      </c>
      <c r="AQ90" s="116" t="s">
        <v>101</v>
      </c>
      <c r="AR90" s="116" t="s">
        <v>101</v>
      </c>
      <c r="AS90" s="115" t="str">
        <f>('3.THCS'!AS36+'4.TH-THCS'!AS49+'6.THCS-THPT'!AS44)/3</f>
        <v>#DIV/0!</v>
      </c>
      <c r="AT90" s="116" t="s">
        <v>101</v>
      </c>
      <c r="AU90" s="116" t="s">
        <v>101</v>
      </c>
      <c r="AV90" s="116" t="s">
        <v>101</v>
      </c>
      <c r="AW90" s="115" t="str">
        <f>('3.THCS'!AW36+'4.TH-THCS'!AW49+'6.THCS-THPT'!AW44)/3</f>
        <v>#DIV/0!</v>
      </c>
      <c r="AX90" s="116" t="s">
        <v>101</v>
      </c>
      <c r="AY90" s="116" t="s">
        <v>101</v>
      </c>
      <c r="AZ90" s="117" t="s">
        <v>101</v>
      </c>
      <c r="BA90" s="34"/>
    </row>
    <row r="91" ht="15.75" hidden="1" customHeight="1">
      <c r="A91" s="29"/>
      <c r="B91" s="67" t="s">
        <v>105</v>
      </c>
      <c r="C91" s="31"/>
      <c r="D91" s="31" t="s">
        <v>44</v>
      </c>
      <c r="E91" s="115">
        <f>'5.THPT'!E34+'6.THCS-THPT'!E45</f>
        <v>33.24839497</v>
      </c>
      <c r="F91" s="116" t="s">
        <v>101</v>
      </c>
      <c r="G91" s="116" t="s">
        <v>101</v>
      </c>
      <c r="H91" s="116" t="s">
        <v>101</v>
      </c>
      <c r="I91" s="115">
        <f>'5.THPT'!I34+'6.THCS-THPT'!I45</f>
        <v>0</v>
      </c>
      <c r="J91" s="116" t="s">
        <v>101</v>
      </c>
      <c r="K91" s="116" t="s">
        <v>101</v>
      </c>
      <c r="L91" s="116" t="s">
        <v>101</v>
      </c>
      <c r="M91" s="115">
        <f>'5.THPT'!M34+'6.THCS-THPT'!M45</f>
        <v>0</v>
      </c>
      <c r="N91" s="116" t="s">
        <v>101</v>
      </c>
      <c r="O91" s="116" t="s">
        <v>101</v>
      </c>
      <c r="P91" s="116" t="s">
        <v>101</v>
      </c>
      <c r="Q91" s="115">
        <f>'5.THPT'!Q34+'6.THCS-THPT'!Q45</f>
        <v>0</v>
      </c>
      <c r="R91" s="116" t="s">
        <v>101</v>
      </c>
      <c r="S91" s="116" t="s">
        <v>101</v>
      </c>
      <c r="T91" s="116" t="s">
        <v>101</v>
      </c>
      <c r="U91" s="115">
        <f>'5.THPT'!U34+'6.THCS-THPT'!U45</f>
        <v>0</v>
      </c>
      <c r="V91" s="116" t="s">
        <v>101</v>
      </c>
      <c r="W91" s="116" t="s">
        <v>101</v>
      </c>
      <c r="X91" s="116" t="s">
        <v>101</v>
      </c>
      <c r="Y91" s="115">
        <f>'5.THPT'!Y34+'6.THCS-THPT'!Y45</f>
        <v>0</v>
      </c>
      <c r="Z91" s="116" t="s">
        <v>101</v>
      </c>
      <c r="AA91" s="116" t="s">
        <v>101</v>
      </c>
      <c r="AB91" s="116" t="s">
        <v>101</v>
      </c>
      <c r="AC91" s="115">
        <f>'5.THPT'!AC34+'6.THCS-THPT'!AC45</f>
        <v>0</v>
      </c>
      <c r="AD91" s="116" t="s">
        <v>101</v>
      </c>
      <c r="AE91" s="116" t="s">
        <v>101</v>
      </c>
      <c r="AF91" s="116" t="s">
        <v>101</v>
      </c>
      <c r="AG91" s="115">
        <f>'5.THPT'!AG34+'6.THCS-THPT'!AG45</f>
        <v>0</v>
      </c>
      <c r="AH91" s="116" t="s">
        <v>101</v>
      </c>
      <c r="AI91" s="116" t="s">
        <v>101</v>
      </c>
      <c r="AJ91" s="116" t="s">
        <v>101</v>
      </c>
      <c r="AK91" s="115">
        <f>'5.THPT'!AK34+'6.THCS-THPT'!AK45</f>
        <v>0</v>
      </c>
      <c r="AL91" s="116" t="s">
        <v>101</v>
      </c>
      <c r="AM91" s="116" t="s">
        <v>101</v>
      </c>
      <c r="AN91" s="116" t="s">
        <v>101</v>
      </c>
      <c r="AO91" s="115">
        <f>'5.THPT'!AO34+'6.THCS-THPT'!AO45</f>
        <v>0</v>
      </c>
      <c r="AP91" s="116" t="s">
        <v>101</v>
      </c>
      <c r="AQ91" s="116" t="s">
        <v>101</v>
      </c>
      <c r="AR91" s="116" t="s">
        <v>101</v>
      </c>
      <c r="AS91" s="115">
        <f>'5.THPT'!AS34+'6.THCS-THPT'!AS45</f>
        <v>0</v>
      </c>
      <c r="AT91" s="116" t="s">
        <v>101</v>
      </c>
      <c r="AU91" s="116" t="s">
        <v>101</v>
      </c>
      <c r="AV91" s="116" t="s">
        <v>101</v>
      </c>
      <c r="AW91" s="115">
        <f>'5.THPT'!AW34+'6.THCS-THPT'!AW45</f>
        <v>0</v>
      </c>
      <c r="AX91" s="116" t="s">
        <v>101</v>
      </c>
      <c r="AY91" s="116" t="s">
        <v>101</v>
      </c>
      <c r="AZ91" s="117" t="s">
        <v>101</v>
      </c>
      <c r="BA91" s="34"/>
    </row>
    <row r="92" ht="15.75" customHeight="1">
      <c r="A92" s="29"/>
      <c r="B92" s="66" t="s">
        <v>106</v>
      </c>
      <c r="C92" s="31" t="s">
        <v>107</v>
      </c>
      <c r="D92" s="31" t="s">
        <v>71</v>
      </c>
      <c r="E92" s="32">
        <f t="shared" ref="E92:AZ92" si="257">E93+E98+E118+E123</f>
        <v>18361</v>
      </c>
      <c r="F92" s="32">
        <f t="shared" si="257"/>
        <v>17449</v>
      </c>
      <c r="G92" s="32">
        <f t="shared" si="257"/>
        <v>123</v>
      </c>
      <c r="H92" s="32">
        <f t="shared" si="257"/>
        <v>789</v>
      </c>
      <c r="I92" s="32">
        <f t="shared" si="257"/>
        <v>18036</v>
      </c>
      <c r="J92" s="32">
        <f t="shared" si="257"/>
        <v>17398</v>
      </c>
      <c r="K92" s="32">
        <f t="shared" si="257"/>
        <v>122</v>
      </c>
      <c r="L92" s="32">
        <f t="shared" si="257"/>
        <v>516</v>
      </c>
      <c r="M92" s="32">
        <f t="shared" si="257"/>
        <v>17504</v>
      </c>
      <c r="N92" s="32">
        <f t="shared" si="257"/>
        <v>16870</v>
      </c>
      <c r="O92" s="32">
        <f t="shared" si="257"/>
        <v>122</v>
      </c>
      <c r="P92" s="32">
        <f t="shared" si="257"/>
        <v>512</v>
      </c>
      <c r="Q92" s="32">
        <f t="shared" si="257"/>
        <v>17578</v>
      </c>
      <c r="R92" s="32">
        <f t="shared" si="257"/>
        <v>16833</v>
      </c>
      <c r="S92" s="32">
        <f t="shared" si="257"/>
        <v>190</v>
      </c>
      <c r="T92" s="32">
        <f t="shared" si="257"/>
        <v>555</v>
      </c>
      <c r="U92" s="32">
        <f t="shared" si="257"/>
        <v>17544</v>
      </c>
      <c r="V92" s="32">
        <f t="shared" si="257"/>
        <v>16869</v>
      </c>
      <c r="W92" s="32">
        <f t="shared" si="257"/>
        <v>122</v>
      </c>
      <c r="X92" s="32">
        <f t="shared" si="257"/>
        <v>553</v>
      </c>
      <c r="Y92" s="32">
        <f t="shared" si="257"/>
        <v>17619</v>
      </c>
      <c r="Z92" s="32">
        <f t="shared" si="257"/>
        <v>16934</v>
      </c>
      <c r="AA92" s="32">
        <f t="shared" si="257"/>
        <v>122</v>
      </c>
      <c r="AB92" s="32">
        <f t="shared" si="257"/>
        <v>563</v>
      </c>
      <c r="AC92" s="32">
        <f t="shared" si="257"/>
        <v>17682</v>
      </c>
      <c r="AD92" s="32">
        <f t="shared" si="257"/>
        <v>17016</v>
      </c>
      <c r="AE92" s="32">
        <f t="shared" si="257"/>
        <v>122</v>
      </c>
      <c r="AF92" s="32">
        <f t="shared" si="257"/>
        <v>544</v>
      </c>
      <c r="AG92" s="32">
        <f t="shared" si="257"/>
        <v>504</v>
      </c>
      <c r="AH92" s="32">
        <f t="shared" si="257"/>
        <v>480</v>
      </c>
      <c r="AI92" s="32">
        <f t="shared" si="257"/>
        <v>24</v>
      </c>
      <c r="AJ92" s="32">
        <f t="shared" si="257"/>
        <v>0</v>
      </c>
      <c r="AK92" s="32">
        <f t="shared" si="257"/>
        <v>61</v>
      </c>
      <c r="AL92" s="32">
        <f t="shared" si="257"/>
        <v>61</v>
      </c>
      <c r="AM92" s="32">
        <f t="shared" si="257"/>
        <v>0</v>
      </c>
      <c r="AN92" s="32">
        <f t="shared" si="257"/>
        <v>0</v>
      </c>
      <c r="AO92" s="32">
        <f t="shared" si="257"/>
        <v>61</v>
      </c>
      <c r="AP92" s="32">
        <f t="shared" si="257"/>
        <v>61</v>
      </c>
      <c r="AQ92" s="32">
        <f t="shared" si="257"/>
        <v>0</v>
      </c>
      <c r="AR92" s="32">
        <f t="shared" si="257"/>
        <v>0</v>
      </c>
      <c r="AS92" s="32">
        <f t="shared" si="257"/>
        <v>61</v>
      </c>
      <c r="AT92" s="32">
        <f t="shared" si="257"/>
        <v>61</v>
      </c>
      <c r="AU92" s="32">
        <f t="shared" si="257"/>
        <v>0</v>
      </c>
      <c r="AV92" s="32">
        <f t="shared" si="257"/>
        <v>0</v>
      </c>
      <c r="AW92" s="32">
        <f t="shared" si="257"/>
        <v>61</v>
      </c>
      <c r="AX92" s="32">
        <f t="shared" si="257"/>
        <v>61</v>
      </c>
      <c r="AY92" s="32">
        <f t="shared" si="257"/>
        <v>0</v>
      </c>
      <c r="AZ92" s="33">
        <f t="shared" si="257"/>
        <v>0</v>
      </c>
      <c r="BA92" s="34"/>
    </row>
    <row r="93" ht="15.75" customHeight="1">
      <c r="A93" s="29"/>
      <c r="B93" s="118" t="s">
        <v>108</v>
      </c>
      <c r="C93" s="36"/>
      <c r="D93" s="36" t="s">
        <v>89</v>
      </c>
      <c r="E93" s="37">
        <f t="shared" ref="E93:E123" si="270">F93+G93+H93</f>
        <v>1110</v>
      </c>
      <c r="F93" s="37">
        <f t="shared" ref="F93:H93" si="258">F94+F95+F96+F97</f>
        <v>1085</v>
      </c>
      <c r="G93" s="37">
        <f t="shared" si="258"/>
        <v>4</v>
      </c>
      <c r="H93" s="37">
        <f t="shared" si="258"/>
        <v>21</v>
      </c>
      <c r="I93" s="37">
        <f t="shared" ref="I93:I123" si="271">J93+K93+L93</f>
        <v>1106</v>
      </c>
      <c r="J93" s="37">
        <f t="shared" ref="J93:L93" si="259">J94+J95+J96+J97</f>
        <v>1083</v>
      </c>
      <c r="K93" s="37">
        <f t="shared" si="259"/>
        <v>4</v>
      </c>
      <c r="L93" s="37">
        <f t="shared" si="259"/>
        <v>19</v>
      </c>
      <c r="M93" s="37">
        <f t="shared" ref="M93:M123" si="272">N93+O93+P93</f>
        <v>1058</v>
      </c>
      <c r="N93" s="37">
        <f t="shared" ref="N93:P93" si="260">N94+N95+N96+N97</f>
        <v>1036</v>
      </c>
      <c r="O93" s="37">
        <f t="shared" si="260"/>
        <v>4</v>
      </c>
      <c r="P93" s="37">
        <f t="shared" si="260"/>
        <v>18</v>
      </c>
      <c r="Q93" s="37">
        <f t="shared" ref="Q93:Q123" si="273">R93+S93+T93</f>
        <v>1033</v>
      </c>
      <c r="R93" s="37">
        <f t="shared" ref="R93:T93" si="261">R94+R95+R96+R97</f>
        <v>1009</v>
      </c>
      <c r="S93" s="37">
        <f t="shared" si="261"/>
        <v>7</v>
      </c>
      <c r="T93" s="37">
        <f t="shared" si="261"/>
        <v>17</v>
      </c>
      <c r="U93" s="37">
        <f t="shared" ref="U93:U123" si="274">V93+W93+X93</f>
        <v>1041</v>
      </c>
      <c r="V93" s="37">
        <f t="shared" ref="V93:X93" si="262">V94+V95+V96+V97</f>
        <v>1020</v>
      </c>
      <c r="W93" s="37">
        <f t="shared" si="262"/>
        <v>4</v>
      </c>
      <c r="X93" s="37">
        <f t="shared" si="262"/>
        <v>17</v>
      </c>
      <c r="Y93" s="37">
        <f t="shared" ref="Y93:Y123" si="275">Z93+AA93+AB93</f>
        <v>1072</v>
      </c>
      <c r="Z93" s="37">
        <f t="shared" ref="Z93:AB93" si="263">Z94+Z95+Z96+Z97</f>
        <v>1051</v>
      </c>
      <c r="AA93" s="37">
        <f t="shared" si="263"/>
        <v>4</v>
      </c>
      <c r="AB93" s="37">
        <f t="shared" si="263"/>
        <v>17</v>
      </c>
      <c r="AC93" s="37">
        <f t="shared" ref="AC93:AC123" si="276">AD93+AE93+AF93</f>
        <v>1468</v>
      </c>
      <c r="AD93" s="37">
        <f t="shared" ref="AD93:AF93" si="264">AD94+AD95+AD96+AD97</f>
        <v>1444</v>
      </c>
      <c r="AE93" s="37">
        <f t="shared" si="264"/>
        <v>4</v>
      </c>
      <c r="AF93" s="37">
        <f t="shared" si="264"/>
        <v>20</v>
      </c>
      <c r="AG93" s="37">
        <f t="shared" ref="AG93:AG123" si="277">AH93+AI93+AJ93</f>
        <v>26</v>
      </c>
      <c r="AH93" s="37">
        <f t="shared" ref="AH93:AJ93" si="265">AH94+AH95+AH96+AH97</f>
        <v>25</v>
      </c>
      <c r="AI93" s="37">
        <f t="shared" si="265"/>
        <v>1</v>
      </c>
      <c r="AJ93" s="37">
        <f t="shared" si="265"/>
        <v>0</v>
      </c>
      <c r="AK93" s="37">
        <f t="shared" ref="AK93:AK123" si="278">AL93+AM93+AN93</f>
        <v>3</v>
      </c>
      <c r="AL93" s="37">
        <f t="shared" ref="AL93:AN93" si="266">AL94+AL95+AL96+AL97</f>
        <v>3</v>
      </c>
      <c r="AM93" s="37">
        <f t="shared" si="266"/>
        <v>0</v>
      </c>
      <c r="AN93" s="37">
        <f t="shared" si="266"/>
        <v>0</v>
      </c>
      <c r="AO93" s="37">
        <f t="shared" ref="AO93:AO123" si="279">AP93+AQ93+AR93</f>
        <v>3</v>
      </c>
      <c r="AP93" s="37">
        <f t="shared" ref="AP93:AR93" si="267">AP94+AP95+AP96+AP97</f>
        <v>3</v>
      </c>
      <c r="AQ93" s="37">
        <f t="shared" si="267"/>
        <v>0</v>
      </c>
      <c r="AR93" s="37">
        <f t="shared" si="267"/>
        <v>0</v>
      </c>
      <c r="AS93" s="37">
        <f t="shared" ref="AS93:AS123" si="280">AT93+AU93+AV93</f>
        <v>3</v>
      </c>
      <c r="AT93" s="37">
        <f t="shared" ref="AT93:AV93" si="268">AT94+AT95+AT96+AT97</f>
        <v>3</v>
      </c>
      <c r="AU93" s="37">
        <f t="shared" si="268"/>
        <v>0</v>
      </c>
      <c r="AV93" s="37">
        <f t="shared" si="268"/>
        <v>0</v>
      </c>
      <c r="AW93" s="37">
        <f t="shared" ref="AW93:AW123" si="281">AX93+AY93+AZ93</f>
        <v>3</v>
      </c>
      <c r="AX93" s="37">
        <f t="shared" ref="AX93:AZ93" si="269">AX94+AX95+AX96+AX97</f>
        <v>3</v>
      </c>
      <c r="AY93" s="37">
        <f t="shared" si="269"/>
        <v>0</v>
      </c>
      <c r="AZ93" s="38">
        <f t="shared" si="269"/>
        <v>0</v>
      </c>
      <c r="BA93" s="34"/>
    </row>
    <row r="94" ht="15.75" customHeight="1">
      <c r="A94" s="29"/>
      <c r="B94" s="67" t="s">
        <v>29</v>
      </c>
      <c r="C94" s="57"/>
      <c r="D94" s="31" t="s">
        <v>30</v>
      </c>
      <c r="E94" s="41">
        <f t="shared" si="270"/>
        <v>329</v>
      </c>
      <c r="F94" s="42">
        <f>'1.MN'!F45</f>
        <v>311</v>
      </c>
      <c r="G94" s="42">
        <f>'1.MN'!G45</f>
        <v>1</v>
      </c>
      <c r="H94" s="42">
        <f>'1.MN'!H45</f>
        <v>17</v>
      </c>
      <c r="I94" s="41">
        <f t="shared" si="271"/>
        <v>330</v>
      </c>
      <c r="J94" s="42">
        <f>'1.MN'!J45</f>
        <v>311</v>
      </c>
      <c r="K94" s="42">
        <f>'1.MN'!K45</f>
        <v>1</v>
      </c>
      <c r="L94" s="42">
        <f>'1.MN'!L45</f>
        <v>18</v>
      </c>
      <c r="M94" s="41">
        <f t="shared" si="272"/>
        <v>329</v>
      </c>
      <c r="N94" s="42">
        <f>'1.MN'!N45</f>
        <v>311</v>
      </c>
      <c r="O94" s="42">
        <f>'1.MN'!O45</f>
        <v>1</v>
      </c>
      <c r="P94" s="42">
        <f>'1.MN'!P45</f>
        <v>17</v>
      </c>
      <c r="Q94" s="41">
        <f t="shared" si="273"/>
        <v>329</v>
      </c>
      <c r="R94" s="42">
        <f>'1.MN'!R45</f>
        <v>312</v>
      </c>
      <c r="S94" s="42">
        <f>'1.MN'!S45</f>
        <v>1</v>
      </c>
      <c r="T94" s="42">
        <f>'1.MN'!T45</f>
        <v>16</v>
      </c>
      <c r="U94" s="41">
        <f t="shared" si="274"/>
        <v>330</v>
      </c>
      <c r="V94" s="42">
        <f>'1.MN'!V45</f>
        <v>313</v>
      </c>
      <c r="W94" s="42">
        <f>'1.MN'!W45</f>
        <v>1</v>
      </c>
      <c r="X94" s="42">
        <f>'1.MN'!X45</f>
        <v>16</v>
      </c>
      <c r="Y94" s="41">
        <f t="shared" si="275"/>
        <v>361</v>
      </c>
      <c r="Z94" s="42">
        <f>'1.MN'!Z45</f>
        <v>344</v>
      </c>
      <c r="AA94" s="42">
        <f>'1.MN'!AA45</f>
        <v>1</v>
      </c>
      <c r="AB94" s="42">
        <f>'1.MN'!AB45</f>
        <v>16</v>
      </c>
      <c r="AC94" s="41">
        <f t="shared" si="276"/>
        <v>360</v>
      </c>
      <c r="AD94" s="42">
        <f>'1.MN'!AD45</f>
        <v>343</v>
      </c>
      <c r="AE94" s="42">
        <f>'1.MN'!AE45</f>
        <v>1</v>
      </c>
      <c r="AF94" s="42">
        <f>'1.MN'!AF45</f>
        <v>16</v>
      </c>
      <c r="AG94" s="41">
        <f t="shared" si="277"/>
        <v>0</v>
      </c>
      <c r="AH94" s="42">
        <f>'1.MN'!AH45</f>
        <v>0</v>
      </c>
      <c r="AI94" s="42">
        <f>'1.MN'!AI45</f>
        <v>0</v>
      </c>
      <c r="AJ94" s="42">
        <f>'1.MN'!AJ45</f>
        <v>0</v>
      </c>
      <c r="AK94" s="41">
        <f t="shared" si="278"/>
        <v>0</v>
      </c>
      <c r="AL94" s="42">
        <f>'1.MN'!AL45</f>
        <v>0</v>
      </c>
      <c r="AM94" s="42">
        <f>'1.MN'!AM45</f>
        <v>0</v>
      </c>
      <c r="AN94" s="42">
        <f>'1.MN'!AN45</f>
        <v>0</v>
      </c>
      <c r="AO94" s="41">
        <f t="shared" si="279"/>
        <v>0</v>
      </c>
      <c r="AP94" s="42">
        <f>'1.MN'!AP45</f>
        <v>0</v>
      </c>
      <c r="AQ94" s="42">
        <f>'1.MN'!AQ45</f>
        <v>0</v>
      </c>
      <c r="AR94" s="42">
        <f>'1.MN'!AR45</f>
        <v>0</v>
      </c>
      <c r="AS94" s="41">
        <f t="shared" si="280"/>
        <v>0</v>
      </c>
      <c r="AT94" s="42">
        <f>'1.MN'!AT45</f>
        <v>0</v>
      </c>
      <c r="AU94" s="42">
        <f>'1.MN'!AU45</f>
        <v>0</v>
      </c>
      <c r="AV94" s="42">
        <f>'1.MN'!AV45</f>
        <v>0</v>
      </c>
      <c r="AW94" s="41">
        <f t="shared" si="281"/>
        <v>0</v>
      </c>
      <c r="AX94" s="42">
        <f>'1.MN'!AX45</f>
        <v>0</v>
      </c>
      <c r="AY94" s="42">
        <f>'1.MN'!AY45</f>
        <v>0</v>
      </c>
      <c r="AZ94" s="43">
        <f>'1.MN'!AZ45</f>
        <v>0</v>
      </c>
      <c r="BA94" s="34"/>
    </row>
    <row r="95" ht="15.75" customHeight="1">
      <c r="A95" s="29"/>
      <c r="B95" s="67" t="s">
        <v>31</v>
      </c>
      <c r="C95" s="57"/>
      <c r="D95" s="31" t="s">
        <v>30</v>
      </c>
      <c r="E95" s="41">
        <f t="shared" si="270"/>
        <v>406</v>
      </c>
      <c r="F95" s="42">
        <f>'2.TH'!F40+'4.TH-THCS'!F52</f>
        <v>404</v>
      </c>
      <c r="G95" s="42">
        <f>'2.TH'!G40+'4.TH-THCS'!G52</f>
        <v>2</v>
      </c>
      <c r="H95" s="42">
        <f>'2.TH'!H40+'4.TH-THCS'!H52</f>
        <v>0</v>
      </c>
      <c r="I95" s="41">
        <f t="shared" si="271"/>
        <v>408</v>
      </c>
      <c r="J95" s="42">
        <f>'2.TH'!J40+'4.TH-THCS'!J52</f>
        <v>406</v>
      </c>
      <c r="K95" s="42">
        <f>'2.TH'!K40+'4.TH-THCS'!K52</f>
        <v>2</v>
      </c>
      <c r="L95" s="42">
        <f>'2.TH'!L40+'4.TH-THCS'!L52</f>
        <v>0</v>
      </c>
      <c r="M95" s="41">
        <f t="shared" si="272"/>
        <v>407</v>
      </c>
      <c r="N95" s="42">
        <f>'2.TH'!N40+'4.TH-THCS'!N52</f>
        <v>405</v>
      </c>
      <c r="O95" s="42">
        <f>'2.TH'!O40+'4.TH-THCS'!O52</f>
        <v>2</v>
      </c>
      <c r="P95" s="42">
        <f>'2.TH'!P40+'4.TH-THCS'!P52</f>
        <v>0</v>
      </c>
      <c r="Q95" s="41">
        <f t="shared" si="273"/>
        <v>383</v>
      </c>
      <c r="R95" s="42">
        <f>'2.TH'!R40+'4.TH-THCS'!R52</f>
        <v>381</v>
      </c>
      <c r="S95" s="42">
        <f>'2.TH'!S40+'4.TH-THCS'!S52</f>
        <v>2</v>
      </c>
      <c r="T95" s="42">
        <f>'2.TH'!T40+'4.TH-THCS'!T52</f>
        <v>0</v>
      </c>
      <c r="U95" s="41">
        <f t="shared" si="274"/>
        <v>383</v>
      </c>
      <c r="V95" s="42">
        <f>'2.TH'!V40+'4.TH-THCS'!V52</f>
        <v>381</v>
      </c>
      <c r="W95" s="42">
        <f>'2.TH'!W40+'4.TH-THCS'!W52</f>
        <v>2</v>
      </c>
      <c r="X95" s="42">
        <f>'2.TH'!X40+'4.TH-THCS'!X52</f>
        <v>0</v>
      </c>
      <c r="Y95" s="41">
        <f t="shared" si="275"/>
        <v>383</v>
      </c>
      <c r="Z95" s="42">
        <f>'2.TH'!Z40+'4.TH-THCS'!Z52</f>
        <v>381</v>
      </c>
      <c r="AA95" s="42">
        <f>'2.TH'!AA40+'4.TH-THCS'!AA52</f>
        <v>2</v>
      </c>
      <c r="AB95" s="42">
        <f>'2.TH'!AB40+'4.TH-THCS'!AB52</f>
        <v>0</v>
      </c>
      <c r="AC95" s="41">
        <f t="shared" si="276"/>
        <v>782</v>
      </c>
      <c r="AD95" s="42">
        <f>'2.TH'!AD40+'4.TH-THCS'!AD52</f>
        <v>780</v>
      </c>
      <c r="AE95" s="42">
        <f>'2.TH'!AE40+'4.TH-THCS'!AE52</f>
        <v>2</v>
      </c>
      <c r="AF95" s="42">
        <f>'2.TH'!AF40+'4.TH-THCS'!AF52</f>
        <v>0</v>
      </c>
      <c r="AG95" s="41">
        <f t="shared" si="277"/>
        <v>1</v>
      </c>
      <c r="AH95" s="42">
        <f>'2.TH'!AH40+'4.TH-THCS'!AH52</f>
        <v>1</v>
      </c>
      <c r="AI95" s="42">
        <f>'2.TH'!AI40+'4.TH-THCS'!AI52</f>
        <v>0</v>
      </c>
      <c r="AJ95" s="42">
        <f>'2.TH'!AJ40+'4.TH-THCS'!AJ52</f>
        <v>0</v>
      </c>
      <c r="AK95" s="41">
        <f t="shared" si="278"/>
        <v>0</v>
      </c>
      <c r="AL95" s="42">
        <f>'2.TH'!AL40+'4.TH-THCS'!AL52</f>
        <v>0</v>
      </c>
      <c r="AM95" s="42">
        <f>'2.TH'!AM40+'4.TH-THCS'!AM52</f>
        <v>0</v>
      </c>
      <c r="AN95" s="42">
        <f>'2.TH'!AN40+'4.TH-THCS'!AN52</f>
        <v>0</v>
      </c>
      <c r="AO95" s="41">
        <f t="shared" si="279"/>
        <v>0</v>
      </c>
      <c r="AP95" s="42">
        <f>'2.TH'!AP40+'4.TH-THCS'!AP52</f>
        <v>0</v>
      </c>
      <c r="AQ95" s="42">
        <f>'2.TH'!AQ40+'4.TH-THCS'!AQ52</f>
        <v>0</v>
      </c>
      <c r="AR95" s="42">
        <f>'2.TH'!AR40+'4.TH-THCS'!AR52</f>
        <v>0</v>
      </c>
      <c r="AS95" s="41">
        <f t="shared" si="280"/>
        <v>0</v>
      </c>
      <c r="AT95" s="42">
        <f>'2.TH'!AT40+'4.TH-THCS'!AT52</f>
        <v>0</v>
      </c>
      <c r="AU95" s="42">
        <f>'2.TH'!AU40+'4.TH-THCS'!AU52</f>
        <v>0</v>
      </c>
      <c r="AV95" s="42">
        <f>'2.TH'!AV40+'4.TH-THCS'!AV52</f>
        <v>0</v>
      </c>
      <c r="AW95" s="41">
        <f t="shared" si="281"/>
        <v>0</v>
      </c>
      <c r="AX95" s="42">
        <f>'2.TH'!AX40+'4.TH-THCS'!AX52</f>
        <v>0</v>
      </c>
      <c r="AY95" s="42">
        <f>'2.TH'!AY40+'4.TH-THCS'!AY52</f>
        <v>0</v>
      </c>
      <c r="AZ95" s="43">
        <f>'2.TH'!AZ40+'4.TH-THCS'!AZ52</f>
        <v>0</v>
      </c>
      <c r="BA95" s="34"/>
    </row>
    <row r="96" ht="15.75" customHeight="1">
      <c r="A96" s="29"/>
      <c r="B96" s="67" t="s">
        <v>33</v>
      </c>
      <c r="C96" s="57"/>
      <c r="D96" s="31" t="s">
        <v>30</v>
      </c>
      <c r="E96" s="41">
        <f t="shared" si="270"/>
        <v>272</v>
      </c>
      <c r="F96" s="42">
        <f>'3.THCS'!F38+'4.TH-THCS'!F51-'4.TH-THCS'!F52+'6.THCS-THPT'!F48</f>
        <v>270</v>
      </c>
      <c r="G96" s="42">
        <f>'3.THCS'!G38+'4.TH-THCS'!G51-'4.TH-THCS'!G52+'6.THCS-THPT'!G48</f>
        <v>1</v>
      </c>
      <c r="H96" s="42">
        <f>'3.THCS'!H38+'4.TH-THCS'!H51-'4.TH-THCS'!H52+'6.THCS-THPT'!H48</f>
        <v>1</v>
      </c>
      <c r="I96" s="41">
        <f t="shared" si="271"/>
        <v>271</v>
      </c>
      <c r="J96" s="42">
        <f>'3.THCS'!J38+'4.TH-THCS'!J51-'4.TH-THCS'!J52+'6.THCS-THPT'!J48</f>
        <v>269</v>
      </c>
      <c r="K96" s="42">
        <f>'3.THCS'!K38+'4.TH-THCS'!K51-'4.TH-THCS'!K52+'6.THCS-THPT'!K48</f>
        <v>1</v>
      </c>
      <c r="L96" s="42">
        <f>'3.THCS'!L38+'4.TH-THCS'!L51-'4.TH-THCS'!L52+'6.THCS-THPT'!L48</f>
        <v>1</v>
      </c>
      <c r="M96" s="41">
        <f t="shared" si="272"/>
        <v>227</v>
      </c>
      <c r="N96" s="42">
        <f>'3.THCS'!N38+'4.TH-THCS'!N51-'4.TH-THCS'!N52+'6.THCS-THPT'!N48</f>
        <v>225</v>
      </c>
      <c r="O96" s="42">
        <f>'3.THCS'!O38+'4.TH-THCS'!O51-'4.TH-THCS'!O52+'6.THCS-THPT'!O48</f>
        <v>1</v>
      </c>
      <c r="P96" s="42">
        <f>'3.THCS'!P38+'4.TH-THCS'!P51-'4.TH-THCS'!P52+'6.THCS-THPT'!P48</f>
        <v>1</v>
      </c>
      <c r="Q96" s="41">
        <f t="shared" si="273"/>
        <v>226</v>
      </c>
      <c r="R96" s="42">
        <f>'3.THCS'!R38+'4.TH-THCS'!R51-'4.TH-THCS'!R52+'6.THCS-THPT'!R48</f>
        <v>223</v>
      </c>
      <c r="S96" s="42">
        <f>'3.THCS'!S38+'4.TH-THCS'!S51-'4.TH-THCS'!S52+'6.THCS-THPT'!S48</f>
        <v>2</v>
      </c>
      <c r="T96" s="42">
        <f>'3.THCS'!T38+'4.TH-THCS'!T51-'4.TH-THCS'!T52+'6.THCS-THPT'!T48</f>
        <v>1</v>
      </c>
      <c r="U96" s="41">
        <f t="shared" si="274"/>
        <v>229</v>
      </c>
      <c r="V96" s="42">
        <f>'3.THCS'!V38+'4.TH-THCS'!V51-'4.TH-THCS'!V52+'6.THCS-THPT'!V48</f>
        <v>227</v>
      </c>
      <c r="W96" s="42">
        <f>'3.THCS'!W38+'4.TH-THCS'!W51-'4.TH-THCS'!W52+'6.THCS-THPT'!W48</f>
        <v>1</v>
      </c>
      <c r="X96" s="42">
        <f>'3.THCS'!X38+'4.TH-THCS'!X51-'4.TH-THCS'!X52+'6.THCS-THPT'!X48</f>
        <v>1</v>
      </c>
      <c r="Y96" s="41">
        <f t="shared" si="275"/>
        <v>229</v>
      </c>
      <c r="Z96" s="42">
        <f>'3.THCS'!Z38+'4.TH-THCS'!Z51-'4.TH-THCS'!Z52+'6.THCS-THPT'!Z48</f>
        <v>227</v>
      </c>
      <c r="AA96" s="42">
        <f>'3.THCS'!AA38+'4.TH-THCS'!AA51-'4.TH-THCS'!AA52+'6.THCS-THPT'!AA48</f>
        <v>1</v>
      </c>
      <c r="AB96" s="42">
        <f>'3.THCS'!AB38+'4.TH-THCS'!AB51-'4.TH-THCS'!AB52+'6.THCS-THPT'!AB48</f>
        <v>1</v>
      </c>
      <c r="AC96" s="41">
        <f t="shared" si="276"/>
        <v>227</v>
      </c>
      <c r="AD96" s="42">
        <f>'3.THCS'!AD38+'4.TH-THCS'!AD51-'4.TH-THCS'!AD52+'6.THCS-THPT'!AD48</f>
        <v>225</v>
      </c>
      <c r="AE96" s="42">
        <f>'3.THCS'!AE38+'4.TH-THCS'!AE51-'4.TH-THCS'!AE52+'6.THCS-THPT'!AE48</f>
        <v>1</v>
      </c>
      <c r="AF96" s="42">
        <f>'3.THCS'!AF38+'4.TH-THCS'!AF51-'4.TH-THCS'!AF52+'6.THCS-THPT'!AF48</f>
        <v>1</v>
      </c>
      <c r="AG96" s="41">
        <f t="shared" si="277"/>
        <v>4</v>
      </c>
      <c r="AH96" s="42">
        <f>'3.THCS'!AH38+'4.TH-THCS'!AH51-'4.TH-THCS'!AH52+'6.THCS-THPT'!AH48</f>
        <v>3</v>
      </c>
      <c r="AI96" s="42">
        <f>'3.THCS'!AI38+'4.TH-THCS'!AI51-'4.TH-THCS'!AI52+'6.THCS-THPT'!AI48</f>
        <v>1</v>
      </c>
      <c r="AJ96" s="42">
        <f>'3.THCS'!AJ38+'4.TH-THCS'!AJ51-'4.TH-THCS'!AJ52+'6.THCS-THPT'!AJ48</f>
        <v>0</v>
      </c>
      <c r="AK96" s="41">
        <f t="shared" si="278"/>
        <v>0</v>
      </c>
      <c r="AL96" s="42">
        <f>'3.THCS'!AL38+'4.TH-THCS'!AL51-'4.TH-THCS'!AL52+'6.THCS-THPT'!AL48</f>
        <v>0</v>
      </c>
      <c r="AM96" s="42">
        <f>'3.THCS'!AM38+'4.TH-THCS'!AM51-'4.TH-THCS'!AM52+'6.THCS-THPT'!AM48</f>
        <v>0</v>
      </c>
      <c r="AN96" s="42">
        <f>'3.THCS'!AN38+'4.TH-THCS'!AN51-'4.TH-THCS'!AN52+'6.THCS-THPT'!AN48</f>
        <v>0</v>
      </c>
      <c r="AO96" s="41">
        <f t="shared" si="279"/>
        <v>0</v>
      </c>
      <c r="AP96" s="42">
        <f>'3.THCS'!AP38+'4.TH-THCS'!AP51-'4.TH-THCS'!AP52+'6.THCS-THPT'!AP48</f>
        <v>0</v>
      </c>
      <c r="AQ96" s="42">
        <f>'3.THCS'!AQ38+'4.TH-THCS'!AQ51-'4.TH-THCS'!AQ52+'6.THCS-THPT'!AQ48</f>
        <v>0</v>
      </c>
      <c r="AR96" s="42">
        <f>'3.THCS'!AR38+'4.TH-THCS'!AR51-'4.TH-THCS'!AR52+'6.THCS-THPT'!AR48</f>
        <v>0</v>
      </c>
      <c r="AS96" s="41">
        <f t="shared" si="280"/>
        <v>0</v>
      </c>
      <c r="AT96" s="42">
        <f>'3.THCS'!AT38+'4.TH-THCS'!AT51-'4.TH-THCS'!AT52+'6.THCS-THPT'!AT48</f>
        <v>0</v>
      </c>
      <c r="AU96" s="42">
        <f>'3.THCS'!AU38+'4.TH-THCS'!AU51-'4.TH-THCS'!AU52+'6.THCS-THPT'!AU48</f>
        <v>0</v>
      </c>
      <c r="AV96" s="42">
        <f>'3.THCS'!AV38+'4.TH-THCS'!AV51-'4.TH-THCS'!AV52+'6.THCS-THPT'!AV48</f>
        <v>0</v>
      </c>
      <c r="AW96" s="41">
        <f t="shared" si="281"/>
        <v>0</v>
      </c>
      <c r="AX96" s="42">
        <f>'3.THCS'!AX38+'4.TH-THCS'!AX51-'4.TH-THCS'!AX52+'6.THCS-THPT'!AX48</f>
        <v>0</v>
      </c>
      <c r="AY96" s="42">
        <f>'3.THCS'!AY38+'4.TH-THCS'!AY51-'4.TH-THCS'!AY52+'6.THCS-THPT'!AY48</f>
        <v>0</v>
      </c>
      <c r="AZ96" s="43">
        <f>'3.THCS'!AZ38+'4.TH-THCS'!AZ51-'4.TH-THCS'!AZ52+'6.THCS-THPT'!AZ48</f>
        <v>0</v>
      </c>
      <c r="BA96" s="34"/>
    </row>
    <row r="97" ht="15.75" customHeight="1">
      <c r="A97" s="29"/>
      <c r="B97" s="67" t="s">
        <v>35</v>
      </c>
      <c r="C97" s="57"/>
      <c r="D97" s="31" t="s">
        <v>30</v>
      </c>
      <c r="E97" s="41">
        <f t="shared" si="270"/>
        <v>103</v>
      </c>
      <c r="F97" s="42">
        <f>'5.THPT'!F36+'6.THCS-THPT'!F47-'6.THCS-THPT'!F48</f>
        <v>100</v>
      </c>
      <c r="G97" s="42">
        <f>'5.THPT'!G36+'6.THCS-THPT'!G47-'6.THCS-THPT'!G48</f>
        <v>0</v>
      </c>
      <c r="H97" s="42">
        <f>'5.THPT'!H36+'6.THCS-THPT'!H47-'6.THCS-THPT'!H48</f>
        <v>3</v>
      </c>
      <c r="I97" s="41">
        <f t="shared" si="271"/>
        <v>97</v>
      </c>
      <c r="J97" s="42">
        <f>'5.THPT'!J36+'6.THCS-THPT'!J47-'6.THCS-THPT'!J48</f>
        <v>97</v>
      </c>
      <c r="K97" s="42">
        <f>'5.THPT'!K36+'6.THCS-THPT'!K47-'6.THCS-THPT'!K48</f>
        <v>0</v>
      </c>
      <c r="L97" s="42">
        <f>'5.THPT'!L36+'6.THCS-THPT'!L47-'6.THCS-THPT'!L48</f>
        <v>0</v>
      </c>
      <c r="M97" s="41">
        <f t="shared" si="272"/>
        <v>95</v>
      </c>
      <c r="N97" s="42">
        <f>'5.THPT'!N36+'6.THCS-THPT'!N47-'6.THCS-THPT'!N48</f>
        <v>95</v>
      </c>
      <c r="O97" s="42">
        <f>'5.THPT'!O36+'6.THCS-THPT'!O47-'6.THCS-THPT'!O48</f>
        <v>0</v>
      </c>
      <c r="P97" s="42">
        <f>'5.THPT'!P36+'6.THCS-THPT'!P47-'6.THCS-THPT'!P48</f>
        <v>0</v>
      </c>
      <c r="Q97" s="41">
        <f t="shared" si="273"/>
        <v>95</v>
      </c>
      <c r="R97" s="42">
        <f>'5.THPT'!R36+'6.THCS-THPT'!R47-'6.THCS-THPT'!R48</f>
        <v>93</v>
      </c>
      <c r="S97" s="42">
        <f>'5.THPT'!S36+'6.THCS-THPT'!S47-'6.THCS-THPT'!S48</f>
        <v>2</v>
      </c>
      <c r="T97" s="42">
        <f>'5.THPT'!T36+'6.THCS-THPT'!T47-'6.THCS-THPT'!T48</f>
        <v>0</v>
      </c>
      <c r="U97" s="41">
        <f t="shared" si="274"/>
        <v>99</v>
      </c>
      <c r="V97" s="42">
        <f>'5.THPT'!V36+'6.THCS-THPT'!V47-'6.THCS-THPT'!V48</f>
        <v>99</v>
      </c>
      <c r="W97" s="42">
        <f>'5.THPT'!W36+'6.THCS-THPT'!W47-'6.THCS-THPT'!W48</f>
        <v>0</v>
      </c>
      <c r="X97" s="42">
        <f>'5.THPT'!X36+'6.THCS-THPT'!X47-'6.THCS-THPT'!X48</f>
        <v>0</v>
      </c>
      <c r="Y97" s="41">
        <f t="shared" si="275"/>
        <v>99</v>
      </c>
      <c r="Z97" s="42">
        <f>'5.THPT'!Z36+'6.THCS-THPT'!Z47-'6.THCS-THPT'!Z48</f>
        <v>99</v>
      </c>
      <c r="AA97" s="42">
        <f>'5.THPT'!AA36+'6.THCS-THPT'!AA47-'6.THCS-THPT'!AA48</f>
        <v>0</v>
      </c>
      <c r="AB97" s="42">
        <f>'5.THPT'!AB36+'6.THCS-THPT'!AB47-'6.THCS-THPT'!AB48</f>
        <v>0</v>
      </c>
      <c r="AC97" s="41">
        <f t="shared" si="276"/>
        <v>99</v>
      </c>
      <c r="AD97" s="42">
        <f>'5.THPT'!AD36+'6.THCS-THPT'!AD47-'6.THCS-THPT'!AD48</f>
        <v>96</v>
      </c>
      <c r="AE97" s="42">
        <f>'5.THPT'!AE36+'6.THCS-THPT'!AE47-'6.THCS-THPT'!AE48</f>
        <v>0</v>
      </c>
      <c r="AF97" s="42">
        <f>'5.THPT'!AF36+'6.THCS-THPT'!AF47-'6.THCS-THPT'!AF48</f>
        <v>3</v>
      </c>
      <c r="AG97" s="41">
        <f t="shared" si="277"/>
        <v>21</v>
      </c>
      <c r="AH97" s="42">
        <f>'5.THPT'!AH36+'6.THCS-THPT'!AH47-'6.THCS-THPT'!AH48</f>
        <v>21</v>
      </c>
      <c r="AI97" s="42">
        <f>'5.THPT'!AI36+'6.THCS-THPT'!AI47-'6.THCS-THPT'!AI48</f>
        <v>0</v>
      </c>
      <c r="AJ97" s="42">
        <f>'5.THPT'!AJ36+'6.THCS-THPT'!AJ47-'6.THCS-THPT'!AJ48</f>
        <v>0</v>
      </c>
      <c r="AK97" s="41">
        <f t="shared" si="278"/>
        <v>3</v>
      </c>
      <c r="AL97" s="42">
        <f>'5.THPT'!AL36+'6.THCS-THPT'!AL47-'6.THCS-THPT'!AL48</f>
        <v>3</v>
      </c>
      <c r="AM97" s="42">
        <f>'5.THPT'!AM36+'6.THCS-THPT'!AM47-'6.THCS-THPT'!AM48</f>
        <v>0</v>
      </c>
      <c r="AN97" s="42">
        <f>'5.THPT'!AN36+'6.THCS-THPT'!AN47-'6.THCS-THPT'!AN48</f>
        <v>0</v>
      </c>
      <c r="AO97" s="41">
        <f t="shared" si="279"/>
        <v>3</v>
      </c>
      <c r="AP97" s="42">
        <f>'5.THPT'!AP36+'6.THCS-THPT'!AP47-'6.THCS-THPT'!AP48</f>
        <v>3</v>
      </c>
      <c r="AQ97" s="42">
        <f>'5.THPT'!AQ36+'6.THCS-THPT'!AQ47-'6.THCS-THPT'!AQ48</f>
        <v>0</v>
      </c>
      <c r="AR97" s="42">
        <f>'5.THPT'!AR36+'6.THCS-THPT'!AR47-'6.THCS-THPT'!AR48</f>
        <v>0</v>
      </c>
      <c r="AS97" s="41">
        <f t="shared" si="280"/>
        <v>3</v>
      </c>
      <c r="AT97" s="42">
        <f>'5.THPT'!AT36+'6.THCS-THPT'!AT47-'6.THCS-THPT'!AT48</f>
        <v>3</v>
      </c>
      <c r="AU97" s="42">
        <f>'5.THPT'!AU36+'6.THCS-THPT'!AU47-'6.THCS-THPT'!AU48</f>
        <v>0</v>
      </c>
      <c r="AV97" s="42">
        <f>'5.THPT'!AV36+'6.THCS-THPT'!AV47-'6.THCS-THPT'!AV48</f>
        <v>0</v>
      </c>
      <c r="AW97" s="41">
        <f t="shared" si="281"/>
        <v>3</v>
      </c>
      <c r="AX97" s="42">
        <f>'5.THPT'!AX36+'6.THCS-THPT'!AX47-'6.THCS-THPT'!AX48</f>
        <v>3</v>
      </c>
      <c r="AY97" s="42">
        <f>'5.THPT'!AY36+'6.THCS-THPT'!AY47-'6.THCS-THPT'!AY48</f>
        <v>0</v>
      </c>
      <c r="AZ97" s="43">
        <f>'5.THPT'!AZ36+'6.THCS-THPT'!AZ47-'6.THCS-THPT'!AZ48</f>
        <v>0</v>
      </c>
      <c r="BA97" s="34"/>
    </row>
    <row r="98" ht="15.75" customHeight="1">
      <c r="A98" s="29"/>
      <c r="B98" s="118" t="s">
        <v>109</v>
      </c>
      <c r="C98" s="36"/>
      <c r="D98" s="36" t="s">
        <v>89</v>
      </c>
      <c r="E98" s="37">
        <f t="shared" si="270"/>
        <v>14304</v>
      </c>
      <c r="F98" s="37">
        <f t="shared" ref="F98:H98" si="282">F99+F100+F101+F102</f>
        <v>13991</v>
      </c>
      <c r="G98" s="37">
        <f t="shared" si="282"/>
        <v>26</v>
      </c>
      <c r="H98" s="37">
        <f t="shared" si="282"/>
        <v>287</v>
      </c>
      <c r="I98" s="37">
        <f t="shared" si="271"/>
        <v>14021</v>
      </c>
      <c r="J98" s="37">
        <f t="shared" ref="J98:L98" si="283">J99+J100+J101+J102</f>
        <v>13982</v>
      </c>
      <c r="K98" s="37">
        <f t="shared" si="283"/>
        <v>26</v>
      </c>
      <c r="L98" s="37">
        <f t="shared" si="283"/>
        <v>13</v>
      </c>
      <c r="M98" s="37">
        <f t="shared" si="272"/>
        <v>13591</v>
      </c>
      <c r="N98" s="37">
        <f t="shared" ref="N98:P98" si="284">N99+N100+N101+N102</f>
        <v>13560</v>
      </c>
      <c r="O98" s="37">
        <f t="shared" si="284"/>
        <v>26</v>
      </c>
      <c r="P98" s="37">
        <f t="shared" si="284"/>
        <v>5</v>
      </c>
      <c r="Q98" s="37">
        <f t="shared" si="273"/>
        <v>13602</v>
      </c>
      <c r="R98" s="37">
        <f t="shared" ref="R98:T98" si="285">R99+R100+R101+R102</f>
        <v>13514</v>
      </c>
      <c r="S98" s="37">
        <f t="shared" si="285"/>
        <v>83</v>
      </c>
      <c r="T98" s="37">
        <f t="shared" si="285"/>
        <v>5</v>
      </c>
      <c r="U98" s="37">
        <f t="shared" si="274"/>
        <v>13634</v>
      </c>
      <c r="V98" s="37">
        <f t="shared" ref="V98:X98" si="286">V99+V100+V101+V102</f>
        <v>13603</v>
      </c>
      <c r="W98" s="37">
        <f t="shared" si="286"/>
        <v>26</v>
      </c>
      <c r="X98" s="37">
        <f t="shared" si="286"/>
        <v>5</v>
      </c>
      <c r="Y98" s="37">
        <f t="shared" si="275"/>
        <v>13667</v>
      </c>
      <c r="Z98" s="37">
        <f t="shared" ref="Z98:AB98" si="287">Z99+Z100+Z101+Z102</f>
        <v>13633</v>
      </c>
      <c r="AA98" s="37">
        <f t="shared" si="287"/>
        <v>26</v>
      </c>
      <c r="AB98" s="37">
        <f t="shared" si="287"/>
        <v>8</v>
      </c>
      <c r="AC98" s="37">
        <f t="shared" si="276"/>
        <v>13481</v>
      </c>
      <c r="AD98" s="37">
        <f t="shared" ref="AD98:AF98" si="288">AD99+AD100+AD101+AD102</f>
        <v>13452</v>
      </c>
      <c r="AE98" s="37">
        <f t="shared" si="288"/>
        <v>26</v>
      </c>
      <c r="AF98" s="37">
        <f t="shared" si="288"/>
        <v>3</v>
      </c>
      <c r="AG98" s="37">
        <f t="shared" si="277"/>
        <v>429</v>
      </c>
      <c r="AH98" s="37">
        <f t="shared" ref="AH98:AJ98" si="289">AH99+AH100+AH101+AH102</f>
        <v>421</v>
      </c>
      <c r="AI98" s="37">
        <f t="shared" si="289"/>
        <v>8</v>
      </c>
      <c r="AJ98" s="37">
        <f t="shared" si="289"/>
        <v>0</v>
      </c>
      <c r="AK98" s="37">
        <f t="shared" si="278"/>
        <v>52</v>
      </c>
      <c r="AL98" s="37">
        <f t="shared" ref="AL98:AN98" si="290">AL99+AL100+AL101+AL102</f>
        <v>52</v>
      </c>
      <c r="AM98" s="37">
        <f t="shared" si="290"/>
        <v>0</v>
      </c>
      <c r="AN98" s="37">
        <f t="shared" si="290"/>
        <v>0</v>
      </c>
      <c r="AO98" s="37">
        <f t="shared" si="279"/>
        <v>52</v>
      </c>
      <c r="AP98" s="37">
        <f t="shared" ref="AP98:AR98" si="291">AP99+AP100+AP101+AP102</f>
        <v>52</v>
      </c>
      <c r="AQ98" s="37">
        <f t="shared" si="291"/>
        <v>0</v>
      </c>
      <c r="AR98" s="37">
        <f t="shared" si="291"/>
        <v>0</v>
      </c>
      <c r="AS98" s="37">
        <f t="shared" si="280"/>
        <v>52</v>
      </c>
      <c r="AT98" s="37">
        <f t="shared" ref="AT98:AV98" si="292">AT99+AT100+AT101+AT102</f>
        <v>52</v>
      </c>
      <c r="AU98" s="37">
        <f t="shared" si="292"/>
        <v>0</v>
      </c>
      <c r="AV98" s="37">
        <f t="shared" si="292"/>
        <v>0</v>
      </c>
      <c r="AW98" s="37">
        <f t="shared" si="281"/>
        <v>52</v>
      </c>
      <c r="AX98" s="37">
        <f t="shared" ref="AX98:AZ98" si="293">AX99+AX100+AX101+AX102</f>
        <v>52</v>
      </c>
      <c r="AY98" s="37">
        <f t="shared" si="293"/>
        <v>0</v>
      </c>
      <c r="AZ98" s="38">
        <f t="shared" si="293"/>
        <v>0</v>
      </c>
      <c r="BA98" s="34"/>
    </row>
    <row r="99" ht="15.75" customHeight="1">
      <c r="A99" s="29"/>
      <c r="B99" s="67" t="s">
        <v>29</v>
      </c>
      <c r="C99" s="57"/>
      <c r="D99" s="31" t="s">
        <v>30</v>
      </c>
      <c r="E99" s="41">
        <f t="shared" si="270"/>
        <v>2976</v>
      </c>
      <c r="F99" s="42">
        <f>'1.MN'!F46</f>
        <v>2689</v>
      </c>
      <c r="G99" s="42">
        <f>'1.MN'!G46</f>
        <v>0</v>
      </c>
      <c r="H99" s="42">
        <f>'1.MN'!H46</f>
        <v>287</v>
      </c>
      <c r="I99" s="41">
        <f t="shared" si="271"/>
        <v>2862</v>
      </c>
      <c r="J99" s="42">
        <f>'1.MN'!J46</f>
        <v>2849</v>
      </c>
      <c r="K99" s="42">
        <f>'1.MN'!K46</f>
        <v>0</v>
      </c>
      <c r="L99" s="42">
        <f>'1.MN'!L46</f>
        <v>13</v>
      </c>
      <c r="M99" s="41">
        <f t="shared" si="272"/>
        <v>2798</v>
      </c>
      <c r="N99" s="42">
        <f>'1.MN'!N46</f>
        <v>2793</v>
      </c>
      <c r="O99" s="42">
        <f>'1.MN'!O46</f>
        <v>0</v>
      </c>
      <c r="P99" s="42">
        <f>'1.MN'!P46</f>
        <v>5</v>
      </c>
      <c r="Q99" s="41">
        <f t="shared" si="273"/>
        <v>2829</v>
      </c>
      <c r="R99" s="42">
        <f>'1.MN'!R46</f>
        <v>2824</v>
      </c>
      <c r="S99" s="42">
        <f>'1.MN'!S46</f>
        <v>0</v>
      </c>
      <c r="T99" s="42">
        <f>'1.MN'!T46</f>
        <v>5</v>
      </c>
      <c r="U99" s="41">
        <f t="shared" si="274"/>
        <v>2832</v>
      </c>
      <c r="V99" s="42">
        <f>'1.MN'!V46</f>
        <v>2827</v>
      </c>
      <c r="W99" s="42">
        <f>'1.MN'!W46</f>
        <v>0</v>
      </c>
      <c r="X99" s="42">
        <f>'1.MN'!X46</f>
        <v>5</v>
      </c>
      <c r="Y99" s="41">
        <f t="shared" si="275"/>
        <v>2866</v>
      </c>
      <c r="Z99" s="42">
        <f>'1.MN'!Z46</f>
        <v>2858</v>
      </c>
      <c r="AA99" s="42">
        <f>'1.MN'!AA46</f>
        <v>0</v>
      </c>
      <c r="AB99" s="42">
        <f>'1.MN'!AB46</f>
        <v>8</v>
      </c>
      <c r="AC99" s="41">
        <f t="shared" si="276"/>
        <v>2856</v>
      </c>
      <c r="AD99" s="42">
        <f>'1.MN'!AD46</f>
        <v>2853</v>
      </c>
      <c r="AE99" s="42">
        <f>'1.MN'!AE46</f>
        <v>0</v>
      </c>
      <c r="AF99" s="42">
        <f>'1.MN'!AF46</f>
        <v>3</v>
      </c>
      <c r="AG99" s="41">
        <f t="shared" si="277"/>
        <v>0</v>
      </c>
      <c r="AH99" s="42">
        <f>'1.MN'!AH46</f>
        <v>0</v>
      </c>
      <c r="AI99" s="42">
        <f>'1.MN'!AI46</f>
        <v>0</v>
      </c>
      <c r="AJ99" s="42">
        <f>'1.MN'!AJ46</f>
        <v>0</v>
      </c>
      <c r="AK99" s="41">
        <f t="shared" si="278"/>
        <v>0</v>
      </c>
      <c r="AL99" s="42">
        <f>'1.MN'!AL46</f>
        <v>0</v>
      </c>
      <c r="AM99" s="42">
        <f>'1.MN'!AM46</f>
        <v>0</v>
      </c>
      <c r="AN99" s="42">
        <f>'1.MN'!AN46</f>
        <v>0</v>
      </c>
      <c r="AO99" s="41">
        <f t="shared" si="279"/>
        <v>0</v>
      </c>
      <c r="AP99" s="42">
        <f>'1.MN'!AP46</f>
        <v>0</v>
      </c>
      <c r="AQ99" s="42">
        <f>'1.MN'!AQ46</f>
        <v>0</v>
      </c>
      <c r="AR99" s="42">
        <f>'1.MN'!AR46</f>
        <v>0</v>
      </c>
      <c r="AS99" s="41">
        <f t="shared" si="280"/>
        <v>0</v>
      </c>
      <c r="AT99" s="42">
        <f>'1.MN'!AT46</f>
        <v>0</v>
      </c>
      <c r="AU99" s="42">
        <f>'1.MN'!AU46</f>
        <v>0</v>
      </c>
      <c r="AV99" s="42">
        <f>'1.MN'!AV46</f>
        <v>0</v>
      </c>
      <c r="AW99" s="41">
        <f t="shared" si="281"/>
        <v>0</v>
      </c>
      <c r="AX99" s="42">
        <f>'1.MN'!AX46</f>
        <v>0</v>
      </c>
      <c r="AY99" s="42">
        <f>'1.MN'!AY46</f>
        <v>0</v>
      </c>
      <c r="AZ99" s="43">
        <f>'1.MN'!AZ46</f>
        <v>0</v>
      </c>
      <c r="BA99" s="34"/>
    </row>
    <row r="100" ht="15.75" customHeight="1">
      <c r="A100" s="29"/>
      <c r="B100" s="67" t="s">
        <v>31</v>
      </c>
      <c r="C100" s="57"/>
      <c r="D100" s="31" t="s">
        <v>30</v>
      </c>
      <c r="E100" s="41">
        <f t="shared" si="270"/>
        <v>5779</v>
      </c>
      <c r="F100" s="42">
        <f>'2.TH'!F41+'4.TH-THCS'!F54</f>
        <v>5754</v>
      </c>
      <c r="G100" s="42">
        <f>'2.TH'!G41+'4.TH-THCS'!G54</f>
        <v>25</v>
      </c>
      <c r="H100" s="42">
        <f>'2.TH'!H41+'4.TH-THCS'!H54</f>
        <v>0</v>
      </c>
      <c r="I100" s="41">
        <f t="shared" si="271"/>
        <v>5737</v>
      </c>
      <c r="J100" s="42">
        <f>'2.TH'!J41+'4.TH-THCS'!J54</f>
        <v>5712</v>
      </c>
      <c r="K100" s="42">
        <f>'2.TH'!K41+'4.TH-THCS'!K54</f>
        <v>25</v>
      </c>
      <c r="L100" s="42">
        <f>'2.TH'!L41+'4.TH-THCS'!L54</f>
        <v>0</v>
      </c>
      <c r="M100" s="41">
        <f t="shared" si="272"/>
        <v>5397</v>
      </c>
      <c r="N100" s="42">
        <f>'2.TH'!N41+'4.TH-THCS'!N54</f>
        <v>5372</v>
      </c>
      <c r="O100" s="42">
        <f>'2.TH'!O41+'4.TH-THCS'!O54</f>
        <v>25</v>
      </c>
      <c r="P100" s="42">
        <f>'2.TH'!P41+'4.TH-THCS'!P54</f>
        <v>0</v>
      </c>
      <c r="Q100" s="41">
        <f t="shared" si="273"/>
        <v>5384</v>
      </c>
      <c r="R100" s="42">
        <f>'2.TH'!R41+'4.TH-THCS'!R54</f>
        <v>5359</v>
      </c>
      <c r="S100" s="42">
        <f>'2.TH'!S41+'4.TH-THCS'!S54</f>
        <v>25</v>
      </c>
      <c r="T100" s="42">
        <f>'2.TH'!T41+'4.TH-THCS'!T54</f>
        <v>0</v>
      </c>
      <c r="U100" s="41">
        <f t="shared" si="274"/>
        <v>5385</v>
      </c>
      <c r="V100" s="42">
        <f>'2.TH'!V41+'4.TH-THCS'!V54</f>
        <v>5360</v>
      </c>
      <c r="W100" s="42">
        <f>'2.TH'!W41+'4.TH-THCS'!W54</f>
        <v>25</v>
      </c>
      <c r="X100" s="42">
        <f>'2.TH'!X41+'4.TH-THCS'!X54</f>
        <v>0</v>
      </c>
      <c r="Y100" s="41">
        <f t="shared" si="275"/>
        <v>5384</v>
      </c>
      <c r="Z100" s="42">
        <f>'2.TH'!Z41+'4.TH-THCS'!Z54</f>
        <v>5359</v>
      </c>
      <c r="AA100" s="42">
        <f>'2.TH'!AA41+'4.TH-THCS'!AA54</f>
        <v>25</v>
      </c>
      <c r="AB100" s="42">
        <f>'2.TH'!AB41+'4.TH-THCS'!AB54</f>
        <v>0</v>
      </c>
      <c r="AC100" s="41">
        <f t="shared" si="276"/>
        <v>5388</v>
      </c>
      <c r="AD100" s="42">
        <f>'2.TH'!AD41+'4.TH-THCS'!AD54</f>
        <v>5363</v>
      </c>
      <c r="AE100" s="42">
        <f>'2.TH'!AE41+'4.TH-THCS'!AE54</f>
        <v>25</v>
      </c>
      <c r="AF100" s="42">
        <f>'2.TH'!AF41+'4.TH-THCS'!AF54</f>
        <v>0</v>
      </c>
      <c r="AG100" s="41">
        <f t="shared" si="277"/>
        <v>14</v>
      </c>
      <c r="AH100" s="42">
        <f>'2.TH'!AH41+'4.TH-THCS'!AH54</f>
        <v>7</v>
      </c>
      <c r="AI100" s="42">
        <f>'2.TH'!AI41+'4.TH-THCS'!AI54</f>
        <v>7</v>
      </c>
      <c r="AJ100" s="42">
        <f>'2.TH'!AJ41+'4.TH-THCS'!AJ54</f>
        <v>0</v>
      </c>
      <c r="AK100" s="41">
        <f t="shared" si="278"/>
        <v>0</v>
      </c>
      <c r="AL100" s="42">
        <f>'2.TH'!AL41+'4.TH-THCS'!AL54</f>
        <v>0</v>
      </c>
      <c r="AM100" s="42">
        <f>'2.TH'!AM41+'4.TH-THCS'!AM54</f>
        <v>0</v>
      </c>
      <c r="AN100" s="42">
        <f>'2.TH'!AN41+'4.TH-THCS'!AN54</f>
        <v>0</v>
      </c>
      <c r="AO100" s="41">
        <f t="shared" si="279"/>
        <v>0</v>
      </c>
      <c r="AP100" s="42">
        <f>'2.TH'!AP41+'4.TH-THCS'!AP54</f>
        <v>0</v>
      </c>
      <c r="AQ100" s="42">
        <f>'2.TH'!AQ41+'4.TH-THCS'!AQ54</f>
        <v>0</v>
      </c>
      <c r="AR100" s="42">
        <f>'2.TH'!AR41+'4.TH-THCS'!AR54</f>
        <v>0</v>
      </c>
      <c r="AS100" s="41">
        <f t="shared" si="280"/>
        <v>0</v>
      </c>
      <c r="AT100" s="42">
        <f>'2.TH'!AT41+'4.TH-THCS'!AT54</f>
        <v>0</v>
      </c>
      <c r="AU100" s="42">
        <f>'2.TH'!AU41+'4.TH-THCS'!AU54</f>
        <v>0</v>
      </c>
      <c r="AV100" s="42">
        <f>'2.TH'!AV41+'4.TH-THCS'!AV54</f>
        <v>0</v>
      </c>
      <c r="AW100" s="41">
        <f t="shared" si="281"/>
        <v>0</v>
      </c>
      <c r="AX100" s="42">
        <f>'2.TH'!AX41+'4.TH-THCS'!AX54</f>
        <v>0</v>
      </c>
      <c r="AY100" s="42">
        <f>'2.TH'!AY41+'4.TH-THCS'!AY54</f>
        <v>0</v>
      </c>
      <c r="AZ100" s="43">
        <f>'2.TH'!AZ41+'4.TH-THCS'!AZ54</f>
        <v>0</v>
      </c>
      <c r="BA100" s="34"/>
    </row>
    <row r="101" ht="15.75" customHeight="1">
      <c r="A101" s="29"/>
      <c r="B101" s="67" t="s">
        <v>33</v>
      </c>
      <c r="C101" s="57"/>
      <c r="D101" s="31" t="s">
        <v>30</v>
      </c>
      <c r="E101" s="41">
        <f t="shared" si="270"/>
        <v>3872</v>
      </c>
      <c r="F101" s="42">
        <f>'3.THCS'!F39+'4.TH-THCS'!F59+'6.THCS-THPT'!F50</f>
        <v>3871</v>
      </c>
      <c r="G101" s="42">
        <f>'3.THCS'!G39+'4.TH-THCS'!G59+'6.THCS-THPT'!G50</f>
        <v>1</v>
      </c>
      <c r="H101" s="42">
        <f>'3.THCS'!H39+'4.TH-THCS'!H59+'6.THCS-THPT'!H50</f>
        <v>0</v>
      </c>
      <c r="I101" s="41">
        <f t="shared" si="271"/>
        <v>3811</v>
      </c>
      <c r="J101" s="42">
        <f>'3.THCS'!J39+'4.TH-THCS'!J59+'6.THCS-THPT'!J50</f>
        <v>3810</v>
      </c>
      <c r="K101" s="42">
        <f>'3.THCS'!K39+'4.TH-THCS'!K59+'6.THCS-THPT'!K50</f>
        <v>1</v>
      </c>
      <c r="L101" s="42">
        <f>'3.THCS'!L39+'4.TH-THCS'!L59+'6.THCS-THPT'!L50</f>
        <v>0</v>
      </c>
      <c r="M101" s="41">
        <f t="shared" si="272"/>
        <v>3790</v>
      </c>
      <c r="N101" s="42">
        <f>'3.THCS'!N39+'4.TH-THCS'!N59+'6.THCS-THPT'!N50</f>
        <v>3789</v>
      </c>
      <c r="O101" s="42">
        <f>'3.THCS'!O39+'4.TH-THCS'!O59+'6.THCS-THPT'!O50</f>
        <v>1</v>
      </c>
      <c r="P101" s="42">
        <f>'3.THCS'!P39+'4.TH-THCS'!P59+'6.THCS-THPT'!P50</f>
        <v>0</v>
      </c>
      <c r="Q101" s="41">
        <f t="shared" si="273"/>
        <v>3786</v>
      </c>
      <c r="R101" s="42">
        <f>'3.THCS'!R39+'4.TH-THCS'!R59+'6.THCS-THPT'!R50</f>
        <v>3756</v>
      </c>
      <c r="S101" s="42">
        <f>'3.THCS'!S39+'4.TH-THCS'!S59+'6.THCS-THPT'!S50</f>
        <v>30</v>
      </c>
      <c r="T101" s="42">
        <f>'3.THCS'!T39+'4.TH-THCS'!T59+'6.THCS-THPT'!T50</f>
        <v>0</v>
      </c>
      <c r="U101" s="41">
        <f t="shared" si="274"/>
        <v>3814</v>
      </c>
      <c r="V101" s="42">
        <f>'3.THCS'!V39+'4.TH-THCS'!V59+'6.THCS-THPT'!V50</f>
        <v>3813</v>
      </c>
      <c r="W101" s="42">
        <f>'3.THCS'!W39+'4.TH-THCS'!W59+'6.THCS-THPT'!W50</f>
        <v>1</v>
      </c>
      <c r="X101" s="42">
        <f>'3.THCS'!X39+'4.TH-THCS'!X59+'6.THCS-THPT'!X50</f>
        <v>0</v>
      </c>
      <c r="Y101" s="41">
        <f t="shared" si="275"/>
        <v>3814</v>
      </c>
      <c r="Z101" s="42">
        <f>'3.THCS'!Z39+'4.TH-THCS'!Z59+'6.THCS-THPT'!Z50</f>
        <v>3813</v>
      </c>
      <c r="AA101" s="42">
        <f>'3.THCS'!AA39+'4.TH-THCS'!AA59+'6.THCS-THPT'!AA50</f>
        <v>1</v>
      </c>
      <c r="AB101" s="42">
        <f>'3.THCS'!AB39+'4.TH-THCS'!AB59+'6.THCS-THPT'!AB50</f>
        <v>0</v>
      </c>
      <c r="AC101" s="41">
        <f t="shared" si="276"/>
        <v>3711</v>
      </c>
      <c r="AD101" s="42">
        <f>'3.THCS'!AD39+'4.TH-THCS'!AD59+'6.THCS-THPT'!AD50</f>
        <v>3710</v>
      </c>
      <c r="AE101" s="42">
        <f>'3.THCS'!AE39+'4.TH-THCS'!AE59+'6.THCS-THPT'!AE50</f>
        <v>1</v>
      </c>
      <c r="AF101" s="42">
        <f>'3.THCS'!AF39+'4.TH-THCS'!AF59+'6.THCS-THPT'!AF50</f>
        <v>0</v>
      </c>
      <c r="AG101" s="41">
        <f t="shared" si="277"/>
        <v>113</v>
      </c>
      <c r="AH101" s="42">
        <f>'3.THCS'!AH39+'4.TH-THCS'!AH59+'6.THCS-THPT'!AH50</f>
        <v>112</v>
      </c>
      <c r="AI101" s="42">
        <f>'3.THCS'!AI39+'4.TH-THCS'!AI59+'6.THCS-THPT'!AI50</f>
        <v>1</v>
      </c>
      <c r="AJ101" s="42">
        <f>'3.THCS'!AJ39+'4.TH-THCS'!AJ59+'6.THCS-THPT'!AJ50</f>
        <v>0</v>
      </c>
      <c r="AK101" s="41">
        <f t="shared" si="278"/>
        <v>31</v>
      </c>
      <c r="AL101" s="42">
        <f>'3.THCS'!AL39+'4.TH-THCS'!AL59+'6.THCS-THPT'!AL50</f>
        <v>31</v>
      </c>
      <c r="AM101" s="42">
        <f>'3.THCS'!AM39+'4.TH-THCS'!AM59+'6.THCS-THPT'!AM50</f>
        <v>0</v>
      </c>
      <c r="AN101" s="42">
        <f>'3.THCS'!AN39+'4.TH-THCS'!AN59+'6.THCS-THPT'!AN50</f>
        <v>0</v>
      </c>
      <c r="AO101" s="41">
        <f t="shared" si="279"/>
        <v>31</v>
      </c>
      <c r="AP101" s="42">
        <f>'3.THCS'!AP39+'4.TH-THCS'!AP59+'6.THCS-THPT'!AP50</f>
        <v>31</v>
      </c>
      <c r="AQ101" s="42">
        <f>'3.THCS'!AQ39+'4.TH-THCS'!AQ59+'6.THCS-THPT'!AQ50</f>
        <v>0</v>
      </c>
      <c r="AR101" s="42">
        <f>'3.THCS'!AR39+'4.TH-THCS'!AR59+'6.THCS-THPT'!AR50</f>
        <v>0</v>
      </c>
      <c r="AS101" s="41">
        <f t="shared" si="280"/>
        <v>31</v>
      </c>
      <c r="AT101" s="42">
        <f>'3.THCS'!AT39+'4.TH-THCS'!AT59+'6.THCS-THPT'!AT50</f>
        <v>31</v>
      </c>
      <c r="AU101" s="42">
        <f>'3.THCS'!AU39+'4.TH-THCS'!AU59+'6.THCS-THPT'!AU50</f>
        <v>0</v>
      </c>
      <c r="AV101" s="42">
        <f>'3.THCS'!AV39+'4.TH-THCS'!AV59+'6.THCS-THPT'!AV50</f>
        <v>0</v>
      </c>
      <c r="AW101" s="41">
        <f t="shared" si="281"/>
        <v>31</v>
      </c>
      <c r="AX101" s="42">
        <f>'3.THCS'!AX39+'4.TH-THCS'!AX59+'6.THCS-THPT'!AX50</f>
        <v>31</v>
      </c>
      <c r="AY101" s="42">
        <f>'3.THCS'!AY39+'4.TH-THCS'!AY59+'6.THCS-THPT'!AY50</f>
        <v>0</v>
      </c>
      <c r="AZ101" s="43">
        <f>'3.THCS'!AZ39+'4.TH-THCS'!AZ59+'6.THCS-THPT'!AZ50</f>
        <v>0</v>
      </c>
      <c r="BA101" s="34"/>
    </row>
    <row r="102" ht="15.75" customHeight="1">
      <c r="A102" s="29"/>
      <c r="B102" s="67" t="s">
        <v>35</v>
      </c>
      <c r="C102" s="57"/>
      <c r="D102" s="31" t="s">
        <v>30</v>
      </c>
      <c r="E102" s="41">
        <f t="shared" si="270"/>
        <v>1677</v>
      </c>
      <c r="F102" s="42">
        <f>'5.THPT'!F37+'6.THCS-THPT'!F55</f>
        <v>1677</v>
      </c>
      <c r="G102" s="42">
        <f>'5.THPT'!G37+'6.THCS-THPT'!G55</f>
        <v>0</v>
      </c>
      <c r="H102" s="42">
        <f>'5.THPT'!H37+'6.THCS-THPT'!H55</f>
        <v>0</v>
      </c>
      <c r="I102" s="41">
        <f t="shared" si="271"/>
        <v>1611</v>
      </c>
      <c r="J102" s="42">
        <f>'5.THPT'!J37+'6.THCS-THPT'!J55</f>
        <v>1611</v>
      </c>
      <c r="K102" s="42">
        <f>'5.THPT'!K37+'6.THCS-THPT'!K55</f>
        <v>0</v>
      </c>
      <c r="L102" s="42">
        <f>'5.THPT'!L37+'6.THCS-THPT'!L55</f>
        <v>0</v>
      </c>
      <c r="M102" s="41">
        <f t="shared" si="272"/>
        <v>1606</v>
      </c>
      <c r="N102" s="42">
        <f>'5.THPT'!N37+'6.THCS-THPT'!N55</f>
        <v>1606</v>
      </c>
      <c r="O102" s="42">
        <f>'5.THPT'!O37+'6.THCS-THPT'!O55</f>
        <v>0</v>
      </c>
      <c r="P102" s="42">
        <f>'5.THPT'!P37+'6.THCS-THPT'!P55</f>
        <v>0</v>
      </c>
      <c r="Q102" s="41">
        <f t="shared" si="273"/>
        <v>1603</v>
      </c>
      <c r="R102" s="42">
        <f>'5.THPT'!R37+'6.THCS-THPT'!R55</f>
        <v>1575</v>
      </c>
      <c r="S102" s="42">
        <f>'5.THPT'!S37+'6.THCS-THPT'!S55</f>
        <v>28</v>
      </c>
      <c r="T102" s="42">
        <f>'5.THPT'!T37+'6.THCS-THPT'!T55</f>
        <v>0</v>
      </c>
      <c r="U102" s="41">
        <f t="shared" si="274"/>
        <v>1603</v>
      </c>
      <c r="V102" s="42">
        <f>'5.THPT'!V37+'6.THCS-THPT'!V55</f>
        <v>1603</v>
      </c>
      <c r="W102" s="42">
        <f>'5.THPT'!W37+'6.THCS-THPT'!W55</f>
        <v>0</v>
      </c>
      <c r="X102" s="42">
        <f>'5.THPT'!X37+'6.THCS-THPT'!X55</f>
        <v>0</v>
      </c>
      <c r="Y102" s="41">
        <f t="shared" si="275"/>
        <v>1603</v>
      </c>
      <c r="Z102" s="42">
        <f>'5.THPT'!Z37+'6.THCS-THPT'!Z55</f>
        <v>1603</v>
      </c>
      <c r="AA102" s="42">
        <f>'5.THPT'!AA37+'6.THCS-THPT'!AA55</f>
        <v>0</v>
      </c>
      <c r="AB102" s="42">
        <f>'5.THPT'!AB37+'6.THCS-THPT'!AB55</f>
        <v>0</v>
      </c>
      <c r="AC102" s="41">
        <f t="shared" si="276"/>
        <v>1526</v>
      </c>
      <c r="AD102" s="42">
        <f>'5.THPT'!AD37+'6.THCS-THPT'!AD55</f>
        <v>1526</v>
      </c>
      <c r="AE102" s="42">
        <f>'5.THPT'!AE37+'6.THCS-THPT'!AE55</f>
        <v>0</v>
      </c>
      <c r="AF102" s="42">
        <f>'5.THPT'!AF37+'6.THCS-THPT'!AF55</f>
        <v>0</v>
      </c>
      <c r="AG102" s="41">
        <f t="shared" si="277"/>
        <v>302</v>
      </c>
      <c r="AH102" s="42">
        <f>'5.THPT'!AH37+'6.THCS-THPT'!AH55</f>
        <v>302</v>
      </c>
      <c r="AI102" s="42">
        <f>'5.THPT'!AI37+'6.THCS-THPT'!AI55</f>
        <v>0</v>
      </c>
      <c r="AJ102" s="42">
        <f>'5.THPT'!AJ37+'6.THCS-THPT'!AJ55</f>
        <v>0</v>
      </c>
      <c r="AK102" s="41">
        <f t="shared" si="278"/>
        <v>21</v>
      </c>
      <c r="AL102" s="42">
        <f>'5.THPT'!AL37+'6.THCS-THPT'!AL55</f>
        <v>21</v>
      </c>
      <c r="AM102" s="42">
        <f>'5.THPT'!AM37+'6.THCS-THPT'!AM55</f>
        <v>0</v>
      </c>
      <c r="AN102" s="42">
        <f>'5.THPT'!AN37+'6.THCS-THPT'!AN55</f>
        <v>0</v>
      </c>
      <c r="AO102" s="41">
        <f t="shared" si="279"/>
        <v>21</v>
      </c>
      <c r="AP102" s="42">
        <f>'5.THPT'!AP37+'6.THCS-THPT'!AP55</f>
        <v>21</v>
      </c>
      <c r="AQ102" s="42">
        <f>'5.THPT'!AQ37+'6.THCS-THPT'!AQ55</f>
        <v>0</v>
      </c>
      <c r="AR102" s="42">
        <f>'5.THPT'!AR37+'6.THCS-THPT'!AR55</f>
        <v>0</v>
      </c>
      <c r="AS102" s="41">
        <f t="shared" si="280"/>
        <v>21</v>
      </c>
      <c r="AT102" s="42">
        <f>'5.THPT'!AT37+'6.THCS-THPT'!AT55</f>
        <v>21</v>
      </c>
      <c r="AU102" s="42">
        <f>'5.THPT'!AU37+'6.THCS-THPT'!AU55</f>
        <v>0</v>
      </c>
      <c r="AV102" s="42">
        <f>'5.THPT'!AV37+'6.THCS-THPT'!AV55</f>
        <v>0</v>
      </c>
      <c r="AW102" s="41">
        <f t="shared" si="281"/>
        <v>21</v>
      </c>
      <c r="AX102" s="42">
        <f>'5.THPT'!AX37+'6.THCS-THPT'!AX55</f>
        <v>21</v>
      </c>
      <c r="AY102" s="42">
        <f>'5.THPT'!AY37+'6.THCS-THPT'!AY55</f>
        <v>0</v>
      </c>
      <c r="AZ102" s="43">
        <f>'5.THPT'!AZ37+'6.THCS-THPT'!AZ55</f>
        <v>0</v>
      </c>
      <c r="BA102" s="34"/>
    </row>
    <row r="103" ht="15.75" customHeight="1">
      <c r="A103" s="29"/>
      <c r="B103" s="119" t="s">
        <v>110</v>
      </c>
      <c r="C103" s="36"/>
      <c r="D103" s="36" t="s">
        <v>89</v>
      </c>
      <c r="E103" s="37">
        <f t="shared" si="270"/>
        <v>839</v>
      </c>
      <c r="F103" s="37">
        <f t="shared" ref="F103:H103" si="294">F104+F105+F106+F107</f>
        <v>762</v>
      </c>
      <c r="G103" s="37">
        <f t="shared" si="294"/>
        <v>0</v>
      </c>
      <c r="H103" s="37">
        <f t="shared" si="294"/>
        <v>77</v>
      </c>
      <c r="I103" s="37">
        <f t="shared" si="271"/>
        <v>730</v>
      </c>
      <c r="J103" s="37">
        <f t="shared" ref="J103:L103" si="295">J104+J105+J106+J107</f>
        <v>720</v>
      </c>
      <c r="K103" s="37">
        <f t="shared" si="295"/>
        <v>0</v>
      </c>
      <c r="L103" s="37">
        <f t="shared" si="295"/>
        <v>10</v>
      </c>
      <c r="M103" s="37">
        <f t="shared" si="272"/>
        <v>730</v>
      </c>
      <c r="N103" s="37">
        <f t="shared" ref="N103:P103" si="296">N104+N105+N106+N107</f>
        <v>708</v>
      </c>
      <c r="O103" s="37">
        <f t="shared" si="296"/>
        <v>0</v>
      </c>
      <c r="P103" s="37">
        <f t="shared" si="296"/>
        <v>22</v>
      </c>
      <c r="Q103" s="37">
        <f t="shared" si="273"/>
        <v>690</v>
      </c>
      <c r="R103" s="37">
        <f t="shared" ref="R103:T103" si="297">R104+R105+R106+R107</f>
        <v>668</v>
      </c>
      <c r="S103" s="37">
        <f t="shared" si="297"/>
        <v>1</v>
      </c>
      <c r="T103" s="37">
        <f t="shared" si="297"/>
        <v>21</v>
      </c>
      <c r="U103" s="37">
        <f t="shared" si="274"/>
        <v>674</v>
      </c>
      <c r="V103" s="37">
        <f t="shared" ref="V103:X103" si="298">V104+V105+V106+V107</f>
        <v>671</v>
      </c>
      <c r="W103" s="37">
        <f t="shared" si="298"/>
        <v>0</v>
      </c>
      <c r="X103" s="37">
        <f t="shared" si="298"/>
        <v>3</v>
      </c>
      <c r="Y103" s="37">
        <f t="shared" si="275"/>
        <v>643</v>
      </c>
      <c r="Z103" s="37">
        <f t="shared" ref="Z103:AB103" si="299">Z104+Z105+Z106+Z107</f>
        <v>642</v>
      </c>
      <c r="AA103" s="37">
        <f t="shared" si="299"/>
        <v>0</v>
      </c>
      <c r="AB103" s="37">
        <f t="shared" si="299"/>
        <v>1</v>
      </c>
      <c r="AC103" s="37">
        <f t="shared" si="276"/>
        <v>676</v>
      </c>
      <c r="AD103" s="37">
        <f t="shared" ref="AD103:AF103" si="300">AD104+AD105+AD106+AD107</f>
        <v>675</v>
      </c>
      <c r="AE103" s="37">
        <f t="shared" si="300"/>
        <v>0</v>
      </c>
      <c r="AF103" s="37">
        <f t="shared" si="300"/>
        <v>1</v>
      </c>
      <c r="AG103" s="37">
        <f t="shared" si="277"/>
        <v>3</v>
      </c>
      <c r="AH103" s="37">
        <f t="shared" ref="AH103:AJ103" si="301">AH104+AH105+AH106+AH107</f>
        <v>3</v>
      </c>
      <c r="AI103" s="37">
        <f t="shared" si="301"/>
        <v>0</v>
      </c>
      <c r="AJ103" s="37">
        <f t="shared" si="301"/>
        <v>0</v>
      </c>
      <c r="AK103" s="37">
        <f t="shared" si="278"/>
        <v>0</v>
      </c>
      <c r="AL103" s="37">
        <f t="shared" ref="AL103:AN103" si="302">AL104+AL105+AL106+AL107</f>
        <v>0</v>
      </c>
      <c r="AM103" s="37">
        <f t="shared" si="302"/>
        <v>0</v>
      </c>
      <c r="AN103" s="37">
        <f t="shared" si="302"/>
        <v>0</v>
      </c>
      <c r="AO103" s="37">
        <f t="shared" si="279"/>
        <v>0</v>
      </c>
      <c r="AP103" s="37">
        <f t="shared" ref="AP103:AR103" si="303">AP104+AP105+AP106+AP107</f>
        <v>0</v>
      </c>
      <c r="AQ103" s="37">
        <f t="shared" si="303"/>
        <v>0</v>
      </c>
      <c r="AR103" s="37">
        <f t="shared" si="303"/>
        <v>0</v>
      </c>
      <c r="AS103" s="37">
        <f t="shared" si="280"/>
        <v>0</v>
      </c>
      <c r="AT103" s="37">
        <f t="shared" ref="AT103:AV103" si="304">AT104+AT105+AT106+AT107</f>
        <v>0</v>
      </c>
      <c r="AU103" s="37">
        <f t="shared" si="304"/>
        <v>0</v>
      </c>
      <c r="AV103" s="37">
        <f t="shared" si="304"/>
        <v>0</v>
      </c>
      <c r="AW103" s="37">
        <f t="shared" si="281"/>
        <v>0</v>
      </c>
      <c r="AX103" s="37">
        <f t="shared" ref="AX103:AZ103" si="305">AX104+AX105+AX106+AX107</f>
        <v>0</v>
      </c>
      <c r="AY103" s="37">
        <f t="shared" si="305"/>
        <v>0</v>
      </c>
      <c r="AZ103" s="38">
        <f t="shared" si="305"/>
        <v>0</v>
      </c>
      <c r="BA103" s="34"/>
    </row>
    <row r="104" ht="15.75" customHeight="1">
      <c r="A104" s="29"/>
      <c r="B104" s="120" t="s">
        <v>29</v>
      </c>
      <c r="C104" s="57"/>
      <c r="D104" s="31" t="s">
        <v>30</v>
      </c>
      <c r="E104" s="41">
        <f t="shared" si="270"/>
        <v>150</v>
      </c>
      <c r="F104" s="42">
        <f>'1.MN'!F48</f>
        <v>73</v>
      </c>
      <c r="G104" s="42">
        <f>'1.MN'!G48</f>
        <v>0</v>
      </c>
      <c r="H104" s="42">
        <f>'1.MN'!H48</f>
        <v>77</v>
      </c>
      <c r="I104" s="41">
        <f t="shared" si="271"/>
        <v>82</v>
      </c>
      <c r="J104" s="42">
        <f>'1.MN'!J48</f>
        <v>72</v>
      </c>
      <c r="K104" s="42">
        <f>'1.MN'!K48</f>
        <v>0</v>
      </c>
      <c r="L104" s="42">
        <f>'1.MN'!L48</f>
        <v>10</v>
      </c>
      <c r="M104" s="41">
        <f t="shared" si="272"/>
        <v>66</v>
      </c>
      <c r="N104" s="42">
        <f>'1.MN'!N48</f>
        <v>62</v>
      </c>
      <c r="O104" s="42">
        <f>'1.MN'!O48</f>
        <v>0</v>
      </c>
      <c r="P104" s="42">
        <f>'1.MN'!P48</f>
        <v>4</v>
      </c>
      <c r="Q104" s="41">
        <f t="shared" si="273"/>
        <v>44</v>
      </c>
      <c r="R104" s="42">
        <f>'1.MN'!R48</f>
        <v>41</v>
      </c>
      <c r="S104" s="42">
        <f>'1.MN'!S48</f>
        <v>0</v>
      </c>
      <c r="T104" s="42">
        <f>'1.MN'!T48</f>
        <v>3</v>
      </c>
      <c r="U104" s="41">
        <f t="shared" si="274"/>
        <v>44</v>
      </c>
      <c r="V104" s="42">
        <f>'1.MN'!V48</f>
        <v>41</v>
      </c>
      <c r="W104" s="42">
        <f>'1.MN'!W48</f>
        <v>0</v>
      </c>
      <c r="X104" s="42">
        <f>'1.MN'!X48</f>
        <v>3</v>
      </c>
      <c r="Y104" s="41">
        <f t="shared" si="275"/>
        <v>40</v>
      </c>
      <c r="Z104" s="42">
        <f>'1.MN'!Z48</f>
        <v>39</v>
      </c>
      <c r="AA104" s="42">
        <f>'1.MN'!AA48</f>
        <v>0</v>
      </c>
      <c r="AB104" s="42">
        <f>'1.MN'!AB48</f>
        <v>1</v>
      </c>
      <c r="AC104" s="41">
        <f t="shared" si="276"/>
        <v>36</v>
      </c>
      <c r="AD104" s="42">
        <f>'1.MN'!AD48</f>
        <v>35</v>
      </c>
      <c r="AE104" s="42">
        <f>'1.MN'!AE48</f>
        <v>0</v>
      </c>
      <c r="AF104" s="42">
        <f>'1.MN'!AF48</f>
        <v>1</v>
      </c>
      <c r="AG104" s="41">
        <f t="shared" si="277"/>
        <v>0</v>
      </c>
      <c r="AH104" s="42">
        <f>'1.MN'!AH48</f>
        <v>0</v>
      </c>
      <c r="AI104" s="42">
        <f>'1.MN'!AI48</f>
        <v>0</v>
      </c>
      <c r="AJ104" s="42">
        <f>'1.MN'!AJ48</f>
        <v>0</v>
      </c>
      <c r="AK104" s="41">
        <f t="shared" si="278"/>
        <v>0</v>
      </c>
      <c r="AL104" s="42">
        <f>'1.MN'!AL48</f>
        <v>0</v>
      </c>
      <c r="AM104" s="42">
        <f>'1.MN'!AM48</f>
        <v>0</v>
      </c>
      <c r="AN104" s="42">
        <f>'1.MN'!AN48</f>
        <v>0</v>
      </c>
      <c r="AO104" s="41">
        <f t="shared" si="279"/>
        <v>0</v>
      </c>
      <c r="AP104" s="42">
        <f>'1.MN'!AP48</f>
        <v>0</v>
      </c>
      <c r="AQ104" s="42">
        <f>'1.MN'!AQ48</f>
        <v>0</v>
      </c>
      <c r="AR104" s="42">
        <f>'1.MN'!AR48</f>
        <v>0</v>
      </c>
      <c r="AS104" s="41">
        <f t="shared" si="280"/>
        <v>0</v>
      </c>
      <c r="AT104" s="42">
        <f>'1.MN'!AT48</f>
        <v>0</v>
      </c>
      <c r="AU104" s="42">
        <f>'1.MN'!AU48</f>
        <v>0</v>
      </c>
      <c r="AV104" s="42">
        <f>'1.MN'!AV48</f>
        <v>0</v>
      </c>
      <c r="AW104" s="41">
        <f t="shared" si="281"/>
        <v>0</v>
      </c>
      <c r="AX104" s="42">
        <f>'1.MN'!AX48</f>
        <v>0</v>
      </c>
      <c r="AY104" s="42">
        <f>'1.MN'!AY48</f>
        <v>0</v>
      </c>
      <c r="AZ104" s="43">
        <f>'1.MN'!AZ48</f>
        <v>0</v>
      </c>
      <c r="BA104" s="34"/>
    </row>
    <row r="105" ht="15.75" customHeight="1">
      <c r="A105" s="29"/>
      <c r="B105" s="120" t="s">
        <v>31</v>
      </c>
      <c r="C105" s="57"/>
      <c r="D105" s="31" t="s">
        <v>30</v>
      </c>
      <c r="E105" s="41">
        <f t="shared" si="270"/>
        <v>501</v>
      </c>
      <c r="F105" s="42">
        <f>'2.TH'!F43+'4.TH-THCS'!F56</f>
        <v>501</v>
      </c>
      <c r="G105" s="42">
        <f>'2.TH'!G43+'4.TH-THCS'!G56</f>
        <v>0</v>
      </c>
      <c r="H105" s="42">
        <f>'2.TH'!H43+'4.TH-THCS'!H56</f>
        <v>0</v>
      </c>
      <c r="I105" s="41">
        <f t="shared" si="271"/>
        <v>463</v>
      </c>
      <c r="J105" s="42">
        <f>'2.TH'!J43+'4.TH-THCS'!J56</f>
        <v>463</v>
      </c>
      <c r="K105" s="42">
        <f>'2.TH'!K43+'4.TH-THCS'!K56</f>
        <v>0</v>
      </c>
      <c r="L105" s="42">
        <f>'2.TH'!L43+'4.TH-THCS'!L56</f>
        <v>0</v>
      </c>
      <c r="M105" s="41">
        <f t="shared" si="272"/>
        <v>478</v>
      </c>
      <c r="N105" s="42">
        <f>'2.TH'!N43+'4.TH-THCS'!N56</f>
        <v>464</v>
      </c>
      <c r="O105" s="42">
        <f>'2.TH'!O43+'4.TH-THCS'!O56</f>
        <v>0</v>
      </c>
      <c r="P105" s="42">
        <f>'2.TH'!P43+'4.TH-THCS'!P56</f>
        <v>14</v>
      </c>
      <c r="Q105" s="41">
        <f t="shared" si="273"/>
        <v>459</v>
      </c>
      <c r="R105" s="42">
        <f>'2.TH'!R43+'4.TH-THCS'!R56</f>
        <v>445</v>
      </c>
      <c r="S105" s="42">
        <f>'2.TH'!S43+'4.TH-THCS'!S56</f>
        <v>0</v>
      </c>
      <c r="T105" s="42">
        <f>'2.TH'!T43+'4.TH-THCS'!T56</f>
        <v>14</v>
      </c>
      <c r="U105" s="41">
        <f t="shared" si="274"/>
        <v>446</v>
      </c>
      <c r="V105" s="42">
        <f>'2.TH'!V43+'4.TH-THCS'!V56</f>
        <v>446</v>
      </c>
      <c r="W105" s="42">
        <f>'2.TH'!W43+'4.TH-THCS'!W56</f>
        <v>0</v>
      </c>
      <c r="X105" s="42">
        <f>'2.TH'!X43+'4.TH-THCS'!X56</f>
        <v>0</v>
      </c>
      <c r="Y105" s="41">
        <f t="shared" si="275"/>
        <v>426</v>
      </c>
      <c r="Z105" s="42">
        <f>'2.TH'!Z43+'4.TH-THCS'!Z56</f>
        <v>426</v>
      </c>
      <c r="AA105" s="42">
        <f>'2.TH'!AA43+'4.TH-THCS'!AA56</f>
        <v>0</v>
      </c>
      <c r="AB105" s="42">
        <f>'2.TH'!AB43+'4.TH-THCS'!AB56</f>
        <v>0</v>
      </c>
      <c r="AC105" s="41">
        <f t="shared" si="276"/>
        <v>461</v>
      </c>
      <c r="AD105" s="42">
        <f>'2.TH'!AD43+'4.TH-THCS'!AD56</f>
        <v>461</v>
      </c>
      <c r="AE105" s="42">
        <f>'2.TH'!AE43+'4.TH-THCS'!AE56</f>
        <v>0</v>
      </c>
      <c r="AF105" s="42">
        <f>'2.TH'!AF43+'4.TH-THCS'!AF56</f>
        <v>0</v>
      </c>
      <c r="AG105" s="41">
        <f t="shared" si="277"/>
        <v>1</v>
      </c>
      <c r="AH105" s="42">
        <f>'2.TH'!AH43+'4.TH-THCS'!AH56</f>
        <v>1</v>
      </c>
      <c r="AI105" s="42">
        <f>'2.TH'!AI43+'4.TH-THCS'!AI56</f>
        <v>0</v>
      </c>
      <c r="AJ105" s="42">
        <f>'2.TH'!AJ43+'4.TH-THCS'!AJ56</f>
        <v>0</v>
      </c>
      <c r="AK105" s="41">
        <f t="shared" si="278"/>
        <v>0</v>
      </c>
      <c r="AL105" s="42">
        <f>'2.TH'!AL43+'4.TH-THCS'!AL56</f>
        <v>0</v>
      </c>
      <c r="AM105" s="42">
        <f>'2.TH'!AM43+'4.TH-THCS'!AM56</f>
        <v>0</v>
      </c>
      <c r="AN105" s="42">
        <f>'2.TH'!AN43+'4.TH-THCS'!AN56</f>
        <v>0</v>
      </c>
      <c r="AO105" s="41">
        <f t="shared" si="279"/>
        <v>0</v>
      </c>
      <c r="AP105" s="42">
        <f>'2.TH'!AP43+'4.TH-THCS'!AP56</f>
        <v>0</v>
      </c>
      <c r="AQ105" s="42">
        <f>'2.TH'!AQ43+'4.TH-THCS'!AQ56</f>
        <v>0</v>
      </c>
      <c r="AR105" s="42">
        <f>'2.TH'!AR43+'4.TH-THCS'!AR56</f>
        <v>0</v>
      </c>
      <c r="AS105" s="41">
        <f t="shared" si="280"/>
        <v>0</v>
      </c>
      <c r="AT105" s="42">
        <f>'2.TH'!AT43+'4.TH-THCS'!AT56</f>
        <v>0</v>
      </c>
      <c r="AU105" s="42">
        <f>'2.TH'!AU43+'4.TH-THCS'!AU56</f>
        <v>0</v>
      </c>
      <c r="AV105" s="42">
        <f>'2.TH'!AV43+'4.TH-THCS'!AV56</f>
        <v>0</v>
      </c>
      <c r="AW105" s="41">
        <f t="shared" si="281"/>
        <v>0</v>
      </c>
      <c r="AX105" s="42">
        <f>'2.TH'!AX43+'4.TH-THCS'!AX56</f>
        <v>0</v>
      </c>
      <c r="AY105" s="42">
        <f>'2.TH'!AY43+'4.TH-THCS'!AY56</f>
        <v>0</v>
      </c>
      <c r="AZ105" s="43">
        <f>'2.TH'!AZ43+'4.TH-THCS'!AZ56</f>
        <v>0</v>
      </c>
      <c r="BA105" s="34"/>
    </row>
    <row r="106" ht="15.75" customHeight="1">
      <c r="A106" s="29"/>
      <c r="B106" s="120" t="s">
        <v>33</v>
      </c>
      <c r="C106" s="57"/>
      <c r="D106" s="31" t="s">
        <v>30</v>
      </c>
      <c r="E106" s="41">
        <f t="shared" si="270"/>
        <v>188</v>
      </c>
      <c r="F106" s="42">
        <f>'3.THCS'!F41+'4.TH-THCS'!F61+'6.THCS-THPT'!F52</f>
        <v>188</v>
      </c>
      <c r="G106" s="42">
        <f>'3.THCS'!G41+'4.TH-THCS'!G61+'6.THCS-THPT'!G52</f>
        <v>0</v>
      </c>
      <c r="H106" s="42">
        <f>'3.THCS'!H41+'4.TH-THCS'!H61+'6.THCS-THPT'!H52</f>
        <v>0</v>
      </c>
      <c r="I106" s="41">
        <f t="shared" si="271"/>
        <v>185</v>
      </c>
      <c r="J106" s="42">
        <f>'3.THCS'!J41+'4.TH-THCS'!J61+'6.THCS-THPT'!J52</f>
        <v>185</v>
      </c>
      <c r="K106" s="42">
        <f>'3.THCS'!K41+'4.TH-THCS'!K61+'6.THCS-THPT'!K52</f>
        <v>0</v>
      </c>
      <c r="L106" s="42">
        <f>'3.THCS'!L41+'4.TH-THCS'!L61+'6.THCS-THPT'!L52</f>
        <v>0</v>
      </c>
      <c r="M106" s="41">
        <f t="shared" si="272"/>
        <v>186</v>
      </c>
      <c r="N106" s="42">
        <f>'3.THCS'!N41+'4.TH-THCS'!N61+'6.THCS-THPT'!N52</f>
        <v>182</v>
      </c>
      <c r="O106" s="42">
        <f>'3.THCS'!O41+'4.TH-THCS'!O61+'6.THCS-THPT'!O52</f>
        <v>0</v>
      </c>
      <c r="P106" s="42">
        <f>'3.THCS'!P41+'4.TH-THCS'!P61+'6.THCS-THPT'!P52</f>
        <v>4</v>
      </c>
      <c r="Q106" s="41">
        <f t="shared" si="273"/>
        <v>187</v>
      </c>
      <c r="R106" s="42">
        <f>'3.THCS'!R41+'4.TH-THCS'!R61+'6.THCS-THPT'!R52</f>
        <v>182</v>
      </c>
      <c r="S106" s="42">
        <f>'3.THCS'!S41+'4.TH-THCS'!S61+'6.THCS-THPT'!S52</f>
        <v>1</v>
      </c>
      <c r="T106" s="42">
        <f>'3.THCS'!T41+'4.TH-THCS'!T61+'6.THCS-THPT'!T52</f>
        <v>4</v>
      </c>
      <c r="U106" s="41">
        <f t="shared" si="274"/>
        <v>184</v>
      </c>
      <c r="V106" s="42">
        <f>'3.THCS'!V41+'4.TH-THCS'!V61+'6.THCS-THPT'!V52</f>
        <v>184</v>
      </c>
      <c r="W106" s="42">
        <f>'3.THCS'!W41+'4.TH-THCS'!W61+'6.THCS-THPT'!W52</f>
        <v>0</v>
      </c>
      <c r="X106" s="42">
        <f>'3.THCS'!X41+'4.TH-THCS'!X61+'6.THCS-THPT'!X52</f>
        <v>0</v>
      </c>
      <c r="Y106" s="41">
        <f t="shared" si="275"/>
        <v>177</v>
      </c>
      <c r="Z106" s="42">
        <f>'3.THCS'!Z41+'4.TH-THCS'!Z61+'6.THCS-THPT'!Z52</f>
        <v>177</v>
      </c>
      <c r="AA106" s="42">
        <f>'3.THCS'!AA41+'4.TH-THCS'!AA61+'6.THCS-THPT'!AA52</f>
        <v>0</v>
      </c>
      <c r="AB106" s="42">
        <f>'3.THCS'!AB41+'4.TH-THCS'!AB61+'6.THCS-THPT'!AB52</f>
        <v>0</v>
      </c>
      <c r="AC106" s="41">
        <f t="shared" si="276"/>
        <v>179</v>
      </c>
      <c r="AD106" s="42">
        <f>'3.THCS'!AD41+'4.TH-THCS'!AD61+'6.THCS-THPT'!AD52</f>
        <v>179</v>
      </c>
      <c r="AE106" s="42">
        <f>'3.THCS'!AE41+'4.TH-THCS'!AE61+'6.THCS-THPT'!AE52</f>
        <v>0</v>
      </c>
      <c r="AF106" s="42">
        <f>'3.THCS'!AF41+'4.TH-THCS'!AF61+'6.THCS-THPT'!AF52</f>
        <v>0</v>
      </c>
      <c r="AG106" s="41">
        <f t="shared" si="277"/>
        <v>2</v>
      </c>
      <c r="AH106" s="42">
        <f>'3.THCS'!AH41+'4.TH-THCS'!AH61+'6.THCS-THPT'!AH52</f>
        <v>2</v>
      </c>
      <c r="AI106" s="42">
        <f>'3.THCS'!AI41+'4.TH-THCS'!AI61+'6.THCS-THPT'!AI52</f>
        <v>0</v>
      </c>
      <c r="AJ106" s="42">
        <f>'3.THCS'!AJ41+'4.TH-THCS'!AJ61+'6.THCS-THPT'!AJ52</f>
        <v>0</v>
      </c>
      <c r="AK106" s="41">
        <f t="shared" si="278"/>
        <v>0</v>
      </c>
      <c r="AL106" s="42">
        <f>'3.THCS'!AL41+'4.TH-THCS'!AL61+'6.THCS-THPT'!AL52</f>
        <v>0</v>
      </c>
      <c r="AM106" s="42">
        <f>'3.THCS'!AM41+'4.TH-THCS'!AM61+'6.THCS-THPT'!AM52</f>
        <v>0</v>
      </c>
      <c r="AN106" s="42">
        <f>'3.THCS'!AN41+'4.TH-THCS'!AN61+'6.THCS-THPT'!AN52</f>
        <v>0</v>
      </c>
      <c r="AO106" s="41">
        <f t="shared" si="279"/>
        <v>0</v>
      </c>
      <c r="AP106" s="42">
        <f>'3.THCS'!AP41+'4.TH-THCS'!AP61+'6.THCS-THPT'!AP52</f>
        <v>0</v>
      </c>
      <c r="AQ106" s="42">
        <f>'3.THCS'!AQ41+'4.TH-THCS'!AQ61+'6.THCS-THPT'!AQ52</f>
        <v>0</v>
      </c>
      <c r="AR106" s="42">
        <f>'3.THCS'!AR41+'4.TH-THCS'!AR61+'6.THCS-THPT'!AR52</f>
        <v>0</v>
      </c>
      <c r="AS106" s="41">
        <f t="shared" si="280"/>
        <v>0</v>
      </c>
      <c r="AT106" s="42">
        <f>'3.THCS'!AT41+'4.TH-THCS'!AT61+'6.THCS-THPT'!AT52</f>
        <v>0</v>
      </c>
      <c r="AU106" s="42">
        <f>'3.THCS'!AU41+'4.TH-THCS'!AU61+'6.THCS-THPT'!AU52</f>
        <v>0</v>
      </c>
      <c r="AV106" s="42">
        <f>'3.THCS'!AV41+'4.TH-THCS'!AV61+'6.THCS-THPT'!AV52</f>
        <v>0</v>
      </c>
      <c r="AW106" s="41">
        <f t="shared" si="281"/>
        <v>0</v>
      </c>
      <c r="AX106" s="42">
        <f>'3.THCS'!AX41+'4.TH-THCS'!AX61+'6.THCS-THPT'!AX52</f>
        <v>0</v>
      </c>
      <c r="AY106" s="42">
        <f>'3.THCS'!AY41+'4.TH-THCS'!AY61+'6.THCS-THPT'!AY52</f>
        <v>0</v>
      </c>
      <c r="AZ106" s="43">
        <f>'3.THCS'!AZ41+'4.TH-THCS'!AZ61+'6.THCS-THPT'!AZ52</f>
        <v>0</v>
      </c>
      <c r="BA106" s="34"/>
    </row>
    <row r="107" ht="15.75" customHeight="1">
      <c r="A107" s="29"/>
      <c r="B107" s="120" t="s">
        <v>35</v>
      </c>
      <c r="C107" s="57"/>
      <c r="D107" s="31" t="s">
        <v>30</v>
      </c>
      <c r="E107" s="41">
        <f t="shared" si="270"/>
        <v>0</v>
      </c>
      <c r="F107" s="42">
        <f>'5.THPT'!F39+'6.THCS-THPT'!F57</f>
        <v>0</v>
      </c>
      <c r="G107" s="42">
        <f>'5.THPT'!G39+'6.THCS-THPT'!G57</f>
        <v>0</v>
      </c>
      <c r="H107" s="42">
        <f>'5.THPT'!H39+'6.THCS-THPT'!H57</f>
        <v>0</v>
      </c>
      <c r="I107" s="41">
        <f t="shared" si="271"/>
        <v>0</v>
      </c>
      <c r="J107" s="42">
        <f>'5.THPT'!J39+'6.THCS-THPT'!J57</f>
        <v>0</v>
      </c>
      <c r="K107" s="42">
        <f>'5.THPT'!K39+'6.THCS-THPT'!K57</f>
        <v>0</v>
      </c>
      <c r="L107" s="42">
        <f>'5.THPT'!L39+'6.THCS-THPT'!L57</f>
        <v>0</v>
      </c>
      <c r="M107" s="41">
        <f t="shared" si="272"/>
        <v>0</v>
      </c>
      <c r="N107" s="42">
        <f>'5.THPT'!N39+'6.THCS-THPT'!N57</f>
        <v>0</v>
      </c>
      <c r="O107" s="42">
        <f>'5.THPT'!O39+'6.THCS-THPT'!O57</f>
        <v>0</v>
      </c>
      <c r="P107" s="42">
        <f>'5.THPT'!P39+'6.THCS-THPT'!P57</f>
        <v>0</v>
      </c>
      <c r="Q107" s="41">
        <f t="shared" si="273"/>
        <v>0</v>
      </c>
      <c r="R107" s="42">
        <f>'5.THPT'!R39+'6.THCS-THPT'!R57</f>
        <v>0</v>
      </c>
      <c r="S107" s="42">
        <f>'5.THPT'!S39+'6.THCS-THPT'!S57</f>
        <v>0</v>
      </c>
      <c r="T107" s="42">
        <f>'5.THPT'!T39+'6.THCS-THPT'!T57</f>
        <v>0</v>
      </c>
      <c r="U107" s="41">
        <f t="shared" si="274"/>
        <v>0</v>
      </c>
      <c r="V107" s="42">
        <f>'5.THPT'!V39+'6.THCS-THPT'!V57</f>
        <v>0</v>
      </c>
      <c r="W107" s="42">
        <f>'5.THPT'!W39+'6.THCS-THPT'!W57</f>
        <v>0</v>
      </c>
      <c r="X107" s="42">
        <f>'5.THPT'!X39+'6.THCS-THPT'!X57</f>
        <v>0</v>
      </c>
      <c r="Y107" s="41">
        <f t="shared" si="275"/>
        <v>0</v>
      </c>
      <c r="Z107" s="42">
        <f>'5.THPT'!Z39+'6.THCS-THPT'!Z57</f>
        <v>0</v>
      </c>
      <c r="AA107" s="42">
        <f>'5.THPT'!AA39+'6.THCS-THPT'!AA57</f>
        <v>0</v>
      </c>
      <c r="AB107" s="42">
        <f>'5.THPT'!AB39+'6.THCS-THPT'!AB57</f>
        <v>0</v>
      </c>
      <c r="AC107" s="41">
        <f t="shared" si="276"/>
        <v>0</v>
      </c>
      <c r="AD107" s="42">
        <f>'5.THPT'!AD39+'6.THCS-THPT'!AD57</f>
        <v>0</v>
      </c>
      <c r="AE107" s="42">
        <f>'5.THPT'!AE39+'6.THCS-THPT'!AE57</f>
        <v>0</v>
      </c>
      <c r="AF107" s="42">
        <f>'5.THPT'!AF39+'6.THCS-THPT'!AF57</f>
        <v>0</v>
      </c>
      <c r="AG107" s="41">
        <f t="shared" si="277"/>
        <v>0</v>
      </c>
      <c r="AH107" s="42">
        <f>'5.THPT'!AH39+'6.THCS-THPT'!AH57</f>
        <v>0</v>
      </c>
      <c r="AI107" s="42">
        <f>'5.THPT'!AI39+'6.THCS-THPT'!AI57</f>
        <v>0</v>
      </c>
      <c r="AJ107" s="42">
        <f>'5.THPT'!AJ39+'6.THCS-THPT'!AJ57</f>
        <v>0</v>
      </c>
      <c r="AK107" s="41">
        <f t="shared" si="278"/>
        <v>0</v>
      </c>
      <c r="AL107" s="42">
        <f>'5.THPT'!AL39+'6.THCS-THPT'!AL57</f>
        <v>0</v>
      </c>
      <c r="AM107" s="42">
        <f>'5.THPT'!AM39+'6.THCS-THPT'!AM57</f>
        <v>0</v>
      </c>
      <c r="AN107" s="42">
        <f>'5.THPT'!AN39+'6.THCS-THPT'!AN57</f>
        <v>0</v>
      </c>
      <c r="AO107" s="41">
        <f t="shared" si="279"/>
        <v>0</v>
      </c>
      <c r="AP107" s="42">
        <f>'5.THPT'!AP39+'6.THCS-THPT'!AP57</f>
        <v>0</v>
      </c>
      <c r="AQ107" s="42">
        <f>'5.THPT'!AQ39+'6.THCS-THPT'!AQ57</f>
        <v>0</v>
      </c>
      <c r="AR107" s="42">
        <f>'5.THPT'!AR39+'6.THCS-THPT'!AR57</f>
        <v>0</v>
      </c>
      <c r="AS107" s="41">
        <f t="shared" si="280"/>
        <v>0</v>
      </c>
      <c r="AT107" s="42">
        <f>'5.THPT'!AT39+'6.THCS-THPT'!AT57</f>
        <v>0</v>
      </c>
      <c r="AU107" s="42">
        <f>'5.THPT'!AU39+'6.THCS-THPT'!AU57</f>
        <v>0</v>
      </c>
      <c r="AV107" s="42">
        <f>'5.THPT'!AV39+'6.THCS-THPT'!AV57</f>
        <v>0</v>
      </c>
      <c r="AW107" s="41">
        <f t="shared" si="281"/>
        <v>0</v>
      </c>
      <c r="AX107" s="42">
        <f>'5.THPT'!AX39+'6.THCS-THPT'!AX57</f>
        <v>0</v>
      </c>
      <c r="AY107" s="42">
        <f>'5.THPT'!AY39+'6.THCS-THPT'!AY57</f>
        <v>0</v>
      </c>
      <c r="AZ107" s="43">
        <f>'5.THPT'!AZ39+'6.THCS-THPT'!AZ57</f>
        <v>0</v>
      </c>
      <c r="BA107" s="34"/>
    </row>
    <row r="108" ht="15.75" customHeight="1">
      <c r="A108" s="121"/>
      <c r="B108" s="119" t="s">
        <v>111</v>
      </c>
      <c r="C108" s="122"/>
      <c r="D108" s="36" t="s">
        <v>89</v>
      </c>
      <c r="E108" s="37">
        <f t="shared" si="270"/>
        <v>10991</v>
      </c>
      <c r="F108" s="37">
        <f t="shared" ref="F108:H108" si="306">F109+F110+F111+F112</f>
        <v>10775</v>
      </c>
      <c r="G108" s="37">
        <f t="shared" si="306"/>
        <v>33</v>
      </c>
      <c r="H108" s="37">
        <f t="shared" si="306"/>
        <v>183</v>
      </c>
      <c r="I108" s="37">
        <f t="shared" si="271"/>
        <v>10899</v>
      </c>
      <c r="J108" s="37">
        <f t="shared" ref="J108:L108" si="307">J109+J110+J111+J112</f>
        <v>10864</v>
      </c>
      <c r="K108" s="37">
        <f t="shared" si="307"/>
        <v>33</v>
      </c>
      <c r="L108" s="37">
        <f t="shared" si="307"/>
        <v>2</v>
      </c>
      <c r="M108" s="37">
        <f t="shared" si="272"/>
        <v>10761</v>
      </c>
      <c r="N108" s="37">
        <f t="shared" ref="N108:P108" si="308">N109+N110+N111+N112</f>
        <v>10720</v>
      </c>
      <c r="O108" s="37">
        <f t="shared" si="308"/>
        <v>33</v>
      </c>
      <c r="P108" s="37">
        <f t="shared" si="308"/>
        <v>8</v>
      </c>
      <c r="Q108" s="37">
        <f t="shared" si="273"/>
        <v>10744</v>
      </c>
      <c r="R108" s="37">
        <f t="shared" ref="R108:T108" si="309">R109+R110+R111+R112</f>
        <v>10655</v>
      </c>
      <c r="S108" s="37">
        <f t="shared" si="309"/>
        <v>81</v>
      </c>
      <c r="T108" s="37">
        <f t="shared" si="309"/>
        <v>8</v>
      </c>
      <c r="U108" s="37">
        <f t="shared" si="274"/>
        <v>10726</v>
      </c>
      <c r="V108" s="37">
        <f t="shared" ref="V108:X108" si="310">V109+V110+V111+V112</f>
        <v>10692</v>
      </c>
      <c r="W108" s="37">
        <f t="shared" si="310"/>
        <v>33</v>
      </c>
      <c r="X108" s="37">
        <f t="shared" si="310"/>
        <v>1</v>
      </c>
      <c r="Y108" s="37">
        <f t="shared" si="275"/>
        <v>10409</v>
      </c>
      <c r="Z108" s="37">
        <f t="shared" ref="Z108:AB108" si="311">Z109+Z110+Z111+Z112</f>
        <v>10370</v>
      </c>
      <c r="AA108" s="37">
        <f t="shared" si="311"/>
        <v>33</v>
      </c>
      <c r="AB108" s="37">
        <f t="shared" si="311"/>
        <v>6</v>
      </c>
      <c r="AC108" s="37">
        <f t="shared" si="276"/>
        <v>10416</v>
      </c>
      <c r="AD108" s="37">
        <f t="shared" ref="AD108:AF108" si="312">AD109+AD110+AD111+AD112</f>
        <v>10382</v>
      </c>
      <c r="AE108" s="37">
        <f t="shared" si="312"/>
        <v>33</v>
      </c>
      <c r="AF108" s="37">
        <f t="shared" si="312"/>
        <v>1</v>
      </c>
      <c r="AG108" s="37">
        <f t="shared" si="277"/>
        <v>452</v>
      </c>
      <c r="AH108" s="37">
        <f t="shared" ref="AH108:AJ108" si="313">AH109+AH110+AH111+AH112</f>
        <v>444</v>
      </c>
      <c r="AI108" s="37">
        <f t="shared" si="313"/>
        <v>8</v>
      </c>
      <c r="AJ108" s="37">
        <f t="shared" si="313"/>
        <v>0</v>
      </c>
      <c r="AK108" s="37">
        <f t="shared" si="278"/>
        <v>49</v>
      </c>
      <c r="AL108" s="37">
        <f t="shared" ref="AL108:AN108" si="314">AL109+AL110+AL111+AL112</f>
        <v>49</v>
      </c>
      <c r="AM108" s="37">
        <f t="shared" si="314"/>
        <v>0</v>
      </c>
      <c r="AN108" s="37">
        <f t="shared" si="314"/>
        <v>0</v>
      </c>
      <c r="AO108" s="37">
        <f t="shared" si="279"/>
        <v>49</v>
      </c>
      <c r="AP108" s="37">
        <f t="shared" ref="AP108:AR108" si="315">AP109+AP110+AP111+AP112</f>
        <v>49</v>
      </c>
      <c r="AQ108" s="37">
        <f t="shared" si="315"/>
        <v>0</v>
      </c>
      <c r="AR108" s="37">
        <f t="shared" si="315"/>
        <v>0</v>
      </c>
      <c r="AS108" s="37">
        <f t="shared" si="280"/>
        <v>49</v>
      </c>
      <c r="AT108" s="37">
        <f t="shared" ref="AT108:AV108" si="316">AT109+AT110+AT111+AT112</f>
        <v>49</v>
      </c>
      <c r="AU108" s="37">
        <f t="shared" si="316"/>
        <v>0</v>
      </c>
      <c r="AV108" s="37">
        <f t="shared" si="316"/>
        <v>0</v>
      </c>
      <c r="AW108" s="37">
        <f t="shared" si="281"/>
        <v>49</v>
      </c>
      <c r="AX108" s="37">
        <f t="shared" ref="AX108:AZ108" si="317">AX109+AX110+AX111+AX112</f>
        <v>49</v>
      </c>
      <c r="AY108" s="37">
        <f t="shared" si="317"/>
        <v>0</v>
      </c>
      <c r="AZ108" s="38">
        <f t="shared" si="317"/>
        <v>0</v>
      </c>
      <c r="BA108" s="123"/>
    </row>
    <row r="109" ht="15.75" customHeight="1">
      <c r="A109" s="29"/>
      <c r="B109" s="120" t="s">
        <v>29</v>
      </c>
      <c r="C109" s="49"/>
      <c r="D109" s="31" t="s">
        <v>30</v>
      </c>
      <c r="E109" s="41">
        <f t="shared" si="270"/>
        <v>1107</v>
      </c>
      <c r="F109" s="42">
        <f>'1.MN'!F49</f>
        <v>924</v>
      </c>
      <c r="G109" s="42">
        <f>'1.MN'!G49</f>
        <v>0</v>
      </c>
      <c r="H109" s="42">
        <f>'1.MN'!H49</f>
        <v>183</v>
      </c>
      <c r="I109" s="41">
        <f t="shared" si="271"/>
        <v>1084</v>
      </c>
      <c r="J109" s="42">
        <f>'1.MN'!J49</f>
        <v>1082</v>
      </c>
      <c r="K109" s="42">
        <f>'1.MN'!K49</f>
        <v>0</v>
      </c>
      <c r="L109" s="42">
        <f>'1.MN'!L49</f>
        <v>2</v>
      </c>
      <c r="M109" s="41">
        <f t="shared" si="272"/>
        <v>1017</v>
      </c>
      <c r="N109" s="42">
        <f>'1.MN'!N49</f>
        <v>1016</v>
      </c>
      <c r="O109" s="42">
        <f>'1.MN'!O49</f>
        <v>0</v>
      </c>
      <c r="P109" s="42">
        <f>'1.MN'!P49</f>
        <v>1</v>
      </c>
      <c r="Q109" s="41">
        <f t="shared" si="273"/>
        <v>999</v>
      </c>
      <c r="R109" s="42">
        <f>'1.MN'!R49</f>
        <v>998</v>
      </c>
      <c r="S109" s="42">
        <f>'1.MN'!S49</f>
        <v>0</v>
      </c>
      <c r="T109" s="42">
        <f>'1.MN'!T49</f>
        <v>1</v>
      </c>
      <c r="U109" s="41">
        <f t="shared" si="274"/>
        <v>1001</v>
      </c>
      <c r="V109" s="42">
        <f>'1.MN'!V49</f>
        <v>1000</v>
      </c>
      <c r="W109" s="42">
        <f>'1.MN'!W49</f>
        <v>0</v>
      </c>
      <c r="X109" s="42">
        <f>'1.MN'!X49</f>
        <v>1</v>
      </c>
      <c r="Y109" s="41">
        <f t="shared" si="275"/>
        <v>1014</v>
      </c>
      <c r="Z109" s="42">
        <f>'1.MN'!Z49</f>
        <v>1008</v>
      </c>
      <c r="AA109" s="42">
        <f>'1.MN'!AA49</f>
        <v>0</v>
      </c>
      <c r="AB109" s="42">
        <f>'1.MN'!AB49</f>
        <v>6</v>
      </c>
      <c r="AC109" s="41">
        <f t="shared" si="276"/>
        <v>1009</v>
      </c>
      <c r="AD109" s="42">
        <f>'1.MN'!AD49</f>
        <v>1008</v>
      </c>
      <c r="AE109" s="42">
        <f>'1.MN'!AE49</f>
        <v>0</v>
      </c>
      <c r="AF109" s="42">
        <f>'1.MN'!AF49</f>
        <v>1</v>
      </c>
      <c r="AG109" s="41">
        <f t="shared" si="277"/>
        <v>0</v>
      </c>
      <c r="AH109" s="42">
        <f>'1.MN'!AH49</f>
        <v>0</v>
      </c>
      <c r="AI109" s="42">
        <f>'1.MN'!AI49</f>
        <v>0</v>
      </c>
      <c r="AJ109" s="42">
        <f>'1.MN'!AJ49</f>
        <v>0</v>
      </c>
      <c r="AK109" s="41">
        <f t="shared" si="278"/>
        <v>0</v>
      </c>
      <c r="AL109" s="42">
        <f>'1.MN'!AL49</f>
        <v>0</v>
      </c>
      <c r="AM109" s="42">
        <f>'1.MN'!AM49</f>
        <v>0</v>
      </c>
      <c r="AN109" s="42">
        <f>'1.MN'!AN49</f>
        <v>0</v>
      </c>
      <c r="AO109" s="41">
        <f t="shared" si="279"/>
        <v>0</v>
      </c>
      <c r="AP109" s="42">
        <f>'1.MN'!AP49</f>
        <v>0</v>
      </c>
      <c r="AQ109" s="42">
        <f>'1.MN'!AQ49</f>
        <v>0</v>
      </c>
      <c r="AR109" s="42">
        <f>'1.MN'!AR49</f>
        <v>0</v>
      </c>
      <c r="AS109" s="41">
        <f t="shared" si="280"/>
        <v>0</v>
      </c>
      <c r="AT109" s="42">
        <f>'1.MN'!AT49</f>
        <v>0</v>
      </c>
      <c r="AU109" s="42">
        <f>'1.MN'!AU49</f>
        <v>0</v>
      </c>
      <c r="AV109" s="42">
        <f>'1.MN'!AV49</f>
        <v>0</v>
      </c>
      <c r="AW109" s="41">
        <f t="shared" si="281"/>
        <v>0</v>
      </c>
      <c r="AX109" s="42">
        <f>'1.MN'!AX49</f>
        <v>0</v>
      </c>
      <c r="AY109" s="42">
        <f>'1.MN'!AY49</f>
        <v>0</v>
      </c>
      <c r="AZ109" s="43">
        <f>'1.MN'!AZ49</f>
        <v>0</v>
      </c>
      <c r="BA109" s="34"/>
    </row>
    <row r="110" ht="15.75" customHeight="1">
      <c r="A110" s="29"/>
      <c r="B110" s="120" t="s">
        <v>31</v>
      </c>
      <c r="C110" s="49"/>
      <c r="D110" s="31" t="s">
        <v>30</v>
      </c>
      <c r="E110" s="41">
        <f t="shared" si="270"/>
        <v>4781</v>
      </c>
      <c r="F110" s="42">
        <f>'2.TH'!F44+'4.TH-THCS'!F57</f>
        <v>4749</v>
      </c>
      <c r="G110" s="42">
        <f>'2.TH'!G44+'4.TH-THCS'!G57</f>
        <v>32</v>
      </c>
      <c r="H110" s="42">
        <f>'2.TH'!H44+'4.TH-THCS'!H57</f>
        <v>0</v>
      </c>
      <c r="I110" s="41">
        <f t="shared" si="271"/>
        <v>4812</v>
      </c>
      <c r="J110" s="42">
        <f>'2.TH'!J44+'4.TH-THCS'!J57</f>
        <v>4780</v>
      </c>
      <c r="K110" s="42">
        <f>'2.TH'!K44+'4.TH-THCS'!K57</f>
        <v>32</v>
      </c>
      <c r="L110" s="42">
        <f>'2.TH'!L44+'4.TH-THCS'!L57</f>
        <v>0</v>
      </c>
      <c r="M110" s="41">
        <f t="shared" si="272"/>
        <v>4815</v>
      </c>
      <c r="N110" s="42">
        <f>'2.TH'!N44+'4.TH-THCS'!N57</f>
        <v>4781</v>
      </c>
      <c r="O110" s="42">
        <f>'2.TH'!O44+'4.TH-THCS'!O57</f>
        <v>32</v>
      </c>
      <c r="P110" s="42">
        <f>'2.TH'!P44+'4.TH-THCS'!P57</f>
        <v>2</v>
      </c>
      <c r="Q110" s="41">
        <f t="shared" si="273"/>
        <v>4789</v>
      </c>
      <c r="R110" s="42">
        <f>'2.TH'!R44+'4.TH-THCS'!R57</f>
        <v>4755</v>
      </c>
      <c r="S110" s="42">
        <f>'2.TH'!S44+'4.TH-THCS'!S57</f>
        <v>32</v>
      </c>
      <c r="T110" s="42">
        <f>'2.TH'!T44+'4.TH-THCS'!T57</f>
        <v>2</v>
      </c>
      <c r="U110" s="41">
        <f t="shared" si="274"/>
        <v>4751</v>
      </c>
      <c r="V110" s="42">
        <f>'2.TH'!V44+'4.TH-THCS'!V57</f>
        <v>4719</v>
      </c>
      <c r="W110" s="42">
        <f>'2.TH'!W44+'4.TH-THCS'!W57</f>
        <v>32</v>
      </c>
      <c r="X110" s="42">
        <f>'2.TH'!X44+'4.TH-THCS'!X57</f>
        <v>0</v>
      </c>
      <c r="Y110" s="41">
        <f t="shared" si="275"/>
        <v>4479</v>
      </c>
      <c r="Z110" s="42">
        <f>'2.TH'!Z44+'4.TH-THCS'!Z57</f>
        <v>4447</v>
      </c>
      <c r="AA110" s="42">
        <f>'2.TH'!AA44+'4.TH-THCS'!AA57</f>
        <v>32</v>
      </c>
      <c r="AB110" s="42">
        <f>'2.TH'!AB44+'4.TH-THCS'!AB57</f>
        <v>0</v>
      </c>
      <c r="AC110" s="41">
        <f t="shared" si="276"/>
        <v>4484</v>
      </c>
      <c r="AD110" s="42">
        <f>'2.TH'!AD44+'4.TH-THCS'!AD57</f>
        <v>4452</v>
      </c>
      <c r="AE110" s="42">
        <f>'2.TH'!AE44+'4.TH-THCS'!AE57</f>
        <v>32</v>
      </c>
      <c r="AF110" s="42">
        <f>'2.TH'!AF44+'4.TH-THCS'!AF57</f>
        <v>0</v>
      </c>
      <c r="AG110" s="41">
        <f t="shared" si="277"/>
        <v>41</v>
      </c>
      <c r="AH110" s="42">
        <f>'2.TH'!AH44+'4.TH-THCS'!AH57</f>
        <v>34</v>
      </c>
      <c r="AI110" s="42">
        <f>'2.TH'!AI44+'4.TH-THCS'!AI57</f>
        <v>7</v>
      </c>
      <c r="AJ110" s="42">
        <f>'2.TH'!AJ44+'4.TH-THCS'!AJ57</f>
        <v>0</v>
      </c>
      <c r="AK110" s="41">
        <f t="shared" si="278"/>
        <v>0</v>
      </c>
      <c r="AL110" s="42">
        <f>'2.TH'!AL44+'4.TH-THCS'!AL57</f>
        <v>0</v>
      </c>
      <c r="AM110" s="42">
        <f>'2.TH'!AM44+'4.TH-THCS'!AM57</f>
        <v>0</v>
      </c>
      <c r="AN110" s="42">
        <f>'2.TH'!AN44+'4.TH-THCS'!AN57</f>
        <v>0</v>
      </c>
      <c r="AO110" s="41">
        <f t="shared" si="279"/>
        <v>0</v>
      </c>
      <c r="AP110" s="42">
        <f>'2.TH'!AP44+'4.TH-THCS'!AP57</f>
        <v>0</v>
      </c>
      <c r="AQ110" s="42">
        <f>'2.TH'!AQ44+'4.TH-THCS'!AQ57</f>
        <v>0</v>
      </c>
      <c r="AR110" s="42">
        <f>'2.TH'!AR44+'4.TH-THCS'!AR57</f>
        <v>0</v>
      </c>
      <c r="AS110" s="41">
        <f t="shared" si="280"/>
        <v>0</v>
      </c>
      <c r="AT110" s="42">
        <f>'2.TH'!AT44+'4.TH-THCS'!AT57</f>
        <v>0</v>
      </c>
      <c r="AU110" s="42">
        <f>'2.TH'!AU44+'4.TH-THCS'!AU57</f>
        <v>0</v>
      </c>
      <c r="AV110" s="42">
        <f>'2.TH'!AV44+'4.TH-THCS'!AV57</f>
        <v>0</v>
      </c>
      <c r="AW110" s="41">
        <f t="shared" si="281"/>
        <v>0</v>
      </c>
      <c r="AX110" s="42">
        <f>'2.TH'!AX44+'4.TH-THCS'!AX57</f>
        <v>0</v>
      </c>
      <c r="AY110" s="42">
        <f>'2.TH'!AY44+'4.TH-THCS'!AY57</f>
        <v>0</v>
      </c>
      <c r="AZ110" s="43">
        <f>'2.TH'!AZ44+'4.TH-THCS'!AZ57</f>
        <v>0</v>
      </c>
      <c r="BA110" s="34"/>
    </row>
    <row r="111" ht="15.75" customHeight="1">
      <c r="A111" s="29"/>
      <c r="B111" s="120" t="s">
        <v>33</v>
      </c>
      <c r="C111" s="49"/>
      <c r="D111" s="31" t="s">
        <v>30</v>
      </c>
      <c r="E111" s="41">
        <f t="shared" si="270"/>
        <v>3657</v>
      </c>
      <c r="F111" s="42">
        <f>'3.THCS'!F42+'4.TH-THCS'!F62+'6.THCS-THPT'!F53</f>
        <v>3656</v>
      </c>
      <c r="G111" s="42">
        <f>'3.THCS'!G42+'4.TH-THCS'!G62+'6.THCS-THPT'!G53</f>
        <v>1</v>
      </c>
      <c r="H111" s="42">
        <f>'3.THCS'!H42+'4.TH-THCS'!H62+'6.THCS-THPT'!H53</f>
        <v>0</v>
      </c>
      <c r="I111" s="41">
        <f t="shared" si="271"/>
        <v>3620</v>
      </c>
      <c r="J111" s="42">
        <f>'3.THCS'!J42+'4.TH-THCS'!J62+'6.THCS-THPT'!J53</f>
        <v>3619</v>
      </c>
      <c r="K111" s="42">
        <f>'3.THCS'!K42+'4.TH-THCS'!K62+'6.THCS-THPT'!K53</f>
        <v>1</v>
      </c>
      <c r="L111" s="42">
        <f>'3.THCS'!L42+'4.TH-THCS'!L62+'6.THCS-THPT'!L53</f>
        <v>0</v>
      </c>
      <c r="M111" s="41">
        <f t="shared" si="272"/>
        <v>3551</v>
      </c>
      <c r="N111" s="42">
        <f>'3.THCS'!N42+'4.TH-THCS'!N62+'6.THCS-THPT'!N53</f>
        <v>3545</v>
      </c>
      <c r="O111" s="42">
        <f>'3.THCS'!O42+'4.TH-THCS'!O62+'6.THCS-THPT'!O53</f>
        <v>1</v>
      </c>
      <c r="P111" s="42">
        <f>'3.THCS'!P42+'4.TH-THCS'!P62+'6.THCS-THPT'!P53</f>
        <v>5</v>
      </c>
      <c r="Q111" s="41">
        <f t="shared" si="273"/>
        <v>3582</v>
      </c>
      <c r="R111" s="42">
        <f>'3.THCS'!R42+'4.TH-THCS'!R62+'6.THCS-THPT'!R53</f>
        <v>3549</v>
      </c>
      <c r="S111" s="42">
        <f>'3.THCS'!S42+'4.TH-THCS'!S62+'6.THCS-THPT'!S53</f>
        <v>28</v>
      </c>
      <c r="T111" s="42">
        <f>'3.THCS'!T42+'4.TH-THCS'!T62+'6.THCS-THPT'!T53</f>
        <v>5</v>
      </c>
      <c r="U111" s="41">
        <f t="shared" si="274"/>
        <v>3600</v>
      </c>
      <c r="V111" s="42">
        <f>'3.THCS'!V42+'4.TH-THCS'!V62+'6.THCS-THPT'!V53</f>
        <v>3599</v>
      </c>
      <c r="W111" s="42">
        <f>'3.THCS'!W42+'4.TH-THCS'!W62+'6.THCS-THPT'!W53</f>
        <v>1</v>
      </c>
      <c r="X111" s="42">
        <f>'3.THCS'!X42+'4.TH-THCS'!X62+'6.THCS-THPT'!X53</f>
        <v>0</v>
      </c>
      <c r="Y111" s="41">
        <f t="shared" si="275"/>
        <v>3555</v>
      </c>
      <c r="Z111" s="42">
        <f>'3.THCS'!Z42+'4.TH-THCS'!Z62+'6.THCS-THPT'!Z53</f>
        <v>3554</v>
      </c>
      <c r="AA111" s="42">
        <f>'3.THCS'!AA42+'4.TH-THCS'!AA62+'6.THCS-THPT'!AA53</f>
        <v>1</v>
      </c>
      <c r="AB111" s="42">
        <f>'3.THCS'!AB42+'4.TH-THCS'!AB62+'6.THCS-THPT'!AB53</f>
        <v>0</v>
      </c>
      <c r="AC111" s="41">
        <f t="shared" si="276"/>
        <v>3560</v>
      </c>
      <c r="AD111" s="42">
        <f>'3.THCS'!AD42+'4.TH-THCS'!AD62+'6.THCS-THPT'!AD53</f>
        <v>3559</v>
      </c>
      <c r="AE111" s="42">
        <f>'3.THCS'!AE42+'4.TH-THCS'!AE62+'6.THCS-THPT'!AE53</f>
        <v>1</v>
      </c>
      <c r="AF111" s="42">
        <f>'3.THCS'!AF42+'4.TH-THCS'!AF62+'6.THCS-THPT'!AF53</f>
        <v>0</v>
      </c>
      <c r="AG111" s="41">
        <f t="shared" si="277"/>
        <v>111</v>
      </c>
      <c r="AH111" s="42">
        <f>'3.THCS'!AH42+'4.TH-THCS'!AH62+'6.THCS-THPT'!AH53</f>
        <v>110</v>
      </c>
      <c r="AI111" s="42">
        <f>'3.THCS'!AI42+'4.TH-THCS'!AI62+'6.THCS-THPT'!AI53</f>
        <v>1</v>
      </c>
      <c r="AJ111" s="42">
        <f>'3.THCS'!AJ42+'4.TH-THCS'!AJ62+'6.THCS-THPT'!AJ53</f>
        <v>0</v>
      </c>
      <c r="AK111" s="41">
        <f t="shared" si="278"/>
        <v>31</v>
      </c>
      <c r="AL111" s="42">
        <f>'3.THCS'!AL42+'4.TH-THCS'!AL62+'6.THCS-THPT'!AL53</f>
        <v>31</v>
      </c>
      <c r="AM111" s="42">
        <f>'3.THCS'!AM42+'4.TH-THCS'!AM62+'6.THCS-THPT'!AM53</f>
        <v>0</v>
      </c>
      <c r="AN111" s="42">
        <f>'3.THCS'!AN42+'4.TH-THCS'!AN62+'6.THCS-THPT'!AN53</f>
        <v>0</v>
      </c>
      <c r="AO111" s="41">
        <f t="shared" si="279"/>
        <v>31</v>
      </c>
      <c r="AP111" s="42">
        <f>'3.THCS'!AP42+'4.TH-THCS'!AP62+'6.THCS-THPT'!AP53</f>
        <v>31</v>
      </c>
      <c r="AQ111" s="42">
        <f>'3.THCS'!AQ42+'4.TH-THCS'!AQ62+'6.THCS-THPT'!AQ53</f>
        <v>0</v>
      </c>
      <c r="AR111" s="42">
        <f>'3.THCS'!AR42+'4.TH-THCS'!AR62+'6.THCS-THPT'!AR53</f>
        <v>0</v>
      </c>
      <c r="AS111" s="41">
        <f t="shared" si="280"/>
        <v>31</v>
      </c>
      <c r="AT111" s="42">
        <f>'3.THCS'!AT42+'4.TH-THCS'!AT62+'6.THCS-THPT'!AT53</f>
        <v>31</v>
      </c>
      <c r="AU111" s="42">
        <f>'3.THCS'!AU42+'4.TH-THCS'!AU62+'6.THCS-THPT'!AU53</f>
        <v>0</v>
      </c>
      <c r="AV111" s="42">
        <f>'3.THCS'!AV42+'4.TH-THCS'!AV62+'6.THCS-THPT'!AV53</f>
        <v>0</v>
      </c>
      <c r="AW111" s="41">
        <f t="shared" si="281"/>
        <v>31</v>
      </c>
      <c r="AX111" s="42">
        <f>'3.THCS'!AX42+'4.TH-THCS'!AX62+'6.THCS-THPT'!AX53</f>
        <v>31</v>
      </c>
      <c r="AY111" s="42">
        <f>'3.THCS'!AY42+'4.TH-THCS'!AY62+'6.THCS-THPT'!AY53</f>
        <v>0</v>
      </c>
      <c r="AZ111" s="43">
        <f>'3.THCS'!AZ42+'4.TH-THCS'!AZ62+'6.THCS-THPT'!AZ53</f>
        <v>0</v>
      </c>
      <c r="BA111" s="34"/>
    </row>
    <row r="112" ht="15.75" customHeight="1">
      <c r="A112" s="29"/>
      <c r="B112" s="120" t="s">
        <v>35</v>
      </c>
      <c r="C112" s="49"/>
      <c r="D112" s="31" t="s">
        <v>30</v>
      </c>
      <c r="E112" s="41">
        <f t="shared" si="270"/>
        <v>1446</v>
      </c>
      <c r="F112" s="42">
        <f>'5.THPT'!F40+'6.THCS-THPT'!F58</f>
        <v>1446</v>
      </c>
      <c r="G112" s="42">
        <f>'5.THPT'!G40+'6.THCS-THPT'!G58</f>
        <v>0</v>
      </c>
      <c r="H112" s="42">
        <f>'5.THPT'!H40+'6.THCS-THPT'!H58</f>
        <v>0</v>
      </c>
      <c r="I112" s="41">
        <f t="shared" si="271"/>
        <v>1383</v>
      </c>
      <c r="J112" s="42">
        <f>'5.THPT'!J40+'6.THCS-THPT'!J58</f>
        <v>1383</v>
      </c>
      <c r="K112" s="42">
        <f>'5.THPT'!K40+'6.THCS-THPT'!K58</f>
        <v>0</v>
      </c>
      <c r="L112" s="42">
        <f>'5.THPT'!L40+'6.THCS-THPT'!L58</f>
        <v>0</v>
      </c>
      <c r="M112" s="41">
        <f t="shared" si="272"/>
        <v>1378</v>
      </c>
      <c r="N112" s="42">
        <f>'5.THPT'!N40+'6.THCS-THPT'!N58</f>
        <v>1378</v>
      </c>
      <c r="O112" s="42">
        <f>'5.THPT'!O40+'6.THCS-THPT'!O58</f>
        <v>0</v>
      </c>
      <c r="P112" s="42">
        <f>'5.THPT'!P40+'6.THCS-THPT'!P58</f>
        <v>0</v>
      </c>
      <c r="Q112" s="41">
        <f t="shared" si="273"/>
        <v>1374</v>
      </c>
      <c r="R112" s="42">
        <f>'5.THPT'!R40+'6.THCS-THPT'!R58</f>
        <v>1353</v>
      </c>
      <c r="S112" s="42">
        <f>'5.THPT'!S40+'6.THCS-THPT'!S58</f>
        <v>21</v>
      </c>
      <c r="T112" s="42">
        <f>'5.THPT'!T40+'6.THCS-THPT'!T58</f>
        <v>0</v>
      </c>
      <c r="U112" s="41">
        <f t="shared" si="274"/>
        <v>1374</v>
      </c>
      <c r="V112" s="42">
        <f>'5.THPT'!V40+'6.THCS-THPT'!V58</f>
        <v>1374</v>
      </c>
      <c r="W112" s="42">
        <f>'5.THPT'!W40+'6.THCS-THPT'!W58</f>
        <v>0</v>
      </c>
      <c r="X112" s="42">
        <f>'5.THPT'!X40+'6.THCS-THPT'!X58</f>
        <v>0</v>
      </c>
      <c r="Y112" s="41">
        <f t="shared" si="275"/>
        <v>1361</v>
      </c>
      <c r="Z112" s="42">
        <f>'5.THPT'!Z40+'6.THCS-THPT'!Z58</f>
        <v>1361</v>
      </c>
      <c r="AA112" s="42">
        <f>'5.THPT'!AA40+'6.THCS-THPT'!AA58</f>
        <v>0</v>
      </c>
      <c r="AB112" s="42">
        <f>'5.THPT'!AB40+'6.THCS-THPT'!AB58</f>
        <v>0</v>
      </c>
      <c r="AC112" s="41">
        <f t="shared" si="276"/>
        <v>1363</v>
      </c>
      <c r="AD112" s="42">
        <f>'5.THPT'!AD40+'6.THCS-THPT'!AD58</f>
        <v>1363</v>
      </c>
      <c r="AE112" s="42">
        <f>'5.THPT'!AE40+'6.THCS-THPT'!AE58</f>
        <v>0</v>
      </c>
      <c r="AF112" s="42">
        <f>'5.THPT'!AF40+'6.THCS-THPT'!AF58</f>
        <v>0</v>
      </c>
      <c r="AG112" s="41">
        <f t="shared" si="277"/>
        <v>300</v>
      </c>
      <c r="AH112" s="42">
        <f>'5.THPT'!AH40+'6.THCS-THPT'!AH58</f>
        <v>300</v>
      </c>
      <c r="AI112" s="42">
        <f>'5.THPT'!AI40+'6.THCS-THPT'!AI58</f>
        <v>0</v>
      </c>
      <c r="AJ112" s="42">
        <f>'5.THPT'!AJ40+'6.THCS-THPT'!AJ58</f>
        <v>0</v>
      </c>
      <c r="AK112" s="41">
        <f t="shared" si="278"/>
        <v>18</v>
      </c>
      <c r="AL112" s="42">
        <f>'5.THPT'!AL40+'6.THCS-THPT'!AL58</f>
        <v>18</v>
      </c>
      <c r="AM112" s="42">
        <f>'5.THPT'!AM40+'6.THCS-THPT'!AM58</f>
        <v>0</v>
      </c>
      <c r="AN112" s="42">
        <f>'5.THPT'!AN40+'6.THCS-THPT'!AN58</f>
        <v>0</v>
      </c>
      <c r="AO112" s="41">
        <f t="shared" si="279"/>
        <v>18</v>
      </c>
      <c r="AP112" s="42">
        <f>'5.THPT'!AP40+'6.THCS-THPT'!AP58</f>
        <v>18</v>
      </c>
      <c r="AQ112" s="42">
        <f>'5.THPT'!AQ40+'6.THCS-THPT'!AQ58</f>
        <v>0</v>
      </c>
      <c r="AR112" s="42">
        <f>'5.THPT'!AR40+'6.THCS-THPT'!AR58</f>
        <v>0</v>
      </c>
      <c r="AS112" s="41">
        <f t="shared" si="280"/>
        <v>18</v>
      </c>
      <c r="AT112" s="42">
        <f>'5.THPT'!AT40+'6.THCS-THPT'!AT58</f>
        <v>18</v>
      </c>
      <c r="AU112" s="42">
        <f>'5.THPT'!AU40+'6.THCS-THPT'!AU58</f>
        <v>0</v>
      </c>
      <c r="AV112" s="42">
        <f>'5.THPT'!AV40+'6.THCS-THPT'!AV58</f>
        <v>0</v>
      </c>
      <c r="AW112" s="41">
        <f t="shared" si="281"/>
        <v>18</v>
      </c>
      <c r="AX112" s="42">
        <f>'5.THPT'!AX40+'6.THCS-THPT'!AX58</f>
        <v>18</v>
      </c>
      <c r="AY112" s="42">
        <f>'5.THPT'!AY40+'6.THCS-THPT'!AY58</f>
        <v>0</v>
      </c>
      <c r="AZ112" s="43">
        <f>'5.THPT'!AZ40+'6.THCS-THPT'!AZ58</f>
        <v>0</v>
      </c>
      <c r="BA112" s="34"/>
    </row>
    <row r="113" ht="15.75" customHeight="1">
      <c r="A113" s="121"/>
      <c r="B113" s="119" t="s">
        <v>112</v>
      </c>
      <c r="C113" s="122"/>
      <c r="D113" s="36" t="s">
        <v>89</v>
      </c>
      <c r="E113" s="37">
        <f t="shared" si="270"/>
        <v>2064</v>
      </c>
      <c r="F113" s="37">
        <f t="shared" ref="F113:H113" si="318">F114+F115+F116+F117</f>
        <v>2037</v>
      </c>
      <c r="G113" s="37">
        <f t="shared" si="318"/>
        <v>0</v>
      </c>
      <c r="H113" s="37">
        <f t="shared" si="318"/>
        <v>27</v>
      </c>
      <c r="I113" s="37">
        <f t="shared" si="271"/>
        <v>2037</v>
      </c>
      <c r="J113" s="37">
        <f t="shared" ref="J113:L113" si="319">J114+J115+J116+J117</f>
        <v>2036</v>
      </c>
      <c r="K113" s="37">
        <f t="shared" si="319"/>
        <v>0</v>
      </c>
      <c r="L113" s="37">
        <f t="shared" si="319"/>
        <v>1</v>
      </c>
      <c r="M113" s="37">
        <f t="shared" si="272"/>
        <v>2029</v>
      </c>
      <c r="N113" s="37">
        <f t="shared" ref="N113:P113" si="320">N114+N115+N116+N117</f>
        <v>2029</v>
      </c>
      <c r="O113" s="37">
        <f t="shared" si="320"/>
        <v>0</v>
      </c>
      <c r="P113" s="37">
        <f t="shared" si="320"/>
        <v>0</v>
      </c>
      <c r="Q113" s="37">
        <f t="shared" si="273"/>
        <v>2103</v>
      </c>
      <c r="R113" s="37">
        <f t="shared" ref="R113:T113" si="321">R114+R115+R116+R117</f>
        <v>2094</v>
      </c>
      <c r="S113" s="37">
        <f t="shared" si="321"/>
        <v>8</v>
      </c>
      <c r="T113" s="37">
        <f t="shared" si="321"/>
        <v>1</v>
      </c>
      <c r="U113" s="37">
        <f t="shared" si="274"/>
        <v>2103</v>
      </c>
      <c r="V113" s="37">
        <f t="shared" ref="V113:X113" si="322">V114+V115+V116+V117</f>
        <v>2102</v>
      </c>
      <c r="W113" s="37">
        <f t="shared" si="322"/>
        <v>0</v>
      </c>
      <c r="X113" s="37">
        <f t="shared" si="322"/>
        <v>1</v>
      </c>
      <c r="Y113" s="37">
        <f t="shared" si="275"/>
        <v>2131</v>
      </c>
      <c r="Z113" s="37">
        <f t="shared" ref="Z113:AB113" si="323">Z114+Z115+Z116+Z117</f>
        <v>2130</v>
      </c>
      <c r="AA113" s="37">
        <f t="shared" si="323"/>
        <v>0</v>
      </c>
      <c r="AB113" s="37">
        <f t="shared" si="323"/>
        <v>1</v>
      </c>
      <c r="AC113" s="37">
        <f t="shared" si="276"/>
        <v>2131</v>
      </c>
      <c r="AD113" s="37">
        <f t="shared" ref="AD113:AF113" si="324">AD114+AD115+AD116+AD117</f>
        <v>2130</v>
      </c>
      <c r="AE113" s="37">
        <f t="shared" si="324"/>
        <v>0</v>
      </c>
      <c r="AF113" s="37">
        <f t="shared" si="324"/>
        <v>1</v>
      </c>
      <c r="AG113" s="37">
        <f t="shared" si="277"/>
        <v>106</v>
      </c>
      <c r="AH113" s="37">
        <f t="shared" ref="AH113:AJ113" si="325">AH114+AH115+AH116+AH117</f>
        <v>106</v>
      </c>
      <c r="AI113" s="37">
        <f t="shared" si="325"/>
        <v>0</v>
      </c>
      <c r="AJ113" s="37">
        <f t="shared" si="325"/>
        <v>0</v>
      </c>
      <c r="AK113" s="37">
        <f t="shared" si="278"/>
        <v>4</v>
      </c>
      <c r="AL113" s="37">
        <f t="shared" ref="AL113:AN113" si="326">AL114+AL115+AL116+AL117</f>
        <v>4</v>
      </c>
      <c r="AM113" s="37">
        <f t="shared" si="326"/>
        <v>0</v>
      </c>
      <c r="AN113" s="37">
        <f t="shared" si="326"/>
        <v>0</v>
      </c>
      <c r="AO113" s="37">
        <f t="shared" si="279"/>
        <v>4</v>
      </c>
      <c r="AP113" s="37">
        <f t="shared" ref="AP113:AR113" si="327">AP114+AP115+AP116+AP117</f>
        <v>4</v>
      </c>
      <c r="AQ113" s="37">
        <f t="shared" si="327"/>
        <v>0</v>
      </c>
      <c r="AR113" s="37">
        <f t="shared" si="327"/>
        <v>0</v>
      </c>
      <c r="AS113" s="37">
        <f t="shared" si="280"/>
        <v>4</v>
      </c>
      <c r="AT113" s="37">
        <f t="shared" ref="AT113:AV113" si="328">AT114+AT115+AT116+AT117</f>
        <v>4</v>
      </c>
      <c r="AU113" s="37">
        <f t="shared" si="328"/>
        <v>0</v>
      </c>
      <c r="AV113" s="37">
        <f t="shared" si="328"/>
        <v>0</v>
      </c>
      <c r="AW113" s="37">
        <f t="shared" si="281"/>
        <v>4</v>
      </c>
      <c r="AX113" s="37">
        <f t="shared" ref="AX113:AZ113" si="329">AX114+AX115+AX116+AX117</f>
        <v>4</v>
      </c>
      <c r="AY113" s="37">
        <f t="shared" si="329"/>
        <v>0</v>
      </c>
      <c r="AZ113" s="38">
        <f t="shared" si="329"/>
        <v>0</v>
      </c>
      <c r="BA113" s="123"/>
    </row>
    <row r="114" ht="15.75" customHeight="1">
      <c r="A114" s="29"/>
      <c r="B114" s="120" t="s">
        <v>29</v>
      </c>
      <c r="C114" s="49"/>
      <c r="D114" s="31" t="s">
        <v>30</v>
      </c>
      <c r="E114" s="41">
        <f t="shared" si="270"/>
        <v>1719</v>
      </c>
      <c r="F114" s="42">
        <f>'1.MN'!F50</f>
        <v>1692</v>
      </c>
      <c r="G114" s="42">
        <f>'1.MN'!G50</f>
        <v>0</v>
      </c>
      <c r="H114" s="42">
        <f>'1.MN'!H50</f>
        <v>27</v>
      </c>
      <c r="I114" s="41">
        <f t="shared" si="271"/>
        <v>1696</v>
      </c>
      <c r="J114" s="42">
        <f>'1.MN'!J50</f>
        <v>1695</v>
      </c>
      <c r="K114" s="42">
        <f>'1.MN'!K50</f>
        <v>0</v>
      </c>
      <c r="L114" s="42">
        <f>'1.MN'!L50</f>
        <v>1</v>
      </c>
      <c r="M114" s="41">
        <f t="shared" si="272"/>
        <v>1715</v>
      </c>
      <c r="N114" s="42">
        <f>'1.MN'!N50</f>
        <v>1715</v>
      </c>
      <c r="O114" s="42">
        <f>'1.MN'!O50</f>
        <v>0</v>
      </c>
      <c r="P114" s="42">
        <f>'1.MN'!P50</f>
        <v>0</v>
      </c>
      <c r="Q114" s="41">
        <f t="shared" si="273"/>
        <v>1786</v>
      </c>
      <c r="R114" s="42">
        <f>'1.MN'!R50</f>
        <v>1785</v>
      </c>
      <c r="S114" s="42">
        <f>'1.MN'!S50</f>
        <v>0</v>
      </c>
      <c r="T114" s="42">
        <f>'1.MN'!T50</f>
        <v>1</v>
      </c>
      <c r="U114" s="41">
        <f t="shared" si="274"/>
        <v>1787</v>
      </c>
      <c r="V114" s="42">
        <f>'1.MN'!V50</f>
        <v>1786</v>
      </c>
      <c r="W114" s="42">
        <f>'1.MN'!W50</f>
        <v>0</v>
      </c>
      <c r="X114" s="42">
        <f>'1.MN'!X50</f>
        <v>1</v>
      </c>
      <c r="Y114" s="41">
        <f t="shared" si="275"/>
        <v>1812</v>
      </c>
      <c r="Z114" s="42">
        <f>'1.MN'!Z50</f>
        <v>1811</v>
      </c>
      <c r="AA114" s="42">
        <f>'1.MN'!AA50</f>
        <v>0</v>
      </c>
      <c r="AB114" s="42">
        <f>'1.MN'!AB50</f>
        <v>1</v>
      </c>
      <c r="AC114" s="41">
        <f t="shared" si="276"/>
        <v>1811</v>
      </c>
      <c r="AD114" s="42">
        <f>'1.MN'!AD50</f>
        <v>1810</v>
      </c>
      <c r="AE114" s="42">
        <f>'1.MN'!AE50</f>
        <v>0</v>
      </c>
      <c r="AF114" s="42">
        <f>'1.MN'!AF50</f>
        <v>1</v>
      </c>
      <c r="AG114" s="41">
        <f t="shared" si="277"/>
        <v>0</v>
      </c>
      <c r="AH114" s="42">
        <f>'1.MN'!AH50</f>
        <v>0</v>
      </c>
      <c r="AI114" s="42">
        <f>'1.MN'!AI50</f>
        <v>0</v>
      </c>
      <c r="AJ114" s="42">
        <f>'1.MN'!AJ50</f>
        <v>0</v>
      </c>
      <c r="AK114" s="41">
        <f t="shared" si="278"/>
        <v>0</v>
      </c>
      <c r="AL114" s="42">
        <f>'1.MN'!AL50</f>
        <v>0</v>
      </c>
      <c r="AM114" s="42">
        <f>'1.MN'!AM50</f>
        <v>0</v>
      </c>
      <c r="AN114" s="42">
        <f>'1.MN'!AN50</f>
        <v>0</v>
      </c>
      <c r="AO114" s="41">
        <f t="shared" si="279"/>
        <v>0</v>
      </c>
      <c r="AP114" s="42">
        <f>'1.MN'!AP50</f>
        <v>0</v>
      </c>
      <c r="AQ114" s="42">
        <f>'1.MN'!AQ50</f>
        <v>0</v>
      </c>
      <c r="AR114" s="42">
        <f>'1.MN'!AR50</f>
        <v>0</v>
      </c>
      <c r="AS114" s="41">
        <f t="shared" si="280"/>
        <v>0</v>
      </c>
      <c r="AT114" s="42">
        <f>'1.MN'!AT50</f>
        <v>0</v>
      </c>
      <c r="AU114" s="42">
        <f>'1.MN'!AU50</f>
        <v>0</v>
      </c>
      <c r="AV114" s="42">
        <f>'1.MN'!AV50</f>
        <v>0</v>
      </c>
      <c r="AW114" s="41">
        <f t="shared" si="281"/>
        <v>0</v>
      </c>
      <c r="AX114" s="42">
        <f>'1.MN'!AX50</f>
        <v>0</v>
      </c>
      <c r="AY114" s="42">
        <f>'1.MN'!AY50</f>
        <v>0</v>
      </c>
      <c r="AZ114" s="43">
        <f>'1.MN'!AZ50</f>
        <v>0</v>
      </c>
      <c r="BA114" s="34"/>
    </row>
    <row r="115" ht="15.75" customHeight="1">
      <c r="A115" s="29"/>
      <c r="B115" s="120" t="s">
        <v>31</v>
      </c>
      <c r="C115" s="49"/>
      <c r="D115" s="31" t="s">
        <v>30</v>
      </c>
      <c r="E115" s="41">
        <f t="shared" si="270"/>
        <v>14</v>
      </c>
      <c r="F115" s="42">
        <f>'2.TH'!F45+'4.TH-THCS'!F58</f>
        <v>14</v>
      </c>
      <c r="G115" s="42">
        <f>'2.TH'!G45+'4.TH-THCS'!G58</f>
        <v>0</v>
      </c>
      <c r="H115" s="42">
        <f>'2.TH'!H45+'4.TH-THCS'!H58</f>
        <v>0</v>
      </c>
      <c r="I115" s="41">
        <f t="shared" si="271"/>
        <v>34</v>
      </c>
      <c r="J115" s="42">
        <f>'2.TH'!J45+'4.TH-THCS'!J58</f>
        <v>34</v>
      </c>
      <c r="K115" s="42">
        <f>'2.TH'!K45+'4.TH-THCS'!K58</f>
        <v>0</v>
      </c>
      <c r="L115" s="42">
        <f>'2.TH'!L45+'4.TH-THCS'!L58</f>
        <v>0</v>
      </c>
      <c r="M115" s="41">
        <f t="shared" si="272"/>
        <v>12</v>
      </c>
      <c r="N115" s="42">
        <f>'2.TH'!N45+'4.TH-THCS'!N58</f>
        <v>12</v>
      </c>
      <c r="O115" s="42">
        <f>'2.TH'!O45+'4.TH-THCS'!O58</f>
        <v>0</v>
      </c>
      <c r="P115" s="42">
        <f>'2.TH'!P45+'4.TH-THCS'!P58</f>
        <v>0</v>
      </c>
      <c r="Q115" s="41">
        <f t="shared" si="273"/>
        <v>13</v>
      </c>
      <c r="R115" s="42">
        <f>'2.TH'!R45+'4.TH-THCS'!R58</f>
        <v>13</v>
      </c>
      <c r="S115" s="42">
        <f>'2.TH'!S45+'4.TH-THCS'!S58</f>
        <v>0</v>
      </c>
      <c r="T115" s="42">
        <f>'2.TH'!T45+'4.TH-THCS'!T58</f>
        <v>0</v>
      </c>
      <c r="U115" s="41">
        <f t="shared" si="274"/>
        <v>12</v>
      </c>
      <c r="V115" s="42">
        <f>'2.TH'!V45+'4.TH-THCS'!V58</f>
        <v>12</v>
      </c>
      <c r="W115" s="42">
        <f>'2.TH'!W45+'4.TH-THCS'!W58</f>
        <v>0</v>
      </c>
      <c r="X115" s="42">
        <f>'2.TH'!X45+'4.TH-THCS'!X58</f>
        <v>0</v>
      </c>
      <c r="Y115" s="41">
        <f t="shared" si="275"/>
        <v>11</v>
      </c>
      <c r="Z115" s="42">
        <f>'2.TH'!Z45+'4.TH-THCS'!Z58</f>
        <v>11</v>
      </c>
      <c r="AA115" s="42">
        <f>'2.TH'!AA45+'4.TH-THCS'!AA58</f>
        <v>0</v>
      </c>
      <c r="AB115" s="42">
        <f>'2.TH'!AB45+'4.TH-THCS'!AB58</f>
        <v>0</v>
      </c>
      <c r="AC115" s="41">
        <f t="shared" si="276"/>
        <v>12</v>
      </c>
      <c r="AD115" s="42">
        <f>'2.TH'!AD45+'4.TH-THCS'!AD58</f>
        <v>12</v>
      </c>
      <c r="AE115" s="42">
        <f>'2.TH'!AE45+'4.TH-THCS'!AE58</f>
        <v>0</v>
      </c>
      <c r="AF115" s="42">
        <f>'2.TH'!AF45+'4.TH-THCS'!AF58</f>
        <v>0</v>
      </c>
      <c r="AG115" s="41">
        <f t="shared" si="277"/>
        <v>0</v>
      </c>
      <c r="AH115" s="42">
        <f>'2.TH'!AH45+'4.TH-THCS'!AH58</f>
        <v>0</v>
      </c>
      <c r="AI115" s="42">
        <f>'2.TH'!AI45+'4.TH-THCS'!AI58</f>
        <v>0</v>
      </c>
      <c r="AJ115" s="42">
        <f>'2.TH'!AJ45+'4.TH-THCS'!AJ58</f>
        <v>0</v>
      </c>
      <c r="AK115" s="41">
        <f t="shared" si="278"/>
        <v>0</v>
      </c>
      <c r="AL115" s="42">
        <f>'2.TH'!AL45+'4.TH-THCS'!AL58</f>
        <v>0</v>
      </c>
      <c r="AM115" s="42">
        <f>'2.TH'!AM45+'4.TH-THCS'!AM58</f>
        <v>0</v>
      </c>
      <c r="AN115" s="42">
        <f>'2.TH'!AN45+'4.TH-THCS'!AN58</f>
        <v>0</v>
      </c>
      <c r="AO115" s="41">
        <f t="shared" si="279"/>
        <v>0</v>
      </c>
      <c r="AP115" s="42">
        <f>'2.TH'!AP45+'4.TH-THCS'!AP58</f>
        <v>0</v>
      </c>
      <c r="AQ115" s="42">
        <f>'2.TH'!AQ45+'4.TH-THCS'!AQ58</f>
        <v>0</v>
      </c>
      <c r="AR115" s="42">
        <f>'2.TH'!AR45+'4.TH-THCS'!AR58</f>
        <v>0</v>
      </c>
      <c r="AS115" s="41">
        <f t="shared" si="280"/>
        <v>0</v>
      </c>
      <c r="AT115" s="42">
        <f>'2.TH'!AT45+'4.TH-THCS'!AT58</f>
        <v>0</v>
      </c>
      <c r="AU115" s="42">
        <f>'2.TH'!AU45+'4.TH-THCS'!AU58</f>
        <v>0</v>
      </c>
      <c r="AV115" s="42">
        <f>'2.TH'!AV45+'4.TH-THCS'!AV58</f>
        <v>0</v>
      </c>
      <c r="AW115" s="41">
        <f t="shared" si="281"/>
        <v>0</v>
      </c>
      <c r="AX115" s="42">
        <f>'2.TH'!AX45+'4.TH-THCS'!AX58</f>
        <v>0</v>
      </c>
      <c r="AY115" s="42">
        <f>'2.TH'!AY45+'4.TH-THCS'!AY58</f>
        <v>0</v>
      </c>
      <c r="AZ115" s="43">
        <f>'2.TH'!AZ45+'4.TH-THCS'!AZ58</f>
        <v>0</v>
      </c>
      <c r="BA115" s="34"/>
    </row>
    <row r="116" ht="15.75" customHeight="1">
      <c r="A116" s="29"/>
      <c r="B116" s="120" t="s">
        <v>33</v>
      </c>
      <c r="C116" s="49"/>
      <c r="D116" s="31" t="s">
        <v>30</v>
      </c>
      <c r="E116" s="41">
        <f t="shared" si="270"/>
        <v>48</v>
      </c>
      <c r="F116" s="42">
        <f>'3.THCS'!F43+'4.TH-THCS'!F63+'6.THCS-THPT'!F54</f>
        <v>48</v>
      </c>
      <c r="G116" s="42">
        <f>'3.THCS'!G43+'4.TH-THCS'!G63+'6.THCS-THPT'!G54</f>
        <v>0</v>
      </c>
      <c r="H116" s="42">
        <f>'3.THCS'!H43+'4.TH-THCS'!H63+'6.THCS-THPT'!H54</f>
        <v>0</v>
      </c>
      <c r="I116" s="41">
        <f t="shared" si="271"/>
        <v>30</v>
      </c>
      <c r="J116" s="42">
        <f>'3.THCS'!J43+'4.TH-THCS'!J63+'6.THCS-THPT'!J54</f>
        <v>30</v>
      </c>
      <c r="K116" s="42">
        <f>'3.THCS'!K43+'4.TH-THCS'!K63+'6.THCS-THPT'!K54</f>
        <v>0</v>
      </c>
      <c r="L116" s="42">
        <f>'3.THCS'!L43+'4.TH-THCS'!L63+'6.THCS-THPT'!L54</f>
        <v>0</v>
      </c>
      <c r="M116" s="41">
        <f t="shared" si="272"/>
        <v>25</v>
      </c>
      <c r="N116" s="42">
        <f>'3.THCS'!N43+'4.TH-THCS'!N63+'6.THCS-THPT'!N54</f>
        <v>25</v>
      </c>
      <c r="O116" s="42">
        <f>'3.THCS'!O43+'4.TH-THCS'!O63+'6.THCS-THPT'!O54</f>
        <v>0</v>
      </c>
      <c r="P116" s="42">
        <f>'3.THCS'!P43+'4.TH-THCS'!P63+'6.THCS-THPT'!P54</f>
        <v>0</v>
      </c>
      <c r="Q116" s="41">
        <f t="shared" si="273"/>
        <v>25</v>
      </c>
      <c r="R116" s="42">
        <f>'3.THCS'!R43+'4.TH-THCS'!R63+'6.THCS-THPT'!R54</f>
        <v>24</v>
      </c>
      <c r="S116" s="42">
        <f>'3.THCS'!S43+'4.TH-THCS'!S63+'6.THCS-THPT'!S54</f>
        <v>1</v>
      </c>
      <c r="T116" s="42">
        <f>'3.THCS'!T43+'4.TH-THCS'!T63+'6.THCS-THPT'!T54</f>
        <v>0</v>
      </c>
      <c r="U116" s="41">
        <f t="shared" si="274"/>
        <v>25</v>
      </c>
      <c r="V116" s="42">
        <f>'3.THCS'!V43+'4.TH-THCS'!V63+'6.THCS-THPT'!V54</f>
        <v>25</v>
      </c>
      <c r="W116" s="42">
        <f>'3.THCS'!W43+'4.TH-THCS'!W63+'6.THCS-THPT'!W54</f>
        <v>0</v>
      </c>
      <c r="X116" s="42">
        <f>'3.THCS'!X43+'4.TH-THCS'!X63+'6.THCS-THPT'!X54</f>
        <v>0</v>
      </c>
      <c r="Y116" s="41">
        <f t="shared" si="275"/>
        <v>26</v>
      </c>
      <c r="Z116" s="42">
        <f>'3.THCS'!Z43+'4.TH-THCS'!Z63+'6.THCS-THPT'!Z54</f>
        <v>26</v>
      </c>
      <c r="AA116" s="42">
        <f>'3.THCS'!AA43+'4.TH-THCS'!AA63+'6.THCS-THPT'!AA54</f>
        <v>0</v>
      </c>
      <c r="AB116" s="42">
        <f>'3.THCS'!AB43+'4.TH-THCS'!AB63+'6.THCS-THPT'!AB54</f>
        <v>0</v>
      </c>
      <c r="AC116" s="41">
        <f t="shared" si="276"/>
        <v>26</v>
      </c>
      <c r="AD116" s="42">
        <f>'3.THCS'!AD43+'4.TH-THCS'!AD63+'6.THCS-THPT'!AD54</f>
        <v>26</v>
      </c>
      <c r="AE116" s="42">
        <f>'3.THCS'!AE43+'4.TH-THCS'!AE63+'6.THCS-THPT'!AE54</f>
        <v>0</v>
      </c>
      <c r="AF116" s="42">
        <f>'3.THCS'!AF43+'4.TH-THCS'!AF63+'6.THCS-THPT'!AF54</f>
        <v>0</v>
      </c>
      <c r="AG116" s="41">
        <f t="shared" si="277"/>
        <v>0</v>
      </c>
      <c r="AH116" s="42">
        <f>'3.THCS'!AH43+'4.TH-THCS'!AH63+'6.THCS-THPT'!AH54</f>
        <v>0</v>
      </c>
      <c r="AI116" s="42">
        <f>'3.THCS'!AI43+'4.TH-THCS'!AI63+'6.THCS-THPT'!AI54</f>
        <v>0</v>
      </c>
      <c r="AJ116" s="42">
        <f>'3.THCS'!AJ43+'4.TH-THCS'!AJ63+'6.THCS-THPT'!AJ54</f>
        <v>0</v>
      </c>
      <c r="AK116" s="41">
        <f t="shared" si="278"/>
        <v>0</v>
      </c>
      <c r="AL116" s="42">
        <f>'3.THCS'!AL43+'4.TH-THCS'!AL63+'6.THCS-THPT'!AL54</f>
        <v>0</v>
      </c>
      <c r="AM116" s="42">
        <f>'3.THCS'!AM43+'4.TH-THCS'!AM63+'6.THCS-THPT'!AM54</f>
        <v>0</v>
      </c>
      <c r="AN116" s="42">
        <f>'3.THCS'!AN43+'4.TH-THCS'!AN63+'6.THCS-THPT'!AN54</f>
        <v>0</v>
      </c>
      <c r="AO116" s="41">
        <f t="shared" si="279"/>
        <v>0</v>
      </c>
      <c r="AP116" s="42">
        <f>'3.THCS'!AP43+'4.TH-THCS'!AP63+'6.THCS-THPT'!AP54</f>
        <v>0</v>
      </c>
      <c r="AQ116" s="42">
        <f>'3.THCS'!AQ43+'4.TH-THCS'!AQ63+'6.THCS-THPT'!AQ54</f>
        <v>0</v>
      </c>
      <c r="AR116" s="42">
        <f>'3.THCS'!AR43+'4.TH-THCS'!AR63+'6.THCS-THPT'!AR54</f>
        <v>0</v>
      </c>
      <c r="AS116" s="41">
        <f t="shared" si="280"/>
        <v>0</v>
      </c>
      <c r="AT116" s="42">
        <f>'3.THCS'!AT43+'4.TH-THCS'!AT63+'6.THCS-THPT'!AT54</f>
        <v>0</v>
      </c>
      <c r="AU116" s="42">
        <f>'3.THCS'!AU43+'4.TH-THCS'!AU63+'6.THCS-THPT'!AU54</f>
        <v>0</v>
      </c>
      <c r="AV116" s="42">
        <f>'3.THCS'!AV43+'4.TH-THCS'!AV63+'6.THCS-THPT'!AV54</f>
        <v>0</v>
      </c>
      <c r="AW116" s="41">
        <f t="shared" si="281"/>
        <v>0</v>
      </c>
      <c r="AX116" s="42">
        <f>'3.THCS'!AX43+'4.TH-THCS'!AX63+'6.THCS-THPT'!AX54</f>
        <v>0</v>
      </c>
      <c r="AY116" s="42">
        <f>'3.THCS'!AY43+'4.TH-THCS'!AY63+'6.THCS-THPT'!AY54</f>
        <v>0</v>
      </c>
      <c r="AZ116" s="43">
        <f>'3.THCS'!AZ43+'4.TH-THCS'!AZ63+'6.THCS-THPT'!AZ54</f>
        <v>0</v>
      </c>
      <c r="BA116" s="34"/>
    </row>
    <row r="117" ht="15.75" customHeight="1">
      <c r="A117" s="29"/>
      <c r="B117" s="120" t="s">
        <v>35</v>
      </c>
      <c r="C117" s="49"/>
      <c r="D117" s="31" t="s">
        <v>30</v>
      </c>
      <c r="E117" s="41">
        <f t="shared" si="270"/>
        <v>283</v>
      </c>
      <c r="F117" s="42">
        <f>'5.THPT'!F41+'6.THCS-THPT'!F59</f>
        <v>283</v>
      </c>
      <c r="G117" s="42">
        <f>'5.THPT'!G41+'6.THCS-THPT'!G59</f>
        <v>0</v>
      </c>
      <c r="H117" s="42">
        <f>'5.THPT'!H41+'6.THCS-THPT'!H59</f>
        <v>0</v>
      </c>
      <c r="I117" s="41">
        <f t="shared" si="271"/>
        <v>277</v>
      </c>
      <c r="J117" s="42">
        <f>'5.THPT'!J41+'6.THCS-THPT'!J59</f>
        <v>277</v>
      </c>
      <c r="K117" s="42">
        <f>'5.THPT'!K41+'6.THCS-THPT'!K59</f>
        <v>0</v>
      </c>
      <c r="L117" s="42">
        <f>'5.THPT'!L41+'6.THCS-THPT'!L59</f>
        <v>0</v>
      </c>
      <c r="M117" s="41">
        <f t="shared" si="272"/>
        <v>277</v>
      </c>
      <c r="N117" s="42">
        <f>'5.THPT'!N41+'6.THCS-THPT'!N59</f>
        <v>277</v>
      </c>
      <c r="O117" s="42">
        <f>'5.THPT'!O41+'6.THCS-THPT'!O59</f>
        <v>0</v>
      </c>
      <c r="P117" s="42">
        <f>'5.THPT'!P41+'6.THCS-THPT'!P59</f>
        <v>0</v>
      </c>
      <c r="Q117" s="41">
        <f t="shared" si="273"/>
        <v>279</v>
      </c>
      <c r="R117" s="42">
        <f>'5.THPT'!R41+'6.THCS-THPT'!R59</f>
        <v>272</v>
      </c>
      <c r="S117" s="42">
        <f>'5.THPT'!S41+'6.THCS-THPT'!S59</f>
        <v>7</v>
      </c>
      <c r="T117" s="42">
        <f>'5.THPT'!T41+'6.THCS-THPT'!T59</f>
        <v>0</v>
      </c>
      <c r="U117" s="41">
        <f t="shared" si="274"/>
        <v>279</v>
      </c>
      <c r="V117" s="42">
        <f>'5.THPT'!V41+'6.THCS-THPT'!V59</f>
        <v>279</v>
      </c>
      <c r="W117" s="42">
        <f>'5.THPT'!W41+'6.THCS-THPT'!W59</f>
        <v>0</v>
      </c>
      <c r="X117" s="42">
        <f>'5.THPT'!X41+'6.THCS-THPT'!X59</f>
        <v>0</v>
      </c>
      <c r="Y117" s="41">
        <f t="shared" si="275"/>
        <v>282</v>
      </c>
      <c r="Z117" s="42">
        <f>'5.THPT'!Z41+'6.THCS-THPT'!Z59</f>
        <v>282</v>
      </c>
      <c r="AA117" s="42">
        <f>'5.THPT'!AA41+'6.THCS-THPT'!AA59</f>
        <v>0</v>
      </c>
      <c r="AB117" s="42">
        <f>'5.THPT'!AB41+'6.THCS-THPT'!AB59</f>
        <v>0</v>
      </c>
      <c r="AC117" s="41">
        <f t="shared" si="276"/>
        <v>282</v>
      </c>
      <c r="AD117" s="42">
        <f>'5.THPT'!AD41+'6.THCS-THPT'!AD59</f>
        <v>282</v>
      </c>
      <c r="AE117" s="42">
        <f>'5.THPT'!AE41+'6.THCS-THPT'!AE59</f>
        <v>0</v>
      </c>
      <c r="AF117" s="42">
        <f>'5.THPT'!AF41+'6.THCS-THPT'!AF59</f>
        <v>0</v>
      </c>
      <c r="AG117" s="41">
        <f t="shared" si="277"/>
        <v>106</v>
      </c>
      <c r="AH117" s="42">
        <f>'5.THPT'!AH41+'6.THCS-THPT'!AH59</f>
        <v>106</v>
      </c>
      <c r="AI117" s="42">
        <f>'5.THPT'!AI41+'6.THCS-THPT'!AI59</f>
        <v>0</v>
      </c>
      <c r="AJ117" s="42">
        <f>'5.THPT'!AJ41+'6.THCS-THPT'!AJ59</f>
        <v>0</v>
      </c>
      <c r="AK117" s="41">
        <f t="shared" si="278"/>
        <v>4</v>
      </c>
      <c r="AL117" s="42">
        <f>'5.THPT'!AL41+'6.THCS-THPT'!AL59</f>
        <v>4</v>
      </c>
      <c r="AM117" s="42">
        <f>'5.THPT'!AM41+'6.THCS-THPT'!AM59</f>
        <v>0</v>
      </c>
      <c r="AN117" s="42">
        <f>'5.THPT'!AN41+'6.THCS-THPT'!AN59</f>
        <v>0</v>
      </c>
      <c r="AO117" s="41">
        <f t="shared" si="279"/>
        <v>4</v>
      </c>
      <c r="AP117" s="42">
        <f>'5.THPT'!AP41+'6.THCS-THPT'!AP59</f>
        <v>4</v>
      </c>
      <c r="AQ117" s="42">
        <f>'5.THPT'!AQ41+'6.THCS-THPT'!AQ59</f>
        <v>0</v>
      </c>
      <c r="AR117" s="42">
        <f>'5.THPT'!AR41+'6.THCS-THPT'!AR59</f>
        <v>0</v>
      </c>
      <c r="AS117" s="41">
        <f t="shared" si="280"/>
        <v>4</v>
      </c>
      <c r="AT117" s="42">
        <f>'5.THPT'!AT41+'6.THCS-THPT'!AT59</f>
        <v>4</v>
      </c>
      <c r="AU117" s="42">
        <f>'5.THPT'!AU41+'6.THCS-THPT'!AU59</f>
        <v>0</v>
      </c>
      <c r="AV117" s="42">
        <f>'5.THPT'!AV41+'6.THCS-THPT'!AV59</f>
        <v>0</v>
      </c>
      <c r="AW117" s="41">
        <f t="shared" si="281"/>
        <v>4</v>
      </c>
      <c r="AX117" s="42">
        <f>'5.THPT'!AX41+'6.THCS-THPT'!AX59</f>
        <v>4</v>
      </c>
      <c r="AY117" s="42">
        <f>'5.THPT'!AY41+'6.THCS-THPT'!AY59</f>
        <v>0</v>
      </c>
      <c r="AZ117" s="43">
        <f>'5.THPT'!AZ41+'6.THCS-THPT'!AZ59</f>
        <v>0</v>
      </c>
      <c r="BA117" s="34"/>
    </row>
    <row r="118" ht="15.75" customHeight="1">
      <c r="A118" s="29"/>
      <c r="B118" s="124" t="s">
        <v>113</v>
      </c>
      <c r="C118" s="57"/>
      <c r="D118" s="57" t="s">
        <v>89</v>
      </c>
      <c r="E118" s="125">
        <f t="shared" si="270"/>
        <v>741</v>
      </c>
      <c r="F118" s="37">
        <f t="shared" ref="F118:H118" si="330">F119+F120+F121+F122</f>
        <v>331</v>
      </c>
      <c r="G118" s="37">
        <f t="shared" si="330"/>
        <v>68</v>
      </c>
      <c r="H118" s="37">
        <f t="shared" si="330"/>
        <v>342</v>
      </c>
      <c r="I118" s="125">
        <f t="shared" si="271"/>
        <v>782</v>
      </c>
      <c r="J118" s="37">
        <f t="shared" ref="J118:L118" si="331">J119+J120+J121+J122</f>
        <v>366</v>
      </c>
      <c r="K118" s="37">
        <f t="shared" si="331"/>
        <v>68</v>
      </c>
      <c r="L118" s="37">
        <f t="shared" si="331"/>
        <v>348</v>
      </c>
      <c r="M118" s="125">
        <f t="shared" si="272"/>
        <v>739</v>
      </c>
      <c r="N118" s="37">
        <f t="shared" ref="N118:P118" si="332">N119+N120+N121+N122</f>
        <v>327</v>
      </c>
      <c r="O118" s="37">
        <f t="shared" si="332"/>
        <v>68</v>
      </c>
      <c r="P118" s="37">
        <f t="shared" si="332"/>
        <v>344</v>
      </c>
      <c r="Q118" s="125">
        <f t="shared" si="273"/>
        <v>783</v>
      </c>
      <c r="R118" s="37">
        <f t="shared" ref="R118:T118" si="333">R119+R120+R121+R122</f>
        <v>342</v>
      </c>
      <c r="S118" s="37">
        <f t="shared" si="333"/>
        <v>69</v>
      </c>
      <c r="T118" s="37">
        <f t="shared" si="333"/>
        <v>372</v>
      </c>
      <c r="U118" s="125">
        <f t="shared" si="274"/>
        <v>780</v>
      </c>
      <c r="V118" s="37">
        <f t="shared" ref="V118:X118" si="334">V119+V120+V121+V122</f>
        <v>342</v>
      </c>
      <c r="W118" s="37">
        <f t="shared" si="334"/>
        <v>68</v>
      </c>
      <c r="X118" s="37">
        <f t="shared" si="334"/>
        <v>370</v>
      </c>
      <c r="Y118" s="125">
        <f t="shared" si="275"/>
        <v>794</v>
      </c>
      <c r="Z118" s="37">
        <f t="shared" ref="Z118:AB118" si="335">Z119+Z120+Z121+Z122</f>
        <v>351</v>
      </c>
      <c r="AA118" s="37">
        <f t="shared" si="335"/>
        <v>68</v>
      </c>
      <c r="AB118" s="37">
        <f t="shared" si="335"/>
        <v>375</v>
      </c>
      <c r="AC118" s="125">
        <f t="shared" si="276"/>
        <v>786</v>
      </c>
      <c r="AD118" s="37">
        <f t="shared" ref="AD118:AF118" si="336">AD119+AD120+AD121+AD122</f>
        <v>343</v>
      </c>
      <c r="AE118" s="37">
        <f t="shared" si="336"/>
        <v>68</v>
      </c>
      <c r="AF118" s="37">
        <f t="shared" si="336"/>
        <v>375</v>
      </c>
      <c r="AG118" s="125">
        <f t="shared" si="277"/>
        <v>13</v>
      </c>
      <c r="AH118" s="37">
        <f t="shared" ref="AH118:AJ118" si="337">AH119+AH120+AH121+AH122</f>
        <v>1</v>
      </c>
      <c r="AI118" s="37">
        <f t="shared" si="337"/>
        <v>12</v>
      </c>
      <c r="AJ118" s="37">
        <f t="shared" si="337"/>
        <v>0</v>
      </c>
      <c r="AK118" s="125">
        <f t="shared" si="278"/>
        <v>0</v>
      </c>
      <c r="AL118" s="37">
        <f t="shared" ref="AL118:AN118" si="338">AL119+AL120+AL121+AL122</f>
        <v>0</v>
      </c>
      <c r="AM118" s="37">
        <f t="shared" si="338"/>
        <v>0</v>
      </c>
      <c r="AN118" s="37">
        <f t="shared" si="338"/>
        <v>0</v>
      </c>
      <c r="AO118" s="125">
        <f t="shared" si="279"/>
        <v>0</v>
      </c>
      <c r="AP118" s="37">
        <f t="shared" ref="AP118:AR118" si="339">AP119+AP120+AP121+AP122</f>
        <v>0</v>
      </c>
      <c r="AQ118" s="37">
        <f t="shared" si="339"/>
        <v>0</v>
      </c>
      <c r="AR118" s="37">
        <f t="shared" si="339"/>
        <v>0</v>
      </c>
      <c r="AS118" s="125">
        <f t="shared" si="280"/>
        <v>0</v>
      </c>
      <c r="AT118" s="37">
        <f t="shared" ref="AT118:AV118" si="340">AT119+AT120+AT121+AT122</f>
        <v>0</v>
      </c>
      <c r="AU118" s="37">
        <f t="shared" si="340"/>
        <v>0</v>
      </c>
      <c r="AV118" s="37">
        <f t="shared" si="340"/>
        <v>0</v>
      </c>
      <c r="AW118" s="125">
        <f t="shared" si="281"/>
        <v>0</v>
      </c>
      <c r="AX118" s="37">
        <f t="shared" ref="AX118:AZ118" si="341">AX119+AX120+AX121+AX122</f>
        <v>0</v>
      </c>
      <c r="AY118" s="37">
        <f t="shared" si="341"/>
        <v>0</v>
      </c>
      <c r="AZ118" s="38">
        <f t="shared" si="341"/>
        <v>0</v>
      </c>
      <c r="BA118" s="34"/>
    </row>
    <row r="119" ht="15.75" customHeight="1">
      <c r="A119" s="29"/>
      <c r="B119" s="120" t="s">
        <v>29</v>
      </c>
      <c r="C119" s="49"/>
      <c r="D119" s="31" t="s">
        <v>30</v>
      </c>
      <c r="E119" s="41">
        <f t="shared" si="270"/>
        <v>496</v>
      </c>
      <c r="F119" s="42">
        <f>'1.MN'!F51</f>
        <v>141</v>
      </c>
      <c r="G119" s="42">
        <f>'1.MN'!G51</f>
        <v>37</v>
      </c>
      <c r="H119" s="42">
        <f>'1.MN'!H51</f>
        <v>318</v>
      </c>
      <c r="I119" s="41">
        <f t="shared" si="271"/>
        <v>514</v>
      </c>
      <c r="J119" s="42">
        <f>'1.MN'!J51</f>
        <v>153</v>
      </c>
      <c r="K119" s="42">
        <f>'1.MN'!K51</f>
        <v>37</v>
      </c>
      <c r="L119" s="42">
        <f>'1.MN'!L51</f>
        <v>324</v>
      </c>
      <c r="M119" s="41">
        <f t="shared" si="272"/>
        <v>479</v>
      </c>
      <c r="N119" s="42">
        <f>'1.MN'!N51</f>
        <v>123</v>
      </c>
      <c r="O119" s="42">
        <f>'1.MN'!O51</f>
        <v>37</v>
      </c>
      <c r="P119" s="42">
        <f>'1.MN'!P51</f>
        <v>319</v>
      </c>
      <c r="Q119" s="41">
        <f t="shared" si="273"/>
        <v>478</v>
      </c>
      <c r="R119" s="42">
        <f>'1.MN'!R51</f>
        <v>125</v>
      </c>
      <c r="S119" s="42">
        <f>'1.MN'!S51</f>
        <v>37</v>
      </c>
      <c r="T119" s="42">
        <f>'1.MN'!T51</f>
        <v>316</v>
      </c>
      <c r="U119" s="41">
        <f t="shared" si="274"/>
        <v>478</v>
      </c>
      <c r="V119" s="42">
        <f>'1.MN'!V51</f>
        <v>125</v>
      </c>
      <c r="W119" s="42">
        <f>'1.MN'!W51</f>
        <v>37</v>
      </c>
      <c r="X119" s="42">
        <f>'1.MN'!X51</f>
        <v>316</v>
      </c>
      <c r="Y119" s="41">
        <f t="shared" si="275"/>
        <v>493</v>
      </c>
      <c r="Z119" s="42">
        <f>'1.MN'!Z51</f>
        <v>134</v>
      </c>
      <c r="AA119" s="42">
        <f>'1.MN'!AA51</f>
        <v>37</v>
      </c>
      <c r="AB119" s="42">
        <f>'1.MN'!AB51</f>
        <v>322</v>
      </c>
      <c r="AC119" s="41">
        <f t="shared" si="276"/>
        <v>493</v>
      </c>
      <c r="AD119" s="42">
        <f>'1.MN'!AD51</f>
        <v>134</v>
      </c>
      <c r="AE119" s="42">
        <f>'1.MN'!AE51</f>
        <v>37</v>
      </c>
      <c r="AF119" s="42">
        <f>'1.MN'!AF51</f>
        <v>322</v>
      </c>
      <c r="AG119" s="41">
        <f t="shared" si="277"/>
        <v>0</v>
      </c>
      <c r="AH119" s="42">
        <f>'1.MN'!AH51</f>
        <v>0</v>
      </c>
      <c r="AI119" s="42">
        <f>'1.MN'!AI51</f>
        <v>0</v>
      </c>
      <c r="AJ119" s="42">
        <f>'1.MN'!AJ51</f>
        <v>0</v>
      </c>
      <c r="AK119" s="41">
        <f t="shared" si="278"/>
        <v>0</v>
      </c>
      <c r="AL119" s="42">
        <f>'1.MN'!AL51</f>
        <v>0</v>
      </c>
      <c r="AM119" s="42">
        <f>'1.MN'!AM51</f>
        <v>0</v>
      </c>
      <c r="AN119" s="42">
        <f>'1.MN'!AN51</f>
        <v>0</v>
      </c>
      <c r="AO119" s="41">
        <f t="shared" si="279"/>
        <v>0</v>
      </c>
      <c r="AP119" s="42">
        <f>'1.MN'!AP51</f>
        <v>0</v>
      </c>
      <c r="AQ119" s="42">
        <f>'1.MN'!AQ51</f>
        <v>0</v>
      </c>
      <c r="AR119" s="42">
        <f>'1.MN'!AR51</f>
        <v>0</v>
      </c>
      <c r="AS119" s="41">
        <f t="shared" si="280"/>
        <v>0</v>
      </c>
      <c r="AT119" s="42">
        <f>'1.MN'!AT51</f>
        <v>0</v>
      </c>
      <c r="AU119" s="42">
        <f>'1.MN'!AU51</f>
        <v>0</v>
      </c>
      <c r="AV119" s="42">
        <f>'1.MN'!AV51</f>
        <v>0</v>
      </c>
      <c r="AW119" s="41">
        <f t="shared" si="281"/>
        <v>0</v>
      </c>
      <c r="AX119" s="42">
        <f>'1.MN'!AX51</f>
        <v>0</v>
      </c>
      <c r="AY119" s="42">
        <f>'1.MN'!AY51</f>
        <v>0</v>
      </c>
      <c r="AZ119" s="43">
        <f>'1.MN'!AZ51</f>
        <v>0</v>
      </c>
      <c r="BA119" s="34"/>
    </row>
    <row r="120" ht="15.75" customHeight="1">
      <c r="A120" s="29"/>
      <c r="B120" s="120" t="s">
        <v>31</v>
      </c>
      <c r="C120" s="31"/>
      <c r="D120" s="31" t="s">
        <v>30</v>
      </c>
      <c r="E120" s="41">
        <f t="shared" si="270"/>
        <v>195</v>
      </c>
      <c r="F120" s="42">
        <f>'2.TH'!F46+'4.TH-THCS'!F65</f>
        <v>149</v>
      </c>
      <c r="G120" s="42">
        <f>'2.TH'!G46+'4.TH-THCS'!G65</f>
        <v>31</v>
      </c>
      <c r="H120" s="42">
        <f>'2.TH'!H46+'4.TH-THCS'!H65</f>
        <v>15</v>
      </c>
      <c r="I120" s="41">
        <f t="shared" si="271"/>
        <v>209</v>
      </c>
      <c r="J120" s="42">
        <f>'2.TH'!J46+'4.TH-THCS'!J65</f>
        <v>163</v>
      </c>
      <c r="K120" s="42">
        <f>'2.TH'!K46+'4.TH-THCS'!K65</f>
        <v>31</v>
      </c>
      <c r="L120" s="42">
        <f>'2.TH'!L46+'4.TH-THCS'!L65</f>
        <v>15</v>
      </c>
      <c r="M120" s="41">
        <f t="shared" si="272"/>
        <v>210</v>
      </c>
      <c r="N120" s="42">
        <f>'2.TH'!N46+'4.TH-THCS'!N65</f>
        <v>163</v>
      </c>
      <c r="O120" s="42">
        <f>'2.TH'!O46+'4.TH-THCS'!O65</f>
        <v>31</v>
      </c>
      <c r="P120" s="42">
        <f>'2.TH'!P46+'4.TH-THCS'!P65</f>
        <v>16</v>
      </c>
      <c r="Q120" s="41">
        <f t="shared" si="273"/>
        <v>217</v>
      </c>
      <c r="R120" s="42">
        <f>'2.TH'!R46+'4.TH-THCS'!R65</f>
        <v>170</v>
      </c>
      <c r="S120" s="42">
        <f>'2.TH'!S46+'4.TH-THCS'!S65</f>
        <v>31</v>
      </c>
      <c r="T120" s="42">
        <f>'2.TH'!T46+'4.TH-THCS'!T65</f>
        <v>16</v>
      </c>
      <c r="U120" s="41">
        <f t="shared" si="274"/>
        <v>218</v>
      </c>
      <c r="V120" s="42">
        <f>'2.TH'!V46+'4.TH-THCS'!V65</f>
        <v>172</v>
      </c>
      <c r="W120" s="42">
        <f>'2.TH'!W46+'4.TH-THCS'!W65</f>
        <v>31</v>
      </c>
      <c r="X120" s="42">
        <f>'2.TH'!X46+'4.TH-THCS'!X65</f>
        <v>15</v>
      </c>
      <c r="Y120" s="41">
        <f t="shared" si="275"/>
        <v>218</v>
      </c>
      <c r="Z120" s="42">
        <f>'2.TH'!Z46+'4.TH-THCS'!Z65</f>
        <v>172</v>
      </c>
      <c r="AA120" s="42">
        <f>'2.TH'!AA46+'4.TH-THCS'!AA65</f>
        <v>31</v>
      </c>
      <c r="AB120" s="42">
        <f>'2.TH'!AB46+'4.TH-THCS'!AB65</f>
        <v>15</v>
      </c>
      <c r="AC120" s="41">
        <f t="shared" si="276"/>
        <v>210</v>
      </c>
      <c r="AD120" s="42">
        <f>'2.TH'!AD46+'4.TH-THCS'!AD65</f>
        <v>164</v>
      </c>
      <c r="AE120" s="42">
        <f>'2.TH'!AE46+'4.TH-THCS'!AE65</f>
        <v>31</v>
      </c>
      <c r="AF120" s="42">
        <f>'2.TH'!AF46+'4.TH-THCS'!AF65</f>
        <v>15</v>
      </c>
      <c r="AG120" s="41">
        <f t="shared" si="277"/>
        <v>13</v>
      </c>
      <c r="AH120" s="42">
        <f>'2.TH'!AH46+'4.TH-THCS'!AH65</f>
        <v>1</v>
      </c>
      <c r="AI120" s="42">
        <f>'2.TH'!AI46+'4.TH-THCS'!AI65</f>
        <v>12</v>
      </c>
      <c r="AJ120" s="42">
        <f>'2.TH'!AJ46+'4.TH-THCS'!AJ65</f>
        <v>0</v>
      </c>
      <c r="AK120" s="41">
        <f t="shared" si="278"/>
        <v>0</v>
      </c>
      <c r="AL120" s="42">
        <f>'2.TH'!AL46+'4.TH-THCS'!AL65</f>
        <v>0</v>
      </c>
      <c r="AM120" s="42">
        <f>'2.TH'!AM46+'4.TH-THCS'!AM65</f>
        <v>0</v>
      </c>
      <c r="AN120" s="42">
        <f>'2.TH'!AN46+'4.TH-THCS'!AN65</f>
        <v>0</v>
      </c>
      <c r="AO120" s="41">
        <f t="shared" si="279"/>
        <v>0</v>
      </c>
      <c r="AP120" s="42">
        <f>'2.TH'!AP46+'4.TH-THCS'!AP65</f>
        <v>0</v>
      </c>
      <c r="AQ120" s="42">
        <f>'2.TH'!AQ46+'4.TH-THCS'!AQ65</f>
        <v>0</v>
      </c>
      <c r="AR120" s="42">
        <f>'2.TH'!AR46+'4.TH-THCS'!AR65</f>
        <v>0</v>
      </c>
      <c r="AS120" s="41">
        <f t="shared" si="280"/>
        <v>0</v>
      </c>
      <c r="AT120" s="42">
        <f>'2.TH'!AT46+'4.TH-THCS'!AT65</f>
        <v>0</v>
      </c>
      <c r="AU120" s="42">
        <f>'2.TH'!AU46+'4.TH-THCS'!AU65</f>
        <v>0</v>
      </c>
      <c r="AV120" s="42">
        <f>'2.TH'!AV46+'4.TH-THCS'!AV65</f>
        <v>0</v>
      </c>
      <c r="AW120" s="41">
        <f t="shared" si="281"/>
        <v>0</v>
      </c>
      <c r="AX120" s="42">
        <f>'2.TH'!AX46+'4.TH-THCS'!AX65</f>
        <v>0</v>
      </c>
      <c r="AY120" s="42">
        <f>'2.TH'!AY46+'4.TH-THCS'!AY65</f>
        <v>0</v>
      </c>
      <c r="AZ120" s="43">
        <f>'2.TH'!AZ46+'4.TH-THCS'!AZ65</f>
        <v>0</v>
      </c>
      <c r="BA120" s="34"/>
    </row>
    <row r="121" ht="15.75" customHeight="1">
      <c r="A121" s="29"/>
      <c r="B121" s="120" t="s">
        <v>33</v>
      </c>
      <c r="C121" s="31"/>
      <c r="D121" s="31" t="s">
        <v>30</v>
      </c>
      <c r="E121" s="41">
        <f t="shared" si="270"/>
        <v>45</v>
      </c>
      <c r="F121" s="42">
        <f>'3.THCS'!F44+'4.TH-THCS'!F64-'4.TH-THCS'!F65+'6.THCS-THPT'!F61</f>
        <v>36</v>
      </c>
      <c r="G121" s="42">
        <f>'3.THCS'!G44+'4.TH-THCS'!G64-'4.TH-THCS'!G65+'6.THCS-THPT'!G61</f>
        <v>0</v>
      </c>
      <c r="H121" s="42">
        <f>'3.THCS'!H44+'4.TH-THCS'!H64-'4.TH-THCS'!H65+'6.THCS-THPT'!H61</f>
        <v>9</v>
      </c>
      <c r="I121" s="41">
        <f t="shared" si="271"/>
        <v>54</v>
      </c>
      <c r="J121" s="42">
        <f>'3.THCS'!J44+'4.TH-THCS'!J64-'4.TH-THCS'!J65+'6.THCS-THPT'!J61</f>
        <v>45</v>
      </c>
      <c r="K121" s="42">
        <f>'3.THCS'!K44+'4.TH-THCS'!K64-'4.TH-THCS'!K65+'6.THCS-THPT'!K61</f>
        <v>0</v>
      </c>
      <c r="L121" s="42">
        <f>'3.THCS'!L44+'4.TH-THCS'!L64-'4.TH-THCS'!L65+'6.THCS-THPT'!L61</f>
        <v>9</v>
      </c>
      <c r="M121" s="41">
        <f t="shared" si="272"/>
        <v>45</v>
      </c>
      <c r="N121" s="42">
        <f>'3.THCS'!N44+'4.TH-THCS'!N64-'4.TH-THCS'!N65+'6.THCS-THPT'!N61</f>
        <v>36</v>
      </c>
      <c r="O121" s="42">
        <f>'3.THCS'!O44+'4.TH-THCS'!O64-'4.TH-THCS'!O65+'6.THCS-THPT'!O61</f>
        <v>0</v>
      </c>
      <c r="P121" s="42">
        <f>'3.THCS'!P44+'4.TH-THCS'!P64-'4.TH-THCS'!P65+'6.THCS-THPT'!P61</f>
        <v>9</v>
      </c>
      <c r="Q121" s="41">
        <f t="shared" si="273"/>
        <v>52</v>
      </c>
      <c r="R121" s="42">
        <f>'3.THCS'!R44+'4.TH-THCS'!R64-'4.TH-THCS'!R65+'6.THCS-THPT'!R61</f>
        <v>40</v>
      </c>
      <c r="S121" s="42">
        <f>'3.THCS'!S44+'4.TH-THCS'!S64-'4.TH-THCS'!S65+'6.THCS-THPT'!S61</f>
        <v>3</v>
      </c>
      <c r="T121" s="42">
        <f>'3.THCS'!T44+'4.TH-THCS'!T64-'4.TH-THCS'!T65+'6.THCS-THPT'!T61</f>
        <v>9</v>
      </c>
      <c r="U121" s="41">
        <f t="shared" si="274"/>
        <v>48</v>
      </c>
      <c r="V121" s="42">
        <f>'3.THCS'!V44+'4.TH-THCS'!V64-'4.TH-THCS'!V65+'6.THCS-THPT'!V61</f>
        <v>40</v>
      </c>
      <c r="W121" s="42">
        <f>'3.THCS'!W44+'4.TH-THCS'!W64-'4.TH-THCS'!W65+'6.THCS-THPT'!W61</f>
        <v>0</v>
      </c>
      <c r="X121" s="42">
        <f>'3.THCS'!X44+'4.TH-THCS'!X64-'4.TH-THCS'!X65+'6.THCS-THPT'!X61</f>
        <v>8</v>
      </c>
      <c r="Y121" s="41">
        <f t="shared" si="275"/>
        <v>47</v>
      </c>
      <c r="Z121" s="42">
        <f>'3.THCS'!Z44+'4.TH-THCS'!Z64-'4.TH-THCS'!Z65+'6.THCS-THPT'!Z61</f>
        <v>40</v>
      </c>
      <c r="AA121" s="42">
        <f>'3.THCS'!AA44+'4.TH-THCS'!AA64-'4.TH-THCS'!AA65+'6.THCS-THPT'!AA61</f>
        <v>0</v>
      </c>
      <c r="AB121" s="42">
        <f>'3.THCS'!AB44+'4.TH-THCS'!AB64-'4.TH-THCS'!AB65+'6.THCS-THPT'!AB61</f>
        <v>7</v>
      </c>
      <c r="AC121" s="41">
        <f t="shared" si="276"/>
        <v>47</v>
      </c>
      <c r="AD121" s="42">
        <f>'3.THCS'!AD44+'4.TH-THCS'!AD64-'4.TH-THCS'!AD65+'6.THCS-THPT'!AD61</f>
        <v>40</v>
      </c>
      <c r="AE121" s="42">
        <f>'3.THCS'!AE44+'4.TH-THCS'!AE64-'4.TH-THCS'!AE65+'6.THCS-THPT'!AE61</f>
        <v>0</v>
      </c>
      <c r="AF121" s="42">
        <f>'3.THCS'!AF44+'4.TH-THCS'!AF64-'4.TH-THCS'!AF65+'6.THCS-THPT'!AF61</f>
        <v>7</v>
      </c>
      <c r="AG121" s="41">
        <f t="shared" si="277"/>
        <v>0</v>
      </c>
      <c r="AH121" s="42">
        <f>'3.THCS'!AH44+'4.TH-THCS'!AH64-'4.TH-THCS'!AH65+'6.THCS-THPT'!AH61</f>
        <v>0</v>
      </c>
      <c r="AI121" s="42">
        <f>'3.THCS'!AI44+'4.TH-THCS'!AI64-'4.TH-THCS'!AI65+'6.THCS-THPT'!AI61</f>
        <v>0</v>
      </c>
      <c r="AJ121" s="42">
        <f>'3.THCS'!AJ44+'4.TH-THCS'!AJ64-'4.TH-THCS'!AJ65+'6.THCS-THPT'!AJ61</f>
        <v>0</v>
      </c>
      <c r="AK121" s="41">
        <f t="shared" si="278"/>
        <v>0</v>
      </c>
      <c r="AL121" s="42">
        <f>'3.THCS'!AL44+'4.TH-THCS'!AL64-'4.TH-THCS'!AL65+'6.THCS-THPT'!AL61</f>
        <v>0</v>
      </c>
      <c r="AM121" s="42">
        <f>'3.THCS'!AM44+'4.TH-THCS'!AM64-'4.TH-THCS'!AM65+'6.THCS-THPT'!AM61</f>
        <v>0</v>
      </c>
      <c r="AN121" s="42">
        <f>'3.THCS'!AN44+'4.TH-THCS'!AN64-'4.TH-THCS'!AN65+'6.THCS-THPT'!AN61</f>
        <v>0</v>
      </c>
      <c r="AO121" s="41">
        <f t="shared" si="279"/>
        <v>0</v>
      </c>
      <c r="AP121" s="42">
        <f>'3.THCS'!AP44+'4.TH-THCS'!AP64-'4.TH-THCS'!AP65+'6.THCS-THPT'!AP61</f>
        <v>0</v>
      </c>
      <c r="AQ121" s="42">
        <f>'3.THCS'!AQ44+'4.TH-THCS'!AQ64-'4.TH-THCS'!AQ65+'6.THCS-THPT'!AQ61</f>
        <v>0</v>
      </c>
      <c r="AR121" s="42">
        <f>'3.THCS'!AR44+'4.TH-THCS'!AR64-'4.TH-THCS'!AR65+'6.THCS-THPT'!AR61</f>
        <v>0</v>
      </c>
      <c r="AS121" s="41">
        <f t="shared" si="280"/>
        <v>0</v>
      </c>
      <c r="AT121" s="42">
        <f>'3.THCS'!AT44+'4.TH-THCS'!AT64-'4.TH-THCS'!AT65+'6.THCS-THPT'!AT61</f>
        <v>0</v>
      </c>
      <c r="AU121" s="42">
        <f>'3.THCS'!AU44+'4.TH-THCS'!AU64-'4.TH-THCS'!AU65+'6.THCS-THPT'!AU61</f>
        <v>0</v>
      </c>
      <c r="AV121" s="42">
        <f>'3.THCS'!AV44+'4.TH-THCS'!AV64-'4.TH-THCS'!AV65+'6.THCS-THPT'!AV61</f>
        <v>0</v>
      </c>
      <c r="AW121" s="41">
        <f t="shared" si="281"/>
        <v>0</v>
      </c>
      <c r="AX121" s="42">
        <f>'3.THCS'!AX44+'4.TH-THCS'!AX64-'4.TH-THCS'!AX65+'6.THCS-THPT'!AX61</f>
        <v>0</v>
      </c>
      <c r="AY121" s="42">
        <f>'3.THCS'!AY44+'4.TH-THCS'!AY64-'4.TH-THCS'!AY65+'6.THCS-THPT'!AY61</f>
        <v>0</v>
      </c>
      <c r="AZ121" s="43">
        <f>'3.THCS'!AZ44+'4.TH-THCS'!AZ64-'4.TH-THCS'!AZ65+'6.THCS-THPT'!AZ61</f>
        <v>0</v>
      </c>
      <c r="BA121" s="34"/>
    </row>
    <row r="122" ht="15.75" customHeight="1">
      <c r="A122" s="29"/>
      <c r="B122" s="120" t="s">
        <v>35</v>
      </c>
      <c r="C122" s="31"/>
      <c r="D122" s="31" t="s">
        <v>30</v>
      </c>
      <c r="E122" s="41">
        <f t="shared" si="270"/>
        <v>5</v>
      </c>
      <c r="F122" s="42">
        <f>'5.THPT'!F42+'6.THCS-THPT'!F60-'6.THCS-THPT'!F61</f>
        <v>5</v>
      </c>
      <c r="G122" s="42">
        <f>'5.THPT'!G42+'6.THCS-THPT'!G60-'6.THCS-THPT'!G61</f>
        <v>0</v>
      </c>
      <c r="H122" s="42">
        <f>'5.THPT'!H42+'6.THCS-THPT'!H60-'6.THCS-THPT'!H61</f>
        <v>0</v>
      </c>
      <c r="I122" s="41">
        <f t="shared" si="271"/>
        <v>5</v>
      </c>
      <c r="J122" s="42">
        <f>'5.THPT'!J42+'6.THCS-THPT'!J60-'6.THCS-THPT'!J61</f>
        <v>5</v>
      </c>
      <c r="K122" s="42">
        <f>'5.THPT'!K42+'6.THCS-THPT'!K60-'6.THCS-THPT'!K61</f>
        <v>0</v>
      </c>
      <c r="L122" s="42">
        <f>'5.THPT'!L42+'6.THCS-THPT'!L60-'6.THCS-THPT'!L61</f>
        <v>0</v>
      </c>
      <c r="M122" s="41">
        <f t="shared" si="272"/>
        <v>5</v>
      </c>
      <c r="N122" s="42">
        <f>'5.THPT'!N42+'6.THCS-THPT'!N60-'6.THCS-THPT'!N61</f>
        <v>5</v>
      </c>
      <c r="O122" s="42">
        <f>'5.THPT'!O42+'6.THCS-THPT'!O60-'6.THCS-THPT'!O61</f>
        <v>0</v>
      </c>
      <c r="P122" s="42">
        <f>'5.THPT'!P42+'6.THCS-THPT'!P60-'6.THCS-THPT'!P61</f>
        <v>0</v>
      </c>
      <c r="Q122" s="41">
        <f t="shared" si="273"/>
        <v>36</v>
      </c>
      <c r="R122" s="42">
        <f>'5.THPT'!R42+'6.THCS-THPT'!R60-'6.THCS-THPT'!R61</f>
        <v>7</v>
      </c>
      <c r="S122" s="42">
        <f>'5.THPT'!S42+'6.THCS-THPT'!S60-'6.THCS-THPT'!S61</f>
        <v>-2</v>
      </c>
      <c r="T122" s="42">
        <f>'5.THPT'!T42+'6.THCS-THPT'!T60-'6.THCS-THPT'!T61</f>
        <v>31</v>
      </c>
      <c r="U122" s="41">
        <f t="shared" si="274"/>
        <v>36</v>
      </c>
      <c r="V122" s="42">
        <f>'5.THPT'!V42+'6.THCS-THPT'!V60-'6.THCS-THPT'!V61</f>
        <v>5</v>
      </c>
      <c r="W122" s="42">
        <f>'5.THPT'!W42+'6.THCS-THPT'!W60-'6.THCS-THPT'!W61</f>
        <v>0</v>
      </c>
      <c r="X122" s="42">
        <f>'5.THPT'!X42+'6.THCS-THPT'!X60-'6.THCS-THPT'!X61</f>
        <v>31</v>
      </c>
      <c r="Y122" s="41">
        <f t="shared" si="275"/>
        <v>36</v>
      </c>
      <c r="Z122" s="42">
        <f>'5.THPT'!Z42+'6.THCS-THPT'!Z60-'6.THCS-THPT'!Z61</f>
        <v>5</v>
      </c>
      <c r="AA122" s="42">
        <f>'5.THPT'!AA42+'6.THCS-THPT'!AA60-'6.THCS-THPT'!AA61</f>
        <v>0</v>
      </c>
      <c r="AB122" s="42">
        <f>'5.THPT'!AB42+'6.THCS-THPT'!AB60-'6.THCS-THPT'!AB61</f>
        <v>31</v>
      </c>
      <c r="AC122" s="41">
        <f t="shared" si="276"/>
        <v>36</v>
      </c>
      <c r="AD122" s="42">
        <f>'5.THPT'!AD42+'6.THCS-THPT'!AD60-'6.THCS-THPT'!AD61</f>
        <v>5</v>
      </c>
      <c r="AE122" s="42">
        <f>'5.THPT'!AE42+'6.THCS-THPT'!AE60-'6.THCS-THPT'!AE61</f>
        <v>0</v>
      </c>
      <c r="AF122" s="42">
        <f>'5.THPT'!AF42+'6.THCS-THPT'!AF60-'6.THCS-THPT'!AF61</f>
        <v>31</v>
      </c>
      <c r="AG122" s="41">
        <f t="shared" si="277"/>
        <v>0</v>
      </c>
      <c r="AH122" s="42">
        <f>'5.THPT'!AH42+'6.THCS-THPT'!AH60-'6.THCS-THPT'!AH61</f>
        <v>0</v>
      </c>
      <c r="AI122" s="42">
        <f>'5.THPT'!AI42+'6.THCS-THPT'!AI60-'6.THCS-THPT'!AI61</f>
        <v>0</v>
      </c>
      <c r="AJ122" s="42">
        <f>'5.THPT'!AJ42+'6.THCS-THPT'!AJ60-'6.THCS-THPT'!AJ61</f>
        <v>0</v>
      </c>
      <c r="AK122" s="41">
        <f t="shared" si="278"/>
        <v>0</v>
      </c>
      <c r="AL122" s="42">
        <f>'5.THPT'!AL42+'6.THCS-THPT'!AL60-'6.THCS-THPT'!AL61</f>
        <v>0</v>
      </c>
      <c r="AM122" s="42">
        <f>'5.THPT'!AM42+'6.THCS-THPT'!AM60-'6.THCS-THPT'!AM61</f>
        <v>0</v>
      </c>
      <c r="AN122" s="42">
        <f>'5.THPT'!AN42+'6.THCS-THPT'!AN60-'6.THCS-THPT'!AN61</f>
        <v>0</v>
      </c>
      <c r="AO122" s="41">
        <f t="shared" si="279"/>
        <v>0</v>
      </c>
      <c r="AP122" s="42">
        <f>'5.THPT'!AP42+'6.THCS-THPT'!AP60-'6.THCS-THPT'!AP61</f>
        <v>0</v>
      </c>
      <c r="AQ122" s="42">
        <f>'5.THPT'!AQ42+'6.THCS-THPT'!AQ60-'6.THCS-THPT'!AQ61</f>
        <v>0</v>
      </c>
      <c r="AR122" s="42">
        <f>'5.THPT'!AR42+'6.THCS-THPT'!AR60-'6.THCS-THPT'!AR61</f>
        <v>0</v>
      </c>
      <c r="AS122" s="41">
        <f t="shared" si="280"/>
        <v>0</v>
      </c>
      <c r="AT122" s="42">
        <f>'5.THPT'!AT42+'6.THCS-THPT'!AT60-'6.THCS-THPT'!AT61</f>
        <v>0</v>
      </c>
      <c r="AU122" s="42">
        <f>'5.THPT'!AU42+'6.THCS-THPT'!AU60-'6.THCS-THPT'!AU61</f>
        <v>0</v>
      </c>
      <c r="AV122" s="42">
        <f>'5.THPT'!AV42+'6.THCS-THPT'!AV60-'6.THCS-THPT'!AV61</f>
        <v>0</v>
      </c>
      <c r="AW122" s="41">
        <f t="shared" si="281"/>
        <v>0</v>
      </c>
      <c r="AX122" s="42">
        <f>'5.THPT'!AX42+'6.THCS-THPT'!AX60-'6.THCS-THPT'!AX61</f>
        <v>0</v>
      </c>
      <c r="AY122" s="42">
        <f>'5.THPT'!AY42+'6.THCS-THPT'!AY60-'6.THCS-THPT'!AY61</f>
        <v>0</v>
      </c>
      <c r="AZ122" s="43">
        <f>'5.THPT'!AZ42+'6.THCS-THPT'!AZ60-'6.THCS-THPT'!AZ61</f>
        <v>0</v>
      </c>
      <c r="BA122" s="34"/>
    </row>
    <row r="123" ht="15.75" customHeight="1">
      <c r="A123" s="29"/>
      <c r="B123" s="124" t="s">
        <v>114</v>
      </c>
      <c r="C123" s="57"/>
      <c r="D123" s="57" t="s">
        <v>89</v>
      </c>
      <c r="E123" s="37">
        <f t="shared" si="270"/>
        <v>2206</v>
      </c>
      <c r="F123" s="64">
        <f>'1.MN'!F52+'2.TH'!F47+'3.THCS'!F45+'5.THPT'!F43+'4.TH-THCS'!F66+'6.THCS-THPT'!F62</f>
        <v>2042</v>
      </c>
      <c r="G123" s="64">
        <f>'1.MN'!G52+'2.TH'!G47+'3.THCS'!G45+'5.THPT'!G43+'4.TH-THCS'!G66+'6.THCS-THPT'!G62</f>
        <v>25</v>
      </c>
      <c r="H123" s="64">
        <f>'1.MN'!H52+'2.TH'!H47+'3.THCS'!H45+'5.THPT'!H43+'4.TH-THCS'!H66+'6.THCS-THPT'!H62</f>
        <v>139</v>
      </c>
      <c r="I123" s="37">
        <f t="shared" si="271"/>
        <v>2127</v>
      </c>
      <c r="J123" s="64">
        <f>'1.MN'!J52+'2.TH'!J47+'3.THCS'!J45+'5.THPT'!J43+'4.TH-THCS'!J66+'6.THCS-THPT'!J62</f>
        <v>1967</v>
      </c>
      <c r="K123" s="64">
        <f>'1.MN'!K52+'2.TH'!K47+'3.THCS'!K45+'5.THPT'!K43+'4.TH-THCS'!K66+'6.THCS-THPT'!K62</f>
        <v>24</v>
      </c>
      <c r="L123" s="64">
        <f>'1.MN'!L52+'2.TH'!L47+'3.THCS'!L45+'5.THPT'!L43+'4.TH-THCS'!L66+'6.THCS-THPT'!L62</f>
        <v>136</v>
      </c>
      <c r="M123" s="37">
        <f t="shared" si="272"/>
        <v>2116</v>
      </c>
      <c r="N123" s="64">
        <f>'1.MN'!N52+'2.TH'!N47+'3.THCS'!N45+'5.THPT'!N43+'4.TH-THCS'!N66+'6.THCS-THPT'!N62</f>
        <v>1947</v>
      </c>
      <c r="O123" s="64">
        <f>'1.MN'!O52+'2.TH'!O47+'3.THCS'!O45+'5.THPT'!O43+'4.TH-THCS'!O66+'6.THCS-THPT'!O62</f>
        <v>24</v>
      </c>
      <c r="P123" s="64">
        <f>'1.MN'!P52+'2.TH'!P47+'3.THCS'!P45+'5.THPT'!P43+'4.TH-THCS'!P66+'6.THCS-THPT'!P62</f>
        <v>145</v>
      </c>
      <c r="Q123" s="37">
        <f t="shared" si="273"/>
        <v>2160</v>
      </c>
      <c r="R123" s="64">
        <f>'1.MN'!R52+'2.TH'!R47+'3.THCS'!R45+'5.THPT'!R43+'4.TH-THCS'!R66+'6.THCS-THPT'!R62</f>
        <v>1968</v>
      </c>
      <c r="S123" s="64">
        <f>'1.MN'!S52+'2.TH'!S47+'3.THCS'!S45+'5.THPT'!S43+'4.TH-THCS'!S66+'6.THCS-THPT'!S62</f>
        <v>31</v>
      </c>
      <c r="T123" s="64">
        <f>'1.MN'!T52+'2.TH'!T47+'3.THCS'!T45+'5.THPT'!T43+'4.TH-THCS'!T66+'6.THCS-THPT'!T62</f>
        <v>161</v>
      </c>
      <c r="U123" s="37">
        <f t="shared" si="274"/>
        <v>2089</v>
      </c>
      <c r="V123" s="64">
        <f>'1.MN'!V52+'2.TH'!V47+'3.THCS'!V45+'5.THPT'!V43+'4.TH-THCS'!V66+'6.THCS-THPT'!V62</f>
        <v>1904</v>
      </c>
      <c r="W123" s="64">
        <f>'1.MN'!W52+'2.TH'!W47+'3.THCS'!W45+'5.THPT'!W43+'4.TH-THCS'!W66+'6.THCS-THPT'!W62</f>
        <v>24</v>
      </c>
      <c r="X123" s="64">
        <f>'1.MN'!X52+'2.TH'!X47+'3.THCS'!X45+'5.THPT'!X43+'4.TH-THCS'!X66+'6.THCS-THPT'!X62</f>
        <v>161</v>
      </c>
      <c r="Y123" s="37">
        <f t="shared" si="275"/>
        <v>2086</v>
      </c>
      <c r="Z123" s="64">
        <f>'1.MN'!Z52+'2.TH'!Z47+'3.THCS'!Z45+'5.THPT'!Z43+'4.TH-THCS'!Z66+'6.THCS-THPT'!Z62</f>
        <v>1899</v>
      </c>
      <c r="AA123" s="64">
        <f>'1.MN'!AA52+'2.TH'!AA47+'3.THCS'!AA45+'5.THPT'!AA43+'4.TH-THCS'!AA66+'6.THCS-THPT'!AA62</f>
        <v>24</v>
      </c>
      <c r="AB123" s="64">
        <f>'1.MN'!AB52+'2.TH'!AB47+'3.THCS'!AB45+'5.THPT'!AB43+'4.TH-THCS'!AB66+'6.THCS-THPT'!AB62</f>
        <v>163</v>
      </c>
      <c r="AC123" s="37">
        <f t="shared" si="276"/>
        <v>1947</v>
      </c>
      <c r="AD123" s="64">
        <f>'1.MN'!AD52+'2.TH'!AD47+'3.THCS'!AD45+'5.THPT'!AD43+'4.TH-THCS'!AD66+'6.THCS-THPT'!AD62</f>
        <v>1777</v>
      </c>
      <c r="AE123" s="64">
        <f>'1.MN'!AE52+'2.TH'!AE47+'3.THCS'!AE45+'5.THPT'!AE43+'4.TH-THCS'!AE66+'6.THCS-THPT'!AE62</f>
        <v>24</v>
      </c>
      <c r="AF123" s="64">
        <f>'1.MN'!AF52+'2.TH'!AF47+'3.THCS'!AF45+'5.THPT'!AF43+'4.TH-THCS'!AF66+'6.THCS-THPT'!AF62</f>
        <v>146</v>
      </c>
      <c r="AG123" s="37">
        <f t="shared" si="277"/>
        <v>36</v>
      </c>
      <c r="AH123" s="64">
        <f>'1.MN'!AH52+'2.TH'!AH47+'3.THCS'!AH45+'5.THPT'!AH43+'4.TH-THCS'!AH66+'6.THCS-THPT'!AH62</f>
        <v>33</v>
      </c>
      <c r="AI123" s="64">
        <f>'1.MN'!AI52+'2.TH'!AI47+'3.THCS'!AI45+'5.THPT'!AI43+'4.TH-THCS'!AI66+'6.THCS-THPT'!AI62</f>
        <v>3</v>
      </c>
      <c r="AJ123" s="64">
        <f>'1.MN'!AJ52+'2.TH'!AJ47+'3.THCS'!AJ45+'5.THPT'!AJ43+'4.TH-THCS'!AJ66+'6.THCS-THPT'!AJ62</f>
        <v>0</v>
      </c>
      <c r="AK123" s="37">
        <f t="shared" si="278"/>
        <v>6</v>
      </c>
      <c r="AL123" s="64">
        <f>'1.MN'!AL52+'2.TH'!AL47+'3.THCS'!AL45+'5.THPT'!AL43+'4.TH-THCS'!AL66+'6.THCS-THPT'!AL62</f>
        <v>6</v>
      </c>
      <c r="AM123" s="64">
        <f>'1.MN'!AM52+'2.TH'!AM47+'3.THCS'!AM45+'5.THPT'!AM43+'4.TH-THCS'!AM66+'6.THCS-THPT'!AM62</f>
        <v>0</v>
      </c>
      <c r="AN123" s="64">
        <f>'1.MN'!AN52+'2.TH'!AN47+'3.THCS'!AN45+'5.THPT'!AN43+'4.TH-THCS'!AN66+'6.THCS-THPT'!AN62</f>
        <v>0</v>
      </c>
      <c r="AO123" s="37">
        <f t="shared" si="279"/>
        <v>6</v>
      </c>
      <c r="AP123" s="64">
        <f>'1.MN'!AP52+'2.TH'!AP47+'3.THCS'!AP45+'5.THPT'!AP43+'4.TH-THCS'!AP66+'6.THCS-THPT'!AP62</f>
        <v>6</v>
      </c>
      <c r="AQ123" s="64">
        <f>'1.MN'!AQ52+'2.TH'!AQ47+'3.THCS'!AQ45+'5.THPT'!AQ43+'4.TH-THCS'!AQ66+'6.THCS-THPT'!AQ62</f>
        <v>0</v>
      </c>
      <c r="AR123" s="64">
        <f>'1.MN'!AR52+'2.TH'!AR47+'3.THCS'!AR45+'5.THPT'!AR43+'4.TH-THCS'!AR66+'6.THCS-THPT'!AR62</f>
        <v>0</v>
      </c>
      <c r="AS123" s="37">
        <f t="shared" si="280"/>
        <v>6</v>
      </c>
      <c r="AT123" s="64">
        <f>'1.MN'!AT52+'2.TH'!AT47+'3.THCS'!AT45+'5.THPT'!AT43+'4.TH-THCS'!AT66+'6.THCS-THPT'!AT62</f>
        <v>6</v>
      </c>
      <c r="AU123" s="64">
        <f>'1.MN'!AU52+'2.TH'!AU47+'3.THCS'!AU45+'5.THPT'!AU43+'4.TH-THCS'!AU66+'6.THCS-THPT'!AU62</f>
        <v>0</v>
      </c>
      <c r="AV123" s="64">
        <f>'1.MN'!AV52+'2.TH'!AV47+'3.THCS'!AV45+'5.THPT'!AV43+'4.TH-THCS'!AV66+'6.THCS-THPT'!AV62</f>
        <v>0</v>
      </c>
      <c r="AW123" s="37">
        <f t="shared" si="281"/>
        <v>6</v>
      </c>
      <c r="AX123" s="64">
        <f>'1.MN'!AX52+'2.TH'!AX47+'3.THCS'!AX45+'5.THPT'!AX43+'4.TH-THCS'!AX66+'6.THCS-THPT'!AX62</f>
        <v>6</v>
      </c>
      <c r="AY123" s="64">
        <f>'1.MN'!AY52+'2.TH'!AY47+'3.THCS'!AY45+'5.THPT'!AY43+'4.TH-THCS'!AY66+'6.THCS-THPT'!AY62</f>
        <v>0</v>
      </c>
      <c r="AZ123" s="65">
        <f>'1.MN'!AZ52+'2.TH'!AZ47+'3.THCS'!AZ45+'5.THPT'!AZ43+'4.TH-THCS'!AZ66+'6.THCS-THPT'!AZ62</f>
        <v>0</v>
      </c>
      <c r="BA123" s="34"/>
    </row>
    <row r="124" ht="15.75" customHeight="1">
      <c r="A124" s="29"/>
      <c r="B124" s="66" t="s">
        <v>115</v>
      </c>
      <c r="C124" s="31" t="s">
        <v>107</v>
      </c>
      <c r="D124" s="31" t="s">
        <v>116</v>
      </c>
      <c r="E124" s="32">
        <f t="shared" ref="E124:AZ124" si="342">E125+E130+E135</f>
        <v>9154</v>
      </c>
      <c r="F124" s="32">
        <f t="shared" si="342"/>
        <v>8972</v>
      </c>
      <c r="G124" s="32">
        <f t="shared" si="342"/>
        <v>68</v>
      </c>
      <c r="H124" s="32">
        <f t="shared" si="342"/>
        <v>114</v>
      </c>
      <c r="I124" s="32">
        <f t="shared" si="342"/>
        <v>9215</v>
      </c>
      <c r="J124" s="32">
        <f t="shared" si="342"/>
        <v>8953</v>
      </c>
      <c r="K124" s="32">
        <f t="shared" si="342"/>
        <v>68</v>
      </c>
      <c r="L124" s="32">
        <f t="shared" si="342"/>
        <v>194</v>
      </c>
      <c r="M124" s="32">
        <f t="shared" si="342"/>
        <v>9198</v>
      </c>
      <c r="N124" s="32">
        <f t="shared" si="342"/>
        <v>8936</v>
      </c>
      <c r="O124" s="32">
        <f t="shared" si="342"/>
        <v>68</v>
      </c>
      <c r="P124" s="32">
        <f t="shared" si="342"/>
        <v>194</v>
      </c>
      <c r="Q124" s="32">
        <f t="shared" si="342"/>
        <v>9267</v>
      </c>
      <c r="R124" s="32">
        <f t="shared" si="342"/>
        <v>8928</v>
      </c>
      <c r="S124" s="32">
        <f t="shared" si="342"/>
        <v>123</v>
      </c>
      <c r="T124" s="32">
        <f t="shared" si="342"/>
        <v>216</v>
      </c>
      <c r="U124" s="32">
        <f t="shared" si="342"/>
        <v>8846</v>
      </c>
      <c r="V124" s="32">
        <f t="shared" si="342"/>
        <v>8568</v>
      </c>
      <c r="W124" s="32">
        <f t="shared" si="342"/>
        <v>62</v>
      </c>
      <c r="X124" s="32">
        <f t="shared" si="342"/>
        <v>216</v>
      </c>
      <c r="Y124" s="32">
        <f t="shared" si="342"/>
        <v>8727</v>
      </c>
      <c r="Z124" s="32">
        <f t="shared" si="342"/>
        <v>8449</v>
      </c>
      <c r="AA124" s="32">
        <f t="shared" si="342"/>
        <v>62</v>
      </c>
      <c r="AB124" s="32">
        <f t="shared" si="342"/>
        <v>216</v>
      </c>
      <c r="AC124" s="32">
        <f t="shared" si="342"/>
        <v>8626</v>
      </c>
      <c r="AD124" s="32">
        <f t="shared" si="342"/>
        <v>8350</v>
      </c>
      <c r="AE124" s="32">
        <f t="shared" si="342"/>
        <v>60</v>
      </c>
      <c r="AF124" s="32">
        <f t="shared" si="342"/>
        <v>216</v>
      </c>
      <c r="AG124" s="32">
        <f t="shared" si="342"/>
        <v>265</v>
      </c>
      <c r="AH124" s="32">
        <f t="shared" si="342"/>
        <v>254</v>
      </c>
      <c r="AI124" s="32">
        <f t="shared" si="342"/>
        <v>11</v>
      </c>
      <c r="AJ124" s="32">
        <f t="shared" si="342"/>
        <v>0</v>
      </c>
      <c r="AK124" s="32">
        <f t="shared" si="342"/>
        <v>45</v>
      </c>
      <c r="AL124" s="32">
        <f t="shared" si="342"/>
        <v>45</v>
      </c>
      <c r="AM124" s="32">
        <f t="shared" si="342"/>
        <v>0</v>
      </c>
      <c r="AN124" s="32">
        <f t="shared" si="342"/>
        <v>0</v>
      </c>
      <c r="AO124" s="32">
        <f t="shared" si="342"/>
        <v>44</v>
      </c>
      <c r="AP124" s="32">
        <f t="shared" si="342"/>
        <v>44</v>
      </c>
      <c r="AQ124" s="32">
        <f t="shared" si="342"/>
        <v>0</v>
      </c>
      <c r="AR124" s="32">
        <f t="shared" si="342"/>
        <v>0</v>
      </c>
      <c r="AS124" s="32">
        <f t="shared" si="342"/>
        <v>0</v>
      </c>
      <c r="AT124" s="32">
        <f t="shared" si="342"/>
        <v>0</v>
      </c>
      <c r="AU124" s="32">
        <f t="shared" si="342"/>
        <v>0</v>
      </c>
      <c r="AV124" s="32">
        <f t="shared" si="342"/>
        <v>0</v>
      </c>
      <c r="AW124" s="32">
        <f t="shared" si="342"/>
        <v>0</v>
      </c>
      <c r="AX124" s="32">
        <f t="shared" si="342"/>
        <v>0</v>
      </c>
      <c r="AY124" s="32">
        <f t="shared" si="342"/>
        <v>0</v>
      </c>
      <c r="AZ124" s="33">
        <f t="shared" si="342"/>
        <v>0</v>
      </c>
      <c r="BA124" s="34"/>
    </row>
    <row r="125" ht="15.75" customHeight="1">
      <c r="A125" s="29"/>
      <c r="B125" s="126" t="s">
        <v>117</v>
      </c>
      <c r="C125" s="57"/>
      <c r="D125" s="57" t="s">
        <v>116</v>
      </c>
      <c r="E125" s="125">
        <f>F125+G125+H125</f>
        <v>7813</v>
      </c>
      <c r="F125" s="125">
        <f t="shared" ref="F125:H125" si="343">F127+F128+F129</f>
        <v>7652</v>
      </c>
      <c r="G125" s="125">
        <f t="shared" si="343"/>
        <v>61</v>
      </c>
      <c r="H125" s="125">
        <f t="shared" si="343"/>
        <v>100</v>
      </c>
      <c r="I125" s="125">
        <f>J125+K125+L125</f>
        <v>7870</v>
      </c>
      <c r="J125" s="125">
        <f t="shared" ref="J125:L125" si="344">J127+J128+J129</f>
        <v>7625</v>
      </c>
      <c r="K125" s="125">
        <f t="shared" si="344"/>
        <v>61</v>
      </c>
      <c r="L125" s="125">
        <f t="shared" si="344"/>
        <v>184</v>
      </c>
      <c r="M125" s="125">
        <f>N125+O125+P125</f>
        <v>7860</v>
      </c>
      <c r="N125" s="125">
        <f t="shared" ref="N125:P125" si="345">N127+N128+N129</f>
        <v>7615</v>
      </c>
      <c r="O125" s="125">
        <f t="shared" si="345"/>
        <v>61</v>
      </c>
      <c r="P125" s="125">
        <f t="shared" si="345"/>
        <v>184</v>
      </c>
      <c r="Q125" s="125">
        <f>R125+S125+T125</f>
        <v>7913</v>
      </c>
      <c r="R125" s="125">
        <f t="shared" ref="R125:T125" si="346">R127+R128+R129</f>
        <v>7601</v>
      </c>
      <c r="S125" s="125">
        <f t="shared" si="346"/>
        <v>110</v>
      </c>
      <c r="T125" s="125">
        <f t="shared" si="346"/>
        <v>202</v>
      </c>
      <c r="U125" s="125">
        <f>V125+W125+X125</f>
        <v>7533</v>
      </c>
      <c r="V125" s="125">
        <f t="shared" ref="V125:X125" si="347">V127+V128+V129</f>
        <v>7270</v>
      </c>
      <c r="W125" s="125">
        <f t="shared" si="347"/>
        <v>61</v>
      </c>
      <c r="X125" s="125">
        <f t="shared" si="347"/>
        <v>202</v>
      </c>
      <c r="Y125" s="125">
        <f>Z125+AA125+AB125</f>
        <v>7408</v>
      </c>
      <c r="Z125" s="125">
        <f t="shared" ref="Z125:AB125" si="348">Z127+Z128+Z129</f>
        <v>7145</v>
      </c>
      <c r="AA125" s="125">
        <f t="shared" si="348"/>
        <v>61</v>
      </c>
      <c r="AB125" s="125">
        <f t="shared" si="348"/>
        <v>202</v>
      </c>
      <c r="AC125" s="125">
        <f>AD125+AE125+AF125</f>
        <v>7323</v>
      </c>
      <c r="AD125" s="125">
        <f t="shared" ref="AD125:AF125" si="349">AD127+AD128+AD129</f>
        <v>7062</v>
      </c>
      <c r="AE125" s="125">
        <f t="shared" si="349"/>
        <v>59</v>
      </c>
      <c r="AF125" s="125">
        <f t="shared" si="349"/>
        <v>202</v>
      </c>
      <c r="AG125" s="125">
        <f>AH125+AI125+AJ125</f>
        <v>211</v>
      </c>
      <c r="AH125" s="125">
        <f t="shared" ref="AH125:AJ125" si="350">AH127+AH128+AH129</f>
        <v>200</v>
      </c>
      <c r="AI125" s="125">
        <f t="shared" si="350"/>
        <v>11</v>
      </c>
      <c r="AJ125" s="125">
        <f t="shared" si="350"/>
        <v>0</v>
      </c>
      <c r="AK125" s="125">
        <f>AL125+AM125+AN125</f>
        <v>38</v>
      </c>
      <c r="AL125" s="125">
        <f t="shared" ref="AL125:AN125" si="351">AL127+AL128+AL129</f>
        <v>38</v>
      </c>
      <c r="AM125" s="125">
        <f t="shared" si="351"/>
        <v>0</v>
      </c>
      <c r="AN125" s="125">
        <f t="shared" si="351"/>
        <v>0</v>
      </c>
      <c r="AO125" s="125">
        <f>AP125+AQ125+AR125</f>
        <v>38</v>
      </c>
      <c r="AP125" s="125">
        <f t="shared" ref="AP125:AR125" si="352">AP127+AP128+AP129</f>
        <v>38</v>
      </c>
      <c r="AQ125" s="125">
        <f t="shared" si="352"/>
        <v>0</v>
      </c>
      <c r="AR125" s="125">
        <f t="shared" si="352"/>
        <v>0</v>
      </c>
      <c r="AS125" s="125">
        <f>AT125+AU125+AV125</f>
        <v>0</v>
      </c>
      <c r="AT125" s="125">
        <f t="shared" ref="AT125:AV125" si="353">AT127+AT128+AT129</f>
        <v>0</v>
      </c>
      <c r="AU125" s="125">
        <f t="shared" si="353"/>
        <v>0</v>
      </c>
      <c r="AV125" s="125">
        <f t="shared" si="353"/>
        <v>0</v>
      </c>
      <c r="AW125" s="125">
        <f>AX125+AY125+AZ125</f>
        <v>0</v>
      </c>
      <c r="AX125" s="125">
        <f t="shared" ref="AX125:AZ125" si="354">AX127+AX128+AX129</f>
        <v>0</v>
      </c>
      <c r="AY125" s="125">
        <f t="shared" si="354"/>
        <v>0</v>
      </c>
      <c r="AZ125" s="127">
        <f t="shared" si="354"/>
        <v>0</v>
      </c>
      <c r="BA125" s="34"/>
    </row>
    <row r="126" ht="15.75" customHeight="1">
      <c r="A126" s="29"/>
      <c r="B126" s="48" t="s">
        <v>52</v>
      </c>
      <c r="C126" s="49"/>
      <c r="D126" s="31" t="s">
        <v>30</v>
      </c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50"/>
      <c r="BA126" s="34"/>
    </row>
    <row r="127" ht="15.75" customHeight="1">
      <c r="A127" s="29"/>
      <c r="B127" s="67" t="s">
        <v>118</v>
      </c>
      <c r="C127" s="31"/>
      <c r="D127" s="31" t="s">
        <v>30</v>
      </c>
      <c r="E127" s="41">
        <f t="shared" ref="E127:E130" si="355">F127+G127+H127</f>
        <v>6057</v>
      </c>
      <c r="F127" s="42">
        <f>'1.MN'!F56+'2.TH'!F51+'3.THCS'!F49+'5.THPT'!F47+'4.TH-THCS'!F70+'6.THCS-THPT'!F66</f>
        <v>5983</v>
      </c>
      <c r="G127" s="42">
        <f>'1.MN'!G56+'2.TH'!G51+'3.THCS'!G49+'5.THPT'!G47+'4.TH-THCS'!G70+'6.THCS-THPT'!G66</f>
        <v>33</v>
      </c>
      <c r="H127" s="42">
        <f>'1.MN'!H56+'2.TH'!H51+'3.THCS'!H49+'5.THPT'!H47+'4.TH-THCS'!H70+'6.THCS-THPT'!H66</f>
        <v>41</v>
      </c>
      <c r="I127" s="41">
        <f t="shared" ref="I127:I130" si="356">J127+K127+L127</f>
        <v>6126</v>
      </c>
      <c r="J127" s="42">
        <f>'1.MN'!J56+'2.TH'!J51+'3.THCS'!J49+'5.THPT'!J47+'4.TH-THCS'!J70+'6.THCS-THPT'!J66</f>
        <v>5955</v>
      </c>
      <c r="K127" s="42">
        <f>'1.MN'!K56+'2.TH'!K51+'3.THCS'!K49+'5.THPT'!K47+'4.TH-THCS'!K70+'6.THCS-THPT'!K66</f>
        <v>33</v>
      </c>
      <c r="L127" s="42">
        <f>'1.MN'!L56+'2.TH'!L51+'3.THCS'!L49+'5.THPT'!L47+'4.TH-THCS'!L70+'6.THCS-THPT'!L66</f>
        <v>138</v>
      </c>
      <c r="M127" s="41">
        <f t="shared" ref="M127:M130" si="357">N127+O127+P127</f>
        <v>6116</v>
      </c>
      <c r="N127" s="42">
        <f>'1.MN'!N56+'2.TH'!N51+'3.THCS'!N49+'5.THPT'!N47+'4.TH-THCS'!N70+'6.THCS-THPT'!N66</f>
        <v>5945</v>
      </c>
      <c r="O127" s="42">
        <f>'1.MN'!O56+'2.TH'!O51+'3.THCS'!O49+'5.THPT'!O47+'4.TH-THCS'!O70+'6.THCS-THPT'!O66</f>
        <v>33</v>
      </c>
      <c r="P127" s="42">
        <f>'1.MN'!P56+'2.TH'!P51+'3.THCS'!P49+'5.THPT'!P47+'4.TH-THCS'!P70+'6.THCS-THPT'!P66</f>
        <v>138</v>
      </c>
      <c r="Q127" s="41">
        <f t="shared" ref="Q127:Q130" si="358">R127+S127+T127</f>
        <v>6179</v>
      </c>
      <c r="R127" s="42">
        <f>'1.MN'!R56+'2.TH'!R51+'3.THCS'!R49+'5.THPT'!R47+'4.TH-THCS'!R70+'6.THCS-THPT'!R66</f>
        <v>5941</v>
      </c>
      <c r="S127" s="42">
        <f>'1.MN'!S56+'2.TH'!S51+'3.THCS'!S49+'5.THPT'!S47+'4.TH-THCS'!S70+'6.THCS-THPT'!S66</f>
        <v>82</v>
      </c>
      <c r="T127" s="42">
        <f>'1.MN'!T56+'2.TH'!T51+'3.THCS'!T49+'5.THPT'!T47+'4.TH-THCS'!T70+'6.THCS-THPT'!T66</f>
        <v>156</v>
      </c>
      <c r="U127" s="41">
        <f t="shared" ref="U127:U130" si="359">V127+W127+X127</f>
        <v>5960</v>
      </c>
      <c r="V127" s="42">
        <f>'1.MN'!V56+'2.TH'!V51+'3.THCS'!V49+'5.THPT'!V47+'4.TH-THCS'!V70+'6.THCS-THPT'!V66</f>
        <v>5771</v>
      </c>
      <c r="W127" s="42">
        <f>'1.MN'!W56+'2.TH'!W51+'3.THCS'!W49+'5.THPT'!W47+'4.TH-THCS'!W70+'6.THCS-THPT'!W66</f>
        <v>33</v>
      </c>
      <c r="X127" s="42">
        <f>'1.MN'!X56+'2.TH'!X51+'3.THCS'!X49+'5.THPT'!X47+'4.TH-THCS'!X70+'6.THCS-THPT'!X66</f>
        <v>156</v>
      </c>
      <c r="Y127" s="41">
        <f t="shared" ref="Y127:Y130" si="360">Z127+AA127+AB127</f>
        <v>5843</v>
      </c>
      <c r="Z127" s="42">
        <f>'1.MN'!Z56+'2.TH'!Z51+'3.THCS'!Z49+'5.THPT'!Z47+'4.TH-THCS'!Z70+'6.THCS-THPT'!Z66</f>
        <v>5654</v>
      </c>
      <c r="AA127" s="42">
        <f>'1.MN'!AA56+'2.TH'!AA51+'3.THCS'!AA49+'5.THPT'!AA47+'4.TH-THCS'!AA70+'6.THCS-THPT'!AA66</f>
        <v>33</v>
      </c>
      <c r="AB127" s="42">
        <f>'1.MN'!AB56+'2.TH'!AB51+'3.THCS'!AB49+'5.THPT'!AB47+'4.TH-THCS'!AB70+'6.THCS-THPT'!AB66</f>
        <v>156</v>
      </c>
      <c r="AC127" s="41">
        <f t="shared" ref="AC127:AC130" si="361">AD127+AE127+AF127</f>
        <v>5745</v>
      </c>
      <c r="AD127" s="42">
        <f>'1.MN'!AD56+'2.TH'!AD51+'3.THCS'!AD49+'5.THPT'!AD47+'4.TH-THCS'!AD70+'6.THCS-THPT'!AD66</f>
        <v>5574</v>
      </c>
      <c r="AE127" s="42">
        <f>'1.MN'!AE56+'2.TH'!AE51+'3.THCS'!AE49+'5.THPT'!AE47+'4.TH-THCS'!AE70+'6.THCS-THPT'!AE66</f>
        <v>33</v>
      </c>
      <c r="AF127" s="42">
        <f>'1.MN'!AF56+'2.TH'!AF51+'3.THCS'!AF49+'5.THPT'!AF47+'4.TH-THCS'!AF70+'6.THCS-THPT'!AF66</f>
        <v>138</v>
      </c>
      <c r="AG127" s="41">
        <f t="shared" ref="AG127:AG130" si="362">AH127+AI127+AJ127</f>
        <v>204</v>
      </c>
      <c r="AH127" s="42">
        <f>'1.MN'!AH56+'2.TH'!AH51+'3.THCS'!AH49+'5.THPT'!AH47+'4.TH-THCS'!AH70+'6.THCS-THPT'!AH66</f>
        <v>193</v>
      </c>
      <c r="AI127" s="42">
        <f>'1.MN'!AI56+'2.TH'!AI51+'3.THCS'!AI49+'5.THPT'!AI47+'4.TH-THCS'!AI70+'6.THCS-THPT'!AI66</f>
        <v>11</v>
      </c>
      <c r="AJ127" s="42">
        <f>'1.MN'!AJ56+'2.TH'!AJ51+'3.THCS'!AJ49+'5.THPT'!AJ47+'4.TH-THCS'!AJ70+'6.THCS-THPT'!AJ66</f>
        <v>0</v>
      </c>
      <c r="AK127" s="41">
        <f t="shared" ref="AK127:AK130" si="363">AL127+AM127+AN127</f>
        <v>31</v>
      </c>
      <c r="AL127" s="42">
        <f>'1.MN'!AL56+'2.TH'!AL51+'3.THCS'!AL49+'5.THPT'!AL47+'4.TH-THCS'!AL70+'6.THCS-THPT'!AL66</f>
        <v>31</v>
      </c>
      <c r="AM127" s="42">
        <f>'1.MN'!AM56+'2.TH'!AM51+'3.THCS'!AM49+'5.THPT'!AM47+'4.TH-THCS'!AM70+'6.THCS-THPT'!AM66</f>
        <v>0</v>
      </c>
      <c r="AN127" s="42">
        <f>'1.MN'!AN56+'2.TH'!AN51+'3.THCS'!AN49+'5.THPT'!AN47+'4.TH-THCS'!AN70+'6.THCS-THPT'!AN66</f>
        <v>0</v>
      </c>
      <c r="AO127" s="41">
        <f t="shared" ref="AO127:AO130" si="364">AP127+AQ127+AR127</f>
        <v>31</v>
      </c>
      <c r="AP127" s="42">
        <f>'1.MN'!AP56+'2.TH'!AP51+'3.THCS'!AP49+'5.THPT'!AP47+'4.TH-THCS'!AP70+'6.THCS-THPT'!AP66</f>
        <v>31</v>
      </c>
      <c r="AQ127" s="42">
        <f>'1.MN'!AQ56+'2.TH'!AQ51+'3.THCS'!AQ49+'5.THPT'!AQ47+'4.TH-THCS'!AQ70+'6.THCS-THPT'!AQ66</f>
        <v>0</v>
      </c>
      <c r="AR127" s="42">
        <f>'1.MN'!AR56+'2.TH'!AR51+'3.THCS'!AR49+'5.THPT'!AR47+'4.TH-THCS'!AR70+'6.THCS-THPT'!AR66</f>
        <v>0</v>
      </c>
      <c r="AS127" s="41">
        <f t="shared" ref="AS127:AS130" si="365">AT127+AU127+AV127</f>
        <v>0</v>
      </c>
      <c r="AT127" s="42">
        <f>'1.MN'!AT56+'2.TH'!AT51+'3.THCS'!AT49+'5.THPT'!AT47+'4.TH-THCS'!AT70+'6.THCS-THPT'!AT66</f>
        <v>0</v>
      </c>
      <c r="AU127" s="42">
        <f>'1.MN'!AU56+'2.TH'!AU51+'3.THCS'!AU49+'5.THPT'!AU47+'4.TH-THCS'!AU70+'6.THCS-THPT'!AU66</f>
        <v>0</v>
      </c>
      <c r="AV127" s="42">
        <f>'1.MN'!AV56+'2.TH'!AV51+'3.THCS'!AV49+'5.THPT'!AV47+'4.TH-THCS'!AV70+'6.THCS-THPT'!AV66</f>
        <v>0</v>
      </c>
      <c r="AW127" s="41">
        <f t="shared" ref="AW127:AW130" si="366">AX127+AY127+AZ127</f>
        <v>0</v>
      </c>
      <c r="AX127" s="42">
        <f>'1.MN'!AX56+'2.TH'!AX51+'3.THCS'!AX49+'5.THPT'!AX47+'4.TH-THCS'!AX70+'6.THCS-THPT'!AX66</f>
        <v>0</v>
      </c>
      <c r="AY127" s="42">
        <f>'1.MN'!AY56+'2.TH'!AY51+'3.THCS'!AY49+'5.THPT'!AY47+'4.TH-THCS'!AY70+'6.THCS-THPT'!AY66</f>
        <v>0</v>
      </c>
      <c r="AZ127" s="43">
        <f>'1.MN'!AZ56+'2.TH'!AZ51+'3.THCS'!AZ49+'5.THPT'!AZ47+'4.TH-THCS'!AZ70+'6.THCS-THPT'!AZ66</f>
        <v>0</v>
      </c>
      <c r="BA127" s="34"/>
    </row>
    <row r="128" ht="15.75" customHeight="1">
      <c r="A128" s="29"/>
      <c r="B128" s="67" t="s">
        <v>119</v>
      </c>
      <c r="C128" s="31"/>
      <c r="D128" s="31" t="s">
        <v>30</v>
      </c>
      <c r="E128" s="41">
        <f t="shared" si="355"/>
        <v>1723</v>
      </c>
      <c r="F128" s="42">
        <f>'1.MN'!F57+'2.TH'!F52+'3.THCS'!F50+'5.THPT'!F48+'4.TH-THCS'!F71+'6.THCS-THPT'!F67</f>
        <v>1642</v>
      </c>
      <c r="G128" s="42">
        <f>'1.MN'!G57+'2.TH'!G52+'3.THCS'!G50+'5.THPT'!G48+'4.TH-THCS'!G71+'6.THCS-THPT'!G67</f>
        <v>28</v>
      </c>
      <c r="H128" s="42">
        <f>'1.MN'!H57+'2.TH'!H52+'3.THCS'!H50+'5.THPT'!H48+'4.TH-THCS'!H71+'6.THCS-THPT'!H67</f>
        <v>53</v>
      </c>
      <c r="I128" s="41">
        <f t="shared" si="356"/>
        <v>1707</v>
      </c>
      <c r="J128" s="42">
        <f>'1.MN'!J57+'2.TH'!J52+'3.THCS'!J50+'5.THPT'!J48+'4.TH-THCS'!J71+'6.THCS-THPT'!J67</f>
        <v>1639</v>
      </c>
      <c r="K128" s="42">
        <f>'1.MN'!K57+'2.TH'!K52+'3.THCS'!K50+'5.THPT'!K48+'4.TH-THCS'!K71+'6.THCS-THPT'!K67</f>
        <v>28</v>
      </c>
      <c r="L128" s="42">
        <f>'1.MN'!L57+'2.TH'!L52+'3.THCS'!L50+'5.THPT'!L48+'4.TH-THCS'!L71+'6.THCS-THPT'!L67</f>
        <v>40</v>
      </c>
      <c r="M128" s="41">
        <f t="shared" si="357"/>
        <v>1707</v>
      </c>
      <c r="N128" s="42">
        <f>'1.MN'!N57+'2.TH'!N52+'3.THCS'!N50+'5.THPT'!N48+'4.TH-THCS'!N71+'6.THCS-THPT'!N67</f>
        <v>1639</v>
      </c>
      <c r="O128" s="42">
        <f>'1.MN'!O57+'2.TH'!O52+'3.THCS'!O50+'5.THPT'!O48+'4.TH-THCS'!O71+'6.THCS-THPT'!O67</f>
        <v>28</v>
      </c>
      <c r="P128" s="42">
        <f>'1.MN'!P57+'2.TH'!P52+'3.THCS'!P50+'5.THPT'!P48+'4.TH-THCS'!P71+'6.THCS-THPT'!P67</f>
        <v>40</v>
      </c>
      <c r="Q128" s="41">
        <f t="shared" si="358"/>
        <v>1698</v>
      </c>
      <c r="R128" s="42">
        <f>'1.MN'!R57+'2.TH'!R52+'3.THCS'!R50+'5.THPT'!R48+'4.TH-THCS'!R71+'6.THCS-THPT'!R67</f>
        <v>1630</v>
      </c>
      <c r="S128" s="42">
        <f>'1.MN'!S57+'2.TH'!S52+'3.THCS'!S50+'5.THPT'!S48+'4.TH-THCS'!S71+'6.THCS-THPT'!S67</f>
        <v>28</v>
      </c>
      <c r="T128" s="42">
        <f>'1.MN'!T57+'2.TH'!T52+'3.THCS'!T50+'5.THPT'!T48+'4.TH-THCS'!T71+'6.THCS-THPT'!T67</f>
        <v>40</v>
      </c>
      <c r="U128" s="41">
        <f t="shared" si="359"/>
        <v>1547</v>
      </c>
      <c r="V128" s="42">
        <f>'1.MN'!V57+'2.TH'!V52+'3.THCS'!V50+'5.THPT'!V48+'4.TH-THCS'!V71+'6.THCS-THPT'!V67</f>
        <v>1479</v>
      </c>
      <c r="W128" s="42">
        <f>'1.MN'!W57+'2.TH'!W52+'3.THCS'!W50+'5.THPT'!W48+'4.TH-THCS'!W71+'6.THCS-THPT'!W67</f>
        <v>28</v>
      </c>
      <c r="X128" s="42">
        <f>'1.MN'!X57+'2.TH'!X52+'3.THCS'!X50+'5.THPT'!X48+'4.TH-THCS'!X71+'6.THCS-THPT'!X67</f>
        <v>40</v>
      </c>
      <c r="Y128" s="41">
        <f t="shared" si="360"/>
        <v>1542</v>
      </c>
      <c r="Z128" s="42">
        <f>'1.MN'!Z57+'2.TH'!Z52+'3.THCS'!Z50+'5.THPT'!Z48+'4.TH-THCS'!Z71+'6.THCS-THPT'!Z67</f>
        <v>1474</v>
      </c>
      <c r="AA128" s="42">
        <f>'1.MN'!AA57+'2.TH'!AA52+'3.THCS'!AA50+'5.THPT'!AA48+'4.TH-THCS'!AA71+'6.THCS-THPT'!AA67</f>
        <v>28</v>
      </c>
      <c r="AB128" s="42">
        <f>'1.MN'!AB57+'2.TH'!AB52+'3.THCS'!AB50+'5.THPT'!AB48+'4.TH-THCS'!AB71+'6.THCS-THPT'!AB67</f>
        <v>40</v>
      </c>
      <c r="AC128" s="41">
        <f t="shared" si="361"/>
        <v>1555</v>
      </c>
      <c r="AD128" s="42">
        <f>'1.MN'!AD57+'2.TH'!AD52+'3.THCS'!AD50+'5.THPT'!AD48+'4.TH-THCS'!AD71+'6.THCS-THPT'!AD67</f>
        <v>1471</v>
      </c>
      <c r="AE128" s="42">
        <f>'1.MN'!AE57+'2.TH'!AE52+'3.THCS'!AE50+'5.THPT'!AE48+'4.TH-THCS'!AE71+'6.THCS-THPT'!AE67</f>
        <v>26</v>
      </c>
      <c r="AF128" s="42">
        <f>'1.MN'!AF57+'2.TH'!AF52+'3.THCS'!AF50+'5.THPT'!AF48+'4.TH-THCS'!AF71+'6.THCS-THPT'!AF67</f>
        <v>58</v>
      </c>
      <c r="AG128" s="41">
        <f t="shared" si="362"/>
        <v>7</v>
      </c>
      <c r="AH128" s="42">
        <f>'1.MN'!AH57+'2.TH'!AH52+'3.THCS'!AH50+'5.THPT'!AH48+'4.TH-THCS'!AH71+'6.THCS-THPT'!AH67</f>
        <v>7</v>
      </c>
      <c r="AI128" s="42">
        <f>'1.MN'!AI57+'2.TH'!AI52+'3.THCS'!AI50+'5.THPT'!AI48+'4.TH-THCS'!AI71+'6.THCS-THPT'!AI67</f>
        <v>0</v>
      </c>
      <c r="AJ128" s="42">
        <f>'1.MN'!AJ57+'2.TH'!AJ52+'3.THCS'!AJ50+'5.THPT'!AJ48+'4.TH-THCS'!AJ71+'6.THCS-THPT'!AJ67</f>
        <v>0</v>
      </c>
      <c r="AK128" s="41">
        <f t="shared" si="363"/>
        <v>7</v>
      </c>
      <c r="AL128" s="42">
        <f>'1.MN'!AL57+'2.TH'!AL52+'3.THCS'!AL50+'5.THPT'!AL48+'4.TH-THCS'!AL71+'6.THCS-THPT'!AL67</f>
        <v>7</v>
      </c>
      <c r="AM128" s="42">
        <f>'1.MN'!AM57+'2.TH'!AM52+'3.THCS'!AM50+'5.THPT'!AM48+'4.TH-THCS'!AM71+'6.THCS-THPT'!AM67</f>
        <v>0</v>
      </c>
      <c r="AN128" s="42">
        <f>'1.MN'!AN57+'2.TH'!AN52+'3.THCS'!AN50+'5.THPT'!AN48+'4.TH-THCS'!AN71+'6.THCS-THPT'!AN67</f>
        <v>0</v>
      </c>
      <c r="AO128" s="41">
        <f t="shared" si="364"/>
        <v>7</v>
      </c>
      <c r="AP128" s="42">
        <f>'1.MN'!AP57+'2.TH'!AP52+'3.THCS'!AP50+'5.THPT'!AP48+'4.TH-THCS'!AP71+'6.THCS-THPT'!AP67</f>
        <v>7</v>
      </c>
      <c r="AQ128" s="42">
        <f>'1.MN'!AQ57+'2.TH'!AQ52+'3.THCS'!AQ50+'5.THPT'!AQ48+'4.TH-THCS'!AQ71+'6.THCS-THPT'!AQ67</f>
        <v>0</v>
      </c>
      <c r="AR128" s="42">
        <f>'1.MN'!AR57+'2.TH'!AR52+'3.THCS'!AR50+'5.THPT'!AR48+'4.TH-THCS'!AR71+'6.THCS-THPT'!AR67</f>
        <v>0</v>
      </c>
      <c r="AS128" s="41">
        <f t="shared" si="365"/>
        <v>0</v>
      </c>
      <c r="AT128" s="42">
        <f>'1.MN'!AT57+'2.TH'!AT52+'3.THCS'!AT50+'5.THPT'!AT48+'4.TH-THCS'!AT71+'6.THCS-THPT'!AT67</f>
        <v>0</v>
      </c>
      <c r="AU128" s="42">
        <f>'1.MN'!AU57+'2.TH'!AU52+'3.THCS'!AU50+'5.THPT'!AU48+'4.TH-THCS'!AU71+'6.THCS-THPT'!AU67</f>
        <v>0</v>
      </c>
      <c r="AV128" s="42">
        <f>'1.MN'!AV57+'2.TH'!AV52+'3.THCS'!AV50+'5.THPT'!AV48+'4.TH-THCS'!AV71+'6.THCS-THPT'!AV67</f>
        <v>0</v>
      </c>
      <c r="AW128" s="41">
        <f t="shared" si="366"/>
        <v>0</v>
      </c>
      <c r="AX128" s="42">
        <f>'1.MN'!AX57+'2.TH'!AX52+'3.THCS'!AX50+'5.THPT'!AX48+'4.TH-THCS'!AX71+'6.THCS-THPT'!AX67</f>
        <v>0</v>
      </c>
      <c r="AY128" s="42">
        <f>'1.MN'!AY57+'2.TH'!AY52+'3.THCS'!AY50+'5.THPT'!AY48+'4.TH-THCS'!AY71+'6.THCS-THPT'!AY67</f>
        <v>0</v>
      </c>
      <c r="AZ128" s="43">
        <f>'1.MN'!AZ57+'2.TH'!AZ52+'3.THCS'!AZ50+'5.THPT'!AZ48+'4.TH-THCS'!AZ71+'6.THCS-THPT'!AZ67</f>
        <v>0</v>
      </c>
      <c r="BA128" s="34"/>
    </row>
    <row r="129" ht="15.75" customHeight="1">
      <c r="A129" s="29"/>
      <c r="B129" s="67" t="s">
        <v>120</v>
      </c>
      <c r="C129" s="31"/>
      <c r="D129" s="31" t="s">
        <v>30</v>
      </c>
      <c r="E129" s="41">
        <f t="shared" si="355"/>
        <v>33</v>
      </c>
      <c r="F129" s="42">
        <f>'1.MN'!F58+'2.TH'!F53+'3.THCS'!F51+'5.THPT'!F49+'4.TH-THCS'!F72+'6.THCS-THPT'!F68</f>
        <v>27</v>
      </c>
      <c r="G129" s="42">
        <f>'1.MN'!G58+'2.TH'!G53+'3.THCS'!G51+'5.THPT'!G49+'4.TH-THCS'!G72+'6.THCS-THPT'!G68</f>
        <v>0</v>
      </c>
      <c r="H129" s="42">
        <f>'1.MN'!H58+'2.TH'!H53+'3.THCS'!H51+'5.THPT'!H49+'4.TH-THCS'!H72+'6.THCS-THPT'!H68</f>
        <v>6</v>
      </c>
      <c r="I129" s="41">
        <f t="shared" si="356"/>
        <v>37</v>
      </c>
      <c r="J129" s="42">
        <f>'1.MN'!J58+'2.TH'!J53+'3.THCS'!J51+'5.THPT'!J49+'4.TH-THCS'!J72+'6.THCS-THPT'!J68</f>
        <v>31</v>
      </c>
      <c r="K129" s="42">
        <f>'1.MN'!K58+'2.TH'!K53+'3.THCS'!K51+'5.THPT'!K49+'4.TH-THCS'!K72+'6.THCS-THPT'!K68</f>
        <v>0</v>
      </c>
      <c r="L129" s="42">
        <f>'1.MN'!L58+'2.TH'!L53+'3.THCS'!L51+'5.THPT'!L49+'4.TH-THCS'!L72+'6.THCS-THPT'!L68</f>
        <v>6</v>
      </c>
      <c r="M129" s="41">
        <f t="shared" si="357"/>
        <v>37</v>
      </c>
      <c r="N129" s="42">
        <f>'1.MN'!N58+'2.TH'!N53+'3.THCS'!N51+'5.THPT'!N49+'4.TH-THCS'!N72+'6.THCS-THPT'!N68</f>
        <v>31</v>
      </c>
      <c r="O129" s="42">
        <f>'1.MN'!O58+'2.TH'!O53+'3.THCS'!O51+'5.THPT'!O49+'4.TH-THCS'!O72+'6.THCS-THPT'!O68</f>
        <v>0</v>
      </c>
      <c r="P129" s="42">
        <f>'1.MN'!P58+'2.TH'!P53+'3.THCS'!P51+'5.THPT'!P49+'4.TH-THCS'!P72+'6.THCS-THPT'!P68</f>
        <v>6</v>
      </c>
      <c r="Q129" s="41">
        <f t="shared" si="358"/>
        <v>36</v>
      </c>
      <c r="R129" s="42">
        <f>'1.MN'!R58+'2.TH'!R53+'3.THCS'!R51+'5.THPT'!R49+'4.TH-THCS'!R72+'6.THCS-THPT'!R68</f>
        <v>30</v>
      </c>
      <c r="S129" s="42">
        <f>'1.MN'!S58+'2.TH'!S53+'3.THCS'!S51+'5.THPT'!S49+'4.TH-THCS'!S72+'6.THCS-THPT'!S68</f>
        <v>0</v>
      </c>
      <c r="T129" s="42">
        <f>'1.MN'!T58+'2.TH'!T53+'3.THCS'!T51+'5.THPT'!T49+'4.TH-THCS'!T72+'6.THCS-THPT'!T68</f>
        <v>6</v>
      </c>
      <c r="U129" s="41">
        <f t="shared" si="359"/>
        <v>26</v>
      </c>
      <c r="V129" s="42">
        <f>'1.MN'!V58+'2.TH'!V53+'3.THCS'!V51+'5.THPT'!V49+'4.TH-THCS'!V72+'6.THCS-THPT'!V68</f>
        <v>20</v>
      </c>
      <c r="W129" s="42">
        <f>'1.MN'!W58+'2.TH'!W53+'3.THCS'!W51+'5.THPT'!W49+'4.TH-THCS'!W72+'6.THCS-THPT'!W68</f>
        <v>0</v>
      </c>
      <c r="X129" s="42">
        <f>'1.MN'!X58+'2.TH'!X53+'3.THCS'!X51+'5.THPT'!X49+'4.TH-THCS'!X72+'6.THCS-THPT'!X68</f>
        <v>6</v>
      </c>
      <c r="Y129" s="41">
        <f t="shared" si="360"/>
        <v>23</v>
      </c>
      <c r="Z129" s="42">
        <f>'1.MN'!Z58+'2.TH'!Z53+'3.THCS'!Z51+'5.THPT'!Z49+'4.TH-THCS'!Z72+'6.THCS-THPT'!Z68</f>
        <v>17</v>
      </c>
      <c r="AA129" s="42">
        <f>'1.MN'!AA58+'2.TH'!AA53+'3.THCS'!AA51+'5.THPT'!AA49+'4.TH-THCS'!AA72+'6.THCS-THPT'!AA68</f>
        <v>0</v>
      </c>
      <c r="AB129" s="42">
        <f>'1.MN'!AB58+'2.TH'!AB53+'3.THCS'!AB51+'5.THPT'!AB49+'4.TH-THCS'!AB72+'6.THCS-THPT'!AB68</f>
        <v>6</v>
      </c>
      <c r="AC129" s="41">
        <f t="shared" si="361"/>
        <v>23</v>
      </c>
      <c r="AD129" s="42">
        <f>'1.MN'!AD58+'2.TH'!AD53+'3.THCS'!AD51+'5.THPT'!AD49+'4.TH-THCS'!AD72+'6.THCS-THPT'!AD68</f>
        <v>17</v>
      </c>
      <c r="AE129" s="42">
        <f>'1.MN'!AE58+'2.TH'!AE53+'3.THCS'!AE51+'5.THPT'!AE49+'4.TH-THCS'!AE72+'6.THCS-THPT'!AE68</f>
        <v>0</v>
      </c>
      <c r="AF129" s="42">
        <f>'1.MN'!AF58+'2.TH'!AF53+'3.THCS'!AF51+'5.THPT'!AF49+'4.TH-THCS'!AF72+'6.THCS-THPT'!AF68</f>
        <v>6</v>
      </c>
      <c r="AG129" s="41">
        <f t="shared" si="362"/>
        <v>0</v>
      </c>
      <c r="AH129" s="42">
        <f>'1.MN'!AH58+'2.TH'!AH53+'3.THCS'!AH51+'5.THPT'!AH49+'4.TH-THCS'!AH72+'6.THCS-THPT'!AH68</f>
        <v>0</v>
      </c>
      <c r="AI129" s="42">
        <f>'1.MN'!AI58+'2.TH'!AI53+'3.THCS'!AI51+'5.THPT'!AI49+'4.TH-THCS'!AI72+'6.THCS-THPT'!AI68</f>
        <v>0</v>
      </c>
      <c r="AJ129" s="42">
        <f>'1.MN'!AJ58+'2.TH'!AJ53+'3.THCS'!AJ51+'5.THPT'!AJ49+'4.TH-THCS'!AJ72+'6.THCS-THPT'!AJ68</f>
        <v>0</v>
      </c>
      <c r="AK129" s="41">
        <f t="shared" si="363"/>
        <v>0</v>
      </c>
      <c r="AL129" s="42">
        <f>'1.MN'!AL58+'2.TH'!AL53+'3.THCS'!AL51+'5.THPT'!AL49+'4.TH-THCS'!AL72+'6.THCS-THPT'!AL68</f>
        <v>0</v>
      </c>
      <c r="AM129" s="42">
        <f>'1.MN'!AM58+'2.TH'!AM53+'3.THCS'!AM51+'5.THPT'!AM49+'4.TH-THCS'!AM72+'6.THCS-THPT'!AM68</f>
        <v>0</v>
      </c>
      <c r="AN129" s="42">
        <f>'1.MN'!AN58+'2.TH'!AN53+'3.THCS'!AN51+'5.THPT'!AN49+'4.TH-THCS'!AN72+'6.THCS-THPT'!AN68</f>
        <v>0</v>
      </c>
      <c r="AO129" s="41">
        <f t="shared" si="364"/>
        <v>0</v>
      </c>
      <c r="AP129" s="42">
        <f>'1.MN'!AP58+'2.TH'!AP53+'3.THCS'!AP51+'5.THPT'!AP49+'4.TH-THCS'!AP72+'6.THCS-THPT'!AP68</f>
        <v>0</v>
      </c>
      <c r="AQ129" s="42">
        <f>'1.MN'!AQ58+'2.TH'!AQ53+'3.THCS'!AQ51+'5.THPT'!AQ49+'4.TH-THCS'!AQ72+'6.THCS-THPT'!AQ68</f>
        <v>0</v>
      </c>
      <c r="AR129" s="42">
        <f>'1.MN'!AR58+'2.TH'!AR53+'3.THCS'!AR51+'5.THPT'!AR49+'4.TH-THCS'!AR72+'6.THCS-THPT'!AR68</f>
        <v>0</v>
      </c>
      <c r="AS129" s="41">
        <f t="shared" si="365"/>
        <v>0</v>
      </c>
      <c r="AT129" s="42">
        <f>'1.MN'!AT58+'2.TH'!AT53+'3.THCS'!AT51+'5.THPT'!AT49+'4.TH-THCS'!AT72+'6.THCS-THPT'!AT68</f>
        <v>0</v>
      </c>
      <c r="AU129" s="42">
        <f>'1.MN'!AU58+'2.TH'!AU53+'3.THCS'!AU51+'5.THPT'!AU49+'4.TH-THCS'!AU72+'6.THCS-THPT'!AU68</f>
        <v>0</v>
      </c>
      <c r="AV129" s="42">
        <f>'1.MN'!AV58+'2.TH'!AV53+'3.THCS'!AV51+'5.THPT'!AV49+'4.TH-THCS'!AV72+'6.THCS-THPT'!AV68</f>
        <v>0</v>
      </c>
      <c r="AW129" s="41">
        <f t="shared" si="366"/>
        <v>0</v>
      </c>
      <c r="AX129" s="42">
        <f>'1.MN'!AX58+'2.TH'!AX53+'3.THCS'!AX51+'5.THPT'!AX49+'4.TH-THCS'!AX72+'6.THCS-THPT'!AX68</f>
        <v>0</v>
      </c>
      <c r="AY129" s="42">
        <f>'1.MN'!AY58+'2.TH'!AY53+'3.THCS'!AY51+'5.THPT'!AY49+'4.TH-THCS'!AY72+'6.THCS-THPT'!AY68</f>
        <v>0</v>
      </c>
      <c r="AZ129" s="43">
        <f>'1.MN'!AZ58+'2.TH'!AZ53+'3.THCS'!AZ51+'5.THPT'!AZ49+'4.TH-THCS'!AZ72+'6.THCS-THPT'!AZ68</f>
        <v>0</v>
      </c>
      <c r="BA129" s="34"/>
    </row>
    <row r="130" ht="15.75" customHeight="1">
      <c r="A130" s="29"/>
      <c r="B130" s="126" t="s">
        <v>121</v>
      </c>
      <c r="C130" s="57"/>
      <c r="D130" s="57" t="s">
        <v>116</v>
      </c>
      <c r="E130" s="125">
        <f t="shared" si="355"/>
        <v>1246</v>
      </c>
      <c r="F130" s="125">
        <f t="shared" ref="F130:H130" si="367">F132+F133+F134</f>
        <v>1235</v>
      </c>
      <c r="G130" s="125">
        <f t="shared" si="367"/>
        <v>1</v>
      </c>
      <c r="H130" s="125">
        <f t="shared" si="367"/>
        <v>10</v>
      </c>
      <c r="I130" s="125">
        <f t="shared" si="356"/>
        <v>1245</v>
      </c>
      <c r="J130" s="125">
        <f t="shared" ref="J130:L130" si="368">J132+J133+J134</f>
        <v>1236</v>
      </c>
      <c r="K130" s="125">
        <f t="shared" si="368"/>
        <v>1</v>
      </c>
      <c r="L130" s="125">
        <f t="shared" si="368"/>
        <v>8</v>
      </c>
      <c r="M130" s="125">
        <f t="shared" si="357"/>
        <v>1240</v>
      </c>
      <c r="N130" s="125">
        <f t="shared" ref="N130:P130" si="369">N132+N133+N134</f>
        <v>1231</v>
      </c>
      <c r="O130" s="125">
        <f t="shared" si="369"/>
        <v>1</v>
      </c>
      <c r="P130" s="125">
        <f t="shared" si="369"/>
        <v>8</v>
      </c>
      <c r="Q130" s="125">
        <f t="shared" si="358"/>
        <v>1252</v>
      </c>
      <c r="R130" s="125">
        <f t="shared" ref="R130:T130" si="370">R132+R133+R134</f>
        <v>1231</v>
      </c>
      <c r="S130" s="125">
        <f t="shared" si="370"/>
        <v>13</v>
      </c>
      <c r="T130" s="125">
        <f t="shared" si="370"/>
        <v>8</v>
      </c>
      <c r="U130" s="125">
        <f t="shared" si="359"/>
        <v>1207</v>
      </c>
      <c r="V130" s="125">
        <f t="shared" ref="V130:X130" si="371">V132+V133+V134</f>
        <v>1198</v>
      </c>
      <c r="W130" s="125">
        <f t="shared" si="371"/>
        <v>1</v>
      </c>
      <c r="X130" s="125">
        <f t="shared" si="371"/>
        <v>8</v>
      </c>
      <c r="Y130" s="125">
        <f t="shared" si="360"/>
        <v>1213</v>
      </c>
      <c r="Z130" s="125">
        <f t="shared" ref="Z130:AB130" si="372">Z132+Z133+Z134</f>
        <v>1203</v>
      </c>
      <c r="AA130" s="125">
        <f t="shared" si="372"/>
        <v>1</v>
      </c>
      <c r="AB130" s="125">
        <f t="shared" si="372"/>
        <v>9</v>
      </c>
      <c r="AC130" s="125">
        <f t="shared" si="361"/>
        <v>1201</v>
      </c>
      <c r="AD130" s="125">
        <f t="shared" ref="AD130:AF130" si="373">AD132+AD133+AD134</f>
        <v>1191</v>
      </c>
      <c r="AE130" s="125">
        <f t="shared" si="373"/>
        <v>1</v>
      </c>
      <c r="AF130" s="125">
        <f t="shared" si="373"/>
        <v>9</v>
      </c>
      <c r="AG130" s="125">
        <f t="shared" si="362"/>
        <v>48</v>
      </c>
      <c r="AH130" s="125">
        <f t="shared" ref="AH130:AJ130" si="374">AH132+AH133+AH134</f>
        <v>48</v>
      </c>
      <c r="AI130" s="125">
        <f t="shared" si="374"/>
        <v>0</v>
      </c>
      <c r="AJ130" s="125">
        <f t="shared" si="374"/>
        <v>0</v>
      </c>
      <c r="AK130" s="125">
        <f t="shared" si="363"/>
        <v>7</v>
      </c>
      <c r="AL130" s="125">
        <f t="shared" ref="AL130:AN130" si="375">AL132+AL133+AL134</f>
        <v>7</v>
      </c>
      <c r="AM130" s="125">
        <f t="shared" si="375"/>
        <v>0</v>
      </c>
      <c r="AN130" s="125">
        <f t="shared" si="375"/>
        <v>0</v>
      </c>
      <c r="AO130" s="125">
        <f t="shared" si="364"/>
        <v>6</v>
      </c>
      <c r="AP130" s="125">
        <f t="shared" ref="AP130:AR130" si="376">AP132+AP133+AP134</f>
        <v>6</v>
      </c>
      <c r="AQ130" s="125">
        <f t="shared" si="376"/>
        <v>0</v>
      </c>
      <c r="AR130" s="125">
        <f t="shared" si="376"/>
        <v>0</v>
      </c>
      <c r="AS130" s="125">
        <f t="shared" si="365"/>
        <v>0</v>
      </c>
      <c r="AT130" s="125">
        <f t="shared" ref="AT130:AV130" si="377">AT132+AT133+AT134</f>
        <v>0</v>
      </c>
      <c r="AU130" s="125">
        <f t="shared" si="377"/>
        <v>0</v>
      </c>
      <c r="AV130" s="125">
        <f t="shared" si="377"/>
        <v>0</v>
      </c>
      <c r="AW130" s="125">
        <f t="shared" si="366"/>
        <v>0</v>
      </c>
      <c r="AX130" s="125">
        <f t="shared" ref="AX130:AZ130" si="378">AX132+AX133+AX134</f>
        <v>0</v>
      </c>
      <c r="AY130" s="125">
        <f t="shared" si="378"/>
        <v>0</v>
      </c>
      <c r="AZ130" s="127">
        <f t="shared" si="378"/>
        <v>0</v>
      </c>
      <c r="BA130" s="34"/>
    </row>
    <row r="131" ht="15.75" customHeight="1">
      <c r="A131" s="29"/>
      <c r="B131" s="48" t="s">
        <v>52</v>
      </c>
      <c r="C131" s="49"/>
      <c r="D131" s="31" t="s">
        <v>30</v>
      </c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50"/>
      <c r="BA131" s="34"/>
    </row>
    <row r="132" ht="15.75" customHeight="1">
      <c r="A132" s="29"/>
      <c r="B132" s="67" t="s">
        <v>118</v>
      </c>
      <c r="C132" s="31"/>
      <c r="D132" s="31" t="s">
        <v>30</v>
      </c>
      <c r="E132" s="41">
        <f t="shared" ref="E132:E135" si="379">F132+G132+H132</f>
        <v>1117</v>
      </c>
      <c r="F132" s="42">
        <f>'1.MN'!F61+'2.TH'!F56+'3.THCS'!F54+'5.THPT'!F52+'4.TH-THCS'!F75+'6.THCS-THPT'!F71</f>
        <v>1107</v>
      </c>
      <c r="G132" s="42">
        <f>'1.MN'!G61+'2.TH'!G56+'3.THCS'!G54+'5.THPT'!G52+'4.TH-THCS'!G75+'6.THCS-THPT'!G71</f>
        <v>1</v>
      </c>
      <c r="H132" s="42">
        <f>'1.MN'!H61+'2.TH'!H56+'3.THCS'!H54+'5.THPT'!H52+'4.TH-THCS'!H75+'6.THCS-THPT'!H71</f>
        <v>9</v>
      </c>
      <c r="I132" s="41">
        <f t="shared" ref="I132:I135" si="380">J132+K132+L132</f>
        <v>1112</v>
      </c>
      <c r="J132" s="42">
        <f>'1.MN'!J61+'2.TH'!J56+'3.THCS'!J54+'5.THPT'!J52+'4.TH-THCS'!J75+'6.THCS-THPT'!J71</f>
        <v>1104</v>
      </c>
      <c r="K132" s="42">
        <f>'1.MN'!K61+'2.TH'!K56+'3.THCS'!K54+'5.THPT'!K52+'4.TH-THCS'!K75+'6.THCS-THPT'!K71</f>
        <v>1</v>
      </c>
      <c r="L132" s="42">
        <f>'1.MN'!L61+'2.TH'!L56+'3.THCS'!L54+'5.THPT'!L52+'4.TH-THCS'!L75+'6.THCS-THPT'!L71</f>
        <v>7</v>
      </c>
      <c r="M132" s="41">
        <f t="shared" ref="M132:M135" si="381">N132+O132+P132</f>
        <v>1108</v>
      </c>
      <c r="N132" s="42">
        <f>'1.MN'!N61+'2.TH'!N56+'3.THCS'!N54+'5.THPT'!N52+'4.TH-THCS'!N75+'6.THCS-THPT'!N71</f>
        <v>1100</v>
      </c>
      <c r="O132" s="42">
        <f>'1.MN'!O61+'2.TH'!O56+'3.THCS'!O54+'5.THPT'!O52+'4.TH-THCS'!O75+'6.THCS-THPT'!O71</f>
        <v>1</v>
      </c>
      <c r="P132" s="42">
        <f>'1.MN'!P61+'2.TH'!P56+'3.THCS'!P54+'5.THPT'!P52+'4.TH-THCS'!P75+'6.THCS-THPT'!P71</f>
        <v>7</v>
      </c>
      <c r="Q132" s="41">
        <f t="shared" ref="Q132:Q135" si="382">R132+S132+T132</f>
        <v>1120</v>
      </c>
      <c r="R132" s="42">
        <f>'1.MN'!R61+'2.TH'!R56+'3.THCS'!R54+'5.THPT'!R52+'4.TH-THCS'!R75+'6.THCS-THPT'!R71</f>
        <v>1100</v>
      </c>
      <c r="S132" s="42">
        <f>'1.MN'!S61+'2.TH'!S56+'3.THCS'!S54+'5.THPT'!S52+'4.TH-THCS'!S75+'6.THCS-THPT'!S71</f>
        <v>13</v>
      </c>
      <c r="T132" s="42">
        <f>'1.MN'!T61+'2.TH'!T56+'3.THCS'!T54+'5.THPT'!T52+'4.TH-THCS'!T75+'6.THCS-THPT'!T71</f>
        <v>7</v>
      </c>
      <c r="U132" s="41">
        <f t="shared" ref="U132:U135" si="383">V132+W132+X132</f>
        <v>1076</v>
      </c>
      <c r="V132" s="42">
        <f>'1.MN'!V61+'2.TH'!V56+'3.THCS'!V54+'5.THPT'!V52+'4.TH-THCS'!V75+'6.THCS-THPT'!V71</f>
        <v>1068</v>
      </c>
      <c r="W132" s="42">
        <f>'1.MN'!W61+'2.TH'!W56+'3.THCS'!W54+'5.THPT'!W52+'4.TH-THCS'!W75+'6.THCS-THPT'!W71</f>
        <v>1</v>
      </c>
      <c r="X132" s="42">
        <f>'1.MN'!X61+'2.TH'!X56+'3.THCS'!X54+'5.THPT'!X52+'4.TH-THCS'!X75+'6.THCS-THPT'!X71</f>
        <v>7</v>
      </c>
      <c r="Y132" s="41">
        <f t="shared" ref="Y132:Y135" si="384">Z132+AA132+AB132</f>
        <v>1086</v>
      </c>
      <c r="Z132" s="42">
        <f>'1.MN'!Z61+'2.TH'!Z56+'3.THCS'!Z54+'5.THPT'!Z52+'4.TH-THCS'!Z75+'6.THCS-THPT'!Z71</f>
        <v>1078</v>
      </c>
      <c r="AA132" s="42">
        <f>'1.MN'!AA61+'2.TH'!AA56+'3.THCS'!AA54+'5.THPT'!AA52+'4.TH-THCS'!AA75+'6.THCS-THPT'!AA71</f>
        <v>1</v>
      </c>
      <c r="AB132" s="42">
        <f>'1.MN'!AB61+'2.TH'!AB56+'3.THCS'!AB54+'5.THPT'!AB52+'4.TH-THCS'!AB75+'6.THCS-THPT'!AB71</f>
        <v>7</v>
      </c>
      <c r="AC132" s="41">
        <f t="shared" ref="AC132:AC135" si="385">AD132+AE132+AF132</f>
        <v>1075</v>
      </c>
      <c r="AD132" s="42">
        <f>'1.MN'!AD61+'2.TH'!AD56+'3.THCS'!AD54+'5.THPT'!AD52+'4.TH-THCS'!AD75+'6.THCS-THPT'!AD71</f>
        <v>1067</v>
      </c>
      <c r="AE132" s="42">
        <f>'1.MN'!AE61+'2.TH'!AE56+'3.THCS'!AE54+'5.THPT'!AE52+'4.TH-THCS'!AE75+'6.THCS-THPT'!AE71</f>
        <v>1</v>
      </c>
      <c r="AF132" s="42">
        <f>'1.MN'!AF61+'2.TH'!AF56+'3.THCS'!AF54+'5.THPT'!AF52+'4.TH-THCS'!AF75+'6.THCS-THPT'!AF71</f>
        <v>7</v>
      </c>
      <c r="AG132" s="41">
        <f t="shared" ref="AG132:AG135" si="386">AH132+AI132+AJ132</f>
        <v>48</v>
      </c>
      <c r="AH132" s="42">
        <f>'1.MN'!AH61+'2.TH'!AH56+'3.THCS'!AH54+'5.THPT'!AH52+'4.TH-THCS'!AH75+'6.THCS-THPT'!AH71</f>
        <v>48</v>
      </c>
      <c r="AI132" s="42">
        <f>'1.MN'!AI61+'2.TH'!AI56+'3.THCS'!AI54+'5.THPT'!AI52+'4.TH-THCS'!AI75+'6.THCS-THPT'!AI71</f>
        <v>0</v>
      </c>
      <c r="AJ132" s="42">
        <f>'1.MN'!AJ61+'2.TH'!AJ56+'3.THCS'!AJ54+'5.THPT'!AJ52+'4.TH-THCS'!AJ75+'6.THCS-THPT'!AJ71</f>
        <v>0</v>
      </c>
      <c r="AK132" s="41">
        <f t="shared" ref="AK132:AK135" si="387">AL132+AM132+AN132</f>
        <v>7</v>
      </c>
      <c r="AL132" s="42">
        <f>'1.MN'!AL61+'2.TH'!AL56+'3.THCS'!AL54+'5.THPT'!AL52+'4.TH-THCS'!AL75+'6.THCS-THPT'!AL71</f>
        <v>7</v>
      </c>
      <c r="AM132" s="42">
        <f>'1.MN'!AM61+'2.TH'!AM56+'3.THCS'!AM54+'5.THPT'!AM52+'4.TH-THCS'!AM75+'6.THCS-THPT'!AM71</f>
        <v>0</v>
      </c>
      <c r="AN132" s="42">
        <f>'1.MN'!AN61+'2.TH'!AN56+'3.THCS'!AN54+'5.THPT'!AN52+'4.TH-THCS'!AN75+'6.THCS-THPT'!AN71</f>
        <v>0</v>
      </c>
      <c r="AO132" s="41">
        <f t="shared" ref="AO132:AO135" si="388">AP132+AQ132+AR132</f>
        <v>6</v>
      </c>
      <c r="AP132" s="42">
        <f>'1.MN'!AP61+'2.TH'!AP56+'3.THCS'!AP54+'5.THPT'!AP52+'4.TH-THCS'!AP75+'6.THCS-THPT'!AP71</f>
        <v>6</v>
      </c>
      <c r="AQ132" s="42">
        <f>'1.MN'!AQ61+'2.TH'!AQ56+'3.THCS'!AQ54+'5.THPT'!AQ52+'4.TH-THCS'!AQ75+'6.THCS-THPT'!AQ71</f>
        <v>0</v>
      </c>
      <c r="AR132" s="42">
        <f>'1.MN'!AR61+'2.TH'!AR56+'3.THCS'!AR54+'5.THPT'!AR52+'4.TH-THCS'!AR75+'6.THCS-THPT'!AR71</f>
        <v>0</v>
      </c>
      <c r="AS132" s="41">
        <f t="shared" ref="AS132:AS135" si="389">AT132+AU132+AV132</f>
        <v>0</v>
      </c>
      <c r="AT132" s="42">
        <f>'1.MN'!AT61+'2.TH'!AT56+'3.THCS'!AT54+'5.THPT'!AT52+'4.TH-THCS'!AT75+'6.THCS-THPT'!AT71</f>
        <v>0</v>
      </c>
      <c r="AU132" s="42">
        <f>'1.MN'!AU61+'2.TH'!AU56+'3.THCS'!AU54+'5.THPT'!AU52+'4.TH-THCS'!AU75+'6.THCS-THPT'!AU71</f>
        <v>0</v>
      </c>
      <c r="AV132" s="42">
        <f>'1.MN'!AV61+'2.TH'!AV56+'3.THCS'!AV54+'5.THPT'!AV52+'4.TH-THCS'!AV75+'6.THCS-THPT'!AV71</f>
        <v>0</v>
      </c>
      <c r="AW132" s="41">
        <f t="shared" ref="AW132:AW135" si="390">AX132+AY132+AZ132</f>
        <v>0</v>
      </c>
      <c r="AX132" s="42">
        <f>'1.MN'!AX61+'2.TH'!AX56+'3.THCS'!AX54+'5.THPT'!AX52+'4.TH-THCS'!AX75+'6.THCS-THPT'!AX71</f>
        <v>0</v>
      </c>
      <c r="AY132" s="42">
        <f>'1.MN'!AY61+'2.TH'!AY56+'3.THCS'!AY54+'5.THPT'!AY52+'4.TH-THCS'!AY75+'6.THCS-THPT'!AY71</f>
        <v>0</v>
      </c>
      <c r="AZ132" s="43">
        <f>'1.MN'!AZ61+'2.TH'!AZ56+'3.THCS'!AZ54+'5.THPT'!AZ52+'4.TH-THCS'!AZ75+'6.THCS-THPT'!AZ71</f>
        <v>0</v>
      </c>
      <c r="BA132" s="34"/>
    </row>
    <row r="133" ht="15.75" customHeight="1">
      <c r="A133" s="29"/>
      <c r="B133" s="67" t="s">
        <v>119</v>
      </c>
      <c r="C133" s="31"/>
      <c r="D133" s="31" t="s">
        <v>30</v>
      </c>
      <c r="E133" s="41">
        <f t="shared" si="379"/>
        <v>120</v>
      </c>
      <c r="F133" s="42">
        <f>'1.MN'!F62+'2.TH'!F57+'3.THCS'!F55+'5.THPT'!F53+'4.TH-THCS'!F76+'6.THCS-THPT'!F72</f>
        <v>119</v>
      </c>
      <c r="G133" s="42">
        <f>'1.MN'!G62+'2.TH'!G57+'3.THCS'!G55+'5.THPT'!G53+'4.TH-THCS'!G76+'6.THCS-THPT'!G72</f>
        <v>0</v>
      </c>
      <c r="H133" s="42">
        <f>'1.MN'!H62+'2.TH'!H57+'3.THCS'!H55+'5.THPT'!H53+'4.TH-THCS'!H76+'6.THCS-THPT'!H72</f>
        <v>1</v>
      </c>
      <c r="I133" s="41">
        <f t="shared" si="380"/>
        <v>126</v>
      </c>
      <c r="J133" s="42">
        <f>'1.MN'!J62+'2.TH'!J57+'3.THCS'!J55+'5.THPT'!J53+'4.TH-THCS'!J76+'6.THCS-THPT'!J72</f>
        <v>125</v>
      </c>
      <c r="K133" s="42">
        <f>'1.MN'!K62+'2.TH'!K57+'3.THCS'!K55+'5.THPT'!K53+'4.TH-THCS'!K76+'6.THCS-THPT'!K72</f>
        <v>0</v>
      </c>
      <c r="L133" s="42">
        <f>'1.MN'!L62+'2.TH'!L57+'3.THCS'!L55+'5.THPT'!L53+'4.TH-THCS'!L76+'6.THCS-THPT'!L72</f>
        <v>1</v>
      </c>
      <c r="M133" s="41">
        <f t="shared" si="381"/>
        <v>126</v>
      </c>
      <c r="N133" s="42">
        <f>'1.MN'!N62+'2.TH'!N57+'3.THCS'!N55+'5.THPT'!N53+'4.TH-THCS'!N76+'6.THCS-THPT'!N72</f>
        <v>125</v>
      </c>
      <c r="O133" s="42">
        <f>'1.MN'!O62+'2.TH'!O57+'3.THCS'!O55+'5.THPT'!O53+'4.TH-THCS'!O76+'6.THCS-THPT'!O72</f>
        <v>0</v>
      </c>
      <c r="P133" s="42">
        <f>'1.MN'!P62+'2.TH'!P57+'3.THCS'!P55+'5.THPT'!P53+'4.TH-THCS'!P76+'6.THCS-THPT'!P72</f>
        <v>1</v>
      </c>
      <c r="Q133" s="41">
        <f t="shared" si="382"/>
        <v>126</v>
      </c>
      <c r="R133" s="42">
        <f>'1.MN'!R62+'2.TH'!R57+'3.THCS'!R55+'5.THPT'!R53+'4.TH-THCS'!R76+'6.THCS-THPT'!R72</f>
        <v>125</v>
      </c>
      <c r="S133" s="42">
        <f>'1.MN'!S62+'2.TH'!S57+'3.THCS'!S55+'5.THPT'!S53+'4.TH-THCS'!S76+'6.THCS-THPT'!S72</f>
        <v>0</v>
      </c>
      <c r="T133" s="42">
        <f>'1.MN'!T62+'2.TH'!T57+'3.THCS'!T55+'5.THPT'!T53+'4.TH-THCS'!T76+'6.THCS-THPT'!T72</f>
        <v>1</v>
      </c>
      <c r="U133" s="41">
        <f t="shared" si="383"/>
        <v>124</v>
      </c>
      <c r="V133" s="42">
        <f>'1.MN'!V62+'2.TH'!V57+'3.THCS'!V55+'5.THPT'!V53+'4.TH-THCS'!V76+'6.THCS-THPT'!V72</f>
        <v>123</v>
      </c>
      <c r="W133" s="42">
        <f>'1.MN'!W62+'2.TH'!W57+'3.THCS'!W55+'5.THPT'!W53+'4.TH-THCS'!W76+'6.THCS-THPT'!W72</f>
        <v>0</v>
      </c>
      <c r="X133" s="42">
        <f>'1.MN'!X62+'2.TH'!X57+'3.THCS'!X55+'5.THPT'!X53+'4.TH-THCS'!X76+'6.THCS-THPT'!X72</f>
        <v>1</v>
      </c>
      <c r="Y133" s="41">
        <f t="shared" si="384"/>
        <v>124</v>
      </c>
      <c r="Z133" s="42">
        <f>'1.MN'!Z62+'2.TH'!Z57+'3.THCS'!Z55+'5.THPT'!Z53+'4.TH-THCS'!Z76+'6.THCS-THPT'!Z72</f>
        <v>122</v>
      </c>
      <c r="AA133" s="42">
        <f>'1.MN'!AA62+'2.TH'!AA57+'3.THCS'!AA55+'5.THPT'!AA53+'4.TH-THCS'!AA76+'6.THCS-THPT'!AA72</f>
        <v>0</v>
      </c>
      <c r="AB133" s="42">
        <f>'1.MN'!AB62+'2.TH'!AB57+'3.THCS'!AB55+'5.THPT'!AB53+'4.TH-THCS'!AB76+'6.THCS-THPT'!AB72</f>
        <v>2</v>
      </c>
      <c r="AC133" s="41">
        <f t="shared" si="385"/>
        <v>124</v>
      </c>
      <c r="AD133" s="42">
        <f>'1.MN'!AD62+'2.TH'!AD57+'3.THCS'!AD55+'5.THPT'!AD53+'4.TH-THCS'!AD76+'6.THCS-THPT'!AD72</f>
        <v>122</v>
      </c>
      <c r="AE133" s="42">
        <f>'1.MN'!AE62+'2.TH'!AE57+'3.THCS'!AE55+'5.THPT'!AE53+'4.TH-THCS'!AE76+'6.THCS-THPT'!AE72</f>
        <v>0</v>
      </c>
      <c r="AF133" s="42">
        <f>'1.MN'!AF62+'2.TH'!AF57+'3.THCS'!AF55+'5.THPT'!AF53+'4.TH-THCS'!AF76+'6.THCS-THPT'!AF72</f>
        <v>2</v>
      </c>
      <c r="AG133" s="41">
        <f t="shared" si="386"/>
        <v>0</v>
      </c>
      <c r="AH133" s="42">
        <f>'1.MN'!AH62+'2.TH'!AH57+'3.THCS'!AH55+'5.THPT'!AH53+'4.TH-THCS'!AH76+'6.THCS-THPT'!AH72</f>
        <v>0</v>
      </c>
      <c r="AI133" s="42">
        <f>'1.MN'!AI62+'2.TH'!AI57+'3.THCS'!AI55+'5.THPT'!AI53+'4.TH-THCS'!AI76+'6.THCS-THPT'!AI72</f>
        <v>0</v>
      </c>
      <c r="AJ133" s="42">
        <f>'1.MN'!AJ62+'2.TH'!AJ57+'3.THCS'!AJ55+'5.THPT'!AJ53+'4.TH-THCS'!AJ76+'6.THCS-THPT'!AJ72</f>
        <v>0</v>
      </c>
      <c r="AK133" s="41">
        <f t="shared" si="387"/>
        <v>0</v>
      </c>
      <c r="AL133" s="42">
        <f>'1.MN'!AL62+'2.TH'!AL57+'3.THCS'!AL55+'5.THPT'!AL53+'4.TH-THCS'!AL76+'6.THCS-THPT'!AL72</f>
        <v>0</v>
      </c>
      <c r="AM133" s="42">
        <f>'1.MN'!AM62+'2.TH'!AM57+'3.THCS'!AM55+'5.THPT'!AM53+'4.TH-THCS'!AM76+'6.THCS-THPT'!AM72</f>
        <v>0</v>
      </c>
      <c r="AN133" s="42">
        <f>'1.MN'!AN62+'2.TH'!AN57+'3.THCS'!AN55+'5.THPT'!AN53+'4.TH-THCS'!AN76+'6.THCS-THPT'!AN72</f>
        <v>0</v>
      </c>
      <c r="AO133" s="41">
        <f t="shared" si="388"/>
        <v>0</v>
      </c>
      <c r="AP133" s="42">
        <f>'1.MN'!AP62+'2.TH'!AP57+'3.THCS'!AP55+'5.THPT'!AP53+'4.TH-THCS'!AP76+'6.THCS-THPT'!AP72</f>
        <v>0</v>
      </c>
      <c r="AQ133" s="42">
        <f>'1.MN'!AQ62+'2.TH'!AQ57+'3.THCS'!AQ55+'5.THPT'!AQ53+'4.TH-THCS'!AQ76+'6.THCS-THPT'!AQ72</f>
        <v>0</v>
      </c>
      <c r="AR133" s="42">
        <f>'1.MN'!AR62+'2.TH'!AR57+'3.THCS'!AR55+'5.THPT'!AR53+'4.TH-THCS'!AR76+'6.THCS-THPT'!AR72</f>
        <v>0</v>
      </c>
      <c r="AS133" s="41">
        <f t="shared" si="389"/>
        <v>0</v>
      </c>
      <c r="AT133" s="42">
        <f>'1.MN'!AT62+'2.TH'!AT57+'3.THCS'!AT55+'5.THPT'!AT53+'4.TH-THCS'!AT76+'6.THCS-THPT'!AT72</f>
        <v>0</v>
      </c>
      <c r="AU133" s="42">
        <f>'1.MN'!AU62+'2.TH'!AU57+'3.THCS'!AU55+'5.THPT'!AU53+'4.TH-THCS'!AU76+'6.THCS-THPT'!AU72</f>
        <v>0</v>
      </c>
      <c r="AV133" s="42">
        <f>'1.MN'!AV62+'2.TH'!AV57+'3.THCS'!AV55+'5.THPT'!AV53+'4.TH-THCS'!AV76+'6.THCS-THPT'!AV72</f>
        <v>0</v>
      </c>
      <c r="AW133" s="41">
        <f t="shared" si="390"/>
        <v>0</v>
      </c>
      <c r="AX133" s="42">
        <f>'1.MN'!AX62+'2.TH'!AX57+'3.THCS'!AX55+'5.THPT'!AX53+'4.TH-THCS'!AX76+'6.THCS-THPT'!AX72</f>
        <v>0</v>
      </c>
      <c r="AY133" s="42">
        <f>'1.MN'!AY62+'2.TH'!AY57+'3.THCS'!AY55+'5.THPT'!AY53+'4.TH-THCS'!AY76+'6.THCS-THPT'!AY72</f>
        <v>0</v>
      </c>
      <c r="AZ133" s="43">
        <f>'1.MN'!AZ62+'2.TH'!AZ57+'3.THCS'!AZ55+'5.THPT'!AZ53+'4.TH-THCS'!AZ76+'6.THCS-THPT'!AZ72</f>
        <v>0</v>
      </c>
      <c r="BA133" s="34"/>
    </row>
    <row r="134" ht="15.75" customHeight="1">
      <c r="A134" s="29"/>
      <c r="B134" s="67" t="s">
        <v>120</v>
      </c>
      <c r="C134" s="31"/>
      <c r="D134" s="31" t="s">
        <v>30</v>
      </c>
      <c r="E134" s="41">
        <f t="shared" si="379"/>
        <v>9</v>
      </c>
      <c r="F134" s="42">
        <f>'1.MN'!F63+'2.TH'!F58+'3.THCS'!F56+'5.THPT'!F54+'4.TH-THCS'!F77+'6.THCS-THPT'!F73</f>
        <v>9</v>
      </c>
      <c r="G134" s="42">
        <f>'1.MN'!G63+'2.TH'!G58+'3.THCS'!G56+'5.THPT'!G54+'4.TH-THCS'!G77+'6.THCS-THPT'!G73</f>
        <v>0</v>
      </c>
      <c r="H134" s="42">
        <f>'1.MN'!H63+'2.TH'!H58+'3.THCS'!H56+'5.THPT'!H54+'4.TH-THCS'!H77+'6.THCS-THPT'!H73</f>
        <v>0</v>
      </c>
      <c r="I134" s="41">
        <f t="shared" si="380"/>
        <v>7</v>
      </c>
      <c r="J134" s="42">
        <f>'1.MN'!J63+'2.TH'!J58+'3.THCS'!J56+'5.THPT'!J54+'4.TH-THCS'!J77+'6.THCS-THPT'!J73</f>
        <v>7</v>
      </c>
      <c r="K134" s="42">
        <f>'1.MN'!K63+'2.TH'!K58+'3.THCS'!K56+'5.THPT'!K54+'4.TH-THCS'!K77+'6.THCS-THPT'!K73</f>
        <v>0</v>
      </c>
      <c r="L134" s="42">
        <f>'1.MN'!L63+'2.TH'!L58+'3.THCS'!L56+'5.THPT'!L54+'4.TH-THCS'!L77+'6.THCS-THPT'!L73</f>
        <v>0</v>
      </c>
      <c r="M134" s="41">
        <f t="shared" si="381"/>
        <v>6</v>
      </c>
      <c r="N134" s="42">
        <f>'1.MN'!N63+'2.TH'!N58+'3.THCS'!N56+'5.THPT'!N54+'4.TH-THCS'!N77+'6.THCS-THPT'!N73</f>
        <v>6</v>
      </c>
      <c r="O134" s="42">
        <f>'1.MN'!O63+'2.TH'!O58+'3.THCS'!O56+'5.THPT'!O54+'4.TH-THCS'!O77+'6.THCS-THPT'!O73</f>
        <v>0</v>
      </c>
      <c r="P134" s="42">
        <f>'1.MN'!P63+'2.TH'!P58+'3.THCS'!P56+'5.THPT'!P54+'4.TH-THCS'!P77+'6.THCS-THPT'!P73</f>
        <v>0</v>
      </c>
      <c r="Q134" s="41">
        <f t="shared" si="382"/>
        <v>6</v>
      </c>
      <c r="R134" s="42">
        <f>'1.MN'!R63+'2.TH'!R58+'3.THCS'!R56+'5.THPT'!R54+'4.TH-THCS'!R77+'6.THCS-THPT'!R73</f>
        <v>6</v>
      </c>
      <c r="S134" s="42">
        <f>'1.MN'!S63+'2.TH'!S58+'3.THCS'!S56+'5.THPT'!S54+'4.TH-THCS'!S77+'6.THCS-THPT'!S73</f>
        <v>0</v>
      </c>
      <c r="T134" s="42">
        <f>'1.MN'!T63+'2.TH'!T58+'3.THCS'!T56+'5.THPT'!T54+'4.TH-THCS'!T77+'6.THCS-THPT'!T73</f>
        <v>0</v>
      </c>
      <c r="U134" s="41">
        <f t="shared" si="383"/>
        <v>7</v>
      </c>
      <c r="V134" s="42">
        <f>'1.MN'!V63+'2.TH'!V58+'3.THCS'!V56+'5.THPT'!V54+'4.TH-THCS'!V77+'6.THCS-THPT'!V73</f>
        <v>7</v>
      </c>
      <c r="W134" s="42">
        <f>'1.MN'!W63+'2.TH'!W58+'3.THCS'!W56+'5.THPT'!W54+'4.TH-THCS'!W77+'6.THCS-THPT'!W73</f>
        <v>0</v>
      </c>
      <c r="X134" s="42">
        <f>'1.MN'!X63+'2.TH'!X58+'3.THCS'!X56+'5.THPT'!X54+'4.TH-THCS'!X77+'6.THCS-THPT'!X73</f>
        <v>0</v>
      </c>
      <c r="Y134" s="41">
        <f t="shared" si="384"/>
        <v>3</v>
      </c>
      <c r="Z134" s="42">
        <f>'1.MN'!Z63+'2.TH'!Z58+'3.THCS'!Z56+'5.THPT'!Z54+'4.TH-THCS'!Z77+'6.THCS-THPT'!Z73</f>
        <v>3</v>
      </c>
      <c r="AA134" s="42">
        <f>'1.MN'!AA63+'2.TH'!AA58+'3.THCS'!AA56+'5.THPT'!AA54+'4.TH-THCS'!AA77+'6.THCS-THPT'!AA73</f>
        <v>0</v>
      </c>
      <c r="AB134" s="42">
        <f>'1.MN'!AB63+'2.TH'!AB58+'3.THCS'!AB56+'5.THPT'!AB54+'4.TH-THCS'!AB77+'6.THCS-THPT'!AB73</f>
        <v>0</v>
      </c>
      <c r="AC134" s="41">
        <f t="shared" si="385"/>
        <v>2</v>
      </c>
      <c r="AD134" s="42">
        <f>'1.MN'!AD63+'2.TH'!AD58+'3.THCS'!AD56+'5.THPT'!AD54+'4.TH-THCS'!AD77+'6.THCS-THPT'!AD73</f>
        <v>2</v>
      </c>
      <c r="AE134" s="42">
        <f>'1.MN'!AE63+'2.TH'!AE58+'3.THCS'!AE56+'5.THPT'!AE54+'4.TH-THCS'!AE77+'6.THCS-THPT'!AE73</f>
        <v>0</v>
      </c>
      <c r="AF134" s="42">
        <f>'1.MN'!AF63+'2.TH'!AF58+'3.THCS'!AF56+'5.THPT'!AF54+'4.TH-THCS'!AF77+'6.THCS-THPT'!AF73</f>
        <v>0</v>
      </c>
      <c r="AG134" s="41">
        <f t="shared" si="386"/>
        <v>0</v>
      </c>
      <c r="AH134" s="42">
        <f>'1.MN'!AH63+'2.TH'!AH58+'3.THCS'!AH56+'5.THPT'!AH54+'4.TH-THCS'!AH77+'6.THCS-THPT'!AH73</f>
        <v>0</v>
      </c>
      <c r="AI134" s="42">
        <f>'1.MN'!AI63+'2.TH'!AI58+'3.THCS'!AI56+'5.THPT'!AI54+'4.TH-THCS'!AI77+'6.THCS-THPT'!AI73</f>
        <v>0</v>
      </c>
      <c r="AJ134" s="42">
        <f>'1.MN'!AJ63+'2.TH'!AJ58+'3.THCS'!AJ56+'5.THPT'!AJ54+'4.TH-THCS'!AJ77+'6.THCS-THPT'!AJ73</f>
        <v>0</v>
      </c>
      <c r="AK134" s="41">
        <f t="shared" si="387"/>
        <v>0</v>
      </c>
      <c r="AL134" s="42">
        <f>'1.MN'!AL63+'2.TH'!AL58+'3.THCS'!AL56+'5.THPT'!AL54+'4.TH-THCS'!AL77+'6.THCS-THPT'!AL73</f>
        <v>0</v>
      </c>
      <c r="AM134" s="42">
        <f>'1.MN'!AM63+'2.TH'!AM58+'3.THCS'!AM56+'5.THPT'!AM54+'4.TH-THCS'!AM77+'6.THCS-THPT'!AM73</f>
        <v>0</v>
      </c>
      <c r="AN134" s="42">
        <f>'1.MN'!AN63+'2.TH'!AN58+'3.THCS'!AN56+'5.THPT'!AN54+'4.TH-THCS'!AN77+'6.THCS-THPT'!AN73</f>
        <v>0</v>
      </c>
      <c r="AO134" s="41">
        <f t="shared" si="388"/>
        <v>0</v>
      </c>
      <c r="AP134" s="42">
        <f>'1.MN'!AP63+'2.TH'!AP58+'3.THCS'!AP56+'5.THPT'!AP54+'4.TH-THCS'!AP77+'6.THCS-THPT'!AP73</f>
        <v>0</v>
      </c>
      <c r="AQ134" s="42">
        <f>'1.MN'!AQ63+'2.TH'!AQ58+'3.THCS'!AQ56+'5.THPT'!AQ54+'4.TH-THCS'!AQ77+'6.THCS-THPT'!AQ73</f>
        <v>0</v>
      </c>
      <c r="AR134" s="42">
        <f>'1.MN'!AR63+'2.TH'!AR58+'3.THCS'!AR56+'5.THPT'!AR54+'4.TH-THCS'!AR77+'6.THCS-THPT'!AR73</f>
        <v>0</v>
      </c>
      <c r="AS134" s="41">
        <f t="shared" si="389"/>
        <v>0</v>
      </c>
      <c r="AT134" s="42">
        <f>'1.MN'!AT63+'2.TH'!AT58+'3.THCS'!AT56+'5.THPT'!AT54+'4.TH-THCS'!AT77+'6.THCS-THPT'!AT73</f>
        <v>0</v>
      </c>
      <c r="AU134" s="42">
        <f>'1.MN'!AU63+'2.TH'!AU58+'3.THCS'!AU56+'5.THPT'!AU54+'4.TH-THCS'!AU77+'6.THCS-THPT'!AU73</f>
        <v>0</v>
      </c>
      <c r="AV134" s="42">
        <f>'1.MN'!AV63+'2.TH'!AV58+'3.THCS'!AV56+'5.THPT'!AV54+'4.TH-THCS'!AV77+'6.THCS-THPT'!AV73</f>
        <v>0</v>
      </c>
      <c r="AW134" s="41">
        <f t="shared" si="390"/>
        <v>0</v>
      </c>
      <c r="AX134" s="42">
        <f>'1.MN'!AX63+'2.TH'!AX58+'3.THCS'!AX56+'5.THPT'!AX54+'4.TH-THCS'!AX77+'6.THCS-THPT'!AX73</f>
        <v>0</v>
      </c>
      <c r="AY134" s="42">
        <f>'1.MN'!AY63+'2.TH'!AY58+'3.THCS'!AY56+'5.THPT'!AY54+'4.TH-THCS'!AY77+'6.THCS-THPT'!AY73</f>
        <v>0</v>
      </c>
      <c r="AZ134" s="43">
        <f>'1.MN'!AZ63+'2.TH'!AZ58+'3.THCS'!AZ56+'5.THPT'!AZ54+'4.TH-THCS'!AZ77+'6.THCS-THPT'!AZ73</f>
        <v>0</v>
      </c>
      <c r="BA134" s="34"/>
    </row>
    <row r="135" ht="15.75" customHeight="1">
      <c r="A135" s="29"/>
      <c r="B135" s="126" t="s">
        <v>122</v>
      </c>
      <c r="C135" s="57"/>
      <c r="D135" s="57" t="s">
        <v>116</v>
      </c>
      <c r="E135" s="125">
        <f t="shared" si="379"/>
        <v>95</v>
      </c>
      <c r="F135" s="125">
        <f t="shared" ref="F135:H135" si="391">F137+F138+F139</f>
        <v>85</v>
      </c>
      <c r="G135" s="125">
        <f t="shared" si="391"/>
        <v>6</v>
      </c>
      <c r="H135" s="125">
        <f t="shared" si="391"/>
        <v>4</v>
      </c>
      <c r="I135" s="125">
        <f t="shared" si="380"/>
        <v>100</v>
      </c>
      <c r="J135" s="125">
        <f t="shared" ref="J135:L135" si="392">J137+J138+J139</f>
        <v>92</v>
      </c>
      <c r="K135" s="125">
        <f t="shared" si="392"/>
        <v>6</v>
      </c>
      <c r="L135" s="125">
        <f t="shared" si="392"/>
        <v>2</v>
      </c>
      <c r="M135" s="125">
        <f t="shared" si="381"/>
        <v>98</v>
      </c>
      <c r="N135" s="125">
        <f t="shared" ref="N135:P135" si="393">N137+N138+N139</f>
        <v>90</v>
      </c>
      <c r="O135" s="125">
        <f t="shared" si="393"/>
        <v>6</v>
      </c>
      <c r="P135" s="125">
        <f t="shared" si="393"/>
        <v>2</v>
      </c>
      <c r="Q135" s="125">
        <f t="shared" si="382"/>
        <v>102</v>
      </c>
      <c r="R135" s="125">
        <f t="shared" ref="R135:T135" si="394">R137+R138+R139</f>
        <v>96</v>
      </c>
      <c r="S135" s="125">
        <f t="shared" si="394"/>
        <v>0</v>
      </c>
      <c r="T135" s="125">
        <f t="shared" si="394"/>
        <v>6</v>
      </c>
      <c r="U135" s="125">
        <f t="shared" si="383"/>
        <v>106</v>
      </c>
      <c r="V135" s="125">
        <f t="shared" ref="V135:X135" si="395">V137+V138+V139</f>
        <v>100</v>
      </c>
      <c r="W135" s="125">
        <f t="shared" si="395"/>
        <v>0</v>
      </c>
      <c r="X135" s="125">
        <f t="shared" si="395"/>
        <v>6</v>
      </c>
      <c r="Y135" s="125">
        <f t="shared" si="384"/>
        <v>106</v>
      </c>
      <c r="Z135" s="125">
        <f t="shared" ref="Z135:AB135" si="396">Z137+Z138+Z139</f>
        <v>101</v>
      </c>
      <c r="AA135" s="125">
        <f t="shared" si="396"/>
        <v>0</v>
      </c>
      <c r="AB135" s="125">
        <f t="shared" si="396"/>
        <v>5</v>
      </c>
      <c r="AC135" s="125">
        <f t="shared" si="385"/>
        <v>102</v>
      </c>
      <c r="AD135" s="125">
        <f t="shared" ref="AD135:AF135" si="397">AD137+AD138+AD139</f>
        <v>97</v>
      </c>
      <c r="AE135" s="125">
        <f t="shared" si="397"/>
        <v>0</v>
      </c>
      <c r="AF135" s="125">
        <f t="shared" si="397"/>
        <v>5</v>
      </c>
      <c r="AG135" s="125">
        <f t="shared" si="386"/>
        <v>6</v>
      </c>
      <c r="AH135" s="125">
        <f t="shared" ref="AH135:AJ135" si="398">AH137+AH138+AH139</f>
        <v>6</v>
      </c>
      <c r="AI135" s="125">
        <f t="shared" si="398"/>
        <v>0</v>
      </c>
      <c r="AJ135" s="125">
        <f t="shared" si="398"/>
        <v>0</v>
      </c>
      <c r="AK135" s="125">
        <f t="shared" si="387"/>
        <v>0</v>
      </c>
      <c r="AL135" s="125">
        <f t="shared" ref="AL135:AN135" si="399">AL137+AL138+AL139</f>
        <v>0</v>
      </c>
      <c r="AM135" s="125">
        <f t="shared" si="399"/>
        <v>0</v>
      </c>
      <c r="AN135" s="125">
        <f t="shared" si="399"/>
        <v>0</v>
      </c>
      <c r="AO135" s="125">
        <f t="shared" si="388"/>
        <v>0</v>
      </c>
      <c r="AP135" s="125">
        <f t="shared" ref="AP135:AR135" si="400">AP137+AP138+AP139</f>
        <v>0</v>
      </c>
      <c r="AQ135" s="125">
        <f t="shared" si="400"/>
        <v>0</v>
      </c>
      <c r="AR135" s="125">
        <f t="shared" si="400"/>
        <v>0</v>
      </c>
      <c r="AS135" s="125">
        <f t="shared" si="389"/>
        <v>0</v>
      </c>
      <c r="AT135" s="125">
        <f t="shared" ref="AT135:AV135" si="401">AT137+AT138+AT139</f>
        <v>0</v>
      </c>
      <c r="AU135" s="125">
        <f t="shared" si="401"/>
        <v>0</v>
      </c>
      <c r="AV135" s="125">
        <f t="shared" si="401"/>
        <v>0</v>
      </c>
      <c r="AW135" s="125">
        <f t="shared" si="390"/>
        <v>0</v>
      </c>
      <c r="AX135" s="125">
        <f t="shared" ref="AX135:AZ135" si="402">AX137+AX138+AX139</f>
        <v>0</v>
      </c>
      <c r="AY135" s="125">
        <f t="shared" si="402"/>
        <v>0</v>
      </c>
      <c r="AZ135" s="127">
        <f t="shared" si="402"/>
        <v>0</v>
      </c>
      <c r="BA135" s="34"/>
    </row>
    <row r="136" ht="15.75" customHeight="1">
      <c r="A136" s="29"/>
      <c r="B136" s="48" t="s">
        <v>52</v>
      </c>
      <c r="C136" s="49"/>
      <c r="D136" s="31" t="s">
        <v>30</v>
      </c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50"/>
      <c r="BA136" s="34"/>
    </row>
    <row r="137" ht="15.75" customHeight="1">
      <c r="A137" s="29"/>
      <c r="B137" s="67" t="s">
        <v>118</v>
      </c>
      <c r="C137" s="31"/>
      <c r="D137" s="31" t="s">
        <v>30</v>
      </c>
      <c r="E137" s="41">
        <f t="shared" ref="E137:E139" si="403">F137+G137+H137</f>
        <v>86</v>
      </c>
      <c r="F137" s="42">
        <f>'1.MN'!F66+'2.TH'!F61+'3.THCS'!F59+'5.THPT'!F57+'4.TH-THCS'!F80+'6.THCS-THPT'!F76</f>
        <v>76</v>
      </c>
      <c r="G137" s="42">
        <f>'1.MN'!G66+'2.TH'!G61+'3.THCS'!G59+'5.THPT'!G57+'4.TH-THCS'!G80+'6.THCS-THPT'!G76</f>
        <v>6</v>
      </c>
      <c r="H137" s="42">
        <f>'1.MN'!H66+'2.TH'!H61+'3.THCS'!H59+'5.THPT'!H57+'4.TH-THCS'!H80+'6.THCS-THPT'!H76</f>
        <v>4</v>
      </c>
      <c r="I137" s="41">
        <f t="shared" ref="I137:I139" si="404">J137+K137+L137</f>
        <v>91</v>
      </c>
      <c r="J137" s="42">
        <f>'1.MN'!J66+'2.TH'!J61+'3.THCS'!J59+'5.THPT'!J57+'4.TH-THCS'!J80+'6.THCS-THPT'!J76</f>
        <v>83</v>
      </c>
      <c r="K137" s="42">
        <f>'1.MN'!K66+'2.TH'!K61+'3.THCS'!K59+'5.THPT'!K57+'4.TH-THCS'!K80+'6.THCS-THPT'!K76</f>
        <v>6</v>
      </c>
      <c r="L137" s="42">
        <f>'1.MN'!L66+'2.TH'!L61+'3.THCS'!L59+'5.THPT'!L57+'4.TH-THCS'!L80+'6.THCS-THPT'!L76</f>
        <v>2</v>
      </c>
      <c r="M137" s="41">
        <f t="shared" ref="M137:M139" si="405">N137+O137+P137</f>
        <v>89</v>
      </c>
      <c r="N137" s="42">
        <f>'1.MN'!N66+'2.TH'!N61+'3.THCS'!N59+'5.THPT'!N57+'4.TH-THCS'!N80+'6.THCS-THPT'!N76</f>
        <v>81</v>
      </c>
      <c r="O137" s="42">
        <f>'1.MN'!O66+'2.TH'!O61+'3.THCS'!O59+'5.THPT'!O57+'4.TH-THCS'!O80+'6.THCS-THPT'!O76</f>
        <v>6</v>
      </c>
      <c r="P137" s="42">
        <f>'1.MN'!P66+'2.TH'!P61+'3.THCS'!P59+'5.THPT'!P57+'4.TH-THCS'!P80+'6.THCS-THPT'!P76</f>
        <v>2</v>
      </c>
      <c r="Q137" s="41">
        <f t="shared" ref="Q137:Q139" si="406">R137+S137+T137</f>
        <v>96</v>
      </c>
      <c r="R137" s="42">
        <f>'1.MN'!R66+'2.TH'!R61+'3.THCS'!R59+'5.THPT'!R57+'4.TH-THCS'!R80+'6.THCS-THPT'!R76</f>
        <v>90</v>
      </c>
      <c r="S137" s="42">
        <f>'1.MN'!S66+'2.TH'!S61+'3.THCS'!S59+'5.THPT'!S57+'4.TH-THCS'!S80+'6.THCS-THPT'!S76</f>
        <v>0</v>
      </c>
      <c r="T137" s="42">
        <f>'1.MN'!T66+'2.TH'!T61+'3.THCS'!T59+'5.THPT'!T57+'4.TH-THCS'!T80+'6.THCS-THPT'!T76</f>
        <v>6</v>
      </c>
      <c r="U137" s="41">
        <f t="shared" ref="U137:U139" si="407">V137+W137+X137</f>
        <v>96</v>
      </c>
      <c r="V137" s="42">
        <f>'1.MN'!V66+'2.TH'!V61+'3.THCS'!V59+'5.THPT'!V57+'4.TH-THCS'!V80+'6.THCS-THPT'!V76</f>
        <v>90</v>
      </c>
      <c r="W137" s="42">
        <f>'1.MN'!W66+'2.TH'!W61+'3.THCS'!W59+'5.THPT'!W57+'4.TH-THCS'!W80+'6.THCS-THPT'!W76</f>
        <v>0</v>
      </c>
      <c r="X137" s="42">
        <f>'1.MN'!X66+'2.TH'!X61+'3.THCS'!X59+'5.THPT'!X57+'4.TH-THCS'!X80+'6.THCS-THPT'!X76</f>
        <v>6</v>
      </c>
      <c r="Y137" s="41">
        <f t="shared" ref="Y137:Y139" si="408">Z137+AA137+AB137</f>
        <v>94</v>
      </c>
      <c r="Z137" s="42">
        <f>'1.MN'!Z66+'2.TH'!Z61+'3.THCS'!Z59+'5.THPT'!Z57+'4.TH-THCS'!Z80+'6.THCS-THPT'!Z76</f>
        <v>89</v>
      </c>
      <c r="AA137" s="42">
        <f>'1.MN'!AA66+'2.TH'!AA61+'3.THCS'!AA59+'5.THPT'!AA57+'4.TH-THCS'!AA80+'6.THCS-THPT'!AA76</f>
        <v>0</v>
      </c>
      <c r="AB137" s="42">
        <f>'1.MN'!AB66+'2.TH'!AB61+'3.THCS'!AB59+'5.THPT'!AB57+'4.TH-THCS'!AB80+'6.THCS-THPT'!AB76</f>
        <v>5</v>
      </c>
      <c r="AC137" s="41">
        <f t="shared" ref="AC137:AC139" si="409">AD137+AE137+AF137</f>
        <v>94</v>
      </c>
      <c r="AD137" s="42">
        <f>'1.MN'!AD66+'2.TH'!AD61+'3.THCS'!AD59+'5.THPT'!AD57+'4.TH-THCS'!AD80+'6.THCS-THPT'!AD76</f>
        <v>89</v>
      </c>
      <c r="AE137" s="42">
        <f>'1.MN'!AE66+'2.TH'!AE61+'3.THCS'!AE59+'5.THPT'!AE57+'4.TH-THCS'!AE80+'6.THCS-THPT'!AE76</f>
        <v>0</v>
      </c>
      <c r="AF137" s="42">
        <f>'1.MN'!AF66+'2.TH'!AF61+'3.THCS'!AF59+'5.THPT'!AF57+'4.TH-THCS'!AF80+'6.THCS-THPT'!AF76</f>
        <v>5</v>
      </c>
      <c r="AG137" s="41">
        <f t="shared" ref="AG137:AG139" si="410">AH137+AI137+AJ137</f>
        <v>6</v>
      </c>
      <c r="AH137" s="42">
        <f>'1.MN'!AH66+'2.TH'!AH61+'3.THCS'!AH59+'5.THPT'!AH57+'4.TH-THCS'!AH80+'6.THCS-THPT'!AH76</f>
        <v>6</v>
      </c>
      <c r="AI137" s="42">
        <f>'1.MN'!AI66+'2.TH'!AI61+'3.THCS'!AI59+'5.THPT'!AI57+'4.TH-THCS'!AI80+'6.THCS-THPT'!AI76</f>
        <v>0</v>
      </c>
      <c r="AJ137" s="42">
        <f>'1.MN'!AJ66+'2.TH'!AJ61+'3.THCS'!AJ59+'5.THPT'!AJ57+'4.TH-THCS'!AJ80+'6.THCS-THPT'!AJ76</f>
        <v>0</v>
      </c>
      <c r="AK137" s="41">
        <f t="shared" ref="AK137:AK139" si="411">AL137+AM137+AN137</f>
        <v>0</v>
      </c>
      <c r="AL137" s="42">
        <f>'1.MN'!AL66+'2.TH'!AL61+'3.THCS'!AL59+'5.THPT'!AL57+'4.TH-THCS'!AL80+'6.THCS-THPT'!AL76</f>
        <v>0</v>
      </c>
      <c r="AM137" s="42">
        <f>'1.MN'!AM66+'2.TH'!AM61+'3.THCS'!AM59+'5.THPT'!AM57+'4.TH-THCS'!AM80+'6.THCS-THPT'!AM76</f>
        <v>0</v>
      </c>
      <c r="AN137" s="42">
        <f>'1.MN'!AN66+'2.TH'!AN61+'3.THCS'!AN59+'5.THPT'!AN57+'4.TH-THCS'!AN80+'6.THCS-THPT'!AN76</f>
        <v>0</v>
      </c>
      <c r="AO137" s="41">
        <f t="shared" ref="AO137:AO139" si="412">AP137+AQ137+AR137</f>
        <v>0</v>
      </c>
      <c r="AP137" s="42">
        <f>'1.MN'!AP66+'2.TH'!AP61+'3.THCS'!AP59+'5.THPT'!AP57+'4.TH-THCS'!AP80+'6.THCS-THPT'!AP76</f>
        <v>0</v>
      </c>
      <c r="AQ137" s="42">
        <f>'1.MN'!AQ66+'2.TH'!AQ61+'3.THCS'!AQ59+'5.THPT'!AQ57+'4.TH-THCS'!AQ80+'6.THCS-THPT'!AQ76</f>
        <v>0</v>
      </c>
      <c r="AR137" s="42">
        <f>'1.MN'!AR66+'2.TH'!AR61+'3.THCS'!AR59+'5.THPT'!AR57+'4.TH-THCS'!AR80+'6.THCS-THPT'!AR76</f>
        <v>0</v>
      </c>
      <c r="AS137" s="41">
        <f t="shared" ref="AS137:AS139" si="413">AT137+AU137+AV137</f>
        <v>0</v>
      </c>
      <c r="AT137" s="42">
        <f>'1.MN'!AT66+'2.TH'!AT61+'3.THCS'!AT59+'5.THPT'!AT57+'4.TH-THCS'!AT80+'6.THCS-THPT'!AT76</f>
        <v>0</v>
      </c>
      <c r="AU137" s="42">
        <f>'1.MN'!AU66+'2.TH'!AU61+'3.THCS'!AU59+'5.THPT'!AU57+'4.TH-THCS'!AU80+'6.THCS-THPT'!AU76</f>
        <v>0</v>
      </c>
      <c r="AV137" s="42">
        <f>'1.MN'!AV66+'2.TH'!AV61+'3.THCS'!AV59+'5.THPT'!AV57+'4.TH-THCS'!AV80+'6.THCS-THPT'!AV76</f>
        <v>0</v>
      </c>
      <c r="AW137" s="41">
        <f t="shared" ref="AW137:AW139" si="414">AX137+AY137+AZ137</f>
        <v>0</v>
      </c>
      <c r="AX137" s="42">
        <f>'1.MN'!AX66+'2.TH'!AX61+'3.THCS'!AX59+'5.THPT'!AX57+'4.TH-THCS'!AX80+'6.THCS-THPT'!AX76</f>
        <v>0</v>
      </c>
      <c r="AY137" s="42">
        <f>'1.MN'!AY66+'2.TH'!AY61+'3.THCS'!AY59+'5.THPT'!AY57+'4.TH-THCS'!AY80+'6.THCS-THPT'!AY76</f>
        <v>0</v>
      </c>
      <c r="AZ137" s="43">
        <f>'1.MN'!AZ66+'2.TH'!AZ61+'3.THCS'!AZ59+'5.THPT'!AZ57+'4.TH-THCS'!AZ80+'6.THCS-THPT'!AZ76</f>
        <v>0</v>
      </c>
      <c r="BA137" s="34"/>
    </row>
    <row r="138" ht="15.75" customHeight="1">
      <c r="A138" s="29"/>
      <c r="B138" s="67" t="s">
        <v>119</v>
      </c>
      <c r="C138" s="31"/>
      <c r="D138" s="31" t="s">
        <v>30</v>
      </c>
      <c r="E138" s="41">
        <f t="shared" si="403"/>
        <v>9</v>
      </c>
      <c r="F138" s="42">
        <f>'1.MN'!F67+'2.TH'!F62+'3.THCS'!F60+'5.THPT'!F58+'4.TH-THCS'!F81+'6.THCS-THPT'!F77</f>
        <v>9</v>
      </c>
      <c r="G138" s="42">
        <f>'1.MN'!G67+'2.TH'!G62+'3.THCS'!G60+'5.THPT'!G58+'4.TH-THCS'!G81+'6.THCS-THPT'!G77</f>
        <v>0</v>
      </c>
      <c r="H138" s="42">
        <f>'1.MN'!H67+'2.TH'!H62+'3.THCS'!H60+'5.THPT'!H58+'4.TH-THCS'!H81+'6.THCS-THPT'!H77</f>
        <v>0</v>
      </c>
      <c r="I138" s="41">
        <f t="shared" si="404"/>
        <v>9</v>
      </c>
      <c r="J138" s="42">
        <f>'1.MN'!J67+'2.TH'!J62+'3.THCS'!J60+'5.THPT'!J58+'4.TH-THCS'!J81+'6.THCS-THPT'!J77</f>
        <v>9</v>
      </c>
      <c r="K138" s="42">
        <f>'1.MN'!K67+'2.TH'!K62+'3.THCS'!K60+'5.THPT'!K58+'4.TH-THCS'!K81+'6.THCS-THPT'!K77</f>
        <v>0</v>
      </c>
      <c r="L138" s="42">
        <f>'1.MN'!L67+'2.TH'!L62+'3.THCS'!L60+'5.THPT'!L58+'4.TH-THCS'!L81+'6.THCS-THPT'!L77</f>
        <v>0</v>
      </c>
      <c r="M138" s="41">
        <f t="shared" si="405"/>
        <v>9</v>
      </c>
      <c r="N138" s="42">
        <f>'1.MN'!N67+'2.TH'!N62+'3.THCS'!N60+'5.THPT'!N58+'4.TH-THCS'!N81+'6.THCS-THPT'!N77</f>
        <v>9</v>
      </c>
      <c r="O138" s="42">
        <f>'1.MN'!O67+'2.TH'!O62+'3.THCS'!O60+'5.THPT'!O58+'4.TH-THCS'!O81+'6.THCS-THPT'!O77</f>
        <v>0</v>
      </c>
      <c r="P138" s="42">
        <f>'1.MN'!P67+'2.TH'!P62+'3.THCS'!P60+'5.THPT'!P58+'4.TH-THCS'!P81+'6.THCS-THPT'!P77</f>
        <v>0</v>
      </c>
      <c r="Q138" s="41">
        <f t="shared" si="406"/>
        <v>6</v>
      </c>
      <c r="R138" s="42">
        <f>'1.MN'!R67+'2.TH'!R62+'3.THCS'!R60+'5.THPT'!R58+'4.TH-THCS'!R81+'6.THCS-THPT'!R77</f>
        <v>6</v>
      </c>
      <c r="S138" s="42">
        <f>'1.MN'!S67+'2.TH'!S62+'3.THCS'!S60+'5.THPT'!S58+'4.TH-THCS'!S81+'6.THCS-THPT'!S77</f>
        <v>0</v>
      </c>
      <c r="T138" s="42">
        <f>'1.MN'!T67+'2.TH'!T62+'3.THCS'!T60+'5.THPT'!T58+'4.TH-THCS'!T81+'6.THCS-THPT'!T77</f>
        <v>0</v>
      </c>
      <c r="U138" s="41">
        <f t="shared" si="407"/>
        <v>10</v>
      </c>
      <c r="V138" s="42">
        <f>'1.MN'!V67+'2.TH'!V62+'3.THCS'!V60+'5.THPT'!V58+'4.TH-THCS'!V81+'6.THCS-THPT'!V77</f>
        <v>10</v>
      </c>
      <c r="W138" s="42">
        <f>'1.MN'!W67+'2.TH'!W62+'3.THCS'!W60+'5.THPT'!W58+'4.TH-THCS'!W81+'6.THCS-THPT'!W77</f>
        <v>0</v>
      </c>
      <c r="X138" s="42">
        <f>'1.MN'!X67+'2.TH'!X62+'3.THCS'!X60+'5.THPT'!X58+'4.TH-THCS'!X81+'6.THCS-THPT'!X77</f>
        <v>0</v>
      </c>
      <c r="Y138" s="41">
        <f t="shared" si="408"/>
        <v>12</v>
      </c>
      <c r="Z138" s="42">
        <f>'1.MN'!Z67+'2.TH'!Z62+'3.THCS'!Z60+'5.THPT'!Z58+'4.TH-THCS'!Z81+'6.THCS-THPT'!Z77</f>
        <v>12</v>
      </c>
      <c r="AA138" s="42">
        <f>'1.MN'!AA67+'2.TH'!AA62+'3.THCS'!AA60+'5.THPT'!AA58+'4.TH-THCS'!AA81+'6.THCS-THPT'!AA77</f>
        <v>0</v>
      </c>
      <c r="AB138" s="42">
        <f>'1.MN'!AB67+'2.TH'!AB62+'3.THCS'!AB60+'5.THPT'!AB58+'4.TH-THCS'!AB81+'6.THCS-THPT'!AB77</f>
        <v>0</v>
      </c>
      <c r="AC138" s="41">
        <f t="shared" si="409"/>
        <v>8</v>
      </c>
      <c r="AD138" s="42">
        <f>'1.MN'!AD67+'2.TH'!AD62+'3.THCS'!AD60+'5.THPT'!AD58+'4.TH-THCS'!AD81+'6.THCS-THPT'!AD77</f>
        <v>8</v>
      </c>
      <c r="AE138" s="42">
        <f>'1.MN'!AE67+'2.TH'!AE62+'3.THCS'!AE60+'5.THPT'!AE58+'4.TH-THCS'!AE81+'6.THCS-THPT'!AE77</f>
        <v>0</v>
      </c>
      <c r="AF138" s="42">
        <f>'1.MN'!AF67+'2.TH'!AF62+'3.THCS'!AF60+'5.THPT'!AF58+'4.TH-THCS'!AF81+'6.THCS-THPT'!AF77</f>
        <v>0</v>
      </c>
      <c r="AG138" s="41">
        <f t="shared" si="410"/>
        <v>0</v>
      </c>
      <c r="AH138" s="42">
        <f>'1.MN'!AH67+'2.TH'!AH62+'3.THCS'!AH60+'5.THPT'!AH58+'4.TH-THCS'!AH81+'6.THCS-THPT'!AH77</f>
        <v>0</v>
      </c>
      <c r="AI138" s="42">
        <f>'1.MN'!AI67+'2.TH'!AI62+'3.THCS'!AI60+'5.THPT'!AI58+'4.TH-THCS'!AI81+'6.THCS-THPT'!AI77</f>
        <v>0</v>
      </c>
      <c r="AJ138" s="42">
        <f>'1.MN'!AJ67+'2.TH'!AJ62+'3.THCS'!AJ60+'5.THPT'!AJ58+'4.TH-THCS'!AJ81+'6.THCS-THPT'!AJ77</f>
        <v>0</v>
      </c>
      <c r="AK138" s="41">
        <f t="shared" si="411"/>
        <v>0</v>
      </c>
      <c r="AL138" s="42">
        <f>'1.MN'!AL67+'2.TH'!AL62+'3.THCS'!AL60+'5.THPT'!AL58+'4.TH-THCS'!AL81+'6.THCS-THPT'!AL77</f>
        <v>0</v>
      </c>
      <c r="AM138" s="42">
        <f>'1.MN'!AM67+'2.TH'!AM62+'3.THCS'!AM60+'5.THPT'!AM58+'4.TH-THCS'!AM81+'6.THCS-THPT'!AM77</f>
        <v>0</v>
      </c>
      <c r="AN138" s="42">
        <f>'1.MN'!AN67+'2.TH'!AN62+'3.THCS'!AN60+'5.THPT'!AN58+'4.TH-THCS'!AN81+'6.THCS-THPT'!AN77</f>
        <v>0</v>
      </c>
      <c r="AO138" s="41">
        <f t="shared" si="412"/>
        <v>0</v>
      </c>
      <c r="AP138" s="42">
        <f>'1.MN'!AP67+'2.TH'!AP62+'3.THCS'!AP60+'5.THPT'!AP58+'4.TH-THCS'!AP81+'6.THCS-THPT'!AP77</f>
        <v>0</v>
      </c>
      <c r="AQ138" s="42">
        <f>'1.MN'!AQ67+'2.TH'!AQ62+'3.THCS'!AQ60+'5.THPT'!AQ58+'4.TH-THCS'!AQ81+'6.THCS-THPT'!AQ77</f>
        <v>0</v>
      </c>
      <c r="AR138" s="42">
        <f>'1.MN'!AR67+'2.TH'!AR62+'3.THCS'!AR60+'5.THPT'!AR58+'4.TH-THCS'!AR81+'6.THCS-THPT'!AR77</f>
        <v>0</v>
      </c>
      <c r="AS138" s="41">
        <f t="shared" si="413"/>
        <v>0</v>
      </c>
      <c r="AT138" s="42">
        <f>'1.MN'!AT67+'2.TH'!AT62+'3.THCS'!AT60+'5.THPT'!AT58+'4.TH-THCS'!AT81+'6.THCS-THPT'!AT77</f>
        <v>0</v>
      </c>
      <c r="AU138" s="42">
        <f>'1.MN'!AU67+'2.TH'!AU62+'3.THCS'!AU60+'5.THPT'!AU58+'4.TH-THCS'!AU81+'6.THCS-THPT'!AU77</f>
        <v>0</v>
      </c>
      <c r="AV138" s="42">
        <f>'1.MN'!AV67+'2.TH'!AV62+'3.THCS'!AV60+'5.THPT'!AV58+'4.TH-THCS'!AV81+'6.THCS-THPT'!AV77</f>
        <v>0</v>
      </c>
      <c r="AW138" s="41">
        <f t="shared" si="414"/>
        <v>0</v>
      </c>
      <c r="AX138" s="42">
        <f>'1.MN'!AX67+'2.TH'!AX62+'3.THCS'!AX60+'5.THPT'!AX58+'4.TH-THCS'!AX81+'6.THCS-THPT'!AX77</f>
        <v>0</v>
      </c>
      <c r="AY138" s="42">
        <f>'1.MN'!AY67+'2.TH'!AY62+'3.THCS'!AY60+'5.THPT'!AY58+'4.TH-THCS'!AY81+'6.THCS-THPT'!AY77</f>
        <v>0</v>
      </c>
      <c r="AZ138" s="43">
        <f>'1.MN'!AZ67+'2.TH'!AZ62+'3.THCS'!AZ60+'5.THPT'!AZ58+'4.TH-THCS'!AZ81+'6.THCS-THPT'!AZ77</f>
        <v>0</v>
      </c>
      <c r="BA138" s="34"/>
    </row>
    <row r="139" ht="15.75" customHeight="1">
      <c r="A139" s="29"/>
      <c r="B139" s="67" t="s">
        <v>120</v>
      </c>
      <c r="C139" s="31"/>
      <c r="D139" s="31" t="s">
        <v>30</v>
      </c>
      <c r="E139" s="41">
        <f t="shared" si="403"/>
        <v>0</v>
      </c>
      <c r="F139" s="42">
        <f>'1.MN'!F68+'2.TH'!F63+'3.THCS'!F61+'5.THPT'!F59+'4.TH-THCS'!F82+'6.THCS-THPT'!F78</f>
        <v>0</v>
      </c>
      <c r="G139" s="42">
        <f>'1.MN'!G68+'2.TH'!G63+'3.THCS'!G61+'5.THPT'!G59+'4.TH-THCS'!G82+'6.THCS-THPT'!G78</f>
        <v>0</v>
      </c>
      <c r="H139" s="42">
        <f>'1.MN'!H68+'2.TH'!H63+'3.THCS'!H61+'5.THPT'!H59+'4.TH-THCS'!H82+'6.THCS-THPT'!H78</f>
        <v>0</v>
      </c>
      <c r="I139" s="41">
        <f t="shared" si="404"/>
        <v>0</v>
      </c>
      <c r="J139" s="42">
        <f>'1.MN'!J68+'2.TH'!J63+'3.THCS'!J61+'5.THPT'!J59+'4.TH-THCS'!J82+'6.THCS-THPT'!J78</f>
        <v>0</v>
      </c>
      <c r="K139" s="42">
        <f>'1.MN'!K68+'2.TH'!K63+'3.THCS'!K61+'5.THPT'!K59+'4.TH-THCS'!K82+'6.THCS-THPT'!K78</f>
        <v>0</v>
      </c>
      <c r="L139" s="42">
        <f>'1.MN'!L68+'2.TH'!L63+'3.THCS'!L61+'5.THPT'!L59+'4.TH-THCS'!L82+'6.THCS-THPT'!L78</f>
        <v>0</v>
      </c>
      <c r="M139" s="41">
        <f t="shared" si="405"/>
        <v>0</v>
      </c>
      <c r="N139" s="42">
        <f>'1.MN'!N68+'2.TH'!N63+'3.THCS'!N61+'5.THPT'!N59+'4.TH-THCS'!N82+'6.THCS-THPT'!N78</f>
        <v>0</v>
      </c>
      <c r="O139" s="42">
        <f>'1.MN'!O68+'2.TH'!O63+'3.THCS'!O61+'5.THPT'!O59+'4.TH-THCS'!O82+'6.THCS-THPT'!O78</f>
        <v>0</v>
      </c>
      <c r="P139" s="42">
        <f>'1.MN'!P68+'2.TH'!P63+'3.THCS'!P61+'5.THPT'!P59+'4.TH-THCS'!P82+'6.THCS-THPT'!P78</f>
        <v>0</v>
      </c>
      <c r="Q139" s="41">
        <f t="shared" si="406"/>
        <v>0</v>
      </c>
      <c r="R139" s="42">
        <f>'1.MN'!R68+'2.TH'!R63+'3.THCS'!R61+'5.THPT'!R59+'4.TH-THCS'!R82+'6.THCS-THPT'!R78</f>
        <v>0</v>
      </c>
      <c r="S139" s="42">
        <f>'1.MN'!S68+'2.TH'!S63+'3.THCS'!S61+'5.THPT'!S59+'4.TH-THCS'!S82+'6.THCS-THPT'!S78</f>
        <v>0</v>
      </c>
      <c r="T139" s="42">
        <f>'1.MN'!T68+'2.TH'!T63+'3.THCS'!T61+'5.THPT'!T59+'4.TH-THCS'!T82+'6.THCS-THPT'!T78</f>
        <v>0</v>
      </c>
      <c r="U139" s="41">
        <f t="shared" si="407"/>
        <v>0</v>
      </c>
      <c r="V139" s="42">
        <f>'1.MN'!V68+'2.TH'!V63+'3.THCS'!V61+'5.THPT'!V59+'4.TH-THCS'!V82+'6.THCS-THPT'!V78</f>
        <v>0</v>
      </c>
      <c r="W139" s="42">
        <f>'1.MN'!W68+'2.TH'!W63+'3.THCS'!W61+'5.THPT'!W59+'4.TH-THCS'!W82+'6.THCS-THPT'!W78</f>
        <v>0</v>
      </c>
      <c r="X139" s="42">
        <f>'1.MN'!X68+'2.TH'!X63+'3.THCS'!X61+'5.THPT'!X59+'4.TH-THCS'!X82+'6.THCS-THPT'!X78</f>
        <v>0</v>
      </c>
      <c r="Y139" s="41">
        <f t="shared" si="408"/>
        <v>0</v>
      </c>
      <c r="Z139" s="42">
        <f>'1.MN'!Z68+'2.TH'!Z63+'3.THCS'!Z61+'5.THPT'!Z59+'4.TH-THCS'!Z82+'6.THCS-THPT'!Z78</f>
        <v>0</v>
      </c>
      <c r="AA139" s="42">
        <f>'1.MN'!AA68+'2.TH'!AA63+'3.THCS'!AA61+'5.THPT'!AA59+'4.TH-THCS'!AA82+'6.THCS-THPT'!AA78</f>
        <v>0</v>
      </c>
      <c r="AB139" s="42">
        <f>'1.MN'!AB68+'2.TH'!AB63+'3.THCS'!AB61+'5.THPT'!AB59+'4.TH-THCS'!AB82+'6.THCS-THPT'!AB78</f>
        <v>0</v>
      </c>
      <c r="AC139" s="41">
        <f t="shared" si="409"/>
        <v>0</v>
      </c>
      <c r="AD139" s="42">
        <f>'1.MN'!AD68+'2.TH'!AD63+'3.THCS'!AD61+'5.THPT'!AD59+'4.TH-THCS'!AD82+'6.THCS-THPT'!AD78</f>
        <v>0</v>
      </c>
      <c r="AE139" s="42">
        <f>'1.MN'!AE68+'2.TH'!AE63+'3.THCS'!AE61+'5.THPT'!AE59+'4.TH-THCS'!AE82+'6.THCS-THPT'!AE78</f>
        <v>0</v>
      </c>
      <c r="AF139" s="42">
        <f>'1.MN'!AF68+'2.TH'!AF63+'3.THCS'!AF61+'5.THPT'!AF59+'4.TH-THCS'!AF82+'6.THCS-THPT'!AF78</f>
        <v>0</v>
      </c>
      <c r="AG139" s="41">
        <f t="shared" si="410"/>
        <v>0</v>
      </c>
      <c r="AH139" s="42">
        <f>'1.MN'!AH68+'2.TH'!AH63+'3.THCS'!AH61+'5.THPT'!AH59+'4.TH-THCS'!AH82+'6.THCS-THPT'!AH78</f>
        <v>0</v>
      </c>
      <c r="AI139" s="42">
        <f>'1.MN'!AI68+'2.TH'!AI63+'3.THCS'!AI61+'5.THPT'!AI59+'4.TH-THCS'!AI82+'6.THCS-THPT'!AI78</f>
        <v>0</v>
      </c>
      <c r="AJ139" s="42">
        <f>'1.MN'!AJ68+'2.TH'!AJ63+'3.THCS'!AJ61+'5.THPT'!AJ59+'4.TH-THCS'!AJ82+'6.THCS-THPT'!AJ78</f>
        <v>0</v>
      </c>
      <c r="AK139" s="41">
        <f t="shared" si="411"/>
        <v>0</v>
      </c>
      <c r="AL139" s="42">
        <f>'1.MN'!AL68+'2.TH'!AL63+'3.THCS'!AL61+'5.THPT'!AL59+'4.TH-THCS'!AL82+'6.THCS-THPT'!AL78</f>
        <v>0</v>
      </c>
      <c r="AM139" s="42">
        <f>'1.MN'!AM68+'2.TH'!AM63+'3.THCS'!AM61+'5.THPT'!AM59+'4.TH-THCS'!AM82+'6.THCS-THPT'!AM78</f>
        <v>0</v>
      </c>
      <c r="AN139" s="42">
        <f>'1.MN'!AN68+'2.TH'!AN63+'3.THCS'!AN61+'5.THPT'!AN59+'4.TH-THCS'!AN82+'6.THCS-THPT'!AN78</f>
        <v>0</v>
      </c>
      <c r="AO139" s="41">
        <f t="shared" si="412"/>
        <v>0</v>
      </c>
      <c r="AP139" s="42">
        <f>'1.MN'!AP68+'2.TH'!AP63+'3.THCS'!AP61+'5.THPT'!AP59+'4.TH-THCS'!AP82+'6.THCS-THPT'!AP78</f>
        <v>0</v>
      </c>
      <c r="AQ139" s="42">
        <f>'1.MN'!AQ68+'2.TH'!AQ63+'3.THCS'!AQ61+'5.THPT'!AQ59+'4.TH-THCS'!AQ82+'6.THCS-THPT'!AQ78</f>
        <v>0</v>
      </c>
      <c r="AR139" s="42">
        <f>'1.MN'!AR68+'2.TH'!AR63+'3.THCS'!AR61+'5.THPT'!AR59+'4.TH-THCS'!AR82+'6.THCS-THPT'!AR78</f>
        <v>0</v>
      </c>
      <c r="AS139" s="41">
        <f t="shared" si="413"/>
        <v>0</v>
      </c>
      <c r="AT139" s="42">
        <f>'1.MN'!AT68+'2.TH'!AT63+'3.THCS'!AT61+'5.THPT'!AT59+'4.TH-THCS'!AT82+'6.THCS-THPT'!AT78</f>
        <v>0</v>
      </c>
      <c r="AU139" s="42">
        <f>'1.MN'!AU68+'2.TH'!AU63+'3.THCS'!AU61+'5.THPT'!AU59+'4.TH-THCS'!AU82+'6.THCS-THPT'!AU78</f>
        <v>0</v>
      </c>
      <c r="AV139" s="42">
        <f>'1.MN'!AV68+'2.TH'!AV63+'3.THCS'!AV61+'5.THPT'!AV59+'4.TH-THCS'!AV82+'6.THCS-THPT'!AV78</f>
        <v>0</v>
      </c>
      <c r="AW139" s="41">
        <f t="shared" si="414"/>
        <v>0</v>
      </c>
      <c r="AX139" s="42">
        <f>'1.MN'!AX68+'2.TH'!AX63+'3.THCS'!AX61+'5.THPT'!AX59+'4.TH-THCS'!AX82+'6.THCS-THPT'!AX78</f>
        <v>0</v>
      </c>
      <c r="AY139" s="42">
        <f>'1.MN'!AY68+'2.TH'!AY63+'3.THCS'!AY61+'5.THPT'!AY59+'4.TH-THCS'!AY82+'6.THCS-THPT'!AY78</f>
        <v>0</v>
      </c>
      <c r="AZ139" s="43">
        <f>'1.MN'!AZ68+'2.TH'!AZ63+'3.THCS'!AZ61+'5.THPT'!AZ59+'4.TH-THCS'!AZ82+'6.THCS-THPT'!AZ78</f>
        <v>0</v>
      </c>
      <c r="BA139" s="34"/>
    </row>
    <row r="140" ht="15.75" customHeight="1">
      <c r="A140" s="29"/>
      <c r="B140" s="66" t="s">
        <v>123</v>
      </c>
      <c r="C140" s="31" t="s">
        <v>107</v>
      </c>
      <c r="D140" s="31" t="s">
        <v>116</v>
      </c>
      <c r="E140" s="32">
        <f t="shared" ref="E140:AZ140" si="415">E141+E146+E151+E156</f>
        <v>1049</v>
      </c>
      <c r="F140" s="32">
        <f t="shared" si="415"/>
        <v>1035</v>
      </c>
      <c r="G140" s="32">
        <f t="shared" si="415"/>
        <v>4</v>
      </c>
      <c r="H140" s="32">
        <f t="shared" si="415"/>
        <v>10</v>
      </c>
      <c r="I140" s="32">
        <f t="shared" si="415"/>
        <v>1034</v>
      </c>
      <c r="J140" s="32">
        <f t="shared" si="415"/>
        <v>1024</v>
      </c>
      <c r="K140" s="32">
        <f t="shared" si="415"/>
        <v>4</v>
      </c>
      <c r="L140" s="32">
        <f t="shared" si="415"/>
        <v>6</v>
      </c>
      <c r="M140" s="32">
        <f t="shared" si="415"/>
        <v>1026</v>
      </c>
      <c r="N140" s="32">
        <f t="shared" si="415"/>
        <v>1016</v>
      </c>
      <c r="O140" s="32">
        <f t="shared" si="415"/>
        <v>4</v>
      </c>
      <c r="P140" s="32">
        <f t="shared" si="415"/>
        <v>6</v>
      </c>
      <c r="Q140" s="32">
        <f t="shared" si="415"/>
        <v>1028</v>
      </c>
      <c r="R140" s="32">
        <f t="shared" si="415"/>
        <v>1014</v>
      </c>
      <c r="S140" s="32">
        <f t="shared" si="415"/>
        <v>5</v>
      </c>
      <c r="T140" s="32">
        <f t="shared" si="415"/>
        <v>9</v>
      </c>
      <c r="U140" s="32">
        <f t="shared" si="415"/>
        <v>977</v>
      </c>
      <c r="V140" s="32">
        <f t="shared" si="415"/>
        <v>964</v>
      </c>
      <c r="W140" s="32">
        <f t="shared" si="415"/>
        <v>4</v>
      </c>
      <c r="X140" s="32">
        <f t="shared" si="415"/>
        <v>9</v>
      </c>
      <c r="Y140" s="32">
        <f t="shared" si="415"/>
        <v>979</v>
      </c>
      <c r="Z140" s="32">
        <f t="shared" si="415"/>
        <v>970</v>
      </c>
      <c r="AA140" s="32">
        <f t="shared" si="415"/>
        <v>4</v>
      </c>
      <c r="AB140" s="32">
        <f t="shared" si="415"/>
        <v>5</v>
      </c>
      <c r="AC140" s="32">
        <f t="shared" si="415"/>
        <v>995</v>
      </c>
      <c r="AD140" s="32">
        <f t="shared" si="415"/>
        <v>982</v>
      </c>
      <c r="AE140" s="32">
        <f t="shared" si="415"/>
        <v>4</v>
      </c>
      <c r="AF140" s="32">
        <f t="shared" si="415"/>
        <v>9</v>
      </c>
      <c r="AG140" s="32">
        <f t="shared" si="415"/>
        <v>32</v>
      </c>
      <c r="AH140" s="32">
        <f t="shared" si="415"/>
        <v>28</v>
      </c>
      <c r="AI140" s="32">
        <f t="shared" si="415"/>
        <v>4</v>
      </c>
      <c r="AJ140" s="32">
        <f t="shared" si="415"/>
        <v>0</v>
      </c>
      <c r="AK140" s="32">
        <f t="shared" si="415"/>
        <v>1</v>
      </c>
      <c r="AL140" s="32">
        <f t="shared" si="415"/>
        <v>1</v>
      </c>
      <c r="AM140" s="32">
        <f t="shared" si="415"/>
        <v>0</v>
      </c>
      <c r="AN140" s="32">
        <f t="shared" si="415"/>
        <v>0</v>
      </c>
      <c r="AO140" s="32">
        <f t="shared" si="415"/>
        <v>0</v>
      </c>
      <c r="AP140" s="32">
        <f t="shared" si="415"/>
        <v>0</v>
      </c>
      <c r="AQ140" s="32">
        <f t="shared" si="415"/>
        <v>0</v>
      </c>
      <c r="AR140" s="32">
        <f t="shared" si="415"/>
        <v>0</v>
      </c>
      <c r="AS140" s="32">
        <f t="shared" si="415"/>
        <v>0</v>
      </c>
      <c r="AT140" s="32">
        <f t="shared" si="415"/>
        <v>0</v>
      </c>
      <c r="AU140" s="32">
        <f t="shared" si="415"/>
        <v>0</v>
      </c>
      <c r="AV140" s="32">
        <f t="shared" si="415"/>
        <v>0</v>
      </c>
      <c r="AW140" s="32">
        <f t="shared" si="415"/>
        <v>0</v>
      </c>
      <c r="AX140" s="32">
        <f t="shared" si="415"/>
        <v>0</v>
      </c>
      <c r="AY140" s="32">
        <f t="shared" si="415"/>
        <v>0</v>
      </c>
      <c r="AZ140" s="33">
        <f t="shared" si="415"/>
        <v>0</v>
      </c>
      <c r="BA140" s="34"/>
    </row>
    <row r="141" ht="15.75" customHeight="1">
      <c r="A141" s="29"/>
      <c r="B141" s="126" t="s">
        <v>124</v>
      </c>
      <c r="C141" s="57"/>
      <c r="D141" s="57" t="s">
        <v>116</v>
      </c>
      <c r="E141" s="125">
        <f>F141+G141+H141</f>
        <v>341</v>
      </c>
      <c r="F141" s="125">
        <f t="shared" ref="F141:H141" si="416">F143+F144+F145</f>
        <v>337</v>
      </c>
      <c r="G141" s="125">
        <f t="shared" si="416"/>
        <v>2</v>
      </c>
      <c r="H141" s="125">
        <f t="shared" si="416"/>
        <v>2</v>
      </c>
      <c r="I141" s="125">
        <f>J141+K141+L141</f>
        <v>339</v>
      </c>
      <c r="J141" s="125">
        <f t="shared" ref="J141:L141" si="417">J143+J144+J145</f>
        <v>336</v>
      </c>
      <c r="K141" s="125">
        <f t="shared" si="417"/>
        <v>2</v>
      </c>
      <c r="L141" s="125">
        <f t="shared" si="417"/>
        <v>1</v>
      </c>
      <c r="M141" s="125">
        <f>N141+O141+P141</f>
        <v>336</v>
      </c>
      <c r="N141" s="125">
        <f t="shared" ref="N141:P141" si="418">N143+N144+N145</f>
        <v>333</v>
      </c>
      <c r="O141" s="125">
        <f t="shared" si="418"/>
        <v>2</v>
      </c>
      <c r="P141" s="125">
        <f t="shared" si="418"/>
        <v>1</v>
      </c>
      <c r="Q141" s="125">
        <f>R141+S141+T141</f>
        <v>337</v>
      </c>
      <c r="R141" s="125">
        <f t="shared" ref="R141:T141" si="419">R143+R144+R145</f>
        <v>333</v>
      </c>
      <c r="S141" s="125">
        <f t="shared" si="419"/>
        <v>2</v>
      </c>
      <c r="T141" s="125">
        <f t="shared" si="419"/>
        <v>2</v>
      </c>
      <c r="U141" s="125">
        <f>V141+W141+X141</f>
        <v>314</v>
      </c>
      <c r="V141" s="125">
        <f t="shared" ref="V141:X141" si="420">V143+V144+V145</f>
        <v>310</v>
      </c>
      <c r="W141" s="125">
        <f t="shared" si="420"/>
        <v>2</v>
      </c>
      <c r="X141" s="125">
        <f t="shared" si="420"/>
        <v>2</v>
      </c>
      <c r="Y141" s="125">
        <f>Z141+AA141+AB141</f>
        <v>306</v>
      </c>
      <c r="Z141" s="125">
        <f t="shared" ref="Z141:AB141" si="421">Z143+Z144+Z145</f>
        <v>302</v>
      </c>
      <c r="AA141" s="125">
        <f t="shared" si="421"/>
        <v>2</v>
      </c>
      <c r="AB141" s="125">
        <f t="shared" si="421"/>
        <v>2</v>
      </c>
      <c r="AC141" s="125">
        <f>AD141+AE141+AF141</f>
        <v>307</v>
      </c>
      <c r="AD141" s="125">
        <f t="shared" ref="AD141:AF141" si="422">AD143+AD144+AD145</f>
        <v>303</v>
      </c>
      <c r="AE141" s="125">
        <f t="shared" si="422"/>
        <v>2</v>
      </c>
      <c r="AF141" s="125">
        <f t="shared" si="422"/>
        <v>2</v>
      </c>
      <c r="AG141" s="125">
        <f>AH141+AI141+AJ141</f>
        <v>9</v>
      </c>
      <c r="AH141" s="125">
        <f t="shared" ref="AH141:AJ141" si="423">AH143+AH144+AH145</f>
        <v>7</v>
      </c>
      <c r="AI141" s="125">
        <f t="shared" si="423"/>
        <v>2</v>
      </c>
      <c r="AJ141" s="125">
        <f t="shared" si="423"/>
        <v>0</v>
      </c>
      <c r="AK141" s="125">
        <f>AL141+AM141+AN141</f>
        <v>1</v>
      </c>
      <c r="AL141" s="125">
        <f t="shared" ref="AL141:AN141" si="424">AL143+AL144+AL145</f>
        <v>1</v>
      </c>
      <c r="AM141" s="125">
        <f t="shared" si="424"/>
        <v>0</v>
      </c>
      <c r="AN141" s="125">
        <f t="shared" si="424"/>
        <v>0</v>
      </c>
      <c r="AO141" s="125">
        <f>AP141+AQ141+AR141</f>
        <v>0</v>
      </c>
      <c r="AP141" s="125">
        <f t="shared" ref="AP141:AR141" si="425">AP143+AP144+AP145</f>
        <v>0</v>
      </c>
      <c r="AQ141" s="125">
        <f t="shared" si="425"/>
        <v>0</v>
      </c>
      <c r="AR141" s="125">
        <f t="shared" si="425"/>
        <v>0</v>
      </c>
      <c r="AS141" s="125">
        <f>AT141+AU141+AV141</f>
        <v>0</v>
      </c>
      <c r="AT141" s="125">
        <f t="shared" ref="AT141:AV141" si="426">AT143+AT144+AT145</f>
        <v>0</v>
      </c>
      <c r="AU141" s="125">
        <f t="shared" si="426"/>
        <v>0</v>
      </c>
      <c r="AV141" s="125">
        <f t="shared" si="426"/>
        <v>0</v>
      </c>
      <c r="AW141" s="125">
        <f>AX141+AY141+AZ141</f>
        <v>0</v>
      </c>
      <c r="AX141" s="125">
        <f t="shared" ref="AX141:AZ141" si="427">AX143+AX144+AX145</f>
        <v>0</v>
      </c>
      <c r="AY141" s="125">
        <f t="shared" si="427"/>
        <v>0</v>
      </c>
      <c r="AZ141" s="127">
        <f t="shared" si="427"/>
        <v>0</v>
      </c>
      <c r="BA141" s="34"/>
    </row>
    <row r="142" ht="15.75" customHeight="1">
      <c r="A142" s="29"/>
      <c r="B142" s="48" t="s">
        <v>52</v>
      </c>
      <c r="C142" s="49"/>
      <c r="D142" s="31" t="s">
        <v>30</v>
      </c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50"/>
      <c r="BA142" s="34"/>
    </row>
    <row r="143" ht="15.75" customHeight="1">
      <c r="A143" s="29"/>
      <c r="B143" s="67" t="s">
        <v>118</v>
      </c>
      <c r="C143" s="31"/>
      <c r="D143" s="31" t="s">
        <v>30</v>
      </c>
      <c r="E143" s="41">
        <f t="shared" ref="E143:E146" si="428">F143+G143+H143</f>
        <v>240</v>
      </c>
      <c r="F143" s="42">
        <f>'1.MN'!F72+'2.TH'!F67+'3.THCS'!F65+'5.THPT'!F63+'4.TH-THCS'!F86+'6.THCS-THPT'!F82</f>
        <v>236</v>
      </c>
      <c r="G143" s="42">
        <f>'1.MN'!G72+'2.TH'!G67+'3.THCS'!G65+'5.THPT'!G63+'4.TH-THCS'!G86+'6.THCS-THPT'!G82</f>
        <v>2</v>
      </c>
      <c r="H143" s="42">
        <f>'1.MN'!H72+'2.TH'!H67+'3.THCS'!H65+'5.THPT'!H63+'4.TH-THCS'!H86+'6.THCS-THPT'!H82</f>
        <v>2</v>
      </c>
      <c r="I143" s="41">
        <f t="shared" ref="I143:I146" si="429">J143+K143+L143</f>
        <v>237</v>
      </c>
      <c r="J143" s="42">
        <f>'1.MN'!J72+'2.TH'!J67+'3.THCS'!J65+'5.THPT'!J63+'4.TH-THCS'!J86+'6.THCS-THPT'!J82</f>
        <v>234</v>
      </c>
      <c r="K143" s="42">
        <f>'1.MN'!K72+'2.TH'!K67+'3.THCS'!K65+'5.THPT'!K63+'4.TH-THCS'!K86+'6.THCS-THPT'!K82</f>
        <v>2</v>
      </c>
      <c r="L143" s="42">
        <f>'1.MN'!L72+'2.TH'!L67+'3.THCS'!L65+'5.THPT'!L63+'4.TH-THCS'!L86+'6.THCS-THPT'!L82</f>
        <v>1</v>
      </c>
      <c r="M143" s="41">
        <f t="shared" ref="M143:M146" si="430">N143+O143+P143</f>
        <v>234</v>
      </c>
      <c r="N143" s="42">
        <f>'1.MN'!N72+'2.TH'!N67+'3.THCS'!N65+'5.THPT'!N63+'4.TH-THCS'!N86+'6.THCS-THPT'!N82</f>
        <v>231</v>
      </c>
      <c r="O143" s="42">
        <f>'1.MN'!O72+'2.TH'!O67+'3.THCS'!O65+'5.THPT'!O63+'4.TH-THCS'!O86+'6.THCS-THPT'!O82</f>
        <v>2</v>
      </c>
      <c r="P143" s="42">
        <f>'1.MN'!P72+'2.TH'!P67+'3.THCS'!P65+'5.THPT'!P63+'4.TH-THCS'!P86+'6.THCS-THPT'!P82</f>
        <v>1</v>
      </c>
      <c r="Q143" s="41">
        <f t="shared" ref="Q143:Q146" si="431">R143+S143+T143</f>
        <v>240</v>
      </c>
      <c r="R143" s="42">
        <f>'1.MN'!R72+'2.TH'!R67+'3.THCS'!R65+'5.THPT'!R63+'4.TH-THCS'!R86+'6.THCS-THPT'!R82</f>
        <v>236</v>
      </c>
      <c r="S143" s="42">
        <f>'1.MN'!S72+'2.TH'!S67+'3.THCS'!S65+'5.THPT'!S63+'4.TH-THCS'!S86+'6.THCS-THPT'!S82</f>
        <v>2</v>
      </c>
      <c r="T143" s="42">
        <f>'1.MN'!T72+'2.TH'!T67+'3.THCS'!T65+'5.THPT'!T63+'4.TH-THCS'!T86+'6.THCS-THPT'!T82</f>
        <v>2</v>
      </c>
      <c r="U143" s="41">
        <f t="shared" ref="U143:U146" si="432">V143+W143+X143</f>
        <v>238</v>
      </c>
      <c r="V143" s="42">
        <f>'1.MN'!V72+'2.TH'!V67+'3.THCS'!V65+'5.THPT'!V63+'4.TH-THCS'!V86+'6.THCS-THPT'!V82</f>
        <v>234</v>
      </c>
      <c r="W143" s="42">
        <f>'1.MN'!W72+'2.TH'!W67+'3.THCS'!W65+'5.THPT'!W63+'4.TH-THCS'!W86+'6.THCS-THPT'!W82</f>
        <v>2</v>
      </c>
      <c r="X143" s="42">
        <f>'1.MN'!X72+'2.TH'!X67+'3.THCS'!X65+'5.THPT'!X63+'4.TH-THCS'!X86+'6.THCS-THPT'!X82</f>
        <v>2</v>
      </c>
      <c r="Y143" s="41">
        <f t="shared" ref="Y143:Y146" si="433">Z143+AA143+AB143</f>
        <v>233</v>
      </c>
      <c r="Z143" s="42">
        <f>'1.MN'!Z72+'2.TH'!Z67+'3.THCS'!Z65+'5.THPT'!Z63+'4.TH-THCS'!Z86+'6.THCS-THPT'!Z82</f>
        <v>229</v>
      </c>
      <c r="AA143" s="42">
        <f>'1.MN'!AA72+'2.TH'!AA67+'3.THCS'!AA65+'5.THPT'!AA63+'4.TH-THCS'!AA86+'6.THCS-THPT'!AA82</f>
        <v>2</v>
      </c>
      <c r="AB143" s="42">
        <f>'1.MN'!AB72+'2.TH'!AB67+'3.THCS'!AB65+'5.THPT'!AB63+'4.TH-THCS'!AB86+'6.THCS-THPT'!AB82</f>
        <v>2</v>
      </c>
      <c r="AC143" s="41">
        <f t="shared" ref="AC143:AC146" si="434">AD143+AE143+AF143</f>
        <v>234</v>
      </c>
      <c r="AD143" s="42">
        <f>'1.MN'!AD72+'2.TH'!AD67+'3.THCS'!AD65+'5.THPT'!AD63+'4.TH-THCS'!AD86+'6.THCS-THPT'!AD82</f>
        <v>230</v>
      </c>
      <c r="AE143" s="42">
        <f>'1.MN'!AE72+'2.TH'!AE67+'3.THCS'!AE65+'5.THPT'!AE63+'4.TH-THCS'!AE86+'6.THCS-THPT'!AE82</f>
        <v>2</v>
      </c>
      <c r="AF143" s="42">
        <f>'1.MN'!AF72+'2.TH'!AF67+'3.THCS'!AF65+'5.THPT'!AF63+'4.TH-THCS'!AF86+'6.THCS-THPT'!AF82</f>
        <v>2</v>
      </c>
      <c r="AG143" s="41">
        <f t="shared" ref="AG143:AG146" si="435">AH143+AI143+AJ143</f>
        <v>8</v>
      </c>
      <c r="AH143" s="42">
        <f>'1.MN'!AH72+'2.TH'!AH67+'3.THCS'!AH65+'5.THPT'!AH63+'4.TH-THCS'!AH86+'6.THCS-THPT'!AH82</f>
        <v>6</v>
      </c>
      <c r="AI143" s="42">
        <f>'1.MN'!AI72+'2.TH'!AI67+'3.THCS'!AI65+'5.THPT'!AI63+'4.TH-THCS'!AI86+'6.THCS-THPT'!AI82</f>
        <v>2</v>
      </c>
      <c r="AJ143" s="42">
        <f>'1.MN'!AJ72+'2.TH'!AJ67+'3.THCS'!AJ65+'5.THPT'!AJ63+'4.TH-THCS'!AJ86+'6.THCS-THPT'!AJ82</f>
        <v>0</v>
      </c>
      <c r="AK143" s="41">
        <f t="shared" ref="AK143:AK146" si="436">AL143+AM143+AN143</f>
        <v>1</v>
      </c>
      <c r="AL143" s="42">
        <f>'1.MN'!AL72+'2.TH'!AL67+'3.THCS'!AL65+'5.THPT'!AL63+'4.TH-THCS'!AL86+'6.THCS-THPT'!AL82</f>
        <v>1</v>
      </c>
      <c r="AM143" s="42">
        <f>'1.MN'!AM72+'2.TH'!AM67+'3.THCS'!AM65+'5.THPT'!AM63+'4.TH-THCS'!AM86+'6.THCS-THPT'!AM82</f>
        <v>0</v>
      </c>
      <c r="AN143" s="42">
        <f>'1.MN'!AN72+'2.TH'!AN67+'3.THCS'!AN65+'5.THPT'!AN63+'4.TH-THCS'!AN86+'6.THCS-THPT'!AN82</f>
        <v>0</v>
      </c>
      <c r="AO143" s="41">
        <f t="shared" ref="AO143:AO146" si="437">AP143+AQ143+AR143</f>
        <v>0</v>
      </c>
      <c r="AP143" s="42">
        <f>'1.MN'!AP72+'2.TH'!AP67+'3.THCS'!AP65+'5.THPT'!AP63+'4.TH-THCS'!AP86+'6.THCS-THPT'!AP82</f>
        <v>0</v>
      </c>
      <c r="AQ143" s="42">
        <f>'1.MN'!AQ72+'2.TH'!AQ67+'3.THCS'!AQ65+'5.THPT'!AQ63+'4.TH-THCS'!AQ86+'6.THCS-THPT'!AQ82</f>
        <v>0</v>
      </c>
      <c r="AR143" s="42">
        <f>'1.MN'!AR72+'2.TH'!AR67+'3.THCS'!AR65+'5.THPT'!AR63+'4.TH-THCS'!AR86+'6.THCS-THPT'!AR82</f>
        <v>0</v>
      </c>
      <c r="AS143" s="41">
        <f t="shared" ref="AS143:AS146" si="438">AT143+AU143+AV143</f>
        <v>0</v>
      </c>
      <c r="AT143" s="42">
        <f>'1.MN'!AT72+'2.TH'!AT67+'3.THCS'!AT65+'5.THPT'!AT63+'4.TH-THCS'!AT86+'6.THCS-THPT'!AT82</f>
        <v>0</v>
      </c>
      <c r="AU143" s="42">
        <f>'1.MN'!AU72+'2.TH'!AU67+'3.THCS'!AU65+'5.THPT'!AU63+'4.TH-THCS'!AU86+'6.THCS-THPT'!AU82</f>
        <v>0</v>
      </c>
      <c r="AV143" s="42">
        <f>'1.MN'!AV72+'2.TH'!AV67+'3.THCS'!AV65+'5.THPT'!AV63+'4.TH-THCS'!AV86+'6.THCS-THPT'!AV82</f>
        <v>0</v>
      </c>
      <c r="AW143" s="41">
        <f t="shared" ref="AW143:AW146" si="439">AX143+AY143+AZ143</f>
        <v>0</v>
      </c>
      <c r="AX143" s="42">
        <f>'1.MN'!AX72+'2.TH'!AX67+'3.THCS'!AX65+'5.THPT'!AX63+'4.TH-THCS'!AX86+'6.THCS-THPT'!AX82</f>
        <v>0</v>
      </c>
      <c r="AY143" s="42">
        <f>'1.MN'!AY72+'2.TH'!AY67+'3.THCS'!AY65+'5.THPT'!AY63+'4.TH-THCS'!AY86+'6.THCS-THPT'!AY82</f>
        <v>0</v>
      </c>
      <c r="AZ143" s="43">
        <f>'1.MN'!AZ72+'2.TH'!AZ67+'3.THCS'!AZ65+'5.THPT'!AZ63+'4.TH-THCS'!AZ86+'6.THCS-THPT'!AZ82</f>
        <v>0</v>
      </c>
      <c r="BA143" s="34"/>
    </row>
    <row r="144" ht="15.75" customHeight="1">
      <c r="A144" s="29"/>
      <c r="B144" s="67" t="s">
        <v>119</v>
      </c>
      <c r="C144" s="31"/>
      <c r="D144" s="31" t="s">
        <v>30</v>
      </c>
      <c r="E144" s="41">
        <f t="shared" si="428"/>
        <v>88</v>
      </c>
      <c r="F144" s="42">
        <f>'1.MN'!F73+'2.TH'!F68+'3.THCS'!F66+'5.THPT'!F64+'4.TH-THCS'!F87+'6.THCS-THPT'!F83</f>
        <v>88</v>
      </c>
      <c r="G144" s="42">
        <f>'1.MN'!G73+'2.TH'!G68+'3.THCS'!G66+'5.THPT'!G64+'4.TH-THCS'!G87+'6.THCS-THPT'!G83</f>
        <v>0</v>
      </c>
      <c r="H144" s="42">
        <f>'1.MN'!H73+'2.TH'!H68+'3.THCS'!H66+'5.THPT'!H64+'4.TH-THCS'!H87+'6.THCS-THPT'!H83</f>
        <v>0</v>
      </c>
      <c r="I144" s="41">
        <f t="shared" si="429"/>
        <v>89</v>
      </c>
      <c r="J144" s="42">
        <f>'1.MN'!J73+'2.TH'!J68+'3.THCS'!J66+'5.THPT'!J64+'4.TH-THCS'!J87+'6.THCS-THPT'!J83</f>
        <v>89</v>
      </c>
      <c r="K144" s="42">
        <f>'1.MN'!K73+'2.TH'!K68+'3.THCS'!K66+'5.THPT'!K64+'4.TH-THCS'!K87+'6.THCS-THPT'!K83</f>
        <v>0</v>
      </c>
      <c r="L144" s="42">
        <f>'1.MN'!L73+'2.TH'!L68+'3.THCS'!L66+'5.THPT'!L64+'4.TH-THCS'!L87+'6.THCS-THPT'!L83</f>
        <v>0</v>
      </c>
      <c r="M144" s="41">
        <f t="shared" si="430"/>
        <v>89</v>
      </c>
      <c r="N144" s="42">
        <f>'1.MN'!N73+'2.TH'!N68+'3.THCS'!N66+'5.THPT'!N64+'4.TH-THCS'!N87+'6.THCS-THPT'!N83</f>
        <v>89</v>
      </c>
      <c r="O144" s="42">
        <f>'1.MN'!O73+'2.TH'!O68+'3.THCS'!O66+'5.THPT'!O64+'4.TH-THCS'!O87+'6.THCS-THPT'!O83</f>
        <v>0</v>
      </c>
      <c r="P144" s="42">
        <f>'1.MN'!P73+'2.TH'!P68+'3.THCS'!P66+'5.THPT'!P64+'4.TH-THCS'!P87+'6.THCS-THPT'!P83</f>
        <v>0</v>
      </c>
      <c r="Q144" s="41">
        <f t="shared" si="431"/>
        <v>87</v>
      </c>
      <c r="R144" s="42">
        <f>'1.MN'!R73+'2.TH'!R68+'3.THCS'!R66+'5.THPT'!R64+'4.TH-THCS'!R87+'6.THCS-THPT'!R83</f>
        <v>87</v>
      </c>
      <c r="S144" s="42">
        <f>'1.MN'!S73+'2.TH'!S68+'3.THCS'!S66+'5.THPT'!S64+'4.TH-THCS'!S87+'6.THCS-THPT'!S83</f>
        <v>0</v>
      </c>
      <c r="T144" s="42">
        <f>'1.MN'!T73+'2.TH'!T68+'3.THCS'!T66+'5.THPT'!T64+'4.TH-THCS'!T87+'6.THCS-THPT'!T83</f>
        <v>0</v>
      </c>
      <c r="U144" s="41">
        <f t="shared" si="432"/>
        <v>66</v>
      </c>
      <c r="V144" s="42">
        <f>'1.MN'!V73+'2.TH'!V68+'3.THCS'!V66+'5.THPT'!V64+'4.TH-THCS'!V87+'6.THCS-THPT'!V83</f>
        <v>66</v>
      </c>
      <c r="W144" s="42">
        <f>'1.MN'!W73+'2.TH'!W68+'3.THCS'!W66+'5.THPT'!W64+'4.TH-THCS'!W87+'6.THCS-THPT'!W83</f>
        <v>0</v>
      </c>
      <c r="X144" s="42">
        <f>'1.MN'!X73+'2.TH'!X68+'3.THCS'!X66+'5.THPT'!X64+'4.TH-THCS'!X87+'6.THCS-THPT'!X83</f>
        <v>0</v>
      </c>
      <c r="Y144" s="41">
        <f t="shared" si="433"/>
        <v>67</v>
      </c>
      <c r="Z144" s="42">
        <f>'1.MN'!Z73+'2.TH'!Z68+'3.THCS'!Z66+'5.THPT'!Z64+'4.TH-THCS'!Z87+'6.THCS-THPT'!Z83</f>
        <v>67</v>
      </c>
      <c r="AA144" s="42">
        <f>'1.MN'!AA73+'2.TH'!AA68+'3.THCS'!AA66+'5.THPT'!AA64+'4.TH-THCS'!AA87+'6.THCS-THPT'!AA83</f>
        <v>0</v>
      </c>
      <c r="AB144" s="42">
        <f>'1.MN'!AB73+'2.TH'!AB68+'3.THCS'!AB66+'5.THPT'!AB64+'4.TH-THCS'!AB87+'6.THCS-THPT'!AB83</f>
        <v>0</v>
      </c>
      <c r="AC144" s="41">
        <f t="shared" si="434"/>
        <v>67</v>
      </c>
      <c r="AD144" s="42">
        <f>'1.MN'!AD73+'2.TH'!AD68+'3.THCS'!AD66+'5.THPT'!AD64+'4.TH-THCS'!AD87+'6.THCS-THPT'!AD83</f>
        <v>67</v>
      </c>
      <c r="AE144" s="42">
        <f>'1.MN'!AE73+'2.TH'!AE68+'3.THCS'!AE66+'5.THPT'!AE64+'4.TH-THCS'!AE87+'6.THCS-THPT'!AE83</f>
        <v>0</v>
      </c>
      <c r="AF144" s="42">
        <f>'1.MN'!AF73+'2.TH'!AF68+'3.THCS'!AF66+'5.THPT'!AF64+'4.TH-THCS'!AF87+'6.THCS-THPT'!AF83</f>
        <v>0</v>
      </c>
      <c r="AG144" s="41">
        <f t="shared" si="435"/>
        <v>0</v>
      </c>
      <c r="AH144" s="42">
        <f>'1.MN'!AH73+'2.TH'!AH68+'3.THCS'!AH66+'5.THPT'!AH64+'4.TH-THCS'!AH87+'6.THCS-THPT'!AH83</f>
        <v>0</v>
      </c>
      <c r="AI144" s="42">
        <f>'1.MN'!AI73+'2.TH'!AI68+'3.THCS'!AI66+'5.THPT'!AI64+'4.TH-THCS'!AI87+'6.THCS-THPT'!AI83</f>
        <v>0</v>
      </c>
      <c r="AJ144" s="42">
        <f>'1.MN'!AJ73+'2.TH'!AJ68+'3.THCS'!AJ66+'5.THPT'!AJ64+'4.TH-THCS'!AJ87+'6.THCS-THPT'!AJ83</f>
        <v>0</v>
      </c>
      <c r="AK144" s="41">
        <f t="shared" si="436"/>
        <v>0</v>
      </c>
      <c r="AL144" s="42">
        <f>'1.MN'!AL73+'2.TH'!AL68+'3.THCS'!AL66+'5.THPT'!AL64+'4.TH-THCS'!AL87+'6.THCS-THPT'!AL83</f>
        <v>0</v>
      </c>
      <c r="AM144" s="42">
        <f>'1.MN'!AM73+'2.TH'!AM68+'3.THCS'!AM66+'5.THPT'!AM64+'4.TH-THCS'!AM87+'6.THCS-THPT'!AM83</f>
        <v>0</v>
      </c>
      <c r="AN144" s="42">
        <f>'1.MN'!AN73+'2.TH'!AN68+'3.THCS'!AN66+'5.THPT'!AN64+'4.TH-THCS'!AN87+'6.THCS-THPT'!AN83</f>
        <v>0</v>
      </c>
      <c r="AO144" s="41">
        <f t="shared" si="437"/>
        <v>0</v>
      </c>
      <c r="AP144" s="42">
        <f>'1.MN'!AP73+'2.TH'!AP68+'3.THCS'!AP66+'5.THPT'!AP64+'4.TH-THCS'!AP87+'6.THCS-THPT'!AP83</f>
        <v>0</v>
      </c>
      <c r="AQ144" s="42">
        <f>'1.MN'!AQ73+'2.TH'!AQ68+'3.THCS'!AQ66+'5.THPT'!AQ64+'4.TH-THCS'!AQ87+'6.THCS-THPT'!AQ83</f>
        <v>0</v>
      </c>
      <c r="AR144" s="42">
        <f>'1.MN'!AR73+'2.TH'!AR68+'3.THCS'!AR66+'5.THPT'!AR64+'4.TH-THCS'!AR87+'6.THCS-THPT'!AR83</f>
        <v>0</v>
      </c>
      <c r="AS144" s="41">
        <f t="shared" si="438"/>
        <v>0</v>
      </c>
      <c r="AT144" s="42">
        <f>'1.MN'!AT73+'2.TH'!AT68+'3.THCS'!AT66+'5.THPT'!AT64+'4.TH-THCS'!AT87+'6.THCS-THPT'!AT83</f>
        <v>0</v>
      </c>
      <c r="AU144" s="42">
        <f>'1.MN'!AU73+'2.TH'!AU68+'3.THCS'!AU66+'5.THPT'!AU64+'4.TH-THCS'!AU87+'6.THCS-THPT'!AU83</f>
        <v>0</v>
      </c>
      <c r="AV144" s="42">
        <f>'1.MN'!AV73+'2.TH'!AV68+'3.THCS'!AV66+'5.THPT'!AV64+'4.TH-THCS'!AV87+'6.THCS-THPT'!AV83</f>
        <v>0</v>
      </c>
      <c r="AW144" s="41">
        <f t="shared" si="439"/>
        <v>0</v>
      </c>
      <c r="AX144" s="42">
        <f>'1.MN'!AX73+'2.TH'!AX68+'3.THCS'!AX66+'5.THPT'!AX64+'4.TH-THCS'!AX87+'6.THCS-THPT'!AX83</f>
        <v>0</v>
      </c>
      <c r="AY144" s="42">
        <f>'1.MN'!AY73+'2.TH'!AY68+'3.THCS'!AY66+'5.THPT'!AY64+'4.TH-THCS'!AY87+'6.THCS-THPT'!AY83</f>
        <v>0</v>
      </c>
      <c r="AZ144" s="43">
        <f>'1.MN'!AZ73+'2.TH'!AZ68+'3.THCS'!AZ66+'5.THPT'!AZ64+'4.TH-THCS'!AZ87+'6.THCS-THPT'!AZ83</f>
        <v>0</v>
      </c>
      <c r="BA144" s="34"/>
    </row>
    <row r="145" ht="15.75" customHeight="1">
      <c r="A145" s="29"/>
      <c r="B145" s="67" t="s">
        <v>120</v>
      </c>
      <c r="C145" s="31"/>
      <c r="D145" s="31" t="s">
        <v>30</v>
      </c>
      <c r="E145" s="41">
        <f t="shared" si="428"/>
        <v>13</v>
      </c>
      <c r="F145" s="42">
        <f>'1.MN'!F74+'2.TH'!F69+'3.THCS'!F67+'5.THPT'!F65+'4.TH-THCS'!F88+'6.THCS-THPT'!F84</f>
        <v>13</v>
      </c>
      <c r="G145" s="42">
        <f>'1.MN'!G74+'2.TH'!G69+'3.THCS'!G67+'5.THPT'!G65+'4.TH-THCS'!G88+'6.THCS-THPT'!G84</f>
        <v>0</v>
      </c>
      <c r="H145" s="42">
        <f>'1.MN'!H74+'2.TH'!H69+'3.THCS'!H67+'5.THPT'!H65+'4.TH-THCS'!H88+'6.THCS-THPT'!H84</f>
        <v>0</v>
      </c>
      <c r="I145" s="41">
        <f t="shared" si="429"/>
        <v>13</v>
      </c>
      <c r="J145" s="42">
        <f>'1.MN'!J74+'2.TH'!J69+'3.THCS'!J67+'5.THPT'!J65+'4.TH-THCS'!J88+'6.THCS-THPT'!J84</f>
        <v>13</v>
      </c>
      <c r="K145" s="42">
        <f>'1.MN'!K74+'2.TH'!K69+'3.THCS'!K67+'5.THPT'!K65+'4.TH-THCS'!K88+'6.THCS-THPT'!K84</f>
        <v>0</v>
      </c>
      <c r="L145" s="42">
        <f>'1.MN'!L74+'2.TH'!L69+'3.THCS'!L67+'5.THPT'!L65+'4.TH-THCS'!L88+'6.THCS-THPT'!L84</f>
        <v>0</v>
      </c>
      <c r="M145" s="41">
        <f t="shared" si="430"/>
        <v>13</v>
      </c>
      <c r="N145" s="42">
        <f>'1.MN'!N74+'2.TH'!N69+'3.THCS'!N67+'5.THPT'!N65+'4.TH-THCS'!N88+'6.THCS-THPT'!N84</f>
        <v>13</v>
      </c>
      <c r="O145" s="42">
        <f>'1.MN'!O74+'2.TH'!O69+'3.THCS'!O67+'5.THPT'!O65+'4.TH-THCS'!O88+'6.THCS-THPT'!O84</f>
        <v>0</v>
      </c>
      <c r="P145" s="42">
        <f>'1.MN'!P74+'2.TH'!P69+'3.THCS'!P67+'5.THPT'!P65+'4.TH-THCS'!P88+'6.THCS-THPT'!P84</f>
        <v>0</v>
      </c>
      <c r="Q145" s="41">
        <f t="shared" si="431"/>
        <v>10</v>
      </c>
      <c r="R145" s="42">
        <f>'1.MN'!R74+'2.TH'!R69+'3.THCS'!R67+'5.THPT'!R65+'4.TH-THCS'!R88+'6.THCS-THPT'!R84</f>
        <v>10</v>
      </c>
      <c r="S145" s="42">
        <f>'1.MN'!S74+'2.TH'!S69+'3.THCS'!S67+'5.THPT'!S65+'4.TH-THCS'!S88+'6.THCS-THPT'!S84</f>
        <v>0</v>
      </c>
      <c r="T145" s="42">
        <f>'1.MN'!T74+'2.TH'!T69+'3.THCS'!T67+'5.THPT'!T65+'4.TH-THCS'!T88+'6.THCS-THPT'!T84</f>
        <v>0</v>
      </c>
      <c r="U145" s="41">
        <f t="shared" si="432"/>
        <v>10</v>
      </c>
      <c r="V145" s="42">
        <f>'1.MN'!V74+'2.TH'!V69+'3.THCS'!V67+'5.THPT'!V65+'4.TH-THCS'!V88+'6.THCS-THPT'!V84</f>
        <v>10</v>
      </c>
      <c r="W145" s="42">
        <f>'1.MN'!W74+'2.TH'!W69+'3.THCS'!W67+'5.THPT'!W65+'4.TH-THCS'!W88+'6.THCS-THPT'!W84</f>
        <v>0</v>
      </c>
      <c r="X145" s="42">
        <f>'1.MN'!X74+'2.TH'!X69+'3.THCS'!X67+'5.THPT'!X65+'4.TH-THCS'!X88+'6.THCS-THPT'!X84</f>
        <v>0</v>
      </c>
      <c r="Y145" s="41">
        <f t="shared" si="433"/>
        <v>6</v>
      </c>
      <c r="Z145" s="42">
        <f>'1.MN'!Z74+'2.TH'!Z69+'3.THCS'!Z67+'5.THPT'!Z65+'4.TH-THCS'!Z88+'6.THCS-THPT'!Z84</f>
        <v>6</v>
      </c>
      <c r="AA145" s="42">
        <f>'1.MN'!AA74+'2.TH'!AA69+'3.THCS'!AA67+'5.THPT'!AA65+'4.TH-THCS'!AA88+'6.THCS-THPT'!AA84</f>
        <v>0</v>
      </c>
      <c r="AB145" s="42">
        <f>'1.MN'!AB74+'2.TH'!AB69+'3.THCS'!AB67+'5.THPT'!AB65+'4.TH-THCS'!AB88+'6.THCS-THPT'!AB84</f>
        <v>0</v>
      </c>
      <c r="AC145" s="41">
        <f t="shared" si="434"/>
        <v>6</v>
      </c>
      <c r="AD145" s="42">
        <f>'1.MN'!AD74+'2.TH'!AD69+'3.THCS'!AD67+'5.THPT'!AD65+'4.TH-THCS'!AD88+'6.THCS-THPT'!AD84</f>
        <v>6</v>
      </c>
      <c r="AE145" s="42">
        <f>'1.MN'!AE74+'2.TH'!AE69+'3.THCS'!AE67+'5.THPT'!AE65+'4.TH-THCS'!AE88+'6.THCS-THPT'!AE84</f>
        <v>0</v>
      </c>
      <c r="AF145" s="42">
        <f>'1.MN'!AF74+'2.TH'!AF69+'3.THCS'!AF67+'5.THPT'!AF65+'4.TH-THCS'!AF88+'6.THCS-THPT'!AF84</f>
        <v>0</v>
      </c>
      <c r="AG145" s="41">
        <f t="shared" si="435"/>
        <v>1</v>
      </c>
      <c r="AH145" s="42">
        <f>'1.MN'!AH74+'2.TH'!AH69+'3.THCS'!AH67+'5.THPT'!AH65+'4.TH-THCS'!AH88+'6.THCS-THPT'!AH84</f>
        <v>1</v>
      </c>
      <c r="AI145" s="42">
        <f>'1.MN'!AI74+'2.TH'!AI69+'3.THCS'!AI67+'5.THPT'!AI65+'4.TH-THCS'!AI88+'6.THCS-THPT'!AI84</f>
        <v>0</v>
      </c>
      <c r="AJ145" s="42">
        <f>'1.MN'!AJ74+'2.TH'!AJ69+'3.THCS'!AJ67+'5.THPT'!AJ65+'4.TH-THCS'!AJ88+'6.THCS-THPT'!AJ84</f>
        <v>0</v>
      </c>
      <c r="AK145" s="41">
        <f t="shared" si="436"/>
        <v>0</v>
      </c>
      <c r="AL145" s="42">
        <f>'1.MN'!AL74+'2.TH'!AL69+'3.THCS'!AL67+'5.THPT'!AL65+'4.TH-THCS'!AL88+'6.THCS-THPT'!AL84</f>
        <v>0</v>
      </c>
      <c r="AM145" s="42">
        <f>'1.MN'!AM74+'2.TH'!AM69+'3.THCS'!AM67+'5.THPT'!AM65+'4.TH-THCS'!AM88+'6.THCS-THPT'!AM84</f>
        <v>0</v>
      </c>
      <c r="AN145" s="42">
        <f>'1.MN'!AN74+'2.TH'!AN69+'3.THCS'!AN67+'5.THPT'!AN65+'4.TH-THCS'!AN88+'6.THCS-THPT'!AN84</f>
        <v>0</v>
      </c>
      <c r="AO145" s="41">
        <f t="shared" si="437"/>
        <v>0</v>
      </c>
      <c r="AP145" s="42">
        <f>'1.MN'!AP74+'2.TH'!AP69+'3.THCS'!AP67+'5.THPT'!AP65+'4.TH-THCS'!AP88+'6.THCS-THPT'!AP84</f>
        <v>0</v>
      </c>
      <c r="AQ145" s="42">
        <f>'1.MN'!AQ74+'2.TH'!AQ69+'3.THCS'!AQ67+'5.THPT'!AQ65+'4.TH-THCS'!AQ88+'6.THCS-THPT'!AQ84</f>
        <v>0</v>
      </c>
      <c r="AR145" s="42">
        <f>'1.MN'!AR74+'2.TH'!AR69+'3.THCS'!AR67+'5.THPT'!AR65+'4.TH-THCS'!AR88+'6.THCS-THPT'!AR84</f>
        <v>0</v>
      </c>
      <c r="AS145" s="41">
        <f t="shared" si="438"/>
        <v>0</v>
      </c>
      <c r="AT145" s="42">
        <f>'1.MN'!AT74+'2.TH'!AT69+'3.THCS'!AT67+'5.THPT'!AT65+'4.TH-THCS'!AT88+'6.THCS-THPT'!AT84</f>
        <v>0</v>
      </c>
      <c r="AU145" s="42">
        <f>'1.MN'!AU74+'2.TH'!AU69+'3.THCS'!AU67+'5.THPT'!AU65+'4.TH-THCS'!AU88+'6.THCS-THPT'!AU84</f>
        <v>0</v>
      </c>
      <c r="AV145" s="42">
        <f>'1.MN'!AV74+'2.TH'!AV69+'3.THCS'!AV67+'5.THPT'!AV65+'4.TH-THCS'!AV88+'6.THCS-THPT'!AV84</f>
        <v>0</v>
      </c>
      <c r="AW145" s="41">
        <f t="shared" si="439"/>
        <v>0</v>
      </c>
      <c r="AX145" s="42">
        <f>'1.MN'!AX74+'2.TH'!AX69+'3.THCS'!AX67+'5.THPT'!AX65+'4.TH-THCS'!AX88+'6.THCS-THPT'!AX84</f>
        <v>0</v>
      </c>
      <c r="AY145" s="42">
        <f>'1.MN'!AY74+'2.TH'!AY69+'3.THCS'!AY67+'5.THPT'!AY65+'4.TH-THCS'!AY88+'6.THCS-THPT'!AY84</f>
        <v>0</v>
      </c>
      <c r="AZ145" s="43">
        <f>'1.MN'!AZ74+'2.TH'!AZ69+'3.THCS'!AZ67+'5.THPT'!AZ65+'4.TH-THCS'!AZ88+'6.THCS-THPT'!AZ84</f>
        <v>0</v>
      </c>
      <c r="BA145" s="34"/>
    </row>
    <row r="146" ht="15.75" customHeight="1">
      <c r="A146" s="29"/>
      <c r="B146" s="126" t="s">
        <v>125</v>
      </c>
      <c r="C146" s="57"/>
      <c r="D146" s="57" t="s">
        <v>116</v>
      </c>
      <c r="E146" s="125">
        <f t="shared" si="428"/>
        <v>263</v>
      </c>
      <c r="F146" s="125">
        <f t="shared" ref="F146:H146" si="440">F148+F149+F150</f>
        <v>260</v>
      </c>
      <c r="G146" s="125">
        <f t="shared" si="440"/>
        <v>1</v>
      </c>
      <c r="H146" s="125">
        <f t="shared" si="440"/>
        <v>2</v>
      </c>
      <c r="I146" s="125">
        <f t="shared" si="429"/>
        <v>261</v>
      </c>
      <c r="J146" s="125">
        <f t="shared" ref="J146:L146" si="441">J148+J149+J150</f>
        <v>260</v>
      </c>
      <c r="K146" s="125">
        <f t="shared" si="441"/>
        <v>1</v>
      </c>
      <c r="L146" s="125">
        <f t="shared" si="441"/>
        <v>0</v>
      </c>
      <c r="M146" s="125">
        <f t="shared" si="430"/>
        <v>262</v>
      </c>
      <c r="N146" s="125">
        <f t="shared" ref="N146:P146" si="442">N148+N149+N150</f>
        <v>261</v>
      </c>
      <c r="O146" s="125">
        <f t="shared" si="442"/>
        <v>1</v>
      </c>
      <c r="P146" s="125">
        <f t="shared" si="442"/>
        <v>0</v>
      </c>
      <c r="Q146" s="125">
        <f t="shared" si="431"/>
        <v>259</v>
      </c>
      <c r="R146" s="125">
        <f t="shared" ref="R146:T146" si="443">R148+R149+R150</f>
        <v>257</v>
      </c>
      <c r="S146" s="125">
        <f t="shared" si="443"/>
        <v>1</v>
      </c>
      <c r="T146" s="125">
        <f t="shared" si="443"/>
        <v>1</v>
      </c>
      <c r="U146" s="125">
        <f t="shared" si="432"/>
        <v>247</v>
      </c>
      <c r="V146" s="125">
        <f t="shared" ref="V146:X146" si="444">V148+V149+V150</f>
        <v>245</v>
      </c>
      <c r="W146" s="125">
        <f t="shared" si="444"/>
        <v>1</v>
      </c>
      <c r="X146" s="125">
        <f t="shared" si="444"/>
        <v>1</v>
      </c>
      <c r="Y146" s="125">
        <f t="shared" si="433"/>
        <v>247</v>
      </c>
      <c r="Z146" s="125">
        <f t="shared" ref="Z146:AB146" si="445">Z148+Z149+Z150</f>
        <v>245</v>
      </c>
      <c r="AA146" s="125">
        <f t="shared" si="445"/>
        <v>1</v>
      </c>
      <c r="AB146" s="125">
        <f t="shared" si="445"/>
        <v>1</v>
      </c>
      <c r="AC146" s="125">
        <f t="shared" si="434"/>
        <v>248</v>
      </c>
      <c r="AD146" s="125">
        <f t="shared" ref="AD146:AF146" si="446">AD148+AD149+AD150</f>
        <v>246</v>
      </c>
      <c r="AE146" s="125">
        <f t="shared" si="446"/>
        <v>1</v>
      </c>
      <c r="AF146" s="125">
        <f t="shared" si="446"/>
        <v>1</v>
      </c>
      <c r="AG146" s="125">
        <f t="shared" si="435"/>
        <v>11</v>
      </c>
      <c r="AH146" s="125">
        <f t="shared" ref="AH146:AJ146" si="447">AH148+AH149+AH150</f>
        <v>10</v>
      </c>
      <c r="AI146" s="125">
        <f t="shared" si="447"/>
        <v>1</v>
      </c>
      <c r="AJ146" s="125">
        <f t="shared" si="447"/>
        <v>0</v>
      </c>
      <c r="AK146" s="125">
        <f t="shared" si="436"/>
        <v>0</v>
      </c>
      <c r="AL146" s="125">
        <f t="shared" ref="AL146:AN146" si="448">AL148+AL149+AL150</f>
        <v>0</v>
      </c>
      <c r="AM146" s="125">
        <f t="shared" si="448"/>
        <v>0</v>
      </c>
      <c r="AN146" s="125">
        <f t="shared" si="448"/>
        <v>0</v>
      </c>
      <c r="AO146" s="125">
        <f t="shared" si="437"/>
        <v>0</v>
      </c>
      <c r="AP146" s="125">
        <f t="shared" ref="AP146:AR146" si="449">AP148+AP149+AP150</f>
        <v>0</v>
      </c>
      <c r="AQ146" s="125">
        <f t="shared" si="449"/>
        <v>0</v>
      </c>
      <c r="AR146" s="125">
        <f t="shared" si="449"/>
        <v>0</v>
      </c>
      <c r="AS146" s="125">
        <f t="shared" si="438"/>
        <v>0</v>
      </c>
      <c r="AT146" s="125">
        <f t="shared" ref="AT146:AV146" si="450">AT148+AT149+AT150</f>
        <v>0</v>
      </c>
      <c r="AU146" s="125">
        <f t="shared" si="450"/>
        <v>0</v>
      </c>
      <c r="AV146" s="125">
        <f t="shared" si="450"/>
        <v>0</v>
      </c>
      <c r="AW146" s="125">
        <f t="shared" si="439"/>
        <v>0</v>
      </c>
      <c r="AX146" s="125">
        <f t="shared" ref="AX146:AZ146" si="451">AX148+AX149+AX150</f>
        <v>0</v>
      </c>
      <c r="AY146" s="125">
        <f t="shared" si="451"/>
        <v>0</v>
      </c>
      <c r="AZ146" s="127">
        <f t="shared" si="451"/>
        <v>0</v>
      </c>
      <c r="BA146" s="34"/>
    </row>
    <row r="147" ht="15.75" customHeight="1">
      <c r="A147" s="29"/>
      <c r="B147" s="48" t="s">
        <v>52</v>
      </c>
      <c r="C147" s="49"/>
      <c r="D147" s="31" t="s">
        <v>30</v>
      </c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50"/>
      <c r="BA147" s="34"/>
    </row>
    <row r="148" ht="15.75" customHeight="1">
      <c r="A148" s="29"/>
      <c r="B148" s="67" t="s">
        <v>118</v>
      </c>
      <c r="C148" s="31"/>
      <c r="D148" s="31" t="s">
        <v>30</v>
      </c>
      <c r="E148" s="41">
        <f t="shared" ref="E148:E151" si="452">F148+G148+H148</f>
        <v>204</v>
      </c>
      <c r="F148" s="42">
        <f>'2.TH'!F72+'3.THCS'!F70+'5.THPT'!F68+'4.TH-THCS'!F91+'6.THCS-THPT'!F87</f>
        <v>201</v>
      </c>
      <c r="G148" s="42">
        <f>'2.TH'!G72+'3.THCS'!G70+'5.THPT'!G68+'4.TH-THCS'!G91+'6.THCS-THPT'!G87</f>
        <v>1</v>
      </c>
      <c r="H148" s="42">
        <f>'2.TH'!H72+'3.THCS'!H70+'5.THPT'!H68+'4.TH-THCS'!H91+'6.THCS-THPT'!H87</f>
        <v>2</v>
      </c>
      <c r="I148" s="41">
        <f t="shared" ref="I148:I151" si="453">J148+K148+L148</f>
        <v>204</v>
      </c>
      <c r="J148" s="42">
        <f>'2.TH'!J72+'3.THCS'!J70+'5.THPT'!J68+'4.TH-THCS'!J91+'6.THCS-THPT'!J87</f>
        <v>203</v>
      </c>
      <c r="K148" s="42">
        <f>'2.TH'!K72+'3.THCS'!K70+'5.THPT'!K68+'4.TH-THCS'!K91+'6.THCS-THPT'!K87</f>
        <v>1</v>
      </c>
      <c r="L148" s="42">
        <f>'2.TH'!L72+'3.THCS'!L70+'5.THPT'!L68+'4.TH-THCS'!L91+'6.THCS-THPT'!L87</f>
        <v>0</v>
      </c>
      <c r="M148" s="41">
        <f t="shared" ref="M148:M151" si="454">N148+O148+P148</f>
        <v>205</v>
      </c>
      <c r="N148" s="42">
        <f>'2.TH'!N72+'3.THCS'!N70+'5.THPT'!N68+'4.TH-THCS'!N91+'6.THCS-THPT'!N87</f>
        <v>204</v>
      </c>
      <c r="O148" s="42">
        <f>'2.TH'!O72+'3.THCS'!O70+'5.THPT'!O68+'4.TH-THCS'!O91+'6.THCS-THPT'!O87</f>
        <v>1</v>
      </c>
      <c r="P148" s="42">
        <f>'2.TH'!P72+'3.THCS'!P70+'5.THPT'!P68+'4.TH-THCS'!P91+'6.THCS-THPT'!P87</f>
        <v>0</v>
      </c>
      <c r="Q148" s="41">
        <f t="shared" ref="Q148:Q151" si="455">R148+S148+T148</f>
        <v>203</v>
      </c>
      <c r="R148" s="42">
        <f>'2.TH'!R72+'3.THCS'!R70+'5.THPT'!R68+'4.TH-THCS'!R91+'6.THCS-THPT'!R87</f>
        <v>201</v>
      </c>
      <c r="S148" s="42">
        <f>'2.TH'!S72+'3.THCS'!S70+'5.THPT'!S68+'4.TH-THCS'!S91+'6.THCS-THPT'!S87</f>
        <v>1</v>
      </c>
      <c r="T148" s="42">
        <f>'2.TH'!T72+'3.THCS'!T70+'5.THPT'!T68+'4.TH-THCS'!T91+'6.THCS-THPT'!T87</f>
        <v>1</v>
      </c>
      <c r="U148" s="41">
        <f t="shared" ref="U148:U151" si="456">V148+W148+X148</f>
        <v>205</v>
      </c>
      <c r="V148" s="42">
        <f>'2.TH'!V72+'3.THCS'!V70+'5.THPT'!V68+'4.TH-THCS'!V91+'6.THCS-THPT'!V87</f>
        <v>203</v>
      </c>
      <c r="W148" s="42">
        <f>'2.TH'!W72+'3.THCS'!W70+'5.THPT'!W68+'4.TH-THCS'!W91+'6.THCS-THPT'!W87</f>
        <v>1</v>
      </c>
      <c r="X148" s="42">
        <f>'2.TH'!X72+'3.THCS'!X70+'5.THPT'!X68+'4.TH-THCS'!X91+'6.THCS-THPT'!X87</f>
        <v>1</v>
      </c>
      <c r="Y148" s="41">
        <f t="shared" ref="Y148:Y151" si="457">Z148+AA148+AB148</f>
        <v>205</v>
      </c>
      <c r="Z148" s="42">
        <f>'2.TH'!Z72+'3.THCS'!Z70+'5.THPT'!Z68+'4.TH-THCS'!Z91+'6.THCS-THPT'!Z87</f>
        <v>203</v>
      </c>
      <c r="AA148" s="42">
        <f>'2.TH'!AA72+'3.THCS'!AA70+'5.THPT'!AA68+'4.TH-THCS'!AA91+'6.THCS-THPT'!AA87</f>
        <v>1</v>
      </c>
      <c r="AB148" s="42">
        <f>'2.TH'!AB72+'3.THCS'!AB70+'5.THPT'!AB68+'4.TH-THCS'!AB91+'6.THCS-THPT'!AB87</f>
        <v>1</v>
      </c>
      <c r="AC148" s="41">
        <f t="shared" ref="AC148:AC151" si="458">AD148+AE148+AF148</f>
        <v>206</v>
      </c>
      <c r="AD148" s="42">
        <f>'2.TH'!AD72+'3.THCS'!AD70+'5.THPT'!AD68+'4.TH-THCS'!AD91+'6.THCS-THPT'!AD87</f>
        <v>204</v>
      </c>
      <c r="AE148" s="42">
        <f>'2.TH'!AE72+'3.THCS'!AE70+'5.THPT'!AE68+'4.TH-THCS'!AE91+'6.THCS-THPT'!AE87</f>
        <v>1</v>
      </c>
      <c r="AF148" s="42">
        <f>'2.TH'!AF72+'3.THCS'!AF70+'5.THPT'!AF68+'4.TH-THCS'!AF91+'6.THCS-THPT'!AF87</f>
        <v>1</v>
      </c>
      <c r="AG148" s="41">
        <f t="shared" ref="AG148:AG151" si="459">AH148+AI148+AJ148</f>
        <v>11</v>
      </c>
      <c r="AH148" s="42">
        <f>'2.TH'!AH72+'3.THCS'!AH70+'5.THPT'!AH68+'4.TH-THCS'!AH91+'6.THCS-THPT'!AH87</f>
        <v>10</v>
      </c>
      <c r="AI148" s="42">
        <f>'2.TH'!AI72+'3.THCS'!AI70+'5.THPT'!AI68+'4.TH-THCS'!AI91+'6.THCS-THPT'!AI87</f>
        <v>1</v>
      </c>
      <c r="AJ148" s="42">
        <f>'2.TH'!AJ72+'3.THCS'!AJ70+'5.THPT'!AJ68+'4.TH-THCS'!AJ91+'6.THCS-THPT'!AJ87</f>
        <v>0</v>
      </c>
      <c r="AK148" s="41">
        <f t="shared" ref="AK148:AK151" si="460">AL148+AM148+AN148</f>
        <v>0</v>
      </c>
      <c r="AL148" s="42">
        <f>'2.TH'!AL72+'3.THCS'!AL70+'5.THPT'!AL68+'4.TH-THCS'!AL91+'6.THCS-THPT'!AL87</f>
        <v>0</v>
      </c>
      <c r="AM148" s="42">
        <f>'2.TH'!AM72+'3.THCS'!AM70+'5.THPT'!AM68+'4.TH-THCS'!AM91+'6.THCS-THPT'!AM87</f>
        <v>0</v>
      </c>
      <c r="AN148" s="42">
        <f>'2.TH'!AN72+'3.THCS'!AN70+'5.THPT'!AN68+'4.TH-THCS'!AN91+'6.THCS-THPT'!AN87</f>
        <v>0</v>
      </c>
      <c r="AO148" s="41">
        <f t="shared" ref="AO148:AO151" si="461">AP148+AQ148+AR148</f>
        <v>0</v>
      </c>
      <c r="AP148" s="42">
        <f>'2.TH'!AP72+'3.THCS'!AP70+'5.THPT'!AP68+'4.TH-THCS'!AP91+'6.THCS-THPT'!AP87</f>
        <v>0</v>
      </c>
      <c r="AQ148" s="42">
        <f>'2.TH'!AQ72+'3.THCS'!AQ70+'5.THPT'!AQ68+'4.TH-THCS'!AQ91+'6.THCS-THPT'!AQ87</f>
        <v>0</v>
      </c>
      <c r="AR148" s="42">
        <f>'2.TH'!AR72+'3.THCS'!AR70+'5.THPT'!AR68+'4.TH-THCS'!AR91+'6.THCS-THPT'!AR87</f>
        <v>0</v>
      </c>
      <c r="AS148" s="41">
        <f t="shared" ref="AS148:AS151" si="462">AT148+AU148+AV148</f>
        <v>0</v>
      </c>
      <c r="AT148" s="42">
        <f>'2.TH'!AT72+'3.THCS'!AT70+'5.THPT'!AT68+'4.TH-THCS'!AT91+'6.THCS-THPT'!AT87</f>
        <v>0</v>
      </c>
      <c r="AU148" s="42">
        <f>'2.TH'!AU72+'3.THCS'!AU70+'5.THPT'!AU68+'4.TH-THCS'!AU91+'6.THCS-THPT'!AU87</f>
        <v>0</v>
      </c>
      <c r="AV148" s="42">
        <f>'2.TH'!AV72+'3.THCS'!AV70+'5.THPT'!AV68+'4.TH-THCS'!AV91+'6.THCS-THPT'!AV87</f>
        <v>0</v>
      </c>
      <c r="AW148" s="41">
        <f t="shared" ref="AW148:AW151" si="463">AX148+AY148+AZ148</f>
        <v>0</v>
      </c>
      <c r="AX148" s="42">
        <f>'2.TH'!AX72+'3.THCS'!AX70+'5.THPT'!AX68+'4.TH-THCS'!AX91+'6.THCS-THPT'!AX87</f>
        <v>0</v>
      </c>
      <c r="AY148" s="42">
        <f>'2.TH'!AY72+'3.THCS'!AY70+'5.THPT'!AY68+'4.TH-THCS'!AY91+'6.THCS-THPT'!AY87</f>
        <v>0</v>
      </c>
      <c r="AZ148" s="43">
        <f>'2.TH'!AZ72+'3.THCS'!AZ70+'5.THPT'!AZ68+'4.TH-THCS'!AZ91+'6.THCS-THPT'!AZ87</f>
        <v>0</v>
      </c>
      <c r="BA148" s="34"/>
    </row>
    <row r="149" ht="15.75" customHeight="1">
      <c r="A149" s="29"/>
      <c r="B149" s="67" t="s">
        <v>119</v>
      </c>
      <c r="C149" s="31"/>
      <c r="D149" s="31" t="s">
        <v>30</v>
      </c>
      <c r="E149" s="41">
        <f t="shared" si="452"/>
        <v>51</v>
      </c>
      <c r="F149" s="42">
        <f>'2.TH'!F73+'3.THCS'!F71+'5.THPT'!F69+'4.TH-THCS'!F92+'6.THCS-THPT'!F88</f>
        <v>51</v>
      </c>
      <c r="G149" s="42">
        <f>'2.TH'!G73+'3.THCS'!G71+'5.THPT'!G69+'4.TH-THCS'!G92+'6.THCS-THPT'!G88</f>
        <v>0</v>
      </c>
      <c r="H149" s="42">
        <f>'2.TH'!H73+'3.THCS'!H71+'5.THPT'!H69+'4.TH-THCS'!H92+'6.THCS-THPT'!H88</f>
        <v>0</v>
      </c>
      <c r="I149" s="41">
        <f t="shared" si="453"/>
        <v>49</v>
      </c>
      <c r="J149" s="42">
        <f>'2.TH'!J73+'3.THCS'!J71+'5.THPT'!J69+'4.TH-THCS'!J92+'6.THCS-THPT'!J88</f>
        <v>49</v>
      </c>
      <c r="K149" s="42">
        <f>'2.TH'!K73+'3.THCS'!K71+'5.THPT'!K69+'4.TH-THCS'!K92+'6.THCS-THPT'!K88</f>
        <v>0</v>
      </c>
      <c r="L149" s="42">
        <f>'2.TH'!L73+'3.THCS'!L71+'5.THPT'!L69+'4.TH-THCS'!L92+'6.THCS-THPT'!L88</f>
        <v>0</v>
      </c>
      <c r="M149" s="41">
        <f t="shared" si="454"/>
        <v>49</v>
      </c>
      <c r="N149" s="42">
        <f>'2.TH'!N73+'3.THCS'!N71+'5.THPT'!N69+'4.TH-THCS'!N92+'6.THCS-THPT'!N88</f>
        <v>49</v>
      </c>
      <c r="O149" s="42">
        <f>'2.TH'!O73+'3.THCS'!O71+'5.THPT'!O69+'4.TH-THCS'!O92+'6.THCS-THPT'!O88</f>
        <v>0</v>
      </c>
      <c r="P149" s="42">
        <f>'2.TH'!P73+'3.THCS'!P71+'5.THPT'!P69+'4.TH-THCS'!P92+'6.THCS-THPT'!P88</f>
        <v>0</v>
      </c>
      <c r="Q149" s="41">
        <f t="shared" si="455"/>
        <v>49</v>
      </c>
      <c r="R149" s="42">
        <f>'2.TH'!R73+'3.THCS'!R71+'5.THPT'!R69+'4.TH-THCS'!R92+'6.THCS-THPT'!R88</f>
        <v>49</v>
      </c>
      <c r="S149" s="42">
        <f>'2.TH'!S73+'3.THCS'!S71+'5.THPT'!S69+'4.TH-THCS'!S92+'6.THCS-THPT'!S88</f>
        <v>0</v>
      </c>
      <c r="T149" s="42">
        <f>'2.TH'!T73+'3.THCS'!T71+'5.THPT'!T69+'4.TH-THCS'!T92+'6.THCS-THPT'!T88</f>
        <v>0</v>
      </c>
      <c r="U149" s="41">
        <f t="shared" si="456"/>
        <v>35</v>
      </c>
      <c r="V149" s="42">
        <f>'2.TH'!V73+'3.THCS'!V71+'5.THPT'!V69+'4.TH-THCS'!V92+'6.THCS-THPT'!V88</f>
        <v>35</v>
      </c>
      <c r="W149" s="42">
        <f>'2.TH'!W73+'3.THCS'!W71+'5.THPT'!W69+'4.TH-THCS'!W92+'6.THCS-THPT'!W88</f>
        <v>0</v>
      </c>
      <c r="X149" s="42">
        <f>'2.TH'!X73+'3.THCS'!X71+'5.THPT'!X69+'4.TH-THCS'!X92+'6.THCS-THPT'!X88</f>
        <v>0</v>
      </c>
      <c r="Y149" s="41">
        <f t="shared" si="457"/>
        <v>35</v>
      </c>
      <c r="Z149" s="42">
        <f>'2.TH'!Z73+'3.THCS'!Z71+'5.THPT'!Z69+'4.TH-THCS'!Z92+'6.THCS-THPT'!Z88</f>
        <v>35</v>
      </c>
      <c r="AA149" s="42">
        <f>'2.TH'!AA73+'3.THCS'!AA71+'5.THPT'!AA69+'4.TH-THCS'!AA92+'6.THCS-THPT'!AA88</f>
        <v>0</v>
      </c>
      <c r="AB149" s="42">
        <f>'2.TH'!AB73+'3.THCS'!AB71+'5.THPT'!AB69+'4.TH-THCS'!AB92+'6.THCS-THPT'!AB88</f>
        <v>0</v>
      </c>
      <c r="AC149" s="41">
        <f t="shared" si="458"/>
        <v>35</v>
      </c>
      <c r="AD149" s="42">
        <f>'2.TH'!AD73+'3.THCS'!AD71+'5.THPT'!AD69+'4.TH-THCS'!AD92+'6.THCS-THPT'!AD88</f>
        <v>35</v>
      </c>
      <c r="AE149" s="42">
        <f>'2.TH'!AE73+'3.THCS'!AE71+'5.THPT'!AE69+'4.TH-THCS'!AE92+'6.THCS-THPT'!AE88</f>
        <v>0</v>
      </c>
      <c r="AF149" s="42">
        <f>'2.TH'!AF73+'3.THCS'!AF71+'5.THPT'!AF69+'4.TH-THCS'!AF92+'6.THCS-THPT'!AF88</f>
        <v>0</v>
      </c>
      <c r="AG149" s="41">
        <f t="shared" si="459"/>
        <v>0</v>
      </c>
      <c r="AH149" s="42">
        <f>'2.TH'!AH73+'3.THCS'!AH71+'5.THPT'!AH69+'4.TH-THCS'!AH92+'6.THCS-THPT'!AH88</f>
        <v>0</v>
      </c>
      <c r="AI149" s="42">
        <f>'2.TH'!AI73+'3.THCS'!AI71+'5.THPT'!AI69+'4.TH-THCS'!AI92+'6.THCS-THPT'!AI88</f>
        <v>0</v>
      </c>
      <c r="AJ149" s="42">
        <f>'2.TH'!AJ73+'3.THCS'!AJ71+'5.THPT'!AJ69+'4.TH-THCS'!AJ92+'6.THCS-THPT'!AJ88</f>
        <v>0</v>
      </c>
      <c r="AK149" s="41">
        <f t="shared" si="460"/>
        <v>0</v>
      </c>
      <c r="AL149" s="42">
        <f>'2.TH'!AL73+'3.THCS'!AL71+'5.THPT'!AL69+'4.TH-THCS'!AL92+'6.THCS-THPT'!AL88</f>
        <v>0</v>
      </c>
      <c r="AM149" s="42">
        <f>'2.TH'!AM73+'3.THCS'!AM71+'5.THPT'!AM69+'4.TH-THCS'!AM92+'6.THCS-THPT'!AM88</f>
        <v>0</v>
      </c>
      <c r="AN149" s="42">
        <f>'2.TH'!AN73+'3.THCS'!AN71+'5.THPT'!AN69+'4.TH-THCS'!AN92+'6.THCS-THPT'!AN88</f>
        <v>0</v>
      </c>
      <c r="AO149" s="41">
        <f t="shared" si="461"/>
        <v>0</v>
      </c>
      <c r="AP149" s="42">
        <f>'2.TH'!AP73+'3.THCS'!AP71+'5.THPT'!AP69+'4.TH-THCS'!AP92+'6.THCS-THPT'!AP88</f>
        <v>0</v>
      </c>
      <c r="AQ149" s="42">
        <f>'2.TH'!AQ73+'3.THCS'!AQ71+'5.THPT'!AQ69+'4.TH-THCS'!AQ92+'6.THCS-THPT'!AQ88</f>
        <v>0</v>
      </c>
      <c r="AR149" s="42">
        <f>'2.TH'!AR73+'3.THCS'!AR71+'5.THPT'!AR69+'4.TH-THCS'!AR92+'6.THCS-THPT'!AR88</f>
        <v>0</v>
      </c>
      <c r="AS149" s="41">
        <f t="shared" si="462"/>
        <v>0</v>
      </c>
      <c r="AT149" s="42">
        <f>'2.TH'!AT73+'3.THCS'!AT71+'5.THPT'!AT69+'4.TH-THCS'!AT92+'6.THCS-THPT'!AT88</f>
        <v>0</v>
      </c>
      <c r="AU149" s="42">
        <f>'2.TH'!AU73+'3.THCS'!AU71+'5.THPT'!AU69+'4.TH-THCS'!AU92+'6.THCS-THPT'!AU88</f>
        <v>0</v>
      </c>
      <c r="AV149" s="42">
        <f>'2.TH'!AV73+'3.THCS'!AV71+'5.THPT'!AV69+'4.TH-THCS'!AV92+'6.THCS-THPT'!AV88</f>
        <v>0</v>
      </c>
      <c r="AW149" s="41">
        <f t="shared" si="463"/>
        <v>0</v>
      </c>
      <c r="AX149" s="42">
        <f>'2.TH'!AX73+'3.THCS'!AX71+'5.THPT'!AX69+'4.TH-THCS'!AX92+'6.THCS-THPT'!AX88</f>
        <v>0</v>
      </c>
      <c r="AY149" s="42">
        <f>'2.TH'!AY73+'3.THCS'!AY71+'5.THPT'!AY69+'4.TH-THCS'!AY92+'6.THCS-THPT'!AY88</f>
        <v>0</v>
      </c>
      <c r="AZ149" s="43">
        <f>'2.TH'!AZ73+'3.THCS'!AZ71+'5.THPT'!AZ69+'4.TH-THCS'!AZ92+'6.THCS-THPT'!AZ88</f>
        <v>0</v>
      </c>
      <c r="BA149" s="34"/>
    </row>
    <row r="150" ht="15.75" customHeight="1">
      <c r="A150" s="29"/>
      <c r="B150" s="67" t="s">
        <v>120</v>
      </c>
      <c r="C150" s="31"/>
      <c r="D150" s="31" t="s">
        <v>30</v>
      </c>
      <c r="E150" s="41">
        <f t="shared" si="452"/>
        <v>8</v>
      </c>
      <c r="F150" s="42">
        <f>'2.TH'!F74+'3.THCS'!F72+'5.THPT'!F70+'4.TH-THCS'!F93+'6.THCS-THPT'!F89</f>
        <v>8</v>
      </c>
      <c r="G150" s="42">
        <f>'2.TH'!G74+'3.THCS'!G72+'5.THPT'!G70+'4.TH-THCS'!G93+'6.THCS-THPT'!G89</f>
        <v>0</v>
      </c>
      <c r="H150" s="42">
        <f>'2.TH'!H74+'3.THCS'!H72+'5.THPT'!H70+'4.TH-THCS'!H93+'6.THCS-THPT'!H89</f>
        <v>0</v>
      </c>
      <c r="I150" s="41">
        <f t="shared" si="453"/>
        <v>8</v>
      </c>
      <c r="J150" s="42">
        <f>'2.TH'!J74+'3.THCS'!J72+'5.THPT'!J70+'4.TH-THCS'!J93+'6.THCS-THPT'!J89</f>
        <v>8</v>
      </c>
      <c r="K150" s="42">
        <f>'2.TH'!K74+'3.THCS'!K72+'5.THPT'!K70+'4.TH-THCS'!K93+'6.THCS-THPT'!K89</f>
        <v>0</v>
      </c>
      <c r="L150" s="42">
        <f>'2.TH'!L74+'3.THCS'!L72+'5.THPT'!L70+'4.TH-THCS'!L93+'6.THCS-THPT'!L89</f>
        <v>0</v>
      </c>
      <c r="M150" s="41">
        <f t="shared" si="454"/>
        <v>8</v>
      </c>
      <c r="N150" s="42">
        <f>'2.TH'!N74+'3.THCS'!N72+'5.THPT'!N70+'4.TH-THCS'!N93+'6.THCS-THPT'!N89</f>
        <v>8</v>
      </c>
      <c r="O150" s="42">
        <f>'2.TH'!O74+'3.THCS'!O72+'5.THPT'!O70+'4.TH-THCS'!O93+'6.THCS-THPT'!O89</f>
        <v>0</v>
      </c>
      <c r="P150" s="42">
        <f>'2.TH'!P74+'3.THCS'!P72+'5.THPT'!P70+'4.TH-THCS'!P93+'6.THCS-THPT'!P89</f>
        <v>0</v>
      </c>
      <c r="Q150" s="41">
        <f t="shared" si="455"/>
        <v>7</v>
      </c>
      <c r="R150" s="42">
        <f>'2.TH'!R74+'3.THCS'!R72+'5.THPT'!R70+'4.TH-THCS'!R93+'6.THCS-THPT'!R89</f>
        <v>7</v>
      </c>
      <c r="S150" s="42">
        <f>'2.TH'!S74+'3.THCS'!S72+'5.THPT'!S70+'4.TH-THCS'!S93+'6.THCS-THPT'!S89</f>
        <v>0</v>
      </c>
      <c r="T150" s="42">
        <f>'2.TH'!T74+'3.THCS'!T72+'5.THPT'!T70+'4.TH-THCS'!T93+'6.THCS-THPT'!T89</f>
        <v>0</v>
      </c>
      <c r="U150" s="41">
        <f t="shared" si="456"/>
        <v>7</v>
      </c>
      <c r="V150" s="42">
        <f>'2.TH'!V74+'3.THCS'!V72+'5.THPT'!V70+'4.TH-THCS'!V93+'6.THCS-THPT'!V89</f>
        <v>7</v>
      </c>
      <c r="W150" s="42">
        <f>'2.TH'!W74+'3.THCS'!W72+'5.THPT'!W70+'4.TH-THCS'!W93+'6.THCS-THPT'!W89</f>
        <v>0</v>
      </c>
      <c r="X150" s="42">
        <f>'2.TH'!X74+'3.THCS'!X72+'5.THPT'!X70+'4.TH-THCS'!X93+'6.THCS-THPT'!X89</f>
        <v>0</v>
      </c>
      <c r="Y150" s="41">
        <f t="shared" si="457"/>
        <v>7</v>
      </c>
      <c r="Z150" s="42">
        <f>'2.TH'!Z74+'3.THCS'!Z72+'5.THPT'!Z70+'4.TH-THCS'!Z93+'6.THCS-THPT'!Z89</f>
        <v>7</v>
      </c>
      <c r="AA150" s="42">
        <f>'2.TH'!AA74+'3.THCS'!AA72+'5.THPT'!AA70+'4.TH-THCS'!AA93+'6.THCS-THPT'!AA89</f>
        <v>0</v>
      </c>
      <c r="AB150" s="42">
        <f>'2.TH'!AB74+'3.THCS'!AB72+'5.THPT'!AB70+'4.TH-THCS'!AB93+'6.THCS-THPT'!AB89</f>
        <v>0</v>
      </c>
      <c r="AC150" s="41">
        <f t="shared" si="458"/>
        <v>7</v>
      </c>
      <c r="AD150" s="42">
        <f>'2.TH'!AD74+'3.THCS'!AD72+'5.THPT'!AD70+'4.TH-THCS'!AD93+'6.THCS-THPT'!AD89</f>
        <v>7</v>
      </c>
      <c r="AE150" s="42">
        <f>'2.TH'!AE74+'3.THCS'!AE72+'5.THPT'!AE70+'4.TH-THCS'!AE93+'6.THCS-THPT'!AE89</f>
        <v>0</v>
      </c>
      <c r="AF150" s="42">
        <f>'2.TH'!AF74+'3.THCS'!AF72+'5.THPT'!AF70+'4.TH-THCS'!AF93+'6.THCS-THPT'!AF89</f>
        <v>0</v>
      </c>
      <c r="AG150" s="41">
        <f t="shared" si="459"/>
        <v>0</v>
      </c>
      <c r="AH150" s="42">
        <f>'2.TH'!AH74+'3.THCS'!AH72+'5.THPT'!AH70+'4.TH-THCS'!AH93+'6.THCS-THPT'!AH89</f>
        <v>0</v>
      </c>
      <c r="AI150" s="42">
        <f>'2.TH'!AI74+'3.THCS'!AI72+'5.THPT'!AI70+'4.TH-THCS'!AI93+'6.THCS-THPT'!AI89</f>
        <v>0</v>
      </c>
      <c r="AJ150" s="42">
        <f>'2.TH'!AJ74+'3.THCS'!AJ72+'5.THPT'!AJ70+'4.TH-THCS'!AJ93+'6.THCS-THPT'!AJ89</f>
        <v>0</v>
      </c>
      <c r="AK150" s="41">
        <f t="shared" si="460"/>
        <v>0</v>
      </c>
      <c r="AL150" s="42">
        <f>'2.TH'!AL74+'3.THCS'!AL72+'5.THPT'!AL70+'4.TH-THCS'!AL93+'6.THCS-THPT'!AL89</f>
        <v>0</v>
      </c>
      <c r="AM150" s="42">
        <f>'2.TH'!AM74+'3.THCS'!AM72+'5.THPT'!AM70+'4.TH-THCS'!AM93+'6.THCS-THPT'!AM89</f>
        <v>0</v>
      </c>
      <c r="AN150" s="42">
        <f>'2.TH'!AN74+'3.THCS'!AN72+'5.THPT'!AN70+'4.TH-THCS'!AN93+'6.THCS-THPT'!AN89</f>
        <v>0</v>
      </c>
      <c r="AO150" s="41">
        <f t="shared" si="461"/>
        <v>0</v>
      </c>
      <c r="AP150" s="42">
        <f>'2.TH'!AP74+'3.THCS'!AP72+'5.THPT'!AP70+'4.TH-THCS'!AP93+'6.THCS-THPT'!AP89</f>
        <v>0</v>
      </c>
      <c r="AQ150" s="42">
        <f>'2.TH'!AQ74+'3.THCS'!AQ72+'5.THPT'!AQ70+'4.TH-THCS'!AQ93+'6.THCS-THPT'!AQ89</f>
        <v>0</v>
      </c>
      <c r="AR150" s="42">
        <f>'2.TH'!AR74+'3.THCS'!AR72+'5.THPT'!AR70+'4.TH-THCS'!AR93+'6.THCS-THPT'!AR89</f>
        <v>0</v>
      </c>
      <c r="AS150" s="41">
        <f t="shared" si="462"/>
        <v>0</v>
      </c>
      <c r="AT150" s="42">
        <f>'2.TH'!AT74+'3.THCS'!AT72+'5.THPT'!AT70+'4.TH-THCS'!AT93+'6.THCS-THPT'!AT89</f>
        <v>0</v>
      </c>
      <c r="AU150" s="42">
        <f>'2.TH'!AU74+'3.THCS'!AU72+'5.THPT'!AU70+'4.TH-THCS'!AU93+'6.THCS-THPT'!AU89</f>
        <v>0</v>
      </c>
      <c r="AV150" s="42">
        <f>'2.TH'!AV74+'3.THCS'!AV72+'5.THPT'!AV70+'4.TH-THCS'!AV93+'6.THCS-THPT'!AV89</f>
        <v>0</v>
      </c>
      <c r="AW150" s="41">
        <f t="shared" si="463"/>
        <v>0</v>
      </c>
      <c r="AX150" s="42">
        <f>'2.TH'!AX74+'3.THCS'!AX72+'5.THPT'!AX70+'4.TH-THCS'!AX93+'6.THCS-THPT'!AX89</f>
        <v>0</v>
      </c>
      <c r="AY150" s="42">
        <f>'2.TH'!AY74+'3.THCS'!AY72+'5.THPT'!AY70+'4.TH-THCS'!AY93+'6.THCS-THPT'!AY89</f>
        <v>0</v>
      </c>
      <c r="AZ150" s="43">
        <f>'2.TH'!AZ74+'3.THCS'!AZ72+'5.THPT'!AZ70+'4.TH-THCS'!AZ93+'6.THCS-THPT'!AZ89</f>
        <v>0</v>
      </c>
      <c r="BA150" s="34"/>
    </row>
    <row r="151" ht="15.75" customHeight="1">
      <c r="A151" s="29"/>
      <c r="B151" s="126" t="s">
        <v>126</v>
      </c>
      <c r="C151" s="57"/>
      <c r="D151" s="57" t="s">
        <v>116</v>
      </c>
      <c r="E151" s="125">
        <f t="shared" si="452"/>
        <v>406</v>
      </c>
      <c r="F151" s="125">
        <f t="shared" ref="F151:H151" si="464">F153+F154+F155</f>
        <v>399</v>
      </c>
      <c r="G151" s="125">
        <f t="shared" si="464"/>
        <v>1</v>
      </c>
      <c r="H151" s="125">
        <f t="shared" si="464"/>
        <v>6</v>
      </c>
      <c r="I151" s="125">
        <f t="shared" si="453"/>
        <v>398</v>
      </c>
      <c r="J151" s="125">
        <f t="shared" ref="J151:L151" si="465">J153+J154+J155</f>
        <v>392</v>
      </c>
      <c r="K151" s="125">
        <f t="shared" si="465"/>
        <v>1</v>
      </c>
      <c r="L151" s="125">
        <f t="shared" si="465"/>
        <v>5</v>
      </c>
      <c r="M151" s="125">
        <f t="shared" si="454"/>
        <v>392</v>
      </c>
      <c r="N151" s="125">
        <f t="shared" ref="N151:P151" si="466">N153+N154+N155</f>
        <v>386</v>
      </c>
      <c r="O151" s="125">
        <f t="shared" si="466"/>
        <v>1</v>
      </c>
      <c r="P151" s="125">
        <f t="shared" si="466"/>
        <v>5</v>
      </c>
      <c r="Q151" s="125">
        <f t="shared" si="455"/>
        <v>396</v>
      </c>
      <c r="R151" s="125">
        <f t="shared" ref="R151:T151" si="467">R153+R154+R155</f>
        <v>388</v>
      </c>
      <c r="S151" s="125">
        <f t="shared" si="467"/>
        <v>2</v>
      </c>
      <c r="T151" s="125">
        <f t="shared" si="467"/>
        <v>6</v>
      </c>
      <c r="U151" s="125">
        <f t="shared" si="456"/>
        <v>381</v>
      </c>
      <c r="V151" s="125">
        <f t="shared" ref="V151:X151" si="468">V153+V154+V155</f>
        <v>374</v>
      </c>
      <c r="W151" s="125">
        <f t="shared" si="468"/>
        <v>1</v>
      </c>
      <c r="X151" s="125">
        <f t="shared" si="468"/>
        <v>6</v>
      </c>
      <c r="Y151" s="125">
        <f t="shared" si="457"/>
        <v>391</v>
      </c>
      <c r="Z151" s="125">
        <f t="shared" ref="Z151:AB151" si="469">Z153+Z154+Z155</f>
        <v>388</v>
      </c>
      <c r="AA151" s="125">
        <f t="shared" si="469"/>
        <v>1</v>
      </c>
      <c r="AB151" s="125">
        <f t="shared" si="469"/>
        <v>2</v>
      </c>
      <c r="AC151" s="125">
        <f t="shared" si="458"/>
        <v>405</v>
      </c>
      <c r="AD151" s="125">
        <f t="shared" ref="AD151:AF151" si="470">AD153+AD154+AD155</f>
        <v>398</v>
      </c>
      <c r="AE151" s="125">
        <f t="shared" si="470"/>
        <v>1</v>
      </c>
      <c r="AF151" s="125">
        <f t="shared" si="470"/>
        <v>6</v>
      </c>
      <c r="AG151" s="125">
        <f t="shared" si="459"/>
        <v>9</v>
      </c>
      <c r="AH151" s="125">
        <f t="shared" ref="AH151:AJ151" si="471">AH153+AH154+AH155</f>
        <v>8</v>
      </c>
      <c r="AI151" s="125">
        <f t="shared" si="471"/>
        <v>1</v>
      </c>
      <c r="AJ151" s="125">
        <f t="shared" si="471"/>
        <v>0</v>
      </c>
      <c r="AK151" s="125">
        <f t="shared" si="460"/>
        <v>0</v>
      </c>
      <c r="AL151" s="125">
        <f t="shared" ref="AL151:AN151" si="472">AL153+AL154+AL155</f>
        <v>0</v>
      </c>
      <c r="AM151" s="125">
        <f t="shared" si="472"/>
        <v>0</v>
      </c>
      <c r="AN151" s="125">
        <f t="shared" si="472"/>
        <v>0</v>
      </c>
      <c r="AO151" s="125">
        <f t="shared" si="461"/>
        <v>0</v>
      </c>
      <c r="AP151" s="125">
        <f t="shared" ref="AP151:AR151" si="473">AP153+AP154+AP155</f>
        <v>0</v>
      </c>
      <c r="AQ151" s="125">
        <f t="shared" si="473"/>
        <v>0</v>
      </c>
      <c r="AR151" s="125">
        <f t="shared" si="473"/>
        <v>0</v>
      </c>
      <c r="AS151" s="125">
        <f t="shared" si="462"/>
        <v>0</v>
      </c>
      <c r="AT151" s="125">
        <f t="shared" ref="AT151:AV151" si="474">AT153+AT154+AT155</f>
        <v>0</v>
      </c>
      <c r="AU151" s="125">
        <f t="shared" si="474"/>
        <v>0</v>
      </c>
      <c r="AV151" s="125">
        <f t="shared" si="474"/>
        <v>0</v>
      </c>
      <c r="AW151" s="125">
        <f t="shared" si="463"/>
        <v>0</v>
      </c>
      <c r="AX151" s="125">
        <f t="shared" ref="AX151:AZ151" si="475">AX153+AX154+AX155</f>
        <v>0</v>
      </c>
      <c r="AY151" s="125">
        <f t="shared" si="475"/>
        <v>0</v>
      </c>
      <c r="AZ151" s="127">
        <f t="shared" si="475"/>
        <v>0</v>
      </c>
      <c r="BA151" s="34"/>
    </row>
    <row r="152" ht="15.75" customHeight="1">
      <c r="A152" s="29"/>
      <c r="B152" s="48" t="s">
        <v>52</v>
      </c>
      <c r="C152" s="49"/>
      <c r="D152" s="31" t="s">
        <v>30</v>
      </c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50"/>
      <c r="BA152" s="34"/>
    </row>
    <row r="153" ht="15.75" customHeight="1">
      <c r="A153" s="29"/>
      <c r="B153" s="67" t="s">
        <v>118</v>
      </c>
      <c r="C153" s="31"/>
      <c r="D153" s="31" t="s">
        <v>30</v>
      </c>
      <c r="E153" s="41">
        <f t="shared" ref="E153:E156" si="476">F153+G153+H153</f>
        <v>312</v>
      </c>
      <c r="F153" s="42">
        <f>'1.MN'!F77+'2.TH'!F77+'3.THCS'!F75+'5.THPT'!F73+'4.TH-THCS'!F96+'6.THCS-THPT'!F92</f>
        <v>306</v>
      </c>
      <c r="G153" s="42">
        <f>'1.MN'!G77+'2.TH'!G77+'3.THCS'!G75+'5.THPT'!G73+'4.TH-THCS'!G96+'6.THCS-THPT'!G92</f>
        <v>1</v>
      </c>
      <c r="H153" s="42">
        <f>'1.MN'!H77+'2.TH'!H77+'3.THCS'!H75+'5.THPT'!H73+'4.TH-THCS'!H96+'6.THCS-THPT'!H92</f>
        <v>5</v>
      </c>
      <c r="I153" s="41">
        <f t="shared" ref="I153:I156" si="477">J153+K153+L153</f>
        <v>309</v>
      </c>
      <c r="J153" s="42">
        <f>'1.MN'!J77+'2.TH'!J77+'3.THCS'!J75+'5.THPT'!J73+'4.TH-THCS'!J96+'6.THCS-THPT'!J92</f>
        <v>304</v>
      </c>
      <c r="K153" s="42">
        <f>'1.MN'!K77+'2.TH'!K77+'3.THCS'!K75+'5.THPT'!K73+'4.TH-THCS'!K96+'6.THCS-THPT'!K92</f>
        <v>1</v>
      </c>
      <c r="L153" s="42">
        <f>'1.MN'!L77+'2.TH'!L77+'3.THCS'!L75+'5.THPT'!L73+'4.TH-THCS'!L96+'6.THCS-THPT'!L92</f>
        <v>4</v>
      </c>
      <c r="M153" s="41">
        <f t="shared" ref="M153:M156" si="478">N153+O153+P153</f>
        <v>305</v>
      </c>
      <c r="N153" s="42">
        <f>'1.MN'!N77+'2.TH'!N77+'3.THCS'!N75+'5.THPT'!N73+'4.TH-THCS'!N96+'6.THCS-THPT'!N92</f>
        <v>300</v>
      </c>
      <c r="O153" s="42">
        <f>'1.MN'!O77+'2.TH'!O77+'3.THCS'!O75+'5.THPT'!O73+'4.TH-THCS'!O96+'6.THCS-THPT'!O92</f>
        <v>1</v>
      </c>
      <c r="P153" s="42">
        <f>'1.MN'!P77+'2.TH'!P77+'3.THCS'!P75+'5.THPT'!P73+'4.TH-THCS'!P96+'6.THCS-THPT'!P92</f>
        <v>4</v>
      </c>
      <c r="Q153" s="41">
        <f t="shared" ref="Q153:Q156" si="479">R153+S153+T153</f>
        <v>311</v>
      </c>
      <c r="R153" s="42">
        <f>'1.MN'!R77+'2.TH'!R77+'3.THCS'!R75+'5.THPT'!R73+'4.TH-THCS'!R96+'6.THCS-THPT'!R92</f>
        <v>304</v>
      </c>
      <c r="S153" s="42">
        <f>'1.MN'!S77+'2.TH'!S77+'3.THCS'!S75+'5.THPT'!S73+'4.TH-THCS'!S96+'6.THCS-THPT'!S92</f>
        <v>2</v>
      </c>
      <c r="T153" s="42">
        <f>'1.MN'!T77+'2.TH'!T77+'3.THCS'!T75+'5.THPT'!T73+'4.TH-THCS'!T96+'6.THCS-THPT'!T92</f>
        <v>5</v>
      </c>
      <c r="U153" s="41">
        <f t="shared" ref="U153:U156" si="480">V153+W153+X153</f>
        <v>296</v>
      </c>
      <c r="V153" s="42">
        <f>'1.MN'!V77+'2.TH'!V77+'3.THCS'!V75+'5.THPT'!V73+'4.TH-THCS'!V96+'6.THCS-THPT'!V92</f>
        <v>290</v>
      </c>
      <c r="W153" s="42">
        <f>'1.MN'!W77+'2.TH'!W77+'3.THCS'!W75+'5.THPT'!W73+'4.TH-THCS'!W96+'6.THCS-THPT'!W92</f>
        <v>1</v>
      </c>
      <c r="X153" s="42">
        <f>'1.MN'!X77+'2.TH'!X77+'3.THCS'!X75+'5.THPT'!X73+'4.TH-THCS'!X96+'6.THCS-THPT'!X92</f>
        <v>5</v>
      </c>
      <c r="Y153" s="41">
        <f t="shared" ref="Y153:Y156" si="481">Z153+AA153+AB153</f>
        <v>312</v>
      </c>
      <c r="Z153" s="42">
        <f>'1.MN'!Z77+'2.TH'!Z77+'3.THCS'!Z75+'5.THPT'!Z73+'4.TH-THCS'!Z96+'6.THCS-THPT'!Z92</f>
        <v>309</v>
      </c>
      <c r="AA153" s="42">
        <f>'1.MN'!AA77+'2.TH'!AA77+'3.THCS'!AA75+'5.THPT'!AA73+'4.TH-THCS'!AA96+'6.THCS-THPT'!AA92</f>
        <v>1</v>
      </c>
      <c r="AB153" s="42">
        <f>'1.MN'!AB77+'2.TH'!AB77+'3.THCS'!AB75+'5.THPT'!AB73+'4.TH-THCS'!AB96+'6.THCS-THPT'!AB92</f>
        <v>2</v>
      </c>
      <c r="AC153" s="41">
        <f t="shared" ref="AC153:AC156" si="482">AD153+AE153+AF153</f>
        <v>323</v>
      </c>
      <c r="AD153" s="42">
        <f>'1.MN'!AD77+'2.TH'!AD77+'3.THCS'!AD75+'5.THPT'!AD73+'4.TH-THCS'!AD96+'6.THCS-THPT'!AD92</f>
        <v>317</v>
      </c>
      <c r="AE153" s="42">
        <f>'1.MN'!AE77+'2.TH'!AE77+'3.THCS'!AE75+'5.THPT'!AE73+'4.TH-THCS'!AE96+'6.THCS-THPT'!AE92</f>
        <v>1</v>
      </c>
      <c r="AF153" s="42">
        <f>'1.MN'!AF77+'2.TH'!AF77+'3.THCS'!AF75+'5.THPT'!AF73+'4.TH-THCS'!AF96+'6.THCS-THPT'!AF92</f>
        <v>5</v>
      </c>
      <c r="AG153" s="41">
        <f t="shared" ref="AG153:AG156" si="483">AH153+AI153+AJ153</f>
        <v>9</v>
      </c>
      <c r="AH153" s="42">
        <f>'1.MN'!AH77+'2.TH'!AH77+'3.THCS'!AH75+'5.THPT'!AH73+'4.TH-THCS'!AH96+'6.THCS-THPT'!AH92</f>
        <v>8</v>
      </c>
      <c r="AI153" s="42">
        <f>'1.MN'!AI77+'2.TH'!AI77+'3.THCS'!AI75+'5.THPT'!AI73+'4.TH-THCS'!AI96+'6.THCS-THPT'!AI92</f>
        <v>1</v>
      </c>
      <c r="AJ153" s="42">
        <f>'1.MN'!AJ77+'2.TH'!AJ77+'3.THCS'!AJ75+'5.THPT'!AJ73+'4.TH-THCS'!AJ96+'6.THCS-THPT'!AJ92</f>
        <v>0</v>
      </c>
      <c r="AK153" s="41">
        <f t="shared" ref="AK153:AK156" si="484">AL153+AM153+AN153</f>
        <v>0</v>
      </c>
      <c r="AL153" s="42">
        <f>'1.MN'!AL77+'2.TH'!AL77+'3.THCS'!AL75+'5.THPT'!AL73+'4.TH-THCS'!AL96+'6.THCS-THPT'!AL92</f>
        <v>0</v>
      </c>
      <c r="AM153" s="42">
        <f>'1.MN'!AM77+'2.TH'!AM77+'3.THCS'!AM75+'5.THPT'!AM73+'4.TH-THCS'!AM96+'6.THCS-THPT'!AM92</f>
        <v>0</v>
      </c>
      <c r="AN153" s="42">
        <f>'1.MN'!AN77+'2.TH'!AN77+'3.THCS'!AN75+'5.THPT'!AN73+'4.TH-THCS'!AN96+'6.THCS-THPT'!AN92</f>
        <v>0</v>
      </c>
      <c r="AO153" s="41">
        <f t="shared" ref="AO153:AO156" si="485">AP153+AQ153+AR153</f>
        <v>0</v>
      </c>
      <c r="AP153" s="42">
        <f>'1.MN'!AP77+'2.TH'!AP77+'3.THCS'!AP75+'5.THPT'!AP73+'4.TH-THCS'!AP96+'6.THCS-THPT'!AP92</f>
        <v>0</v>
      </c>
      <c r="AQ153" s="42">
        <f>'1.MN'!AQ77+'2.TH'!AQ77+'3.THCS'!AQ75+'5.THPT'!AQ73+'4.TH-THCS'!AQ96+'6.THCS-THPT'!AQ92</f>
        <v>0</v>
      </c>
      <c r="AR153" s="42">
        <f>'1.MN'!AR77+'2.TH'!AR77+'3.THCS'!AR75+'5.THPT'!AR73+'4.TH-THCS'!AR96+'6.THCS-THPT'!AR92</f>
        <v>0</v>
      </c>
      <c r="AS153" s="41">
        <f t="shared" ref="AS153:AS156" si="486">AT153+AU153+AV153</f>
        <v>0</v>
      </c>
      <c r="AT153" s="42">
        <f>'1.MN'!AT77+'2.TH'!AT77+'3.THCS'!AT75+'5.THPT'!AT73+'4.TH-THCS'!AT96+'6.THCS-THPT'!AT92</f>
        <v>0</v>
      </c>
      <c r="AU153" s="42">
        <f>'1.MN'!AU77+'2.TH'!AU77+'3.THCS'!AU75+'5.THPT'!AU73+'4.TH-THCS'!AU96+'6.THCS-THPT'!AU92</f>
        <v>0</v>
      </c>
      <c r="AV153" s="42">
        <f>'1.MN'!AV77+'2.TH'!AV77+'3.THCS'!AV75+'5.THPT'!AV73+'4.TH-THCS'!AV96+'6.THCS-THPT'!AV92</f>
        <v>0</v>
      </c>
      <c r="AW153" s="41">
        <f t="shared" ref="AW153:AW156" si="487">AX153+AY153+AZ153</f>
        <v>0</v>
      </c>
      <c r="AX153" s="42">
        <f>'1.MN'!AX77+'2.TH'!AX77+'3.THCS'!AX75+'5.THPT'!AX73+'4.TH-THCS'!AX96+'6.THCS-THPT'!AX92</f>
        <v>0</v>
      </c>
      <c r="AY153" s="42">
        <f>'1.MN'!AY77+'2.TH'!AY77+'3.THCS'!AY75+'5.THPT'!AY73+'4.TH-THCS'!AY96+'6.THCS-THPT'!AY92</f>
        <v>0</v>
      </c>
      <c r="AZ153" s="43">
        <f>'1.MN'!AZ77+'2.TH'!AZ77+'3.THCS'!AZ75+'5.THPT'!AZ73+'4.TH-THCS'!AZ96+'6.THCS-THPT'!AZ92</f>
        <v>0</v>
      </c>
      <c r="BA153" s="34"/>
    </row>
    <row r="154" ht="15.75" customHeight="1">
      <c r="A154" s="29"/>
      <c r="B154" s="67" t="s">
        <v>119</v>
      </c>
      <c r="C154" s="31"/>
      <c r="D154" s="31" t="s">
        <v>30</v>
      </c>
      <c r="E154" s="41">
        <f t="shared" si="476"/>
        <v>81</v>
      </c>
      <c r="F154" s="42">
        <f>'1.MN'!F78+'2.TH'!F78+'3.THCS'!F76+'5.THPT'!F74+'4.TH-THCS'!F97+'6.THCS-THPT'!F93</f>
        <v>80</v>
      </c>
      <c r="G154" s="42">
        <f>'1.MN'!G78+'2.TH'!G78+'3.THCS'!G76+'5.THPT'!G74+'4.TH-THCS'!G97+'6.THCS-THPT'!G93</f>
        <v>0</v>
      </c>
      <c r="H154" s="42">
        <f>'1.MN'!H78+'2.TH'!H78+'3.THCS'!H76+'5.THPT'!H74+'4.TH-THCS'!H97+'6.THCS-THPT'!H93</f>
        <v>1</v>
      </c>
      <c r="I154" s="41">
        <f t="shared" si="477"/>
        <v>79</v>
      </c>
      <c r="J154" s="42">
        <f>'1.MN'!J78+'2.TH'!J78+'3.THCS'!J76+'5.THPT'!J74+'4.TH-THCS'!J97+'6.THCS-THPT'!J93</f>
        <v>78</v>
      </c>
      <c r="K154" s="42">
        <f>'1.MN'!K78+'2.TH'!K78+'3.THCS'!K76+'5.THPT'!K74+'4.TH-THCS'!K97+'6.THCS-THPT'!K93</f>
        <v>0</v>
      </c>
      <c r="L154" s="42">
        <f>'1.MN'!L78+'2.TH'!L78+'3.THCS'!L76+'5.THPT'!L74+'4.TH-THCS'!L97+'6.THCS-THPT'!L93</f>
        <v>1</v>
      </c>
      <c r="M154" s="41">
        <f t="shared" si="478"/>
        <v>78</v>
      </c>
      <c r="N154" s="42">
        <f>'1.MN'!N78+'2.TH'!N78+'3.THCS'!N76+'5.THPT'!N74+'4.TH-THCS'!N97+'6.THCS-THPT'!N93</f>
        <v>77</v>
      </c>
      <c r="O154" s="42">
        <f>'1.MN'!O78+'2.TH'!O78+'3.THCS'!O76+'5.THPT'!O74+'4.TH-THCS'!O97+'6.THCS-THPT'!O93</f>
        <v>0</v>
      </c>
      <c r="P154" s="42">
        <f>'1.MN'!P78+'2.TH'!P78+'3.THCS'!P76+'5.THPT'!P74+'4.TH-THCS'!P97+'6.THCS-THPT'!P93</f>
        <v>1</v>
      </c>
      <c r="Q154" s="41">
        <f t="shared" si="479"/>
        <v>78</v>
      </c>
      <c r="R154" s="42">
        <f>'1.MN'!R78+'2.TH'!R78+'3.THCS'!R76+'5.THPT'!R74+'4.TH-THCS'!R97+'6.THCS-THPT'!R93</f>
        <v>77</v>
      </c>
      <c r="S154" s="42">
        <f>'1.MN'!S78+'2.TH'!S78+'3.THCS'!S76+'5.THPT'!S74+'4.TH-THCS'!S97+'6.THCS-THPT'!S93</f>
        <v>0</v>
      </c>
      <c r="T154" s="42">
        <f>'1.MN'!T78+'2.TH'!T78+'3.THCS'!T76+'5.THPT'!T74+'4.TH-THCS'!T97+'6.THCS-THPT'!T93</f>
        <v>1</v>
      </c>
      <c r="U154" s="41">
        <f t="shared" si="480"/>
        <v>77</v>
      </c>
      <c r="V154" s="42">
        <f>'1.MN'!V78+'2.TH'!V78+'3.THCS'!V76+'5.THPT'!V74+'4.TH-THCS'!V97+'6.THCS-THPT'!V93</f>
        <v>76</v>
      </c>
      <c r="W154" s="42">
        <f>'1.MN'!W78+'2.TH'!W78+'3.THCS'!W76+'5.THPT'!W74+'4.TH-THCS'!W97+'6.THCS-THPT'!W93</f>
        <v>0</v>
      </c>
      <c r="X154" s="42">
        <f>'1.MN'!X78+'2.TH'!X78+'3.THCS'!X76+'5.THPT'!X74+'4.TH-THCS'!X97+'6.THCS-THPT'!X93</f>
        <v>1</v>
      </c>
      <c r="Y154" s="41">
        <f t="shared" si="481"/>
        <v>71</v>
      </c>
      <c r="Z154" s="42">
        <f>'1.MN'!Z78+'2.TH'!Z78+'3.THCS'!Z76+'5.THPT'!Z74+'4.TH-THCS'!Z97+'6.THCS-THPT'!Z93</f>
        <v>71</v>
      </c>
      <c r="AA154" s="42">
        <f>'1.MN'!AA78+'2.TH'!AA78+'3.THCS'!AA76+'5.THPT'!AA74+'4.TH-THCS'!AA97+'6.THCS-THPT'!AA93</f>
        <v>0</v>
      </c>
      <c r="AB154" s="42">
        <f>'1.MN'!AB78+'2.TH'!AB78+'3.THCS'!AB76+'5.THPT'!AB74+'4.TH-THCS'!AB97+'6.THCS-THPT'!AB93</f>
        <v>0</v>
      </c>
      <c r="AC154" s="41">
        <f t="shared" si="482"/>
        <v>75</v>
      </c>
      <c r="AD154" s="42">
        <f>'1.MN'!AD78+'2.TH'!AD78+'3.THCS'!AD76+'5.THPT'!AD74+'4.TH-THCS'!AD97+'6.THCS-THPT'!AD93</f>
        <v>74</v>
      </c>
      <c r="AE154" s="42">
        <f>'1.MN'!AE78+'2.TH'!AE78+'3.THCS'!AE76+'5.THPT'!AE74+'4.TH-THCS'!AE97+'6.THCS-THPT'!AE93</f>
        <v>0</v>
      </c>
      <c r="AF154" s="42">
        <f>'1.MN'!AF78+'2.TH'!AF78+'3.THCS'!AF76+'5.THPT'!AF74+'4.TH-THCS'!AF97+'6.THCS-THPT'!AF93</f>
        <v>1</v>
      </c>
      <c r="AG154" s="41">
        <f t="shared" si="483"/>
        <v>0</v>
      </c>
      <c r="AH154" s="42">
        <f>'1.MN'!AH78+'2.TH'!AH78+'3.THCS'!AH76+'5.THPT'!AH74+'4.TH-THCS'!AH97+'6.THCS-THPT'!AH93</f>
        <v>0</v>
      </c>
      <c r="AI154" s="42">
        <f>'1.MN'!AI78+'2.TH'!AI78+'3.THCS'!AI76+'5.THPT'!AI74+'4.TH-THCS'!AI97+'6.THCS-THPT'!AI93</f>
        <v>0</v>
      </c>
      <c r="AJ154" s="42">
        <f>'1.MN'!AJ78+'2.TH'!AJ78+'3.THCS'!AJ76+'5.THPT'!AJ74+'4.TH-THCS'!AJ97+'6.THCS-THPT'!AJ93</f>
        <v>0</v>
      </c>
      <c r="AK154" s="41">
        <f t="shared" si="484"/>
        <v>0</v>
      </c>
      <c r="AL154" s="42">
        <f>'1.MN'!AL78+'2.TH'!AL78+'3.THCS'!AL76+'5.THPT'!AL74+'4.TH-THCS'!AL97+'6.THCS-THPT'!AL93</f>
        <v>0</v>
      </c>
      <c r="AM154" s="42">
        <f>'1.MN'!AM78+'2.TH'!AM78+'3.THCS'!AM76+'5.THPT'!AM74+'4.TH-THCS'!AM97+'6.THCS-THPT'!AM93</f>
        <v>0</v>
      </c>
      <c r="AN154" s="42">
        <f>'1.MN'!AN78+'2.TH'!AN78+'3.THCS'!AN76+'5.THPT'!AN74+'4.TH-THCS'!AN97+'6.THCS-THPT'!AN93</f>
        <v>0</v>
      </c>
      <c r="AO154" s="41">
        <f t="shared" si="485"/>
        <v>0</v>
      </c>
      <c r="AP154" s="42">
        <f>'1.MN'!AP78+'2.TH'!AP78+'3.THCS'!AP76+'5.THPT'!AP74+'4.TH-THCS'!AP97+'6.THCS-THPT'!AP93</f>
        <v>0</v>
      </c>
      <c r="AQ154" s="42">
        <f>'1.MN'!AQ78+'2.TH'!AQ78+'3.THCS'!AQ76+'5.THPT'!AQ74+'4.TH-THCS'!AQ97+'6.THCS-THPT'!AQ93</f>
        <v>0</v>
      </c>
      <c r="AR154" s="42">
        <f>'1.MN'!AR78+'2.TH'!AR78+'3.THCS'!AR76+'5.THPT'!AR74+'4.TH-THCS'!AR97+'6.THCS-THPT'!AR93</f>
        <v>0</v>
      </c>
      <c r="AS154" s="41">
        <f t="shared" si="486"/>
        <v>0</v>
      </c>
      <c r="AT154" s="42">
        <f>'1.MN'!AT78+'2.TH'!AT78+'3.THCS'!AT76+'5.THPT'!AT74+'4.TH-THCS'!AT97+'6.THCS-THPT'!AT93</f>
        <v>0</v>
      </c>
      <c r="AU154" s="42">
        <f>'1.MN'!AU78+'2.TH'!AU78+'3.THCS'!AU76+'5.THPT'!AU74+'4.TH-THCS'!AU97+'6.THCS-THPT'!AU93</f>
        <v>0</v>
      </c>
      <c r="AV154" s="42">
        <f>'1.MN'!AV78+'2.TH'!AV78+'3.THCS'!AV76+'5.THPT'!AV74+'4.TH-THCS'!AV97+'6.THCS-THPT'!AV93</f>
        <v>0</v>
      </c>
      <c r="AW154" s="41">
        <f t="shared" si="487"/>
        <v>0</v>
      </c>
      <c r="AX154" s="42">
        <f>'1.MN'!AX78+'2.TH'!AX78+'3.THCS'!AX76+'5.THPT'!AX74+'4.TH-THCS'!AX97+'6.THCS-THPT'!AX93</f>
        <v>0</v>
      </c>
      <c r="AY154" s="42">
        <f>'1.MN'!AY78+'2.TH'!AY78+'3.THCS'!AY76+'5.THPT'!AY74+'4.TH-THCS'!AY97+'6.THCS-THPT'!AY93</f>
        <v>0</v>
      </c>
      <c r="AZ154" s="43">
        <f>'1.MN'!AZ78+'2.TH'!AZ78+'3.THCS'!AZ76+'5.THPT'!AZ74+'4.TH-THCS'!AZ97+'6.THCS-THPT'!AZ93</f>
        <v>0</v>
      </c>
      <c r="BA154" s="34"/>
    </row>
    <row r="155" ht="15.75" customHeight="1">
      <c r="A155" s="29"/>
      <c r="B155" s="67" t="s">
        <v>120</v>
      </c>
      <c r="C155" s="31"/>
      <c r="D155" s="31" t="s">
        <v>30</v>
      </c>
      <c r="E155" s="41">
        <f t="shared" si="476"/>
        <v>13</v>
      </c>
      <c r="F155" s="42">
        <f>'1.MN'!F79+'2.TH'!F79+'3.THCS'!F77+'5.THPT'!F75+'4.TH-THCS'!F98+'6.THCS-THPT'!F94</f>
        <v>13</v>
      </c>
      <c r="G155" s="42">
        <f>'1.MN'!G79+'2.TH'!G79+'3.THCS'!G77+'5.THPT'!G75+'4.TH-THCS'!G98+'6.THCS-THPT'!G94</f>
        <v>0</v>
      </c>
      <c r="H155" s="42">
        <f>'1.MN'!H79+'2.TH'!H79+'3.THCS'!H77+'5.THPT'!H75+'4.TH-THCS'!H98+'6.THCS-THPT'!H94</f>
        <v>0</v>
      </c>
      <c r="I155" s="41">
        <f t="shared" si="477"/>
        <v>10</v>
      </c>
      <c r="J155" s="42">
        <f>'1.MN'!J79+'2.TH'!J79+'3.THCS'!J77+'5.THPT'!J75+'4.TH-THCS'!J98+'6.THCS-THPT'!J94</f>
        <v>10</v>
      </c>
      <c r="K155" s="42">
        <f>'1.MN'!K79+'2.TH'!K79+'3.THCS'!K77+'5.THPT'!K75+'4.TH-THCS'!K98+'6.THCS-THPT'!K94</f>
        <v>0</v>
      </c>
      <c r="L155" s="42">
        <f>'1.MN'!L79+'2.TH'!L79+'3.THCS'!L77+'5.THPT'!L75+'4.TH-THCS'!L98+'6.THCS-THPT'!L94</f>
        <v>0</v>
      </c>
      <c r="M155" s="41">
        <f t="shared" si="478"/>
        <v>9</v>
      </c>
      <c r="N155" s="42">
        <f>'1.MN'!N79+'2.TH'!N79+'3.THCS'!N77+'5.THPT'!N75+'4.TH-THCS'!N98+'6.THCS-THPT'!N94</f>
        <v>9</v>
      </c>
      <c r="O155" s="42">
        <f>'1.MN'!O79+'2.TH'!O79+'3.THCS'!O77+'5.THPT'!O75+'4.TH-THCS'!O98+'6.THCS-THPT'!O94</f>
        <v>0</v>
      </c>
      <c r="P155" s="42">
        <f>'1.MN'!P79+'2.TH'!P79+'3.THCS'!P77+'5.THPT'!P75+'4.TH-THCS'!P98+'6.THCS-THPT'!P94</f>
        <v>0</v>
      </c>
      <c r="Q155" s="41">
        <f t="shared" si="479"/>
        <v>7</v>
      </c>
      <c r="R155" s="42">
        <f>'1.MN'!R79+'2.TH'!R79+'3.THCS'!R77+'5.THPT'!R75+'4.TH-THCS'!R98+'6.THCS-THPT'!R94</f>
        <v>7</v>
      </c>
      <c r="S155" s="42">
        <f>'1.MN'!S79+'2.TH'!S79+'3.THCS'!S77+'5.THPT'!S75+'4.TH-THCS'!S98+'6.THCS-THPT'!S94</f>
        <v>0</v>
      </c>
      <c r="T155" s="42">
        <f>'1.MN'!T79+'2.TH'!T79+'3.THCS'!T77+'5.THPT'!T75+'4.TH-THCS'!T98+'6.THCS-THPT'!T94</f>
        <v>0</v>
      </c>
      <c r="U155" s="41">
        <f t="shared" si="480"/>
        <v>8</v>
      </c>
      <c r="V155" s="42">
        <f>'1.MN'!V79+'2.TH'!V79+'3.THCS'!V77+'5.THPT'!V75+'4.TH-THCS'!V98+'6.THCS-THPT'!V94</f>
        <v>8</v>
      </c>
      <c r="W155" s="42">
        <f>'1.MN'!W79+'2.TH'!W79+'3.THCS'!W77+'5.THPT'!W75+'4.TH-THCS'!W98+'6.THCS-THPT'!W94</f>
        <v>0</v>
      </c>
      <c r="X155" s="42">
        <f>'1.MN'!X79+'2.TH'!X79+'3.THCS'!X77+'5.THPT'!X75+'4.TH-THCS'!X98+'6.THCS-THPT'!X94</f>
        <v>0</v>
      </c>
      <c r="Y155" s="41">
        <f t="shared" si="481"/>
        <v>8</v>
      </c>
      <c r="Z155" s="42">
        <f>'1.MN'!Z79+'2.TH'!Z79+'3.THCS'!Z77+'5.THPT'!Z75+'4.TH-THCS'!Z98+'6.THCS-THPT'!Z94</f>
        <v>8</v>
      </c>
      <c r="AA155" s="42">
        <f>'1.MN'!AA79+'2.TH'!AA79+'3.THCS'!AA77+'5.THPT'!AA75+'4.TH-THCS'!AA98+'6.THCS-THPT'!AA94</f>
        <v>0</v>
      </c>
      <c r="AB155" s="42">
        <f>'1.MN'!AB79+'2.TH'!AB79+'3.THCS'!AB77+'5.THPT'!AB75+'4.TH-THCS'!AB98+'6.THCS-THPT'!AB94</f>
        <v>0</v>
      </c>
      <c r="AC155" s="41">
        <f t="shared" si="482"/>
        <v>7</v>
      </c>
      <c r="AD155" s="42">
        <f>'1.MN'!AD79+'2.TH'!AD79+'3.THCS'!AD77+'5.THPT'!AD75+'4.TH-THCS'!AD98+'6.THCS-THPT'!AD94</f>
        <v>7</v>
      </c>
      <c r="AE155" s="42">
        <f>'1.MN'!AE79+'2.TH'!AE79+'3.THCS'!AE77+'5.THPT'!AE75+'4.TH-THCS'!AE98+'6.THCS-THPT'!AE94</f>
        <v>0</v>
      </c>
      <c r="AF155" s="42">
        <f>'1.MN'!AF79+'2.TH'!AF79+'3.THCS'!AF77+'5.THPT'!AF75+'4.TH-THCS'!AF98+'6.THCS-THPT'!AF94</f>
        <v>0</v>
      </c>
      <c r="AG155" s="41">
        <f t="shared" si="483"/>
        <v>0</v>
      </c>
      <c r="AH155" s="42">
        <f>'1.MN'!AH79+'2.TH'!AH79+'3.THCS'!AH77+'5.THPT'!AH75+'4.TH-THCS'!AH98+'6.THCS-THPT'!AH94</f>
        <v>0</v>
      </c>
      <c r="AI155" s="42">
        <f>'1.MN'!AI79+'2.TH'!AI79+'3.THCS'!AI77+'5.THPT'!AI75+'4.TH-THCS'!AI98+'6.THCS-THPT'!AI94</f>
        <v>0</v>
      </c>
      <c r="AJ155" s="42">
        <f>'1.MN'!AJ79+'2.TH'!AJ79+'3.THCS'!AJ77+'5.THPT'!AJ75+'4.TH-THCS'!AJ98+'6.THCS-THPT'!AJ94</f>
        <v>0</v>
      </c>
      <c r="AK155" s="41">
        <f t="shared" si="484"/>
        <v>0</v>
      </c>
      <c r="AL155" s="42">
        <f>'1.MN'!AL79+'2.TH'!AL79+'3.THCS'!AL77+'5.THPT'!AL75+'4.TH-THCS'!AL98+'6.THCS-THPT'!AL94</f>
        <v>0</v>
      </c>
      <c r="AM155" s="42">
        <f>'1.MN'!AM79+'2.TH'!AM79+'3.THCS'!AM77+'5.THPT'!AM75+'4.TH-THCS'!AM98+'6.THCS-THPT'!AM94</f>
        <v>0</v>
      </c>
      <c r="AN155" s="42">
        <f>'1.MN'!AN79+'2.TH'!AN79+'3.THCS'!AN77+'5.THPT'!AN75+'4.TH-THCS'!AN98+'6.THCS-THPT'!AN94</f>
        <v>0</v>
      </c>
      <c r="AO155" s="41">
        <f t="shared" si="485"/>
        <v>0</v>
      </c>
      <c r="AP155" s="42">
        <f>'1.MN'!AP79+'2.TH'!AP79+'3.THCS'!AP77+'5.THPT'!AP75+'4.TH-THCS'!AP98+'6.THCS-THPT'!AP94</f>
        <v>0</v>
      </c>
      <c r="AQ155" s="42">
        <f>'1.MN'!AQ79+'2.TH'!AQ79+'3.THCS'!AQ77+'5.THPT'!AQ75+'4.TH-THCS'!AQ98+'6.THCS-THPT'!AQ94</f>
        <v>0</v>
      </c>
      <c r="AR155" s="42">
        <f>'1.MN'!AR79+'2.TH'!AR79+'3.THCS'!AR77+'5.THPT'!AR75+'4.TH-THCS'!AR98+'6.THCS-THPT'!AR94</f>
        <v>0</v>
      </c>
      <c r="AS155" s="41">
        <f t="shared" si="486"/>
        <v>0</v>
      </c>
      <c r="AT155" s="42">
        <f>'1.MN'!AT79+'2.TH'!AT79+'3.THCS'!AT77+'5.THPT'!AT75+'4.TH-THCS'!AT98+'6.THCS-THPT'!AT94</f>
        <v>0</v>
      </c>
      <c r="AU155" s="42">
        <f>'1.MN'!AU79+'2.TH'!AU79+'3.THCS'!AU77+'5.THPT'!AU75+'4.TH-THCS'!AU98+'6.THCS-THPT'!AU94</f>
        <v>0</v>
      </c>
      <c r="AV155" s="42">
        <f>'1.MN'!AV79+'2.TH'!AV79+'3.THCS'!AV77+'5.THPT'!AV75+'4.TH-THCS'!AV98+'6.THCS-THPT'!AV94</f>
        <v>0</v>
      </c>
      <c r="AW155" s="41">
        <f t="shared" si="487"/>
        <v>0</v>
      </c>
      <c r="AX155" s="42">
        <f>'1.MN'!AX79+'2.TH'!AX79+'3.THCS'!AX77+'5.THPT'!AX75+'4.TH-THCS'!AX98+'6.THCS-THPT'!AX94</f>
        <v>0</v>
      </c>
      <c r="AY155" s="42">
        <f>'1.MN'!AY79+'2.TH'!AY79+'3.THCS'!AY77+'5.THPT'!AY75+'4.TH-THCS'!AY98+'6.THCS-THPT'!AY94</f>
        <v>0</v>
      </c>
      <c r="AZ155" s="43">
        <f>'1.MN'!AZ79+'2.TH'!AZ79+'3.THCS'!AZ77+'5.THPT'!AZ75+'4.TH-THCS'!AZ98+'6.THCS-THPT'!AZ94</f>
        <v>0</v>
      </c>
      <c r="BA155" s="34"/>
    </row>
    <row r="156" ht="15.75" customHeight="1">
      <c r="A156" s="29"/>
      <c r="B156" s="126" t="s">
        <v>127</v>
      </c>
      <c r="C156" s="57"/>
      <c r="D156" s="57" t="s">
        <v>116</v>
      </c>
      <c r="E156" s="125">
        <f t="shared" si="476"/>
        <v>39</v>
      </c>
      <c r="F156" s="125">
        <f t="shared" ref="F156:H156" si="488">F158+F159+F160</f>
        <v>39</v>
      </c>
      <c r="G156" s="125">
        <f t="shared" si="488"/>
        <v>0</v>
      </c>
      <c r="H156" s="125">
        <f t="shared" si="488"/>
        <v>0</v>
      </c>
      <c r="I156" s="125">
        <f t="shared" si="477"/>
        <v>36</v>
      </c>
      <c r="J156" s="125">
        <f t="shared" ref="J156:L156" si="489">J158+J159+J160</f>
        <v>36</v>
      </c>
      <c r="K156" s="125">
        <f t="shared" si="489"/>
        <v>0</v>
      </c>
      <c r="L156" s="125">
        <f t="shared" si="489"/>
        <v>0</v>
      </c>
      <c r="M156" s="125">
        <f t="shared" si="478"/>
        <v>36</v>
      </c>
      <c r="N156" s="125">
        <f t="shared" ref="N156:P156" si="490">N158+N159+N160</f>
        <v>36</v>
      </c>
      <c r="O156" s="125">
        <f t="shared" si="490"/>
        <v>0</v>
      </c>
      <c r="P156" s="125">
        <f t="shared" si="490"/>
        <v>0</v>
      </c>
      <c r="Q156" s="125">
        <f t="shared" si="479"/>
        <v>36</v>
      </c>
      <c r="R156" s="125">
        <f t="shared" ref="R156:T156" si="491">R158+R159+R160</f>
        <v>36</v>
      </c>
      <c r="S156" s="125">
        <f t="shared" si="491"/>
        <v>0</v>
      </c>
      <c r="T156" s="125">
        <f t="shared" si="491"/>
        <v>0</v>
      </c>
      <c r="U156" s="125">
        <f t="shared" si="480"/>
        <v>35</v>
      </c>
      <c r="V156" s="125">
        <f t="shared" ref="V156:X156" si="492">V158+V159+V160</f>
        <v>35</v>
      </c>
      <c r="W156" s="125">
        <f t="shared" si="492"/>
        <v>0</v>
      </c>
      <c r="X156" s="125">
        <f t="shared" si="492"/>
        <v>0</v>
      </c>
      <c r="Y156" s="125">
        <f t="shared" si="481"/>
        <v>35</v>
      </c>
      <c r="Z156" s="125">
        <f t="shared" ref="Z156:AB156" si="493">Z158+Z159+Z160</f>
        <v>35</v>
      </c>
      <c r="AA156" s="125">
        <f t="shared" si="493"/>
        <v>0</v>
      </c>
      <c r="AB156" s="125">
        <f t="shared" si="493"/>
        <v>0</v>
      </c>
      <c r="AC156" s="125">
        <f t="shared" si="482"/>
        <v>35</v>
      </c>
      <c r="AD156" s="125">
        <f t="shared" ref="AD156:AF156" si="494">AD158+AD159+AD160</f>
        <v>35</v>
      </c>
      <c r="AE156" s="125">
        <f t="shared" si="494"/>
        <v>0</v>
      </c>
      <c r="AF156" s="125">
        <f t="shared" si="494"/>
        <v>0</v>
      </c>
      <c r="AG156" s="125">
        <f t="shared" si="483"/>
        <v>3</v>
      </c>
      <c r="AH156" s="125">
        <f t="shared" ref="AH156:AJ156" si="495">AH158+AH159+AH160</f>
        <v>3</v>
      </c>
      <c r="AI156" s="125">
        <f t="shared" si="495"/>
        <v>0</v>
      </c>
      <c r="AJ156" s="125">
        <f t="shared" si="495"/>
        <v>0</v>
      </c>
      <c r="AK156" s="125">
        <f t="shared" si="484"/>
        <v>0</v>
      </c>
      <c r="AL156" s="125">
        <f t="shared" ref="AL156:AN156" si="496">AL158+AL159+AL160</f>
        <v>0</v>
      </c>
      <c r="AM156" s="125">
        <f t="shared" si="496"/>
        <v>0</v>
      </c>
      <c r="AN156" s="125">
        <f t="shared" si="496"/>
        <v>0</v>
      </c>
      <c r="AO156" s="125">
        <f t="shared" si="485"/>
        <v>0</v>
      </c>
      <c r="AP156" s="125">
        <f t="shared" ref="AP156:AR156" si="497">AP158+AP159+AP160</f>
        <v>0</v>
      </c>
      <c r="AQ156" s="125">
        <f t="shared" si="497"/>
        <v>0</v>
      </c>
      <c r="AR156" s="125">
        <f t="shared" si="497"/>
        <v>0</v>
      </c>
      <c r="AS156" s="125">
        <f t="shared" si="486"/>
        <v>0</v>
      </c>
      <c r="AT156" s="125">
        <f t="shared" ref="AT156:AV156" si="498">AT158+AT159+AT160</f>
        <v>0</v>
      </c>
      <c r="AU156" s="125">
        <f t="shared" si="498"/>
        <v>0</v>
      </c>
      <c r="AV156" s="125">
        <f t="shared" si="498"/>
        <v>0</v>
      </c>
      <c r="AW156" s="125">
        <f t="shared" si="487"/>
        <v>0</v>
      </c>
      <c r="AX156" s="125">
        <f t="shared" ref="AX156:AZ156" si="499">AX158+AX159+AX160</f>
        <v>0</v>
      </c>
      <c r="AY156" s="125">
        <f t="shared" si="499"/>
        <v>0</v>
      </c>
      <c r="AZ156" s="127">
        <f t="shared" si="499"/>
        <v>0</v>
      </c>
      <c r="BA156" s="34"/>
    </row>
    <row r="157" ht="15.75" customHeight="1">
      <c r="A157" s="29"/>
      <c r="B157" s="48" t="s">
        <v>52</v>
      </c>
      <c r="C157" s="49"/>
      <c r="D157" s="31" t="s">
        <v>30</v>
      </c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50"/>
      <c r="BA157" s="34"/>
    </row>
    <row r="158" ht="15.75" customHeight="1">
      <c r="A158" s="29"/>
      <c r="B158" s="67" t="s">
        <v>118</v>
      </c>
      <c r="C158" s="31"/>
      <c r="D158" s="31" t="s">
        <v>30</v>
      </c>
      <c r="E158" s="41">
        <f t="shared" ref="E158:E160" si="500">F158+G158+H158</f>
        <v>37</v>
      </c>
      <c r="F158" s="42">
        <f>'2.TH'!F82+'3.THCS'!F80+'5.THPT'!F78+'4.TH-THCS'!F101+'6.THCS-THPT'!F97</f>
        <v>37</v>
      </c>
      <c r="G158" s="42">
        <f>'2.TH'!G82+'3.THCS'!G80+'5.THPT'!G78+'4.TH-THCS'!G101+'6.THCS-THPT'!G97</f>
        <v>0</v>
      </c>
      <c r="H158" s="42">
        <f>'2.TH'!H82+'3.THCS'!H80+'5.THPT'!H78+'4.TH-THCS'!H101+'6.THCS-THPT'!H97</f>
        <v>0</v>
      </c>
      <c r="I158" s="41">
        <f t="shared" ref="I158:I160" si="501">J158+K158+L158</f>
        <v>35</v>
      </c>
      <c r="J158" s="42">
        <f>'2.TH'!J82+'3.THCS'!J80+'5.THPT'!J78+'4.TH-THCS'!J101+'6.THCS-THPT'!J97</f>
        <v>35</v>
      </c>
      <c r="K158" s="42">
        <f>'2.TH'!K82+'3.THCS'!K80+'5.THPT'!K78+'4.TH-THCS'!K101+'6.THCS-THPT'!K97</f>
        <v>0</v>
      </c>
      <c r="L158" s="42">
        <f>'2.TH'!L82+'3.THCS'!L80+'5.THPT'!L78+'4.TH-THCS'!L101+'6.THCS-THPT'!L97</f>
        <v>0</v>
      </c>
      <c r="M158" s="41">
        <f t="shared" ref="M158:M160" si="502">N158+O158+P158</f>
        <v>35</v>
      </c>
      <c r="N158" s="42">
        <f>'2.TH'!N82+'3.THCS'!N80+'5.THPT'!N78+'4.TH-THCS'!N101+'6.THCS-THPT'!N97</f>
        <v>35</v>
      </c>
      <c r="O158" s="42">
        <f>'2.TH'!O82+'3.THCS'!O80+'5.THPT'!O78+'4.TH-THCS'!O101+'6.THCS-THPT'!O97</f>
        <v>0</v>
      </c>
      <c r="P158" s="42">
        <f>'2.TH'!P82+'3.THCS'!P80+'5.THPT'!P78+'4.TH-THCS'!P101+'6.THCS-THPT'!P97</f>
        <v>0</v>
      </c>
      <c r="Q158" s="41">
        <f t="shared" ref="Q158:Q160" si="503">R158+S158+T158</f>
        <v>35</v>
      </c>
      <c r="R158" s="42">
        <f>'2.TH'!R82+'3.THCS'!R80+'5.THPT'!R78+'4.TH-THCS'!R101+'6.THCS-THPT'!R97</f>
        <v>35</v>
      </c>
      <c r="S158" s="42">
        <f>'2.TH'!S82+'3.THCS'!S80+'5.THPT'!S78+'4.TH-THCS'!S101+'6.THCS-THPT'!S97</f>
        <v>0</v>
      </c>
      <c r="T158" s="42">
        <f>'2.TH'!T82+'3.THCS'!T80+'5.THPT'!T78+'4.TH-THCS'!T101+'6.THCS-THPT'!T97</f>
        <v>0</v>
      </c>
      <c r="U158" s="41">
        <f t="shared" ref="U158:U160" si="504">V158+W158+X158</f>
        <v>34</v>
      </c>
      <c r="V158" s="42">
        <f>'2.TH'!V82+'3.THCS'!V80+'5.THPT'!V78+'4.TH-THCS'!V101+'6.THCS-THPT'!V97</f>
        <v>34</v>
      </c>
      <c r="W158" s="42">
        <f>'2.TH'!W82+'3.THCS'!W80+'5.THPT'!W78+'4.TH-THCS'!W101+'6.THCS-THPT'!W97</f>
        <v>0</v>
      </c>
      <c r="X158" s="42">
        <f>'2.TH'!X82+'3.THCS'!X80+'5.THPT'!X78+'4.TH-THCS'!X101+'6.THCS-THPT'!X97</f>
        <v>0</v>
      </c>
      <c r="Y158" s="41">
        <f t="shared" ref="Y158:Y160" si="505">Z158+AA158+AB158</f>
        <v>34</v>
      </c>
      <c r="Z158" s="42">
        <f>'2.TH'!Z82+'3.THCS'!Z80+'5.THPT'!Z78+'4.TH-THCS'!Z101+'6.THCS-THPT'!Z97</f>
        <v>34</v>
      </c>
      <c r="AA158" s="42">
        <f>'2.TH'!AA82+'3.THCS'!AA80+'5.THPT'!AA78+'4.TH-THCS'!AA101+'6.THCS-THPT'!AA97</f>
        <v>0</v>
      </c>
      <c r="AB158" s="42">
        <f>'2.TH'!AB82+'3.THCS'!AB80+'5.THPT'!AB78+'4.TH-THCS'!AB101+'6.THCS-THPT'!AB97</f>
        <v>0</v>
      </c>
      <c r="AC158" s="41">
        <f t="shared" ref="AC158:AC160" si="506">AD158+AE158+AF158</f>
        <v>34</v>
      </c>
      <c r="AD158" s="42">
        <f>'2.TH'!AD82+'3.THCS'!AD80+'5.THPT'!AD78+'4.TH-THCS'!AD101+'6.THCS-THPT'!AD97</f>
        <v>34</v>
      </c>
      <c r="AE158" s="42">
        <f>'2.TH'!AE82+'3.THCS'!AE80+'5.THPT'!AE78+'4.TH-THCS'!AE101+'6.THCS-THPT'!AE97</f>
        <v>0</v>
      </c>
      <c r="AF158" s="42">
        <f>'2.TH'!AF82+'3.THCS'!AF80+'5.THPT'!AF78+'4.TH-THCS'!AF101+'6.THCS-THPT'!AF97</f>
        <v>0</v>
      </c>
      <c r="AG158" s="41">
        <f t="shared" ref="AG158:AG160" si="507">AH158+AI158+AJ158</f>
        <v>3</v>
      </c>
      <c r="AH158" s="42">
        <f>'2.TH'!AH82+'3.THCS'!AH80+'5.THPT'!AH78+'4.TH-THCS'!AH101+'6.THCS-THPT'!AH97</f>
        <v>3</v>
      </c>
      <c r="AI158" s="42">
        <f>'2.TH'!AI82+'3.THCS'!AI80+'5.THPT'!AI78+'4.TH-THCS'!AI101+'6.THCS-THPT'!AI97</f>
        <v>0</v>
      </c>
      <c r="AJ158" s="42">
        <f>'2.TH'!AJ82+'3.THCS'!AJ80+'5.THPT'!AJ78+'4.TH-THCS'!AJ101+'6.THCS-THPT'!AJ97</f>
        <v>0</v>
      </c>
      <c r="AK158" s="41">
        <f t="shared" ref="AK158:AK160" si="508">AL158+AM158+AN158</f>
        <v>0</v>
      </c>
      <c r="AL158" s="42">
        <f>'2.TH'!AL82+'3.THCS'!AL80+'5.THPT'!AL78+'4.TH-THCS'!AL101+'6.THCS-THPT'!AL97</f>
        <v>0</v>
      </c>
      <c r="AM158" s="42">
        <f>'2.TH'!AM82+'3.THCS'!AM80+'5.THPT'!AM78+'4.TH-THCS'!AM101+'6.THCS-THPT'!AM97</f>
        <v>0</v>
      </c>
      <c r="AN158" s="42">
        <f>'2.TH'!AN82+'3.THCS'!AN80+'5.THPT'!AN78+'4.TH-THCS'!AN101+'6.THCS-THPT'!AN97</f>
        <v>0</v>
      </c>
      <c r="AO158" s="41">
        <f t="shared" ref="AO158:AO160" si="509">AP158+AQ158+AR158</f>
        <v>0</v>
      </c>
      <c r="AP158" s="42">
        <f>'2.TH'!AP82+'3.THCS'!AP80+'5.THPT'!AP78+'4.TH-THCS'!AP101+'6.THCS-THPT'!AP97</f>
        <v>0</v>
      </c>
      <c r="AQ158" s="42">
        <f>'2.TH'!AQ82+'3.THCS'!AQ80+'5.THPT'!AQ78+'4.TH-THCS'!AQ101+'6.THCS-THPT'!AQ97</f>
        <v>0</v>
      </c>
      <c r="AR158" s="42">
        <f>'2.TH'!AR82+'3.THCS'!AR80+'5.THPT'!AR78+'4.TH-THCS'!AR101+'6.THCS-THPT'!AR97</f>
        <v>0</v>
      </c>
      <c r="AS158" s="41">
        <f t="shared" ref="AS158:AS160" si="510">AT158+AU158+AV158</f>
        <v>0</v>
      </c>
      <c r="AT158" s="42">
        <f>'2.TH'!AT82+'3.THCS'!AT80+'5.THPT'!AT78+'4.TH-THCS'!AT101+'6.THCS-THPT'!AT97</f>
        <v>0</v>
      </c>
      <c r="AU158" s="42">
        <f>'2.TH'!AU82+'3.THCS'!AU80+'5.THPT'!AU78+'4.TH-THCS'!AU101+'6.THCS-THPT'!AU97</f>
        <v>0</v>
      </c>
      <c r="AV158" s="42">
        <f>'2.TH'!AV82+'3.THCS'!AV80+'5.THPT'!AV78+'4.TH-THCS'!AV101+'6.THCS-THPT'!AV97</f>
        <v>0</v>
      </c>
      <c r="AW158" s="41">
        <f t="shared" ref="AW158:AW160" si="511">AX158+AY158+AZ158</f>
        <v>0</v>
      </c>
      <c r="AX158" s="42">
        <f>'2.TH'!AX82+'3.THCS'!AX80+'5.THPT'!AX78+'4.TH-THCS'!AX101+'6.THCS-THPT'!AX97</f>
        <v>0</v>
      </c>
      <c r="AY158" s="42">
        <f>'2.TH'!AY82+'3.THCS'!AY80+'5.THPT'!AY78+'4.TH-THCS'!AY101+'6.THCS-THPT'!AY97</f>
        <v>0</v>
      </c>
      <c r="AZ158" s="43">
        <f>'2.TH'!AZ82+'3.THCS'!AZ80+'5.THPT'!AZ78+'4.TH-THCS'!AZ101+'6.THCS-THPT'!AZ97</f>
        <v>0</v>
      </c>
      <c r="BA158" s="34"/>
    </row>
    <row r="159" ht="15.75" customHeight="1">
      <c r="A159" s="29"/>
      <c r="B159" s="67" t="s">
        <v>119</v>
      </c>
      <c r="C159" s="31"/>
      <c r="D159" s="31" t="s">
        <v>30</v>
      </c>
      <c r="E159" s="41">
        <f t="shared" si="500"/>
        <v>1</v>
      </c>
      <c r="F159" s="42">
        <f>'2.TH'!F83+'3.THCS'!F81+'5.THPT'!F79+'4.TH-THCS'!F102+'6.THCS-THPT'!F98</f>
        <v>1</v>
      </c>
      <c r="G159" s="42">
        <f>'2.TH'!G83+'3.THCS'!G81+'5.THPT'!G79+'4.TH-THCS'!G102+'6.THCS-THPT'!G98</f>
        <v>0</v>
      </c>
      <c r="H159" s="42">
        <f>'2.TH'!H83+'3.THCS'!H81+'5.THPT'!H79+'4.TH-THCS'!H102+'6.THCS-THPT'!H98</f>
        <v>0</v>
      </c>
      <c r="I159" s="41">
        <f t="shared" si="501"/>
        <v>1</v>
      </c>
      <c r="J159" s="42">
        <f>'2.TH'!J83+'3.THCS'!J81+'5.THPT'!J79+'4.TH-THCS'!J102+'6.THCS-THPT'!J98</f>
        <v>1</v>
      </c>
      <c r="K159" s="42">
        <f>'2.TH'!K83+'3.THCS'!K81+'5.THPT'!K79+'4.TH-THCS'!K102+'6.THCS-THPT'!K98</f>
        <v>0</v>
      </c>
      <c r="L159" s="42">
        <f>'2.TH'!L83+'3.THCS'!L81+'5.THPT'!L79+'4.TH-THCS'!L102+'6.THCS-THPT'!L98</f>
        <v>0</v>
      </c>
      <c r="M159" s="41">
        <f t="shared" si="502"/>
        <v>1</v>
      </c>
      <c r="N159" s="42">
        <f>'2.TH'!N83+'3.THCS'!N81+'5.THPT'!N79+'4.TH-THCS'!N102+'6.THCS-THPT'!N98</f>
        <v>1</v>
      </c>
      <c r="O159" s="42">
        <f>'2.TH'!O83+'3.THCS'!O81+'5.THPT'!O79+'4.TH-THCS'!O102+'6.THCS-THPT'!O98</f>
        <v>0</v>
      </c>
      <c r="P159" s="42">
        <f>'2.TH'!P83+'3.THCS'!P81+'5.THPT'!P79+'4.TH-THCS'!P102+'6.THCS-THPT'!P98</f>
        <v>0</v>
      </c>
      <c r="Q159" s="41">
        <f t="shared" si="503"/>
        <v>1</v>
      </c>
      <c r="R159" s="42">
        <f>'2.TH'!R83+'3.THCS'!R81+'5.THPT'!R79+'4.TH-THCS'!R102+'6.THCS-THPT'!R98</f>
        <v>1</v>
      </c>
      <c r="S159" s="42">
        <f>'2.TH'!S83+'3.THCS'!S81+'5.THPT'!S79+'4.TH-THCS'!S102+'6.THCS-THPT'!S98</f>
        <v>0</v>
      </c>
      <c r="T159" s="42">
        <f>'2.TH'!T83+'3.THCS'!T81+'5.THPT'!T79+'4.TH-THCS'!T102+'6.THCS-THPT'!T98</f>
        <v>0</v>
      </c>
      <c r="U159" s="41">
        <f t="shared" si="504"/>
        <v>1</v>
      </c>
      <c r="V159" s="42">
        <f>'2.TH'!V83+'3.THCS'!V81+'5.THPT'!V79+'4.TH-THCS'!V102+'6.THCS-THPT'!V98</f>
        <v>1</v>
      </c>
      <c r="W159" s="42">
        <f>'2.TH'!W83+'3.THCS'!W81+'5.THPT'!W79+'4.TH-THCS'!W102+'6.THCS-THPT'!W98</f>
        <v>0</v>
      </c>
      <c r="X159" s="42">
        <f>'2.TH'!X83+'3.THCS'!X81+'5.THPT'!X79+'4.TH-THCS'!X102+'6.THCS-THPT'!X98</f>
        <v>0</v>
      </c>
      <c r="Y159" s="41">
        <f t="shared" si="505"/>
        <v>1</v>
      </c>
      <c r="Z159" s="42">
        <f>'2.TH'!Z83+'3.THCS'!Z81+'5.THPT'!Z79+'4.TH-THCS'!Z102+'6.THCS-THPT'!Z98</f>
        <v>1</v>
      </c>
      <c r="AA159" s="42">
        <f>'2.TH'!AA83+'3.THCS'!AA81+'5.THPT'!AA79+'4.TH-THCS'!AA102+'6.THCS-THPT'!AA98</f>
        <v>0</v>
      </c>
      <c r="AB159" s="42">
        <f>'2.TH'!AB83+'3.THCS'!AB81+'5.THPT'!AB79+'4.TH-THCS'!AB102+'6.THCS-THPT'!AB98</f>
        <v>0</v>
      </c>
      <c r="AC159" s="41">
        <f t="shared" si="506"/>
        <v>1</v>
      </c>
      <c r="AD159" s="42">
        <f>'2.TH'!AD83+'3.THCS'!AD81+'5.THPT'!AD79+'4.TH-THCS'!AD102+'6.THCS-THPT'!AD98</f>
        <v>1</v>
      </c>
      <c r="AE159" s="42">
        <f>'2.TH'!AE83+'3.THCS'!AE81+'5.THPT'!AE79+'4.TH-THCS'!AE102+'6.THCS-THPT'!AE98</f>
        <v>0</v>
      </c>
      <c r="AF159" s="42">
        <f>'2.TH'!AF83+'3.THCS'!AF81+'5.THPT'!AF79+'4.TH-THCS'!AF102+'6.THCS-THPT'!AF98</f>
        <v>0</v>
      </c>
      <c r="AG159" s="41">
        <f t="shared" si="507"/>
        <v>0</v>
      </c>
      <c r="AH159" s="42">
        <f>'2.TH'!AH83+'3.THCS'!AH81+'5.THPT'!AH79+'4.TH-THCS'!AH102+'6.THCS-THPT'!AH98</f>
        <v>0</v>
      </c>
      <c r="AI159" s="42">
        <f>'2.TH'!AI83+'3.THCS'!AI81+'5.THPT'!AI79+'4.TH-THCS'!AI102+'6.THCS-THPT'!AI98</f>
        <v>0</v>
      </c>
      <c r="AJ159" s="42">
        <f>'2.TH'!AJ83+'3.THCS'!AJ81+'5.THPT'!AJ79+'4.TH-THCS'!AJ102+'6.THCS-THPT'!AJ98</f>
        <v>0</v>
      </c>
      <c r="AK159" s="41">
        <f t="shared" si="508"/>
        <v>0</v>
      </c>
      <c r="AL159" s="42">
        <f>'2.TH'!AL83+'3.THCS'!AL81+'5.THPT'!AL79+'4.TH-THCS'!AL102+'6.THCS-THPT'!AL98</f>
        <v>0</v>
      </c>
      <c r="AM159" s="42">
        <f>'2.TH'!AM83+'3.THCS'!AM81+'5.THPT'!AM79+'4.TH-THCS'!AM102+'6.THCS-THPT'!AM98</f>
        <v>0</v>
      </c>
      <c r="AN159" s="42">
        <f>'2.TH'!AN83+'3.THCS'!AN81+'5.THPT'!AN79+'4.TH-THCS'!AN102+'6.THCS-THPT'!AN98</f>
        <v>0</v>
      </c>
      <c r="AO159" s="41">
        <f t="shared" si="509"/>
        <v>0</v>
      </c>
      <c r="AP159" s="42">
        <f>'2.TH'!AP83+'3.THCS'!AP81+'5.THPT'!AP79+'4.TH-THCS'!AP102+'6.THCS-THPT'!AP98</f>
        <v>0</v>
      </c>
      <c r="AQ159" s="42">
        <f>'2.TH'!AQ83+'3.THCS'!AQ81+'5.THPT'!AQ79+'4.TH-THCS'!AQ102+'6.THCS-THPT'!AQ98</f>
        <v>0</v>
      </c>
      <c r="AR159" s="42">
        <f>'2.TH'!AR83+'3.THCS'!AR81+'5.THPT'!AR79+'4.TH-THCS'!AR102+'6.THCS-THPT'!AR98</f>
        <v>0</v>
      </c>
      <c r="AS159" s="41">
        <f t="shared" si="510"/>
        <v>0</v>
      </c>
      <c r="AT159" s="42">
        <f>'2.TH'!AT83+'3.THCS'!AT81+'5.THPT'!AT79+'4.TH-THCS'!AT102+'6.THCS-THPT'!AT98</f>
        <v>0</v>
      </c>
      <c r="AU159" s="42">
        <f>'2.TH'!AU83+'3.THCS'!AU81+'5.THPT'!AU79+'4.TH-THCS'!AU102+'6.THCS-THPT'!AU98</f>
        <v>0</v>
      </c>
      <c r="AV159" s="42">
        <f>'2.TH'!AV83+'3.THCS'!AV81+'5.THPT'!AV79+'4.TH-THCS'!AV102+'6.THCS-THPT'!AV98</f>
        <v>0</v>
      </c>
      <c r="AW159" s="41">
        <f t="shared" si="511"/>
        <v>0</v>
      </c>
      <c r="AX159" s="42">
        <f>'2.TH'!AX83+'3.THCS'!AX81+'5.THPT'!AX79+'4.TH-THCS'!AX102+'6.THCS-THPT'!AX98</f>
        <v>0</v>
      </c>
      <c r="AY159" s="42">
        <f>'2.TH'!AY83+'3.THCS'!AY81+'5.THPT'!AY79+'4.TH-THCS'!AY102+'6.THCS-THPT'!AY98</f>
        <v>0</v>
      </c>
      <c r="AZ159" s="43">
        <f>'2.TH'!AZ83+'3.THCS'!AZ81+'5.THPT'!AZ79+'4.TH-THCS'!AZ102+'6.THCS-THPT'!AZ98</f>
        <v>0</v>
      </c>
      <c r="BA159" s="34"/>
    </row>
    <row r="160" ht="15.75" customHeight="1">
      <c r="A160" s="29"/>
      <c r="B160" s="128" t="s">
        <v>120</v>
      </c>
      <c r="C160" s="129"/>
      <c r="D160" s="129" t="s">
        <v>30</v>
      </c>
      <c r="E160" s="130">
        <f t="shared" si="500"/>
        <v>1</v>
      </c>
      <c r="F160" s="131">
        <f>'2.TH'!F84+'3.THCS'!F82+'5.THPT'!F80+'4.TH-THCS'!F103+'6.THCS-THPT'!F99</f>
        <v>1</v>
      </c>
      <c r="G160" s="131">
        <f>'2.TH'!G84+'3.THCS'!G82+'5.THPT'!G80+'4.TH-THCS'!G103+'6.THCS-THPT'!G99</f>
        <v>0</v>
      </c>
      <c r="H160" s="131">
        <f>'2.TH'!H84+'3.THCS'!H82+'5.THPT'!H80+'4.TH-THCS'!H103+'6.THCS-THPT'!H99</f>
        <v>0</v>
      </c>
      <c r="I160" s="130">
        <f t="shared" si="501"/>
        <v>0</v>
      </c>
      <c r="J160" s="131">
        <f>'2.TH'!J84+'3.THCS'!J82+'5.THPT'!J80+'4.TH-THCS'!J103+'6.THCS-THPT'!J99</f>
        <v>0</v>
      </c>
      <c r="K160" s="131">
        <f>'2.TH'!K84+'3.THCS'!K82+'5.THPT'!K80+'4.TH-THCS'!K103+'6.THCS-THPT'!K99</f>
        <v>0</v>
      </c>
      <c r="L160" s="131">
        <f>'2.TH'!L84+'3.THCS'!L82+'5.THPT'!L80+'4.TH-THCS'!L103+'6.THCS-THPT'!L99</f>
        <v>0</v>
      </c>
      <c r="M160" s="130">
        <f t="shared" si="502"/>
        <v>0</v>
      </c>
      <c r="N160" s="131">
        <f>'2.TH'!N84+'3.THCS'!N82+'5.THPT'!N80+'4.TH-THCS'!N103+'6.THCS-THPT'!N99</f>
        <v>0</v>
      </c>
      <c r="O160" s="131">
        <f>'2.TH'!O84+'3.THCS'!O82+'5.THPT'!O80+'4.TH-THCS'!O103+'6.THCS-THPT'!O99</f>
        <v>0</v>
      </c>
      <c r="P160" s="131">
        <f>'2.TH'!P84+'3.THCS'!P82+'5.THPT'!P80+'4.TH-THCS'!P103+'6.THCS-THPT'!P99</f>
        <v>0</v>
      </c>
      <c r="Q160" s="130">
        <f t="shared" si="503"/>
        <v>0</v>
      </c>
      <c r="R160" s="131">
        <f>'2.TH'!R84+'3.THCS'!R82+'5.THPT'!R80+'4.TH-THCS'!R103+'6.THCS-THPT'!R99</f>
        <v>0</v>
      </c>
      <c r="S160" s="131">
        <f>'2.TH'!S84+'3.THCS'!S82+'5.THPT'!S80+'4.TH-THCS'!S103+'6.THCS-THPT'!S99</f>
        <v>0</v>
      </c>
      <c r="T160" s="131">
        <f>'2.TH'!T84+'3.THCS'!T82+'5.THPT'!T80+'4.TH-THCS'!T103+'6.THCS-THPT'!T99</f>
        <v>0</v>
      </c>
      <c r="U160" s="130">
        <f t="shared" si="504"/>
        <v>0</v>
      </c>
      <c r="V160" s="131">
        <f>'2.TH'!V84+'3.THCS'!V82+'5.THPT'!V80+'4.TH-THCS'!V103+'6.THCS-THPT'!V99</f>
        <v>0</v>
      </c>
      <c r="W160" s="131">
        <f>'2.TH'!W84+'3.THCS'!W82+'5.THPT'!W80+'4.TH-THCS'!W103+'6.THCS-THPT'!W99</f>
        <v>0</v>
      </c>
      <c r="X160" s="131">
        <f>'2.TH'!X84+'3.THCS'!X82+'5.THPT'!X80+'4.TH-THCS'!X103+'6.THCS-THPT'!X99</f>
        <v>0</v>
      </c>
      <c r="Y160" s="130">
        <f t="shared" si="505"/>
        <v>0</v>
      </c>
      <c r="Z160" s="131">
        <f>'2.TH'!Z84+'3.THCS'!Z82+'5.THPT'!Z80+'4.TH-THCS'!Z103+'6.THCS-THPT'!Z99</f>
        <v>0</v>
      </c>
      <c r="AA160" s="131">
        <f>'2.TH'!AA84+'3.THCS'!AA82+'5.THPT'!AA80+'4.TH-THCS'!AA103+'6.THCS-THPT'!AA99</f>
        <v>0</v>
      </c>
      <c r="AB160" s="131">
        <f>'2.TH'!AB84+'3.THCS'!AB82+'5.THPT'!AB80+'4.TH-THCS'!AB103+'6.THCS-THPT'!AB99</f>
        <v>0</v>
      </c>
      <c r="AC160" s="130">
        <f t="shared" si="506"/>
        <v>0</v>
      </c>
      <c r="AD160" s="131">
        <f>'2.TH'!AD84+'3.THCS'!AD82+'5.THPT'!AD80+'4.TH-THCS'!AD103+'6.THCS-THPT'!AD99</f>
        <v>0</v>
      </c>
      <c r="AE160" s="131">
        <f>'2.TH'!AE84+'3.THCS'!AE82+'5.THPT'!AE80+'4.TH-THCS'!AE103+'6.THCS-THPT'!AE99</f>
        <v>0</v>
      </c>
      <c r="AF160" s="131">
        <f>'2.TH'!AF84+'3.THCS'!AF82+'5.THPT'!AF80+'4.TH-THCS'!AF103+'6.THCS-THPT'!AF99</f>
        <v>0</v>
      </c>
      <c r="AG160" s="130">
        <f t="shared" si="507"/>
        <v>0</v>
      </c>
      <c r="AH160" s="131">
        <f>'2.TH'!AH84+'3.THCS'!AH82+'5.THPT'!AH80+'4.TH-THCS'!AH103+'6.THCS-THPT'!AH99</f>
        <v>0</v>
      </c>
      <c r="AI160" s="131">
        <f>'2.TH'!AI84+'3.THCS'!AI82+'5.THPT'!AI80+'4.TH-THCS'!AI103+'6.THCS-THPT'!AI99</f>
        <v>0</v>
      </c>
      <c r="AJ160" s="131">
        <f>'2.TH'!AJ84+'3.THCS'!AJ82+'5.THPT'!AJ80+'4.TH-THCS'!AJ103+'6.THCS-THPT'!AJ99</f>
        <v>0</v>
      </c>
      <c r="AK160" s="130">
        <f t="shared" si="508"/>
        <v>0</v>
      </c>
      <c r="AL160" s="131">
        <f>'2.TH'!AL84+'3.THCS'!AL82+'5.THPT'!AL80+'4.TH-THCS'!AL103+'6.THCS-THPT'!AL99</f>
        <v>0</v>
      </c>
      <c r="AM160" s="131">
        <f>'2.TH'!AM84+'3.THCS'!AM82+'5.THPT'!AM80+'4.TH-THCS'!AM103+'6.THCS-THPT'!AM99</f>
        <v>0</v>
      </c>
      <c r="AN160" s="131">
        <f>'2.TH'!AN84+'3.THCS'!AN82+'5.THPT'!AN80+'4.TH-THCS'!AN103+'6.THCS-THPT'!AN99</f>
        <v>0</v>
      </c>
      <c r="AO160" s="130">
        <f t="shared" si="509"/>
        <v>0</v>
      </c>
      <c r="AP160" s="131">
        <f>'2.TH'!AP84+'3.THCS'!AP82+'5.THPT'!AP80+'4.TH-THCS'!AP103+'6.THCS-THPT'!AP99</f>
        <v>0</v>
      </c>
      <c r="AQ160" s="131">
        <f>'2.TH'!AQ84+'3.THCS'!AQ82+'5.THPT'!AQ80+'4.TH-THCS'!AQ103+'6.THCS-THPT'!AQ99</f>
        <v>0</v>
      </c>
      <c r="AR160" s="131">
        <f>'2.TH'!AR84+'3.THCS'!AR82+'5.THPT'!AR80+'4.TH-THCS'!AR103+'6.THCS-THPT'!AR99</f>
        <v>0</v>
      </c>
      <c r="AS160" s="130">
        <f t="shared" si="510"/>
        <v>0</v>
      </c>
      <c r="AT160" s="131">
        <f>'2.TH'!AT84+'3.THCS'!AT82+'5.THPT'!AT80+'4.TH-THCS'!AT103+'6.THCS-THPT'!AT99</f>
        <v>0</v>
      </c>
      <c r="AU160" s="131">
        <f>'2.TH'!AU84+'3.THCS'!AU82+'5.THPT'!AU80+'4.TH-THCS'!AU103+'6.THCS-THPT'!AU99</f>
        <v>0</v>
      </c>
      <c r="AV160" s="131">
        <f>'2.TH'!AV84+'3.THCS'!AV82+'5.THPT'!AV80+'4.TH-THCS'!AV103+'6.THCS-THPT'!AV99</f>
        <v>0</v>
      </c>
      <c r="AW160" s="130">
        <f t="shared" si="511"/>
        <v>0</v>
      </c>
      <c r="AX160" s="131">
        <f>'2.TH'!AX84+'3.THCS'!AX82+'5.THPT'!AX80+'4.TH-THCS'!AX103+'6.THCS-THPT'!AX99</f>
        <v>0</v>
      </c>
      <c r="AY160" s="131">
        <f>'2.TH'!AY84+'3.THCS'!AY82+'5.THPT'!AY80+'4.TH-THCS'!AY103+'6.THCS-THPT'!AY99</f>
        <v>0</v>
      </c>
      <c r="AZ160" s="132">
        <f>'2.TH'!AZ84+'3.THCS'!AZ82+'5.THPT'!AZ80+'4.TH-THCS'!AZ103+'6.THCS-THPT'!AZ99</f>
        <v>0</v>
      </c>
      <c r="BA160" s="34"/>
    </row>
    <row r="161" ht="11.25" customHeight="1">
      <c r="A161" s="1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33"/>
      <c r="AY161" s="133"/>
      <c r="AZ161" s="133"/>
      <c r="BA161" s="1"/>
    </row>
  </sheetData>
  <mergeCells count="52">
    <mergeCell ref="J3:L3"/>
    <mergeCell ref="N3:P3"/>
    <mergeCell ref="R3:T3"/>
    <mergeCell ref="V3:X3"/>
    <mergeCell ref="Z3:AB3"/>
    <mergeCell ref="AD3:AF3"/>
    <mergeCell ref="AH3:AJ3"/>
    <mergeCell ref="Q3:Q4"/>
    <mergeCell ref="U3:U4"/>
    <mergeCell ref="Y3:Y4"/>
    <mergeCell ref="AC3:AC4"/>
    <mergeCell ref="AG3:AG4"/>
    <mergeCell ref="AK3:AK4"/>
    <mergeCell ref="AO3:AO4"/>
    <mergeCell ref="AI1:AJ1"/>
    <mergeCell ref="AM1:AN1"/>
    <mergeCell ref="AQ1:AR1"/>
    <mergeCell ref="AU1:AV1"/>
    <mergeCell ref="AY1:AZ1"/>
    <mergeCell ref="G1:H1"/>
    <mergeCell ref="K1:L1"/>
    <mergeCell ref="O1:P1"/>
    <mergeCell ref="S1:T1"/>
    <mergeCell ref="W1:X1"/>
    <mergeCell ref="AA1:AB1"/>
    <mergeCell ref="AE1:AF1"/>
    <mergeCell ref="AC2:AF2"/>
    <mergeCell ref="AG2:AJ2"/>
    <mergeCell ref="AK2:AN2"/>
    <mergeCell ref="AO2:AR2"/>
    <mergeCell ref="AS2:AV2"/>
    <mergeCell ref="AW2:AZ2"/>
    <mergeCell ref="B2:D2"/>
    <mergeCell ref="E2:H2"/>
    <mergeCell ref="I2:L2"/>
    <mergeCell ref="M2:P2"/>
    <mergeCell ref="Q2:T2"/>
    <mergeCell ref="U2:X2"/>
    <mergeCell ref="Y2:AB2"/>
    <mergeCell ref="B3:B4"/>
    <mergeCell ref="C3:C4"/>
    <mergeCell ref="D3:D4"/>
    <mergeCell ref="E3:E4"/>
    <mergeCell ref="F3:H3"/>
    <mergeCell ref="I3:I4"/>
    <mergeCell ref="M3:M4"/>
    <mergeCell ref="AL3:AN3"/>
    <mergeCell ref="AP3:AR3"/>
    <mergeCell ref="AT3:AV3"/>
    <mergeCell ref="AX3:AZ3"/>
    <mergeCell ref="AS3:AS4"/>
    <mergeCell ref="AW3:AW4"/>
  </mergeCells>
  <hyperlinks>
    <hyperlink r:id="rId1" ref="B2"/>
  </hyperlinks>
  <printOptions/>
  <pageMargins bottom="0.75" footer="0.0" header="0.0" left="0.7" right="0.7" top="0.75"/>
  <pageSetup paperSize="9" orientation="portrait"/>
  <drawing r:id="rId2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showGridLines="0" workbookViewId="0">
      <pane xSplit="3.0" ySplit="5.0" topLeftCell="D6" activePane="bottomRight" state="frozen"/>
      <selection activeCell="D1" sqref="D1" pane="topRight"/>
      <selection activeCell="A6" sqref="A6" pane="bottomLeft"/>
      <selection activeCell="D6" sqref="D6" pane="bottomRight"/>
    </sheetView>
  </sheetViews>
  <sheetFormatPr customHeight="1" defaultColWidth="12.63" defaultRowHeight="15.0"/>
  <cols>
    <col customWidth="1" min="1" max="1" width="0.38"/>
    <col customWidth="1" min="2" max="2" width="29.25"/>
    <col customWidth="1" min="3" max="3" width="5.88"/>
    <col customWidth="1" min="4" max="4" width="8.13"/>
    <col customWidth="1" min="5" max="5" width="6.88"/>
    <col customWidth="1" min="6" max="6" width="6.0"/>
    <col customWidth="1" min="7" max="7" width="6.13"/>
    <col customWidth="1" min="8" max="8" width="7.0"/>
    <col customWidth="1" min="9" max="9" width="6.88"/>
    <col customWidth="1" min="10" max="10" width="6.0"/>
    <col customWidth="1" min="11" max="11" width="6.13"/>
    <col customWidth="1" min="12" max="12" width="7.0"/>
    <col customWidth="1" min="13" max="13" width="6.88"/>
    <col customWidth="1" min="14" max="14" width="6.0"/>
    <col customWidth="1" min="15" max="15" width="6.13"/>
    <col customWidth="1" min="16" max="16" width="7.0"/>
    <col customWidth="1" min="17" max="17" width="6.88"/>
    <col customWidth="1" min="18" max="18" width="6.0"/>
    <col customWidth="1" min="19" max="19" width="6.13"/>
    <col customWidth="1" min="20" max="20" width="7.0"/>
    <col customWidth="1" min="21" max="21" width="6.88"/>
    <col customWidth="1" min="22" max="22" width="6.0"/>
    <col customWidth="1" min="23" max="23" width="6.13"/>
    <col customWidth="1" min="24" max="24" width="7.0"/>
    <col customWidth="1" min="25" max="25" width="6.88"/>
    <col customWidth="1" min="26" max="26" width="6.0"/>
    <col customWidth="1" min="27" max="27" width="6.13"/>
    <col customWidth="1" min="28" max="28" width="7.0"/>
    <col customWidth="1" min="29" max="29" width="6.88"/>
    <col customWidth="1" min="30" max="30" width="6.0"/>
    <col customWidth="1" min="31" max="31" width="6.13"/>
    <col customWidth="1" min="32" max="32" width="7.0"/>
    <col customWidth="1" min="33" max="33" width="6.88"/>
    <col customWidth="1" min="34" max="34" width="6.0"/>
    <col customWidth="1" min="35" max="35" width="6.13"/>
    <col customWidth="1" min="36" max="36" width="7.0"/>
    <col customWidth="1" min="37" max="37" width="6.88"/>
    <col customWidth="1" min="38" max="38" width="6.0"/>
    <col customWidth="1" min="39" max="39" width="6.13"/>
    <col customWidth="1" min="40" max="40" width="7.0"/>
    <col customWidth="1" min="41" max="41" width="6.88"/>
    <col customWidth="1" min="42" max="42" width="6.0"/>
    <col customWidth="1" min="43" max="43" width="6.13"/>
    <col customWidth="1" min="44" max="44" width="7.0"/>
    <col customWidth="1" min="45" max="45" width="6.88"/>
    <col customWidth="1" min="46" max="46" width="6.0"/>
    <col customWidth="1" min="47" max="47" width="6.13"/>
    <col customWidth="1" min="48" max="48" width="7.0"/>
    <col customWidth="1" min="49" max="49" width="6.88"/>
    <col customWidth="1" min="50" max="50" width="6.0"/>
    <col customWidth="1" min="51" max="51" width="6.13"/>
    <col customWidth="1" min="52" max="52" width="0.38"/>
  </cols>
  <sheetData>
    <row r="1" ht="1.5" customHeight="1">
      <c r="A1" s="1"/>
      <c r="B1" s="2"/>
      <c r="C1" s="3"/>
      <c r="D1" s="3"/>
      <c r="E1" s="3"/>
      <c r="F1" s="4"/>
      <c r="G1" s="5"/>
      <c r="H1" s="3"/>
      <c r="I1" s="3"/>
      <c r="J1" s="4"/>
      <c r="K1" s="5"/>
      <c r="L1" s="3"/>
      <c r="M1" s="3"/>
      <c r="N1" s="4"/>
      <c r="O1" s="5"/>
      <c r="P1" s="3"/>
      <c r="Q1" s="3"/>
      <c r="R1" s="4"/>
      <c r="S1" s="5"/>
      <c r="T1" s="3"/>
      <c r="U1" s="3"/>
      <c r="V1" s="4"/>
      <c r="W1" s="5"/>
      <c r="X1" s="3"/>
      <c r="Y1" s="3"/>
      <c r="Z1" s="4"/>
      <c r="AA1" s="5"/>
      <c r="AB1" s="3"/>
      <c r="AC1" s="3"/>
      <c r="AD1" s="4"/>
      <c r="AE1" s="5"/>
      <c r="AF1" s="3"/>
      <c r="AG1" s="3"/>
      <c r="AH1" s="4"/>
      <c r="AI1" s="5"/>
      <c r="AJ1" s="3"/>
      <c r="AK1" s="3"/>
      <c r="AL1" s="4"/>
      <c r="AM1" s="5"/>
      <c r="AN1" s="3"/>
      <c r="AO1" s="3"/>
      <c r="AP1" s="4"/>
      <c r="AQ1" s="5"/>
      <c r="AR1" s="3"/>
      <c r="AS1" s="3"/>
      <c r="AT1" s="4"/>
      <c r="AU1" s="5"/>
      <c r="AV1" s="3"/>
      <c r="AW1" s="3"/>
      <c r="AX1" s="4"/>
      <c r="AY1" s="5"/>
      <c r="AZ1" s="1"/>
    </row>
    <row r="2" ht="18.75" customHeight="1">
      <c r="A2" s="6"/>
      <c r="B2" s="134" t="s">
        <v>128</v>
      </c>
      <c r="C2" s="9"/>
      <c r="D2" s="10" t="s">
        <v>1</v>
      </c>
      <c r="E2" s="8"/>
      <c r="F2" s="8"/>
      <c r="G2" s="9"/>
      <c r="H2" s="11" t="s">
        <v>2</v>
      </c>
      <c r="I2" s="8"/>
      <c r="J2" s="8"/>
      <c r="K2" s="9"/>
      <c r="L2" s="11" t="s">
        <v>3</v>
      </c>
      <c r="M2" s="8"/>
      <c r="N2" s="8"/>
      <c r="O2" s="9"/>
      <c r="P2" s="12" t="s">
        <v>4</v>
      </c>
      <c r="Q2" s="8"/>
      <c r="R2" s="8"/>
      <c r="S2" s="9"/>
      <c r="T2" s="12" t="s">
        <v>5</v>
      </c>
      <c r="U2" s="8"/>
      <c r="V2" s="8"/>
      <c r="W2" s="9"/>
      <c r="X2" s="12" t="s">
        <v>6</v>
      </c>
      <c r="Y2" s="8"/>
      <c r="Z2" s="8"/>
      <c r="AA2" s="9"/>
      <c r="AB2" s="13" t="s">
        <v>7</v>
      </c>
      <c r="AC2" s="8"/>
      <c r="AD2" s="8"/>
      <c r="AE2" s="9"/>
      <c r="AF2" s="13" t="s">
        <v>8</v>
      </c>
      <c r="AG2" s="8"/>
      <c r="AH2" s="8"/>
      <c r="AI2" s="9"/>
      <c r="AJ2" s="13" t="s">
        <v>9</v>
      </c>
      <c r="AK2" s="8"/>
      <c r="AL2" s="8"/>
      <c r="AM2" s="9"/>
      <c r="AN2" s="14" t="s">
        <v>10</v>
      </c>
      <c r="AO2" s="8"/>
      <c r="AP2" s="8"/>
      <c r="AQ2" s="9"/>
      <c r="AR2" s="14" t="s">
        <v>11</v>
      </c>
      <c r="AS2" s="8"/>
      <c r="AT2" s="8"/>
      <c r="AU2" s="9"/>
      <c r="AV2" s="14" t="s">
        <v>12</v>
      </c>
      <c r="AW2" s="8"/>
      <c r="AX2" s="8"/>
      <c r="AY2" s="15"/>
      <c r="AZ2" s="16"/>
    </row>
    <row r="3" ht="14.25" customHeight="1">
      <c r="A3" s="6"/>
      <c r="B3" s="135" t="s">
        <v>129</v>
      </c>
      <c r="C3" s="18" t="s">
        <v>15</v>
      </c>
      <c r="D3" s="19" t="s">
        <v>16</v>
      </c>
      <c r="E3" s="20" t="s">
        <v>17</v>
      </c>
      <c r="F3" s="21"/>
      <c r="G3" s="22"/>
      <c r="H3" s="19" t="s">
        <v>16</v>
      </c>
      <c r="I3" s="20" t="s">
        <v>17</v>
      </c>
      <c r="J3" s="21"/>
      <c r="K3" s="22"/>
      <c r="L3" s="19" t="s">
        <v>16</v>
      </c>
      <c r="M3" s="20" t="s">
        <v>17</v>
      </c>
      <c r="N3" s="21"/>
      <c r="O3" s="22"/>
      <c r="P3" s="19" t="s">
        <v>16</v>
      </c>
      <c r="Q3" s="20" t="s">
        <v>17</v>
      </c>
      <c r="R3" s="21"/>
      <c r="S3" s="22"/>
      <c r="T3" s="19" t="s">
        <v>16</v>
      </c>
      <c r="U3" s="20" t="s">
        <v>17</v>
      </c>
      <c r="V3" s="21"/>
      <c r="W3" s="22"/>
      <c r="X3" s="19" t="s">
        <v>16</v>
      </c>
      <c r="Y3" s="20" t="s">
        <v>17</v>
      </c>
      <c r="Z3" s="21"/>
      <c r="AA3" s="22"/>
      <c r="AB3" s="19" t="s">
        <v>16</v>
      </c>
      <c r="AC3" s="20" t="s">
        <v>17</v>
      </c>
      <c r="AD3" s="21"/>
      <c r="AE3" s="22"/>
      <c r="AF3" s="19" t="s">
        <v>16</v>
      </c>
      <c r="AG3" s="20" t="s">
        <v>17</v>
      </c>
      <c r="AH3" s="21"/>
      <c r="AI3" s="22"/>
      <c r="AJ3" s="19" t="s">
        <v>16</v>
      </c>
      <c r="AK3" s="20" t="s">
        <v>17</v>
      </c>
      <c r="AL3" s="21"/>
      <c r="AM3" s="22"/>
      <c r="AN3" s="19" t="s">
        <v>16</v>
      </c>
      <c r="AO3" s="20" t="s">
        <v>17</v>
      </c>
      <c r="AP3" s="21"/>
      <c r="AQ3" s="22"/>
      <c r="AR3" s="19" t="s">
        <v>16</v>
      </c>
      <c r="AS3" s="20" t="s">
        <v>17</v>
      </c>
      <c r="AT3" s="21"/>
      <c r="AU3" s="22"/>
      <c r="AV3" s="19" t="s">
        <v>16</v>
      </c>
      <c r="AW3" s="20" t="s">
        <v>17</v>
      </c>
      <c r="AX3" s="21"/>
      <c r="AY3" s="23"/>
      <c r="AZ3" s="16"/>
    </row>
    <row r="4" ht="14.25" customHeight="1">
      <c r="A4" s="6"/>
      <c r="B4" s="24"/>
      <c r="C4" s="25"/>
      <c r="D4" s="25"/>
      <c r="E4" s="26" t="s">
        <v>18</v>
      </c>
      <c r="F4" s="26" t="s">
        <v>19</v>
      </c>
      <c r="G4" s="26" t="s">
        <v>20</v>
      </c>
      <c r="H4" s="25"/>
      <c r="I4" s="26" t="s">
        <v>18</v>
      </c>
      <c r="J4" s="26" t="s">
        <v>19</v>
      </c>
      <c r="K4" s="26" t="s">
        <v>20</v>
      </c>
      <c r="L4" s="25"/>
      <c r="M4" s="26" t="s">
        <v>18</v>
      </c>
      <c r="N4" s="26" t="s">
        <v>19</v>
      </c>
      <c r="O4" s="26" t="s">
        <v>20</v>
      </c>
      <c r="P4" s="25"/>
      <c r="Q4" s="26" t="s">
        <v>18</v>
      </c>
      <c r="R4" s="26" t="s">
        <v>19</v>
      </c>
      <c r="S4" s="26" t="s">
        <v>20</v>
      </c>
      <c r="T4" s="25"/>
      <c r="U4" s="26" t="s">
        <v>18</v>
      </c>
      <c r="V4" s="26" t="s">
        <v>19</v>
      </c>
      <c r="W4" s="26" t="s">
        <v>20</v>
      </c>
      <c r="X4" s="25"/>
      <c r="Y4" s="26" t="s">
        <v>18</v>
      </c>
      <c r="Z4" s="26" t="s">
        <v>19</v>
      </c>
      <c r="AA4" s="26" t="s">
        <v>20</v>
      </c>
      <c r="AB4" s="25"/>
      <c r="AC4" s="26" t="s">
        <v>18</v>
      </c>
      <c r="AD4" s="26" t="s">
        <v>19</v>
      </c>
      <c r="AE4" s="26" t="s">
        <v>20</v>
      </c>
      <c r="AF4" s="25"/>
      <c r="AG4" s="26" t="s">
        <v>18</v>
      </c>
      <c r="AH4" s="26" t="s">
        <v>19</v>
      </c>
      <c r="AI4" s="26" t="s">
        <v>20</v>
      </c>
      <c r="AJ4" s="25"/>
      <c r="AK4" s="26" t="s">
        <v>18</v>
      </c>
      <c r="AL4" s="26" t="s">
        <v>19</v>
      </c>
      <c r="AM4" s="26" t="s">
        <v>20</v>
      </c>
      <c r="AN4" s="25"/>
      <c r="AO4" s="26" t="s">
        <v>18</v>
      </c>
      <c r="AP4" s="26" t="s">
        <v>19</v>
      </c>
      <c r="AQ4" s="26" t="s">
        <v>20</v>
      </c>
      <c r="AR4" s="25"/>
      <c r="AS4" s="26" t="s">
        <v>18</v>
      </c>
      <c r="AT4" s="26" t="s">
        <v>19</v>
      </c>
      <c r="AU4" s="26" t="s">
        <v>20</v>
      </c>
      <c r="AV4" s="25"/>
      <c r="AW4" s="26" t="s">
        <v>18</v>
      </c>
      <c r="AX4" s="26" t="s">
        <v>19</v>
      </c>
      <c r="AY4" s="27" t="s">
        <v>20</v>
      </c>
      <c r="AZ4" s="16"/>
    </row>
    <row r="5" ht="13.5" customHeight="1">
      <c r="A5" s="6"/>
      <c r="B5" s="28" t="s">
        <v>21</v>
      </c>
      <c r="C5" s="136" t="s">
        <v>22</v>
      </c>
      <c r="D5" s="26" t="s">
        <v>24</v>
      </c>
      <c r="E5" s="26">
        <v>2.0</v>
      </c>
      <c r="F5" s="26">
        <v>3.0</v>
      </c>
      <c r="G5" s="26">
        <v>4.0</v>
      </c>
      <c r="H5" s="26" t="s">
        <v>24</v>
      </c>
      <c r="I5" s="26">
        <v>2.0</v>
      </c>
      <c r="J5" s="26">
        <v>3.0</v>
      </c>
      <c r="K5" s="26">
        <v>4.0</v>
      </c>
      <c r="L5" s="26" t="s">
        <v>24</v>
      </c>
      <c r="M5" s="26">
        <v>2.0</v>
      </c>
      <c r="N5" s="26">
        <v>3.0</v>
      </c>
      <c r="O5" s="26">
        <v>4.0</v>
      </c>
      <c r="P5" s="26" t="s">
        <v>24</v>
      </c>
      <c r="Q5" s="26">
        <v>2.0</v>
      </c>
      <c r="R5" s="26">
        <v>3.0</v>
      </c>
      <c r="S5" s="26">
        <v>4.0</v>
      </c>
      <c r="T5" s="26" t="s">
        <v>24</v>
      </c>
      <c r="U5" s="26">
        <v>2.0</v>
      </c>
      <c r="V5" s="26">
        <v>3.0</v>
      </c>
      <c r="W5" s="26">
        <v>4.0</v>
      </c>
      <c r="X5" s="26" t="s">
        <v>24</v>
      </c>
      <c r="Y5" s="26">
        <v>2.0</v>
      </c>
      <c r="Z5" s="26">
        <v>3.0</v>
      </c>
      <c r="AA5" s="26">
        <v>4.0</v>
      </c>
      <c r="AB5" s="26" t="s">
        <v>24</v>
      </c>
      <c r="AC5" s="26">
        <v>2.0</v>
      </c>
      <c r="AD5" s="26">
        <v>3.0</v>
      </c>
      <c r="AE5" s="26">
        <v>4.0</v>
      </c>
      <c r="AF5" s="26" t="s">
        <v>24</v>
      </c>
      <c r="AG5" s="26">
        <v>2.0</v>
      </c>
      <c r="AH5" s="26">
        <v>3.0</v>
      </c>
      <c r="AI5" s="26">
        <v>4.0</v>
      </c>
      <c r="AJ5" s="26" t="s">
        <v>24</v>
      </c>
      <c r="AK5" s="26">
        <v>2.0</v>
      </c>
      <c r="AL5" s="26">
        <v>3.0</v>
      </c>
      <c r="AM5" s="26">
        <v>4.0</v>
      </c>
      <c r="AN5" s="26" t="s">
        <v>24</v>
      </c>
      <c r="AO5" s="26">
        <v>2.0</v>
      </c>
      <c r="AP5" s="26">
        <v>3.0</v>
      </c>
      <c r="AQ5" s="26">
        <v>4.0</v>
      </c>
      <c r="AR5" s="26" t="s">
        <v>24</v>
      </c>
      <c r="AS5" s="26">
        <v>2.0</v>
      </c>
      <c r="AT5" s="26">
        <v>3.0</v>
      </c>
      <c r="AU5" s="26">
        <v>4.0</v>
      </c>
      <c r="AV5" s="26" t="s">
        <v>24</v>
      </c>
      <c r="AW5" s="26">
        <v>2.0</v>
      </c>
      <c r="AX5" s="26">
        <v>3.0</v>
      </c>
      <c r="AY5" s="27">
        <v>4.0</v>
      </c>
      <c r="AZ5" s="16"/>
    </row>
    <row r="6" ht="16.5" customHeight="1">
      <c r="A6" s="137"/>
      <c r="B6" s="138" t="s">
        <v>130</v>
      </c>
      <c r="C6" s="139" t="s">
        <v>28</v>
      </c>
      <c r="D6" s="125">
        <f>TONGHOP!E7</f>
        <v>479</v>
      </c>
      <c r="E6" s="125">
        <f>TONGHOP!F7</f>
        <v>461</v>
      </c>
      <c r="F6" s="125">
        <f>TONGHOP!G7</f>
        <v>4</v>
      </c>
      <c r="G6" s="125">
        <f>TONGHOP!H7</f>
        <v>14</v>
      </c>
      <c r="H6" s="125">
        <f>TONGHOP!I7</f>
        <v>477</v>
      </c>
      <c r="I6" s="125">
        <f>TONGHOP!J7</f>
        <v>450</v>
      </c>
      <c r="J6" s="125">
        <f>TONGHOP!K7</f>
        <v>4</v>
      </c>
      <c r="K6" s="125">
        <f>TONGHOP!L7</f>
        <v>23</v>
      </c>
      <c r="L6" s="125">
        <f>TONGHOP!M7</f>
        <v>476</v>
      </c>
      <c r="M6" s="125">
        <f>TONGHOP!N7</f>
        <v>459</v>
      </c>
      <c r="N6" s="125">
        <f>TONGHOP!O7</f>
        <v>4</v>
      </c>
      <c r="O6" s="125">
        <f>TONGHOP!P7</f>
        <v>13</v>
      </c>
      <c r="P6" s="125">
        <f>TONGHOP!Q7</f>
        <v>462</v>
      </c>
      <c r="Q6" s="125">
        <f>TONGHOP!R7</f>
        <v>445</v>
      </c>
      <c r="R6" s="125">
        <f>TONGHOP!S7</f>
        <v>4</v>
      </c>
      <c r="S6" s="125">
        <f>TONGHOP!T7</f>
        <v>13</v>
      </c>
      <c r="T6" s="125">
        <f>TONGHOP!U7</f>
        <v>462</v>
      </c>
      <c r="U6" s="125">
        <f>TONGHOP!V7</f>
        <v>445</v>
      </c>
      <c r="V6" s="125">
        <f>TONGHOP!W7</f>
        <v>4</v>
      </c>
      <c r="W6" s="125">
        <f>TONGHOP!X7</f>
        <v>13</v>
      </c>
      <c r="X6" s="125">
        <f>TONGHOP!Y7</f>
        <v>462</v>
      </c>
      <c r="Y6" s="125">
        <f>TONGHOP!Z7</f>
        <v>445</v>
      </c>
      <c r="Z6" s="125">
        <f>TONGHOP!AA7</f>
        <v>4</v>
      </c>
      <c r="AA6" s="125">
        <f>TONGHOP!AB7</f>
        <v>13</v>
      </c>
      <c r="AB6" s="125">
        <f>TONGHOP!AC7</f>
        <v>449</v>
      </c>
      <c r="AC6" s="125">
        <f>TONGHOP!AD7</f>
        <v>432</v>
      </c>
      <c r="AD6" s="125">
        <f>TONGHOP!AE7</f>
        <v>4</v>
      </c>
      <c r="AE6" s="125">
        <f>TONGHOP!AF7</f>
        <v>13</v>
      </c>
      <c r="AF6" s="125">
        <f>TONGHOP!AG7</f>
        <v>24</v>
      </c>
      <c r="AG6" s="125">
        <f>TONGHOP!AH7</f>
        <v>22</v>
      </c>
      <c r="AH6" s="125">
        <f>TONGHOP!AI7</f>
        <v>1</v>
      </c>
      <c r="AI6" s="125">
        <f>TONGHOP!AJ7</f>
        <v>1</v>
      </c>
      <c r="AJ6" s="125">
        <f>TONGHOP!AK7</f>
        <v>17</v>
      </c>
      <c r="AK6" s="125">
        <f>TONGHOP!AL7</f>
        <v>16</v>
      </c>
      <c r="AL6" s="125">
        <f>TONGHOP!AM7</f>
        <v>0</v>
      </c>
      <c r="AM6" s="125">
        <f>TONGHOP!AN7</f>
        <v>1</v>
      </c>
      <c r="AN6" s="125">
        <f>TONGHOP!AO7</f>
        <v>16</v>
      </c>
      <c r="AO6" s="125">
        <f>TONGHOP!AP7</f>
        <v>15</v>
      </c>
      <c r="AP6" s="125">
        <f>TONGHOP!AQ7</f>
        <v>0</v>
      </c>
      <c r="AQ6" s="125">
        <f>TONGHOP!AR7</f>
        <v>1</v>
      </c>
      <c r="AR6" s="125">
        <f>TONGHOP!AS7</f>
        <v>16</v>
      </c>
      <c r="AS6" s="125">
        <f>TONGHOP!AT7</f>
        <v>15</v>
      </c>
      <c r="AT6" s="125">
        <f>TONGHOP!AU7</f>
        <v>0</v>
      </c>
      <c r="AU6" s="125">
        <f>TONGHOP!AV7</f>
        <v>1</v>
      </c>
      <c r="AV6" s="125">
        <f>TONGHOP!AW7</f>
        <v>16</v>
      </c>
      <c r="AW6" s="125">
        <f>TONGHOP!AX7</f>
        <v>15</v>
      </c>
      <c r="AX6" s="125">
        <f>TONGHOP!AY7</f>
        <v>0</v>
      </c>
      <c r="AY6" s="125">
        <f>TONGHOP!AZ7</f>
        <v>1</v>
      </c>
      <c r="AZ6" s="140"/>
    </row>
    <row r="7" ht="16.5" customHeight="1">
      <c r="A7" s="29"/>
      <c r="B7" s="141" t="s">
        <v>29</v>
      </c>
      <c r="C7" s="40" t="s">
        <v>30</v>
      </c>
      <c r="D7" s="41">
        <f>TONGHOP!E8</f>
        <v>131</v>
      </c>
      <c r="E7" s="42">
        <f>TONGHOP!F8</f>
        <v>118</v>
      </c>
      <c r="F7" s="42">
        <f>TONGHOP!G8</f>
        <v>1</v>
      </c>
      <c r="G7" s="42">
        <f>TONGHOP!H8</f>
        <v>12</v>
      </c>
      <c r="H7" s="41">
        <f>TONGHOP!I8</f>
        <v>130</v>
      </c>
      <c r="I7" s="42">
        <f>TONGHOP!J8</f>
        <v>108</v>
      </c>
      <c r="J7" s="42">
        <f>TONGHOP!K8</f>
        <v>1</v>
      </c>
      <c r="K7" s="42">
        <f>TONGHOP!L8</f>
        <v>21</v>
      </c>
      <c r="L7" s="41">
        <f>TONGHOP!M8</f>
        <v>130</v>
      </c>
      <c r="M7" s="42">
        <f>TONGHOP!N8</f>
        <v>118</v>
      </c>
      <c r="N7" s="42">
        <f>TONGHOP!O8</f>
        <v>1</v>
      </c>
      <c r="O7" s="42">
        <f>TONGHOP!P8</f>
        <v>11</v>
      </c>
      <c r="P7" s="41">
        <f>TONGHOP!Q8</f>
        <v>130</v>
      </c>
      <c r="Q7" s="42">
        <f>TONGHOP!R8</f>
        <v>118</v>
      </c>
      <c r="R7" s="42">
        <f>TONGHOP!S8</f>
        <v>1</v>
      </c>
      <c r="S7" s="42">
        <f>TONGHOP!T8</f>
        <v>11</v>
      </c>
      <c r="T7" s="41">
        <f>TONGHOP!U8</f>
        <v>130</v>
      </c>
      <c r="U7" s="42">
        <f>TONGHOP!V8</f>
        <v>118</v>
      </c>
      <c r="V7" s="42">
        <f>TONGHOP!W8</f>
        <v>1</v>
      </c>
      <c r="W7" s="42">
        <f>TONGHOP!X8</f>
        <v>11</v>
      </c>
      <c r="X7" s="41">
        <f>TONGHOP!Y8</f>
        <v>130</v>
      </c>
      <c r="Y7" s="42">
        <f>TONGHOP!Z8</f>
        <v>118</v>
      </c>
      <c r="Z7" s="42">
        <f>TONGHOP!AA8</f>
        <v>1</v>
      </c>
      <c r="AA7" s="42">
        <f>TONGHOP!AB8</f>
        <v>11</v>
      </c>
      <c r="AB7" s="41">
        <f>TONGHOP!AC8</f>
        <v>130</v>
      </c>
      <c r="AC7" s="42">
        <f>TONGHOP!AD8</f>
        <v>118</v>
      </c>
      <c r="AD7" s="42">
        <f>TONGHOP!AE8</f>
        <v>1</v>
      </c>
      <c r="AE7" s="42">
        <f>TONGHOP!AF8</f>
        <v>11</v>
      </c>
      <c r="AF7" s="41">
        <f>TONGHOP!AG8</f>
        <v>0</v>
      </c>
      <c r="AG7" s="42">
        <f>TONGHOP!AH8</f>
        <v>0</v>
      </c>
      <c r="AH7" s="42">
        <f>TONGHOP!AI8</f>
        <v>0</v>
      </c>
      <c r="AI7" s="42">
        <f>TONGHOP!AJ8</f>
        <v>0</v>
      </c>
      <c r="AJ7" s="41">
        <f>TONGHOP!AK8</f>
        <v>0</v>
      </c>
      <c r="AK7" s="42">
        <f>TONGHOP!AL8</f>
        <v>0</v>
      </c>
      <c r="AL7" s="42">
        <f>TONGHOP!AM8</f>
        <v>0</v>
      </c>
      <c r="AM7" s="42">
        <f>TONGHOP!AN8</f>
        <v>0</v>
      </c>
      <c r="AN7" s="41">
        <f>TONGHOP!AO8</f>
        <v>0</v>
      </c>
      <c r="AO7" s="42">
        <f>TONGHOP!AP8</f>
        <v>0</v>
      </c>
      <c r="AP7" s="42">
        <f>TONGHOP!AQ8</f>
        <v>0</v>
      </c>
      <c r="AQ7" s="42">
        <f>TONGHOP!AR8</f>
        <v>0</v>
      </c>
      <c r="AR7" s="41">
        <f>TONGHOP!AS8</f>
        <v>0</v>
      </c>
      <c r="AS7" s="42">
        <f>TONGHOP!AT8</f>
        <v>0</v>
      </c>
      <c r="AT7" s="42">
        <f>TONGHOP!AU8</f>
        <v>0</v>
      </c>
      <c r="AU7" s="42">
        <f>TONGHOP!AV8</f>
        <v>0</v>
      </c>
      <c r="AV7" s="41">
        <f>TONGHOP!AW8</f>
        <v>0</v>
      </c>
      <c r="AW7" s="42">
        <f>TONGHOP!AX8</f>
        <v>0</v>
      </c>
      <c r="AX7" s="42">
        <f>TONGHOP!AY8</f>
        <v>0</v>
      </c>
      <c r="AY7" s="42">
        <f>TONGHOP!AZ8</f>
        <v>0</v>
      </c>
      <c r="AZ7" s="34"/>
    </row>
    <row r="8" ht="16.5" customHeight="1">
      <c r="A8" s="29"/>
      <c r="B8" s="142" t="s">
        <v>31</v>
      </c>
      <c r="C8" s="40" t="s">
        <v>30</v>
      </c>
      <c r="D8" s="41">
        <f>TONGHOP!E9</f>
        <v>200</v>
      </c>
      <c r="E8" s="42">
        <f>TONGHOP!F9</f>
        <v>198</v>
      </c>
      <c r="F8" s="42">
        <f>TONGHOP!G9</f>
        <v>2</v>
      </c>
      <c r="G8" s="42">
        <f>TONGHOP!H9</f>
        <v>0</v>
      </c>
      <c r="H8" s="41">
        <f>TONGHOP!I9</f>
        <v>199</v>
      </c>
      <c r="I8" s="42">
        <f>TONGHOP!J9</f>
        <v>197</v>
      </c>
      <c r="J8" s="42">
        <f>TONGHOP!K9</f>
        <v>2</v>
      </c>
      <c r="K8" s="42">
        <f>TONGHOP!L9</f>
        <v>0</v>
      </c>
      <c r="L8" s="41">
        <f>TONGHOP!M9</f>
        <v>198</v>
      </c>
      <c r="M8" s="42">
        <f>TONGHOP!N9</f>
        <v>196</v>
      </c>
      <c r="N8" s="42">
        <f>TONGHOP!O9</f>
        <v>2</v>
      </c>
      <c r="O8" s="42">
        <f>TONGHOP!P9</f>
        <v>0</v>
      </c>
      <c r="P8" s="41">
        <f>TONGHOP!Q9</f>
        <v>184</v>
      </c>
      <c r="Q8" s="42">
        <f>TONGHOP!R9</f>
        <v>182</v>
      </c>
      <c r="R8" s="42">
        <f>TONGHOP!S9</f>
        <v>2</v>
      </c>
      <c r="S8" s="42">
        <f>TONGHOP!T9</f>
        <v>0</v>
      </c>
      <c r="T8" s="41">
        <f>TONGHOP!U9</f>
        <v>184</v>
      </c>
      <c r="U8" s="42">
        <f>TONGHOP!V9</f>
        <v>182</v>
      </c>
      <c r="V8" s="42">
        <f>TONGHOP!W9</f>
        <v>2</v>
      </c>
      <c r="W8" s="42">
        <f>TONGHOP!X9</f>
        <v>0</v>
      </c>
      <c r="X8" s="41">
        <f>TONGHOP!Y9</f>
        <v>184</v>
      </c>
      <c r="Y8" s="42">
        <f>TONGHOP!Z9</f>
        <v>182</v>
      </c>
      <c r="Z8" s="42">
        <f>TONGHOP!AA9</f>
        <v>2</v>
      </c>
      <c r="AA8" s="42">
        <f>TONGHOP!AB9</f>
        <v>0</v>
      </c>
      <c r="AB8" s="41">
        <f>TONGHOP!AC9</f>
        <v>171</v>
      </c>
      <c r="AC8" s="42">
        <f>TONGHOP!AD9</f>
        <v>169</v>
      </c>
      <c r="AD8" s="42">
        <f>TONGHOP!AE9</f>
        <v>2</v>
      </c>
      <c r="AE8" s="42">
        <f>TONGHOP!AF9</f>
        <v>0</v>
      </c>
      <c r="AF8" s="41">
        <f>TONGHOP!AG9</f>
        <v>0</v>
      </c>
      <c r="AG8" s="42">
        <f>TONGHOP!AH9</f>
        <v>0</v>
      </c>
      <c r="AH8" s="42">
        <f>TONGHOP!AI9</f>
        <v>0</v>
      </c>
      <c r="AI8" s="42">
        <f>TONGHOP!AJ9</f>
        <v>0</v>
      </c>
      <c r="AJ8" s="41">
        <f>TONGHOP!AK9</f>
        <v>0</v>
      </c>
      <c r="AK8" s="42">
        <f>TONGHOP!AL9</f>
        <v>0</v>
      </c>
      <c r="AL8" s="42">
        <f>TONGHOP!AM9</f>
        <v>0</v>
      </c>
      <c r="AM8" s="42">
        <f>TONGHOP!AN9</f>
        <v>0</v>
      </c>
      <c r="AN8" s="41">
        <f>TONGHOP!AO9</f>
        <v>0</v>
      </c>
      <c r="AO8" s="42">
        <f>TONGHOP!AP9</f>
        <v>0</v>
      </c>
      <c r="AP8" s="42">
        <f>TONGHOP!AQ9</f>
        <v>0</v>
      </c>
      <c r="AQ8" s="42">
        <f>TONGHOP!AR9</f>
        <v>0</v>
      </c>
      <c r="AR8" s="41">
        <f>TONGHOP!AS9</f>
        <v>0</v>
      </c>
      <c r="AS8" s="42">
        <f>TONGHOP!AT9</f>
        <v>0</v>
      </c>
      <c r="AT8" s="42">
        <f>TONGHOP!AU9</f>
        <v>0</v>
      </c>
      <c r="AU8" s="42">
        <f>TONGHOP!AV9</f>
        <v>0</v>
      </c>
      <c r="AV8" s="41">
        <f>TONGHOP!AW9</f>
        <v>0</v>
      </c>
      <c r="AW8" s="42">
        <f>TONGHOP!AX9</f>
        <v>0</v>
      </c>
      <c r="AX8" s="42">
        <f>TONGHOP!AY9</f>
        <v>0</v>
      </c>
      <c r="AY8" s="42">
        <f>TONGHOP!AZ9</f>
        <v>0</v>
      </c>
      <c r="AZ8" s="34"/>
    </row>
    <row r="9" ht="16.5" customHeight="1">
      <c r="A9" s="29"/>
      <c r="B9" s="142" t="s">
        <v>33</v>
      </c>
      <c r="C9" s="40" t="s">
        <v>30</v>
      </c>
      <c r="D9" s="41">
        <f>TONGHOP!E10</f>
        <v>108</v>
      </c>
      <c r="E9" s="42">
        <f>TONGHOP!F10</f>
        <v>106</v>
      </c>
      <c r="F9" s="42">
        <f>TONGHOP!G10</f>
        <v>1</v>
      </c>
      <c r="G9" s="42">
        <f>TONGHOP!H10</f>
        <v>1</v>
      </c>
      <c r="H9" s="41">
        <f>TONGHOP!I10</f>
        <v>108</v>
      </c>
      <c r="I9" s="42">
        <f>TONGHOP!J10</f>
        <v>106</v>
      </c>
      <c r="J9" s="42">
        <f>TONGHOP!K10</f>
        <v>1</v>
      </c>
      <c r="K9" s="42">
        <f>TONGHOP!L10</f>
        <v>1</v>
      </c>
      <c r="L9" s="41">
        <f>TONGHOP!M10</f>
        <v>108</v>
      </c>
      <c r="M9" s="42">
        <f>TONGHOP!N10</f>
        <v>106</v>
      </c>
      <c r="N9" s="42">
        <f>TONGHOP!O10</f>
        <v>1</v>
      </c>
      <c r="O9" s="42">
        <f>TONGHOP!P10</f>
        <v>1</v>
      </c>
      <c r="P9" s="41">
        <f>TONGHOP!Q10</f>
        <v>108</v>
      </c>
      <c r="Q9" s="42">
        <f>TONGHOP!R10</f>
        <v>106</v>
      </c>
      <c r="R9" s="42">
        <f>TONGHOP!S10</f>
        <v>1</v>
      </c>
      <c r="S9" s="42">
        <f>TONGHOP!T10</f>
        <v>1</v>
      </c>
      <c r="T9" s="41">
        <f>TONGHOP!U10</f>
        <v>108</v>
      </c>
      <c r="U9" s="42">
        <f>TONGHOP!V10</f>
        <v>106</v>
      </c>
      <c r="V9" s="42">
        <f>TONGHOP!W10</f>
        <v>1</v>
      </c>
      <c r="W9" s="42">
        <f>TONGHOP!X10</f>
        <v>1</v>
      </c>
      <c r="X9" s="41">
        <f>TONGHOP!Y10</f>
        <v>108</v>
      </c>
      <c r="Y9" s="42">
        <f>TONGHOP!Z10</f>
        <v>106</v>
      </c>
      <c r="Z9" s="42">
        <f>TONGHOP!AA10</f>
        <v>1</v>
      </c>
      <c r="AA9" s="42">
        <f>TONGHOP!AB10</f>
        <v>1</v>
      </c>
      <c r="AB9" s="41">
        <f>TONGHOP!AC10</f>
        <v>108</v>
      </c>
      <c r="AC9" s="42">
        <f>TONGHOP!AD10</f>
        <v>106</v>
      </c>
      <c r="AD9" s="42">
        <f>TONGHOP!AE10</f>
        <v>1</v>
      </c>
      <c r="AE9" s="42">
        <f>TONGHOP!AF10</f>
        <v>1</v>
      </c>
      <c r="AF9" s="41">
        <f>TONGHOP!AG10</f>
        <v>2</v>
      </c>
      <c r="AG9" s="42">
        <f>TONGHOP!AH10</f>
        <v>1</v>
      </c>
      <c r="AH9" s="42">
        <f>TONGHOP!AI10</f>
        <v>1</v>
      </c>
      <c r="AI9" s="42">
        <f>TONGHOP!AJ10</f>
        <v>0</v>
      </c>
      <c r="AJ9" s="41">
        <f>TONGHOP!AK10</f>
        <v>0</v>
      </c>
      <c r="AK9" s="42">
        <f>TONGHOP!AL10</f>
        <v>0</v>
      </c>
      <c r="AL9" s="42">
        <f>TONGHOP!AM10</f>
        <v>0</v>
      </c>
      <c r="AM9" s="42">
        <f>TONGHOP!AN10</f>
        <v>0</v>
      </c>
      <c r="AN9" s="41">
        <f>TONGHOP!AO10</f>
        <v>0</v>
      </c>
      <c r="AO9" s="42">
        <f>TONGHOP!AP10</f>
        <v>0</v>
      </c>
      <c r="AP9" s="42">
        <f>TONGHOP!AQ10</f>
        <v>0</v>
      </c>
      <c r="AQ9" s="42">
        <f>TONGHOP!AR10</f>
        <v>0</v>
      </c>
      <c r="AR9" s="41">
        <f>TONGHOP!AS10</f>
        <v>0</v>
      </c>
      <c r="AS9" s="42">
        <f>TONGHOP!AT10</f>
        <v>0</v>
      </c>
      <c r="AT9" s="42">
        <f>TONGHOP!AU10</f>
        <v>0</v>
      </c>
      <c r="AU9" s="42">
        <f>TONGHOP!AV10</f>
        <v>0</v>
      </c>
      <c r="AV9" s="41">
        <f>TONGHOP!AW10</f>
        <v>0</v>
      </c>
      <c r="AW9" s="42">
        <f>TONGHOP!AX10</f>
        <v>0</v>
      </c>
      <c r="AX9" s="42">
        <f>TONGHOP!AY10</f>
        <v>0</v>
      </c>
      <c r="AY9" s="42">
        <f>TONGHOP!AZ10</f>
        <v>0</v>
      </c>
      <c r="AZ9" s="34"/>
    </row>
    <row r="10" ht="16.5" customHeight="1">
      <c r="A10" s="29"/>
      <c r="B10" s="142" t="s">
        <v>35</v>
      </c>
      <c r="C10" s="40" t="s">
        <v>30</v>
      </c>
      <c r="D10" s="41">
        <f>TONGHOP!E12</f>
        <v>40</v>
      </c>
      <c r="E10" s="42">
        <f>TONGHOP!F12</f>
        <v>39</v>
      </c>
      <c r="F10" s="42">
        <f>TONGHOP!G12</f>
        <v>0</v>
      </c>
      <c r="G10" s="42">
        <f>TONGHOP!H12</f>
        <v>1</v>
      </c>
      <c r="H10" s="41">
        <f>TONGHOP!I12</f>
        <v>40</v>
      </c>
      <c r="I10" s="42">
        <f>TONGHOP!J12</f>
        <v>39</v>
      </c>
      <c r="J10" s="42">
        <f>TONGHOP!K12</f>
        <v>0</v>
      </c>
      <c r="K10" s="42">
        <f>TONGHOP!L12</f>
        <v>1</v>
      </c>
      <c r="L10" s="41">
        <f>TONGHOP!M12</f>
        <v>40</v>
      </c>
      <c r="M10" s="42">
        <f>TONGHOP!N12</f>
        <v>39</v>
      </c>
      <c r="N10" s="42">
        <f>TONGHOP!O12</f>
        <v>0</v>
      </c>
      <c r="O10" s="42">
        <f>TONGHOP!P12</f>
        <v>1</v>
      </c>
      <c r="P10" s="41">
        <f>TONGHOP!Q12</f>
        <v>40</v>
      </c>
      <c r="Q10" s="42">
        <f>TONGHOP!R12</f>
        <v>39</v>
      </c>
      <c r="R10" s="42">
        <f>TONGHOP!S12</f>
        <v>0</v>
      </c>
      <c r="S10" s="42">
        <f>TONGHOP!T12</f>
        <v>1</v>
      </c>
      <c r="T10" s="41">
        <f>TONGHOP!U12</f>
        <v>40</v>
      </c>
      <c r="U10" s="42">
        <f>TONGHOP!V12</f>
        <v>39</v>
      </c>
      <c r="V10" s="42">
        <f>TONGHOP!W12</f>
        <v>0</v>
      </c>
      <c r="W10" s="42">
        <f>TONGHOP!X12</f>
        <v>1</v>
      </c>
      <c r="X10" s="41">
        <f>TONGHOP!Y12</f>
        <v>40</v>
      </c>
      <c r="Y10" s="42">
        <f>TONGHOP!Z12</f>
        <v>39</v>
      </c>
      <c r="Z10" s="42">
        <f>TONGHOP!AA12</f>
        <v>0</v>
      </c>
      <c r="AA10" s="42">
        <f>TONGHOP!AB12</f>
        <v>1</v>
      </c>
      <c r="AB10" s="41">
        <f>TONGHOP!AC12</f>
        <v>40</v>
      </c>
      <c r="AC10" s="42">
        <f>TONGHOP!AD12</f>
        <v>39</v>
      </c>
      <c r="AD10" s="42">
        <f>TONGHOP!AE12</f>
        <v>0</v>
      </c>
      <c r="AE10" s="42">
        <f>TONGHOP!AF12</f>
        <v>1</v>
      </c>
      <c r="AF10" s="41">
        <f>TONGHOP!AG12</f>
        <v>22</v>
      </c>
      <c r="AG10" s="42">
        <f>TONGHOP!AH12</f>
        <v>21</v>
      </c>
      <c r="AH10" s="42">
        <f>TONGHOP!AI12</f>
        <v>0</v>
      </c>
      <c r="AI10" s="42">
        <f>TONGHOP!AJ12</f>
        <v>1</v>
      </c>
      <c r="AJ10" s="41">
        <f>TONGHOP!AK12</f>
        <v>17</v>
      </c>
      <c r="AK10" s="42">
        <f>TONGHOP!AL12</f>
        <v>16</v>
      </c>
      <c r="AL10" s="42">
        <f>TONGHOP!AM12</f>
        <v>0</v>
      </c>
      <c r="AM10" s="42">
        <f>TONGHOP!AN12</f>
        <v>1</v>
      </c>
      <c r="AN10" s="41">
        <f>TONGHOP!AO12</f>
        <v>16</v>
      </c>
      <c r="AO10" s="42">
        <f>TONGHOP!AP12</f>
        <v>15</v>
      </c>
      <c r="AP10" s="42">
        <f>TONGHOP!AQ12</f>
        <v>0</v>
      </c>
      <c r="AQ10" s="42">
        <f>TONGHOP!AR12</f>
        <v>1</v>
      </c>
      <c r="AR10" s="41">
        <f>TONGHOP!AS12</f>
        <v>16</v>
      </c>
      <c r="AS10" s="42">
        <f>TONGHOP!AT12</f>
        <v>15</v>
      </c>
      <c r="AT10" s="42">
        <f>TONGHOP!AU12</f>
        <v>0</v>
      </c>
      <c r="AU10" s="42">
        <f>TONGHOP!AV12</f>
        <v>1</v>
      </c>
      <c r="AV10" s="41">
        <f>TONGHOP!AW12</f>
        <v>16</v>
      </c>
      <c r="AW10" s="42">
        <f>TONGHOP!AX12</f>
        <v>15</v>
      </c>
      <c r="AX10" s="42">
        <f>TONGHOP!AY12</f>
        <v>0</v>
      </c>
      <c r="AY10" s="42">
        <f>TONGHOP!AZ12</f>
        <v>1</v>
      </c>
      <c r="AZ10" s="34"/>
    </row>
    <row r="11" ht="16.5" customHeight="1">
      <c r="A11" s="137"/>
      <c r="B11" s="138" t="s">
        <v>131</v>
      </c>
      <c r="C11" s="143" t="s">
        <v>50</v>
      </c>
      <c r="D11" s="125">
        <f>E11+F11+G11</f>
        <v>8422</v>
      </c>
      <c r="E11" s="125">
        <f t="shared" ref="E11:G11" si="1">E12+E13+E14+E15</f>
        <v>8161</v>
      </c>
      <c r="F11" s="125">
        <f t="shared" si="1"/>
        <v>65</v>
      </c>
      <c r="G11" s="125">
        <f t="shared" si="1"/>
        <v>196</v>
      </c>
      <c r="H11" s="125">
        <f>I11+J11+K11</f>
        <v>8358</v>
      </c>
      <c r="I11" s="125">
        <f t="shared" ref="I11:K11" si="2">I12+I13+I14+I15</f>
        <v>8105</v>
      </c>
      <c r="J11" s="125">
        <f t="shared" si="2"/>
        <v>65</v>
      </c>
      <c r="K11" s="125">
        <f t="shared" si="2"/>
        <v>188</v>
      </c>
      <c r="L11" s="125">
        <f>M11+N11+O11</f>
        <v>8274</v>
      </c>
      <c r="M11" s="125">
        <f t="shared" ref="M11:O11" si="3">M12+M13+M14+M15</f>
        <v>8027</v>
      </c>
      <c r="N11" s="125">
        <f t="shared" si="3"/>
        <v>63</v>
      </c>
      <c r="O11" s="125">
        <f t="shared" si="3"/>
        <v>184</v>
      </c>
      <c r="P11" s="125">
        <f>Q11+R11+S11</f>
        <v>8281</v>
      </c>
      <c r="Q11" s="125">
        <f t="shared" ref="Q11:S11" si="4">Q12+Q13+Q14+Q15</f>
        <v>8025</v>
      </c>
      <c r="R11" s="125">
        <f t="shared" si="4"/>
        <v>63</v>
      </c>
      <c r="S11" s="125">
        <f t="shared" si="4"/>
        <v>193</v>
      </c>
      <c r="T11" s="125">
        <f>U11+V11+W11</f>
        <v>8308</v>
      </c>
      <c r="U11" s="125">
        <f t="shared" ref="U11:W11" si="5">U12+U13+U14+U15</f>
        <v>8052</v>
      </c>
      <c r="V11" s="125">
        <f t="shared" si="5"/>
        <v>63</v>
      </c>
      <c r="W11" s="125">
        <f t="shared" si="5"/>
        <v>193</v>
      </c>
      <c r="X11" s="125">
        <f>Y11+Z11+AA11</f>
        <v>8312</v>
      </c>
      <c r="Y11" s="125">
        <f t="shared" ref="Y11:AA11" si="6">Y12+Y13+Y14+Y15</f>
        <v>8053</v>
      </c>
      <c r="Z11" s="125">
        <f t="shared" si="6"/>
        <v>63</v>
      </c>
      <c r="AA11" s="125">
        <f t="shared" si="6"/>
        <v>196</v>
      </c>
      <c r="AB11" s="125">
        <f>AC11+AD11+AE11</f>
        <v>8313</v>
      </c>
      <c r="AC11" s="125">
        <f t="shared" ref="AC11:AE11" si="7">AC12+AC13+AC14+AC15</f>
        <v>8054</v>
      </c>
      <c r="AD11" s="125">
        <f t="shared" si="7"/>
        <v>63</v>
      </c>
      <c r="AE11" s="125">
        <f t="shared" si="7"/>
        <v>196</v>
      </c>
      <c r="AF11" s="125">
        <f>AG11+AH11+AI11</f>
        <v>362</v>
      </c>
      <c r="AG11" s="125">
        <f t="shared" ref="AG11:AI11" si="8">AG12+AG13+AG14+AG15</f>
        <v>322</v>
      </c>
      <c r="AH11" s="125">
        <f t="shared" si="8"/>
        <v>40</v>
      </c>
      <c r="AI11" s="125">
        <f t="shared" si="8"/>
        <v>0</v>
      </c>
      <c r="AJ11" s="125">
        <f>AK11+AL11+AM11</f>
        <v>52</v>
      </c>
      <c r="AK11" s="125">
        <f t="shared" ref="AK11:AM11" si="9">AK12+AK13+AK14+AK15</f>
        <v>42</v>
      </c>
      <c r="AL11" s="125">
        <f t="shared" si="9"/>
        <v>0</v>
      </c>
      <c r="AM11" s="125">
        <f t="shared" si="9"/>
        <v>10</v>
      </c>
      <c r="AN11" s="125">
        <f>AO11+AP11+AQ11</f>
        <v>24</v>
      </c>
      <c r="AO11" s="125">
        <f t="shared" ref="AO11:AQ11" si="10">AO12+AO13+AO14+AO15</f>
        <v>14</v>
      </c>
      <c r="AP11" s="125">
        <f t="shared" si="10"/>
        <v>0</v>
      </c>
      <c r="AQ11" s="125">
        <f t="shared" si="10"/>
        <v>10</v>
      </c>
      <c r="AR11" s="125">
        <f>AS11+AT11+AU11</f>
        <v>24</v>
      </c>
      <c r="AS11" s="125">
        <f t="shared" ref="AS11:AU11" si="11">AS12+AS13+AS14+AS15</f>
        <v>14</v>
      </c>
      <c r="AT11" s="125">
        <f t="shared" si="11"/>
        <v>0</v>
      </c>
      <c r="AU11" s="125">
        <f t="shared" si="11"/>
        <v>10</v>
      </c>
      <c r="AV11" s="125">
        <f>AW11+AX11+AY11</f>
        <v>24</v>
      </c>
      <c r="AW11" s="125">
        <f t="shared" ref="AW11:AY11" si="12">AW12+AW13+AW14+AW15</f>
        <v>14</v>
      </c>
      <c r="AX11" s="125">
        <f t="shared" si="12"/>
        <v>0</v>
      </c>
      <c r="AY11" s="125">
        <f t="shared" si="12"/>
        <v>10</v>
      </c>
      <c r="AZ11" s="140"/>
    </row>
    <row r="12" ht="16.5" customHeight="1">
      <c r="A12" s="29"/>
      <c r="B12" s="144" t="s">
        <v>29</v>
      </c>
      <c r="C12" s="57" t="s">
        <v>30</v>
      </c>
      <c r="D12" s="41">
        <f>TONGHOP!E33</f>
        <v>1614</v>
      </c>
      <c r="E12" s="42">
        <f>TONGHOP!F33</f>
        <v>1414</v>
      </c>
      <c r="F12" s="42">
        <f>TONGHOP!G33</f>
        <v>25</v>
      </c>
      <c r="G12" s="42">
        <f>TONGHOP!H33</f>
        <v>175</v>
      </c>
      <c r="H12" s="41">
        <f>TONGHOP!I33</f>
        <v>1614</v>
      </c>
      <c r="I12" s="42">
        <f>TONGHOP!J33</f>
        <v>1414</v>
      </c>
      <c r="J12" s="42">
        <f>TONGHOP!K33</f>
        <v>25</v>
      </c>
      <c r="K12" s="42">
        <f>TONGHOP!L33</f>
        <v>175</v>
      </c>
      <c r="L12" s="41">
        <f>TONGHOP!M33</f>
        <v>1609</v>
      </c>
      <c r="M12" s="42">
        <f>TONGHOP!N33</f>
        <v>1415</v>
      </c>
      <c r="N12" s="42">
        <f>TONGHOP!O33</f>
        <v>23</v>
      </c>
      <c r="O12" s="42">
        <f>TONGHOP!P33</f>
        <v>171</v>
      </c>
      <c r="P12" s="41">
        <f>TONGHOP!Q33</f>
        <v>1612</v>
      </c>
      <c r="Q12" s="42">
        <f>TONGHOP!R33</f>
        <v>1417</v>
      </c>
      <c r="R12" s="42">
        <f>TONGHOP!S33</f>
        <v>23</v>
      </c>
      <c r="S12" s="42">
        <f>TONGHOP!T33</f>
        <v>172</v>
      </c>
      <c r="T12" s="41">
        <f>TONGHOP!U33</f>
        <v>1612</v>
      </c>
      <c r="U12" s="42">
        <f>TONGHOP!V33</f>
        <v>1417</v>
      </c>
      <c r="V12" s="42">
        <f>TONGHOP!W33</f>
        <v>23</v>
      </c>
      <c r="W12" s="42">
        <f>TONGHOP!X33</f>
        <v>172</v>
      </c>
      <c r="X12" s="41">
        <f>TONGHOP!Y33</f>
        <v>1616</v>
      </c>
      <c r="Y12" s="42">
        <f>TONGHOP!Z33</f>
        <v>1418</v>
      </c>
      <c r="Z12" s="42">
        <f>TONGHOP!AA33</f>
        <v>23</v>
      </c>
      <c r="AA12" s="42">
        <f>TONGHOP!AB33</f>
        <v>175</v>
      </c>
      <c r="AB12" s="41">
        <f>TONGHOP!AC33</f>
        <v>1616</v>
      </c>
      <c r="AC12" s="42">
        <f>TONGHOP!AD33</f>
        <v>1418</v>
      </c>
      <c r="AD12" s="42">
        <f>TONGHOP!AE33</f>
        <v>23</v>
      </c>
      <c r="AE12" s="42">
        <f>TONGHOP!AF33</f>
        <v>175</v>
      </c>
      <c r="AF12" s="41">
        <f>TONGHOP!AG33</f>
        <v>0</v>
      </c>
      <c r="AG12" s="42">
        <f>TONGHOP!AH33</f>
        <v>0</v>
      </c>
      <c r="AH12" s="42">
        <f>TONGHOP!AI33</f>
        <v>0</v>
      </c>
      <c r="AI12" s="42">
        <f>TONGHOP!AJ33</f>
        <v>0</v>
      </c>
      <c r="AJ12" s="41">
        <f>TONGHOP!AK33</f>
        <v>0</v>
      </c>
      <c r="AK12" s="42">
        <f>TONGHOP!AL33</f>
        <v>0</v>
      </c>
      <c r="AL12" s="42">
        <f>TONGHOP!AM33</f>
        <v>0</v>
      </c>
      <c r="AM12" s="42">
        <f>TONGHOP!AN33</f>
        <v>0</v>
      </c>
      <c r="AN12" s="41">
        <f>TONGHOP!AO33</f>
        <v>0</v>
      </c>
      <c r="AO12" s="42">
        <f>TONGHOP!AP33</f>
        <v>0</v>
      </c>
      <c r="AP12" s="42">
        <f>TONGHOP!AQ33</f>
        <v>0</v>
      </c>
      <c r="AQ12" s="42">
        <f>TONGHOP!AR33</f>
        <v>0</v>
      </c>
      <c r="AR12" s="41">
        <f>TONGHOP!AS33</f>
        <v>0</v>
      </c>
      <c r="AS12" s="42">
        <f>TONGHOP!AT33</f>
        <v>0</v>
      </c>
      <c r="AT12" s="42">
        <f>TONGHOP!AU33</f>
        <v>0</v>
      </c>
      <c r="AU12" s="42">
        <f>TONGHOP!AV33</f>
        <v>0</v>
      </c>
      <c r="AV12" s="41">
        <f>TONGHOP!AW33</f>
        <v>0</v>
      </c>
      <c r="AW12" s="42">
        <f>TONGHOP!AX33</f>
        <v>0</v>
      </c>
      <c r="AX12" s="42">
        <f>TONGHOP!AY33</f>
        <v>0</v>
      </c>
      <c r="AY12" s="42">
        <f>TONGHOP!AZ33</f>
        <v>0</v>
      </c>
      <c r="AZ12" s="34"/>
    </row>
    <row r="13" ht="16.5" customHeight="1">
      <c r="A13" s="29"/>
      <c r="B13" s="144" t="s">
        <v>31</v>
      </c>
      <c r="C13" s="57" t="s">
        <v>30</v>
      </c>
      <c r="D13" s="41">
        <f>TONGHOP!E34</f>
        <v>3873</v>
      </c>
      <c r="E13" s="42">
        <f>TONGHOP!F34</f>
        <v>3837</v>
      </c>
      <c r="F13" s="42">
        <f>TONGHOP!G34</f>
        <v>29</v>
      </c>
      <c r="G13" s="42">
        <f>TONGHOP!H34</f>
        <v>7</v>
      </c>
      <c r="H13" s="41">
        <f>TONGHOP!I34</f>
        <v>3872</v>
      </c>
      <c r="I13" s="42">
        <f>TONGHOP!J34</f>
        <v>3836</v>
      </c>
      <c r="J13" s="42">
        <f>TONGHOP!K34</f>
        <v>29</v>
      </c>
      <c r="K13" s="42">
        <f>TONGHOP!L34</f>
        <v>7</v>
      </c>
      <c r="L13" s="41">
        <f>TONGHOP!M34</f>
        <v>3872</v>
      </c>
      <c r="M13" s="42">
        <f>TONGHOP!N34</f>
        <v>3836</v>
      </c>
      <c r="N13" s="42">
        <f>TONGHOP!O34</f>
        <v>29</v>
      </c>
      <c r="O13" s="42">
        <f>TONGHOP!P34</f>
        <v>7</v>
      </c>
      <c r="P13" s="41">
        <f>TONGHOP!Q34</f>
        <v>3879</v>
      </c>
      <c r="Q13" s="42">
        <f>TONGHOP!R34</f>
        <v>3843</v>
      </c>
      <c r="R13" s="42">
        <f>TONGHOP!S34</f>
        <v>29</v>
      </c>
      <c r="S13" s="42">
        <f>TONGHOP!T34</f>
        <v>7</v>
      </c>
      <c r="T13" s="41">
        <f>TONGHOP!U34</f>
        <v>3879</v>
      </c>
      <c r="U13" s="42">
        <f>TONGHOP!V34</f>
        <v>3843</v>
      </c>
      <c r="V13" s="42">
        <f>TONGHOP!W34</f>
        <v>29</v>
      </c>
      <c r="W13" s="42">
        <f>TONGHOP!X34</f>
        <v>7</v>
      </c>
      <c r="X13" s="41">
        <f>TONGHOP!Y34</f>
        <v>3879</v>
      </c>
      <c r="Y13" s="42">
        <f>TONGHOP!Z34</f>
        <v>3843</v>
      </c>
      <c r="Z13" s="42">
        <f>TONGHOP!AA34</f>
        <v>29</v>
      </c>
      <c r="AA13" s="42">
        <f>TONGHOP!AB34</f>
        <v>7</v>
      </c>
      <c r="AB13" s="41">
        <f>TONGHOP!AC34</f>
        <v>3880</v>
      </c>
      <c r="AC13" s="42">
        <f>TONGHOP!AD34</f>
        <v>3844</v>
      </c>
      <c r="AD13" s="42">
        <f>TONGHOP!AE34</f>
        <v>29</v>
      </c>
      <c r="AE13" s="42">
        <f>TONGHOP!AF34</f>
        <v>7</v>
      </c>
      <c r="AF13" s="41">
        <f>TONGHOP!AG34</f>
        <v>44</v>
      </c>
      <c r="AG13" s="42">
        <f>TONGHOP!AH34</f>
        <v>25</v>
      </c>
      <c r="AH13" s="42">
        <f>TONGHOP!AI34</f>
        <v>19</v>
      </c>
      <c r="AI13" s="42">
        <f>TONGHOP!AJ34</f>
        <v>0</v>
      </c>
      <c r="AJ13" s="41">
        <f>TONGHOP!AK34</f>
        <v>0</v>
      </c>
      <c r="AK13" s="42">
        <f>TONGHOP!AL34</f>
        <v>0</v>
      </c>
      <c r="AL13" s="42">
        <f>TONGHOP!AM34</f>
        <v>0</v>
      </c>
      <c r="AM13" s="42">
        <f>TONGHOP!AN34</f>
        <v>0</v>
      </c>
      <c r="AN13" s="41">
        <f>TONGHOP!AO34</f>
        <v>0</v>
      </c>
      <c r="AO13" s="42">
        <f>TONGHOP!AP34</f>
        <v>0</v>
      </c>
      <c r="AP13" s="42">
        <f>TONGHOP!AQ34</f>
        <v>0</v>
      </c>
      <c r="AQ13" s="42">
        <f>TONGHOP!AR34</f>
        <v>0</v>
      </c>
      <c r="AR13" s="41">
        <f>TONGHOP!AS34</f>
        <v>0</v>
      </c>
      <c r="AS13" s="42">
        <f>TONGHOP!AT34</f>
        <v>0</v>
      </c>
      <c r="AT13" s="42">
        <f>TONGHOP!AU34</f>
        <v>0</v>
      </c>
      <c r="AU13" s="42">
        <f>TONGHOP!AV34</f>
        <v>0</v>
      </c>
      <c r="AV13" s="41">
        <f>TONGHOP!AW34</f>
        <v>0</v>
      </c>
      <c r="AW13" s="42">
        <f>TONGHOP!AX34</f>
        <v>0</v>
      </c>
      <c r="AX13" s="42">
        <f>TONGHOP!AY34</f>
        <v>0</v>
      </c>
      <c r="AY13" s="42">
        <f>TONGHOP!AZ34</f>
        <v>0</v>
      </c>
      <c r="AZ13" s="34"/>
    </row>
    <row r="14" ht="16.5" customHeight="1">
      <c r="A14" s="29"/>
      <c r="B14" s="144" t="s">
        <v>33</v>
      </c>
      <c r="C14" s="57" t="s">
        <v>30</v>
      </c>
      <c r="D14" s="41">
        <f>TONGHOP!E35</f>
        <v>2061</v>
      </c>
      <c r="E14" s="42">
        <f>TONGHOP!F35</f>
        <v>2041</v>
      </c>
      <c r="F14" s="42">
        <f>TONGHOP!G35</f>
        <v>11</v>
      </c>
      <c r="G14" s="42">
        <f>TONGHOP!H35</f>
        <v>9</v>
      </c>
      <c r="H14" s="41">
        <f>TONGHOP!I35</f>
        <v>2031</v>
      </c>
      <c r="I14" s="42">
        <f>TONGHOP!J35</f>
        <v>2014</v>
      </c>
      <c r="J14" s="42">
        <f>TONGHOP!K35</f>
        <v>11</v>
      </c>
      <c r="K14" s="42">
        <f>TONGHOP!L35</f>
        <v>6</v>
      </c>
      <c r="L14" s="41">
        <f>TONGHOP!M35</f>
        <v>2006</v>
      </c>
      <c r="M14" s="42">
        <f>TONGHOP!N35</f>
        <v>1989</v>
      </c>
      <c r="N14" s="42">
        <f>TONGHOP!O35</f>
        <v>11</v>
      </c>
      <c r="O14" s="42">
        <f>TONGHOP!P35</f>
        <v>6</v>
      </c>
      <c r="P14" s="41">
        <f>TONGHOP!Q35</f>
        <v>2009</v>
      </c>
      <c r="Q14" s="42">
        <f>TONGHOP!R35</f>
        <v>1989</v>
      </c>
      <c r="R14" s="42">
        <f>TONGHOP!S35</f>
        <v>11</v>
      </c>
      <c r="S14" s="42">
        <f>TONGHOP!T35</f>
        <v>9</v>
      </c>
      <c r="T14" s="41">
        <f>TONGHOP!U35</f>
        <v>2019</v>
      </c>
      <c r="U14" s="42">
        <f>TONGHOP!V35</f>
        <v>1999</v>
      </c>
      <c r="V14" s="42">
        <f>TONGHOP!W35</f>
        <v>11</v>
      </c>
      <c r="W14" s="42">
        <f>TONGHOP!X35</f>
        <v>9</v>
      </c>
      <c r="X14" s="41">
        <f>TONGHOP!Y35</f>
        <v>2019</v>
      </c>
      <c r="Y14" s="42">
        <f>TONGHOP!Z35</f>
        <v>1999</v>
      </c>
      <c r="Z14" s="42">
        <f>TONGHOP!AA35</f>
        <v>11</v>
      </c>
      <c r="AA14" s="42">
        <f>TONGHOP!AB35</f>
        <v>9</v>
      </c>
      <c r="AB14" s="41">
        <f>TONGHOP!AC35</f>
        <v>2019</v>
      </c>
      <c r="AC14" s="42">
        <f>TONGHOP!AD35</f>
        <v>1999</v>
      </c>
      <c r="AD14" s="42">
        <f>TONGHOP!AE35</f>
        <v>11</v>
      </c>
      <c r="AE14" s="42">
        <f>TONGHOP!AF35</f>
        <v>9</v>
      </c>
      <c r="AF14" s="41">
        <f>TONGHOP!AG35</f>
        <v>74</v>
      </c>
      <c r="AG14" s="42">
        <f>TONGHOP!AH35</f>
        <v>58</v>
      </c>
      <c r="AH14" s="42">
        <f>TONGHOP!AI35</f>
        <v>16</v>
      </c>
      <c r="AI14" s="42">
        <f>TONGHOP!AJ35</f>
        <v>0</v>
      </c>
      <c r="AJ14" s="41">
        <f>TONGHOP!AK35</f>
        <v>13</v>
      </c>
      <c r="AK14" s="42">
        <f>TONGHOP!AL35</f>
        <v>8</v>
      </c>
      <c r="AL14" s="42">
        <f>TONGHOP!AM35</f>
        <v>0</v>
      </c>
      <c r="AM14" s="42">
        <f>TONGHOP!AN35</f>
        <v>5</v>
      </c>
      <c r="AN14" s="41">
        <f>TONGHOP!AO35</f>
        <v>13</v>
      </c>
      <c r="AO14" s="42">
        <f>TONGHOP!AP35</f>
        <v>8</v>
      </c>
      <c r="AP14" s="42">
        <f>TONGHOP!AQ35</f>
        <v>0</v>
      </c>
      <c r="AQ14" s="42">
        <f>TONGHOP!AR35</f>
        <v>5</v>
      </c>
      <c r="AR14" s="41">
        <f>TONGHOP!AS35</f>
        <v>13</v>
      </c>
      <c r="AS14" s="42">
        <f>TONGHOP!AT35</f>
        <v>8</v>
      </c>
      <c r="AT14" s="42">
        <f>TONGHOP!AU35</f>
        <v>0</v>
      </c>
      <c r="AU14" s="42">
        <f>TONGHOP!AV35</f>
        <v>5</v>
      </c>
      <c r="AV14" s="41">
        <f>TONGHOP!AW35</f>
        <v>13</v>
      </c>
      <c r="AW14" s="42">
        <f>TONGHOP!AX35</f>
        <v>8</v>
      </c>
      <c r="AX14" s="42">
        <f>TONGHOP!AY35</f>
        <v>0</v>
      </c>
      <c r="AY14" s="42">
        <f>TONGHOP!AZ35</f>
        <v>5</v>
      </c>
      <c r="AZ14" s="34"/>
    </row>
    <row r="15" ht="16.5" customHeight="1">
      <c r="A15" s="29"/>
      <c r="B15" s="144" t="s">
        <v>51</v>
      </c>
      <c r="C15" s="57" t="s">
        <v>30</v>
      </c>
      <c r="D15" s="41">
        <f>TONGHOP!E36</f>
        <v>874</v>
      </c>
      <c r="E15" s="42">
        <f>TONGHOP!F36</f>
        <v>869</v>
      </c>
      <c r="F15" s="42">
        <f>TONGHOP!G36</f>
        <v>0</v>
      </c>
      <c r="G15" s="42">
        <f>TONGHOP!H36</f>
        <v>5</v>
      </c>
      <c r="H15" s="41">
        <f>TONGHOP!I36</f>
        <v>841</v>
      </c>
      <c r="I15" s="42">
        <f>TONGHOP!J36</f>
        <v>841</v>
      </c>
      <c r="J15" s="42">
        <f>TONGHOP!K36</f>
        <v>0</v>
      </c>
      <c r="K15" s="42">
        <f>TONGHOP!L36</f>
        <v>0</v>
      </c>
      <c r="L15" s="41">
        <f>TONGHOP!M36</f>
        <v>787</v>
      </c>
      <c r="M15" s="42">
        <f>TONGHOP!N36</f>
        <v>787</v>
      </c>
      <c r="N15" s="42">
        <f>TONGHOP!O36</f>
        <v>0</v>
      </c>
      <c r="O15" s="42">
        <f>TONGHOP!P36</f>
        <v>0</v>
      </c>
      <c r="P15" s="41">
        <f>TONGHOP!Q36</f>
        <v>781</v>
      </c>
      <c r="Q15" s="42">
        <f>TONGHOP!R36</f>
        <v>776</v>
      </c>
      <c r="R15" s="42">
        <f>TONGHOP!S36</f>
        <v>0</v>
      </c>
      <c r="S15" s="42">
        <f>TONGHOP!T36</f>
        <v>5</v>
      </c>
      <c r="T15" s="41">
        <f>TONGHOP!U36</f>
        <v>798</v>
      </c>
      <c r="U15" s="42">
        <f>TONGHOP!V36</f>
        <v>793</v>
      </c>
      <c r="V15" s="42">
        <f>TONGHOP!W36</f>
        <v>0</v>
      </c>
      <c r="W15" s="42">
        <f>TONGHOP!X36</f>
        <v>5</v>
      </c>
      <c r="X15" s="41">
        <f>TONGHOP!Y36</f>
        <v>798</v>
      </c>
      <c r="Y15" s="42">
        <f>TONGHOP!Z36</f>
        <v>793</v>
      </c>
      <c r="Z15" s="42">
        <f>TONGHOP!AA36</f>
        <v>0</v>
      </c>
      <c r="AA15" s="42">
        <f>TONGHOP!AB36</f>
        <v>5</v>
      </c>
      <c r="AB15" s="41">
        <f>TONGHOP!AC36</f>
        <v>798</v>
      </c>
      <c r="AC15" s="42">
        <f>TONGHOP!AD36</f>
        <v>793</v>
      </c>
      <c r="AD15" s="42">
        <f>TONGHOP!AE36</f>
        <v>0</v>
      </c>
      <c r="AE15" s="42">
        <f>TONGHOP!AF36</f>
        <v>5</v>
      </c>
      <c r="AF15" s="41">
        <f>TONGHOP!AG36</f>
        <v>244</v>
      </c>
      <c r="AG15" s="42">
        <f>TONGHOP!AH36</f>
        <v>239</v>
      </c>
      <c r="AH15" s="42">
        <f>TONGHOP!AI36</f>
        <v>5</v>
      </c>
      <c r="AI15" s="42">
        <f>TONGHOP!AJ36</f>
        <v>0</v>
      </c>
      <c r="AJ15" s="41">
        <f>TONGHOP!AK36</f>
        <v>39</v>
      </c>
      <c r="AK15" s="42">
        <f>TONGHOP!AL36</f>
        <v>34</v>
      </c>
      <c r="AL15" s="42">
        <f>TONGHOP!AM36</f>
        <v>0</v>
      </c>
      <c r="AM15" s="42">
        <f>TONGHOP!AN36</f>
        <v>5</v>
      </c>
      <c r="AN15" s="41">
        <f>TONGHOP!AO36</f>
        <v>11</v>
      </c>
      <c r="AO15" s="42">
        <f>TONGHOP!AP36</f>
        <v>6</v>
      </c>
      <c r="AP15" s="42">
        <f>TONGHOP!AQ36</f>
        <v>0</v>
      </c>
      <c r="AQ15" s="42">
        <f>TONGHOP!AR36</f>
        <v>5</v>
      </c>
      <c r="AR15" s="41">
        <f>TONGHOP!AS36</f>
        <v>11</v>
      </c>
      <c r="AS15" s="42">
        <f>TONGHOP!AT36</f>
        <v>6</v>
      </c>
      <c r="AT15" s="42">
        <f>TONGHOP!AU36</f>
        <v>0</v>
      </c>
      <c r="AU15" s="42">
        <f>TONGHOP!AV36</f>
        <v>5</v>
      </c>
      <c r="AV15" s="41">
        <f>TONGHOP!AW36</f>
        <v>11</v>
      </c>
      <c r="AW15" s="42">
        <f>TONGHOP!AX36</f>
        <v>6</v>
      </c>
      <c r="AX15" s="42">
        <f>TONGHOP!AY36</f>
        <v>0</v>
      </c>
      <c r="AY15" s="42">
        <f>TONGHOP!AZ36</f>
        <v>5</v>
      </c>
      <c r="AZ15" s="34"/>
    </row>
    <row r="16" ht="16.5" customHeight="1">
      <c r="A16" s="55"/>
      <c r="B16" s="138" t="s">
        <v>132</v>
      </c>
      <c r="C16" s="58" t="s">
        <v>71</v>
      </c>
      <c r="D16" s="125">
        <f>E16+F16+G16</f>
        <v>271345</v>
      </c>
      <c r="E16" s="125">
        <f t="shared" ref="E16:G16" si="13">E17+E20</f>
        <v>265119</v>
      </c>
      <c r="F16" s="125">
        <f t="shared" si="13"/>
        <v>2125</v>
      </c>
      <c r="G16" s="125">
        <f t="shared" si="13"/>
        <v>4101</v>
      </c>
      <c r="H16" s="125">
        <f>I16+J16+K16</f>
        <v>268788</v>
      </c>
      <c r="I16" s="125">
        <f t="shared" ref="I16:K16" si="14">I17+I20</f>
        <v>262655</v>
      </c>
      <c r="J16" s="125">
        <f t="shared" si="14"/>
        <v>2127</v>
      </c>
      <c r="K16" s="125">
        <f t="shared" si="14"/>
        <v>4006</v>
      </c>
      <c r="L16" s="125">
        <f>M16+N16+O16</f>
        <v>266061</v>
      </c>
      <c r="M16" s="125">
        <f t="shared" ref="M16:O16" si="15">M17+M20</f>
        <v>259803</v>
      </c>
      <c r="N16" s="125">
        <f t="shared" si="15"/>
        <v>2126</v>
      </c>
      <c r="O16" s="125">
        <f t="shared" si="15"/>
        <v>4132</v>
      </c>
      <c r="P16" s="125">
        <f>Q16+R16+S16</f>
        <v>265553</v>
      </c>
      <c r="Q16" s="125">
        <f t="shared" ref="Q16:S16" si="16">Q17+Q20</f>
        <v>259095</v>
      </c>
      <c r="R16" s="125">
        <f t="shared" si="16"/>
        <v>2115</v>
      </c>
      <c r="S16" s="125">
        <f t="shared" si="16"/>
        <v>4343</v>
      </c>
      <c r="T16" s="125">
        <f>U16+V16+W16</f>
        <v>260909.739</v>
      </c>
      <c r="U16" s="125">
        <f t="shared" ref="U16:W16" si="17">U17+U20</f>
        <v>257121.062</v>
      </c>
      <c r="V16" s="125">
        <f t="shared" si="17"/>
        <v>2115</v>
      </c>
      <c r="W16" s="125">
        <f t="shared" si="17"/>
        <v>1673.677</v>
      </c>
      <c r="X16" s="125">
        <f>Y16+Z16+AA16</f>
        <v>240874.567</v>
      </c>
      <c r="Y16" s="125">
        <f t="shared" ref="Y16:AA16" si="18">Y17+Y20</f>
        <v>236999.837</v>
      </c>
      <c r="Z16" s="125">
        <f t="shared" si="18"/>
        <v>2101</v>
      </c>
      <c r="AA16" s="125">
        <f t="shared" si="18"/>
        <v>1773.73</v>
      </c>
      <c r="AB16" s="125">
        <f>AC16+AD16+AE16</f>
        <v>240663.474</v>
      </c>
      <c r="AC16" s="125">
        <f t="shared" ref="AC16:AE16" si="19">AC17+AC20</f>
        <v>236769.796</v>
      </c>
      <c r="AD16" s="125">
        <f t="shared" si="19"/>
        <v>2101</v>
      </c>
      <c r="AE16" s="125">
        <f t="shared" si="19"/>
        <v>1792.678</v>
      </c>
      <c r="AF16" s="125">
        <f>AG16+AH16+AI16</f>
        <v>6045</v>
      </c>
      <c r="AG16" s="125">
        <f t="shared" ref="AG16:AI16" si="20">AG17+AG20</f>
        <v>4980</v>
      </c>
      <c r="AH16" s="125">
        <f t="shared" si="20"/>
        <v>1065</v>
      </c>
      <c r="AI16" s="125">
        <f t="shared" si="20"/>
        <v>0</v>
      </c>
      <c r="AJ16" s="125">
        <f>AK16+AL16+AM16</f>
        <v>476</v>
      </c>
      <c r="AK16" s="125">
        <f t="shared" ref="AK16:AM16" si="21">AK17+AK20</f>
        <v>476</v>
      </c>
      <c r="AL16" s="125">
        <f t="shared" si="21"/>
        <v>0</v>
      </c>
      <c r="AM16" s="125">
        <f t="shared" si="21"/>
        <v>0</v>
      </c>
      <c r="AN16" s="125">
        <f>AO16+AP16+AQ16</f>
        <v>0</v>
      </c>
      <c r="AO16" s="125">
        <f t="shared" ref="AO16:AQ16" si="22">AO17+AO20</f>
        <v>0</v>
      </c>
      <c r="AP16" s="125">
        <f t="shared" si="22"/>
        <v>0</v>
      </c>
      <c r="AQ16" s="125">
        <f t="shared" si="22"/>
        <v>0</v>
      </c>
      <c r="AR16" s="125">
        <f>AS16+AT16+AU16</f>
        <v>0</v>
      </c>
      <c r="AS16" s="125">
        <f t="shared" ref="AS16:AU16" si="23">AS17+AS20</f>
        <v>0</v>
      </c>
      <c r="AT16" s="125">
        <f t="shared" si="23"/>
        <v>0</v>
      </c>
      <c r="AU16" s="125">
        <f t="shared" si="23"/>
        <v>0</v>
      </c>
      <c r="AV16" s="125">
        <f>AW16+AX16+AY16</f>
        <v>0</v>
      </c>
      <c r="AW16" s="125">
        <f t="shared" ref="AW16:AY16" si="24">AW17+AW20</f>
        <v>0</v>
      </c>
      <c r="AX16" s="125">
        <f t="shared" si="24"/>
        <v>0</v>
      </c>
      <c r="AY16" s="125">
        <f t="shared" si="24"/>
        <v>0</v>
      </c>
      <c r="AZ16" s="63"/>
    </row>
    <row r="17" ht="16.5" customHeight="1">
      <c r="A17" s="29"/>
      <c r="B17" s="145" t="s">
        <v>133</v>
      </c>
      <c r="C17" s="31" t="s">
        <v>30</v>
      </c>
      <c r="D17" s="41">
        <f>TONGHOP!E55</f>
        <v>44609</v>
      </c>
      <c r="E17" s="42">
        <f>TONGHOP!F55</f>
        <v>40224</v>
      </c>
      <c r="F17" s="42">
        <f>TONGHOP!G55</f>
        <v>754</v>
      </c>
      <c r="G17" s="42">
        <f>TONGHOP!H55</f>
        <v>3631</v>
      </c>
      <c r="H17" s="41">
        <f>TONGHOP!I55</f>
        <v>45111</v>
      </c>
      <c r="I17" s="42">
        <f>TONGHOP!J55</f>
        <v>40631</v>
      </c>
      <c r="J17" s="42">
        <f>TONGHOP!K55</f>
        <v>756</v>
      </c>
      <c r="K17" s="42">
        <f>TONGHOP!L55</f>
        <v>3724</v>
      </c>
      <c r="L17" s="41">
        <f>TONGHOP!M55</f>
        <v>45413</v>
      </c>
      <c r="M17" s="42">
        <f>TONGHOP!N55</f>
        <v>40804</v>
      </c>
      <c r="N17" s="42">
        <f>TONGHOP!O55</f>
        <v>756</v>
      </c>
      <c r="O17" s="42">
        <f>TONGHOP!P55</f>
        <v>3853</v>
      </c>
      <c r="P17" s="41">
        <f>TONGHOP!Q55</f>
        <v>45632</v>
      </c>
      <c r="Q17" s="42">
        <f>TONGHOP!R55</f>
        <v>41013</v>
      </c>
      <c r="R17" s="42">
        <f>TONGHOP!S55</f>
        <v>756</v>
      </c>
      <c r="S17" s="42">
        <f>TONGHOP!T55</f>
        <v>3863</v>
      </c>
      <c r="T17" s="41">
        <f>TONGHOP!U55</f>
        <v>40927.739</v>
      </c>
      <c r="U17" s="42">
        <f>TONGHOP!V55</f>
        <v>38976.062</v>
      </c>
      <c r="V17" s="42">
        <f>TONGHOP!W55</f>
        <v>756</v>
      </c>
      <c r="W17" s="42">
        <f>TONGHOP!X55</f>
        <v>1195.677</v>
      </c>
      <c r="X17" s="41">
        <f>TONGHOP!Y55</f>
        <v>41259.779</v>
      </c>
      <c r="Y17" s="42">
        <f>TONGHOP!Z55</f>
        <v>39220.049</v>
      </c>
      <c r="Z17" s="42">
        <f>TONGHOP!AA55</f>
        <v>742</v>
      </c>
      <c r="AA17" s="42">
        <f>TONGHOP!AB55</f>
        <v>1297.73</v>
      </c>
      <c r="AB17" s="41">
        <f>TONGHOP!AC55</f>
        <v>41331.727</v>
      </c>
      <c r="AC17" s="42">
        <f>TONGHOP!AD55</f>
        <v>39274.049</v>
      </c>
      <c r="AD17" s="42">
        <f>TONGHOP!AE55</f>
        <v>742</v>
      </c>
      <c r="AE17" s="42">
        <f>TONGHOP!AF55</f>
        <v>1315.678</v>
      </c>
      <c r="AF17" s="41">
        <f>TONGHOP!AG55</f>
        <v>0</v>
      </c>
      <c r="AG17" s="42">
        <f>TONGHOP!AH55</f>
        <v>0</v>
      </c>
      <c r="AH17" s="42">
        <f>TONGHOP!AI55</f>
        <v>0</v>
      </c>
      <c r="AI17" s="42">
        <f>TONGHOP!AJ55</f>
        <v>0</v>
      </c>
      <c r="AJ17" s="41">
        <f>TONGHOP!AK55</f>
        <v>0</v>
      </c>
      <c r="AK17" s="42">
        <f>TONGHOP!AL55</f>
        <v>0</v>
      </c>
      <c r="AL17" s="42">
        <f>TONGHOP!AM55</f>
        <v>0</v>
      </c>
      <c r="AM17" s="42">
        <f>TONGHOP!AN55</f>
        <v>0</v>
      </c>
      <c r="AN17" s="41">
        <f>TONGHOP!AO55</f>
        <v>0</v>
      </c>
      <c r="AO17" s="42">
        <f>TONGHOP!AP55</f>
        <v>0</v>
      </c>
      <c r="AP17" s="42">
        <f>TONGHOP!AQ55</f>
        <v>0</v>
      </c>
      <c r="AQ17" s="42">
        <f>TONGHOP!AR55</f>
        <v>0</v>
      </c>
      <c r="AR17" s="41">
        <f>TONGHOP!AS55</f>
        <v>0</v>
      </c>
      <c r="AS17" s="42">
        <f>TONGHOP!AT55</f>
        <v>0</v>
      </c>
      <c r="AT17" s="42">
        <f>TONGHOP!AU55</f>
        <v>0</v>
      </c>
      <c r="AU17" s="42">
        <f>TONGHOP!AV55</f>
        <v>0</v>
      </c>
      <c r="AV17" s="41">
        <f>TONGHOP!AW55</f>
        <v>0</v>
      </c>
      <c r="AW17" s="42">
        <f>TONGHOP!AX55</f>
        <v>0</v>
      </c>
      <c r="AX17" s="42">
        <f>TONGHOP!AY55</f>
        <v>0</v>
      </c>
      <c r="AY17" s="42">
        <f>TONGHOP!AZ55</f>
        <v>0</v>
      </c>
      <c r="AZ17" s="34"/>
    </row>
    <row r="18" ht="16.5" customHeight="1">
      <c r="A18" s="29"/>
      <c r="B18" s="145" t="s">
        <v>134</v>
      </c>
      <c r="C18" s="31" t="s">
        <v>30</v>
      </c>
      <c r="D18" s="41">
        <f>TONGHOP!E60</f>
        <v>2896</v>
      </c>
      <c r="E18" s="42">
        <f>TONGHOP!F60</f>
        <v>2270</v>
      </c>
      <c r="F18" s="42">
        <f>TONGHOP!G60</f>
        <v>51</v>
      </c>
      <c r="G18" s="42">
        <f>TONGHOP!H60</f>
        <v>575</v>
      </c>
      <c r="H18" s="41">
        <f>TONGHOP!I60</f>
        <v>3017</v>
      </c>
      <c r="I18" s="42">
        <f>TONGHOP!J60</f>
        <v>2390</v>
      </c>
      <c r="J18" s="42">
        <f>TONGHOP!K60</f>
        <v>51</v>
      </c>
      <c r="K18" s="42">
        <f>TONGHOP!L60</f>
        <v>576</v>
      </c>
      <c r="L18" s="41">
        <f>TONGHOP!M60</f>
        <v>3124</v>
      </c>
      <c r="M18" s="42">
        <f>TONGHOP!N60</f>
        <v>2484</v>
      </c>
      <c r="N18" s="42">
        <f>TONGHOP!O60</f>
        <v>51</v>
      </c>
      <c r="O18" s="42">
        <f>TONGHOP!P60</f>
        <v>589</v>
      </c>
      <c r="P18" s="41">
        <f>TONGHOP!Q60</f>
        <v>3194</v>
      </c>
      <c r="Q18" s="42">
        <f>TONGHOP!R60</f>
        <v>2541</v>
      </c>
      <c r="R18" s="42">
        <f>TONGHOP!S60</f>
        <v>51</v>
      </c>
      <c r="S18" s="42">
        <f>TONGHOP!T60</f>
        <v>602</v>
      </c>
      <c r="T18" s="41">
        <f>TONGHOP!U60</f>
        <v>3205</v>
      </c>
      <c r="U18" s="42">
        <f>TONGHOP!V60</f>
        <v>2543</v>
      </c>
      <c r="V18" s="42">
        <f>TONGHOP!W60</f>
        <v>51</v>
      </c>
      <c r="W18" s="42">
        <f>TONGHOP!X60</f>
        <v>611</v>
      </c>
      <c r="X18" s="41">
        <f>TONGHOP!Y60</f>
        <v>3304</v>
      </c>
      <c r="Y18" s="42">
        <f>TONGHOP!Z60</f>
        <v>2597</v>
      </c>
      <c r="Z18" s="42">
        <f>TONGHOP!AA60</f>
        <v>44</v>
      </c>
      <c r="AA18" s="42">
        <f>TONGHOP!AB60</f>
        <v>663</v>
      </c>
      <c r="AB18" s="41">
        <f>TONGHOP!AC60</f>
        <v>3321</v>
      </c>
      <c r="AC18" s="42">
        <f>TONGHOP!AD60</f>
        <v>2612</v>
      </c>
      <c r="AD18" s="42">
        <f>TONGHOP!AE60</f>
        <v>44</v>
      </c>
      <c r="AE18" s="42">
        <f>TONGHOP!AF60</f>
        <v>665</v>
      </c>
      <c r="AF18" s="41">
        <f>TONGHOP!AG60</f>
        <v>0</v>
      </c>
      <c r="AG18" s="42">
        <f>TONGHOP!AH60</f>
        <v>0</v>
      </c>
      <c r="AH18" s="42">
        <f>TONGHOP!AI60</f>
        <v>0</v>
      </c>
      <c r="AI18" s="42">
        <f>TONGHOP!AJ60</f>
        <v>0</v>
      </c>
      <c r="AJ18" s="41">
        <f>TONGHOP!AK60</f>
        <v>0</v>
      </c>
      <c r="AK18" s="42">
        <f>TONGHOP!AL60</f>
        <v>0</v>
      </c>
      <c r="AL18" s="42">
        <f>TONGHOP!AM60</f>
        <v>0</v>
      </c>
      <c r="AM18" s="42">
        <f>TONGHOP!AN60</f>
        <v>0</v>
      </c>
      <c r="AN18" s="41">
        <f>TONGHOP!AO60</f>
        <v>0</v>
      </c>
      <c r="AO18" s="42">
        <f>TONGHOP!AP60</f>
        <v>0</v>
      </c>
      <c r="AP18" s="42">
        <f>TONGHOP!AQ60</f>
        <v>0</v>
      </c>
      <c r="AQ18" s="42">
        <f>TONGHOP!AR60</f>
        <v>0</v>
      </c>
      <c r="AR18" s="41">
        <f>TONGHOP!AS60</f>
        <v>0</v>
      </c>
      <c r="AS18" s="42">
        <f>TONGHOP!AT60</f>
        <v>0</v>
      </c>
      <c r="AT18" s="42">
        <f>TONGHOP!AU60</f>
        <v>0</v>
      </c>
      <c r="AU18" s="42">
        <f>TONGHOP!AV60</f>
        <v>0</v>
      </c>
      <c r="AV18" s="41">
        <f>TONGHOP!AW60</f>
        <v>0</v>
      </c>
      <c r="AW18" s="42">
        <f>TONGHOP!AX60</f>
        <v>0</v>
      </c>
      <c r="AX18" s="42">
        <f>TONGHOP!AY60</f>
        <v>0</v>
      </c>
      <c r="AY18" s="42">
        <f>TONGHOP!AZ60</f>
        <v>0</v>
      </c>
      <c r="AZ18" s="34"/>
    </row>
    <row r="19" ht="16.5" customHeight="1">
      <c r="A19" s="29"/>
      <c r="B19" s="145" t="s">
        <v>135</v>
      </c>
      <c r="C19" s="31" t="s">
        <v>30</v>
      </c>
      <c r="D19" s="41">
        <f>TONGHOP!E61</f>
        <v>41713</v>
      </c>
      <c r="E19" s="42">
        <f>TONGHOP!F61</f>
        <v>37954</v>
      </c>
      <c r="F19" s="42">
        <f>TONGHOP!G61</f>
        <v>703</v>
      </c>
      <c r="G19" s="42">
        <f>TONGHOP!H61</f>
        <v>3056</v>
      </c>
      <c r="H19" s="41">
        <f>TONGHOP!I61</f>
        <v>42094</v>
      </c>
      <c r="I19" s="42">
        <f>TONGHOP!J61</f>
        <v>38241</v>
      </c>
      <c r="J19" s="42">
        <f>TONGHOP!K61</f>
        <v>705</v>
      </c>
      <c r="K19" s="42">
        <f>TONGHOP!L61</f>
        <v>3148</v>
      </c>
      <c r="L19" s="41">
        <f>TONGHOP!M61</f>
        <v>42289</v>
      </c>
      <c r="M19" s="42">
        <f>TONGHOP!N61</f>
        <v>38320</v>
      </c>
      <c r="N19" s="42">
        <f>TONGHOP!O61</f>
        <v>705</v>
      </c>
      <c r="O19" s="42">
        <f>TONGHOP!P61</f>
        <v>3264</v>
      </c>
      <c r="P19" s="41">
        <f>TONGHOP!Q61</f>
        <v>42438</v>
      </c>
      <c r="Q19" s="42">
        <f>TONGHOP!R61</f>
        <v>38472</v>
      </c>
      <c r="R19" s="42">
        <f>TONGHOP!S61</f>
        <v>705</v>
      </c>
      <c r="S19" s="42">
        <f>TONGHOP!T61</f>
        <v>3261</v>
      </c>
      <c r="T19" s="41">
        <f>TONGHOP!U61</f>
        <v>37722.739</v>
      </c>
      <c r="U19" s="42">
        <f>TONGHOP!V61</f>
        <v>36433.062</v>
      </c>
      <c r="V19" s="42">
        <f>TONGHOP!W61</f>
        <v>705</v>
      </c>
      <c r="W19" s="42">
        <f>TONGHOP!X61</f>
        <v>584.677</v>
      </c>
      <c r="X19" s="41">
        <f>TONGHOP!Y61</f>
        <v>37955.779</v>
      </c>
      <c r="Y19" s="42">
        <f>TONGHOP!Z61</f>
        <v>36623.049</v>
      </c>
      <c r="Z19" s="42">
        <f>TONGHOP!AA61</f>
        <v>698</v>
      </c>
      <c r="AA19" s="42">
        <f>TONGHOP!AB61</f>
        <v>634.73</v>
      </c>
      <c r="AB19" s="41">
        <f>TONGHOP!AC61</f>
        <v>38010.727</v>
      </c>
      <c r="AC19" s="42">
        <f>TONGHOP!AD61</f>
        <v>36662.049</v>
      </c>
      <c r="AD19" s="42">
        <f>TONGHOP!AE61</f>
        <v>698</v>
      </c>
      <c r="AE19" s="42">
        <f>TONGHOP!AF61</f>
        <v>650.678</v>
      </c>
      <c r="AF19" s="41">
        <f>TONGHOP!AG61</f>
        <v>0</v>
      </c>
      <c r="AG19" s="42">
        <f>TONGHOP!AH61</f>
        <v>0</v>
      </c>
      <c r="AH19" s="42">
        <f>TONGHOP!AI61</f>
        <v>0</v>
      </c>
      <c r="AI19" s="42">
        <f>TONGHOP!AJ61</f>
        <v>0</v>
      </c>
      <c r="AJ19" s="41">
        <f>TONGHOP!AK61</f>
        <v>0</v>
      </c>
      <c r="AK19" s="42">
        <f>TONGHOP!AL61</f>
        <v>0</v>
      </c>
      <c r="AL19" s="42">
        <f>TONGHOP!AM61</f>
        <v>0</v>
      </c>
      <c r="AM19" s="42">
        <f>TONGHOP!AN61</f>
        <v>0</v>
      </c>
      <c r="AN19" s="41">
        <f>TONGHOP!AO61</f>
        <v>0</v>
      </c>
      <c r="AO19" s="42">
        <f>TONGHOP!AP61</f>
        <v>0</v>
      </c>
      <c r="AP19" s="42">
        <f>TONGHOP!AQ61</f>
        <v>0</v>
      </c>
      <c r="AQ19" s="42">
        <f>TONGHOP!AR61</f>
        <v>0</v>
      </c>
      <c r="AR19" s="41">
        <f>TONGHOP!AS61</f>
        <v>0</v>
      </c>
      <c r="AS19" s="42">
        <f>TONGHOP!AT61</f>
        <v>0</v>
      </c>
      <c r="AT19" s="42">
        <f>TONGHOP!AU61</f>
        <v>0</v>
      </c>
      <c r="AU19" s="42">
        <f>TONGHOP!AV61</f>
        <v>0</v>
      </c>
      <c r="AV19" s="41">
        <f>TONGHOP!AW61</f>
        <v>0</v>
      </c>
      <c r="AW19" s="42">
        <f>TONGHOP!AX61</f>
        <v>0</v>
      </c>
      <c r="AX19" s="42">
        <f>TONGHOP!AY61</f>
        <v>0</v>
      </c>
      <c r="AY19" s="42">
        <f>TONGHOP!AZ61</f>
        <v>0</v>
      </c>
      <c r="AZ19" s="34"/>
    </row>
    <row r="20" ht="16.5" customHeight="1">
      <c r="A20" s="29"/>
      <c r="B20" s="145" t="s">
        <v>136</v>
      </c>
      <c r="C20" s="31" t="s">
        <v>30</v>
      </c>
      <c r="D20" s="41">
        <f>E20+F20+G20</f>
        <v>226736</v>
      </c>
      <c r="E20" s="42">
        <f t="shared" ref="E20:G20" si="25">E21+E22+E23</f>
        <v>224895</v>
      </c>
      <c r="F20" s="42">
        <f t="shared" si="25"/>
        <v>1371</v>
      </c>
      <c r="G20" s="42">
        <f t="shared" si="25"/>
        <v>470</v>
      </c>
      <c r="H20" s="41">
        <f>I20+J20+K20</f>
        <v>223677</v>
      </c>
      <c r="I20" s="42">
        <f t="shared" ref="I20:K20" si="26">I21+I22+I23</f>
        <v>222024</v>
      </c>
      <c r="J20" s="42">
        <f t="shared" si="26"/>
        <v>1371</v>
      </c>
      <c r="K20" s="42">
        <f t="shared" si="26"/>
        <v>282</v>
      </c>
      <c r="L20" s="41">
        <f>M20+N20+O20</f>
        <v>220648</v>
      </c>
      <c r="M20" s="42">
        <f t="shared" ref="M20:O20" si="27">M21+M22+M23</f>
        <v>218999</v>
      </c>
      <c r="N20" s="42">
        <f t="shared" si="27"/>
        <v>1370</v>
      </c>
      <c r="O20" s="42">
        <f t="shared" si="27"/>
        <v>279</v>
      </c>
      <c r="P20" s="41">
        <f>Q20+R20+S20</f>
        <v>219921</v>
      </c>
      <c r="Q20" s="42">
        <f t="shared" ref="Q20:S20" si="28">Q21+Q22+Q23</f>
        <v>218082</v>
      </c>
      <c r="R20" s="42">
        <f t="shared" si="28"/>
        <v>1359</v>
      </c>
      <c r="S20" s="42">
        <f t="shared" si="28"/>
        <v>480</v>
      </c>
      <c r="T20" s="41">
        <f>U20+V20+W20</f>
        <v>219982</v>
      </c>
      <c r="U20" s="42">
        <f t="shared" ref="U20:W20" si="29">U21+U22+U23</f>
        <v>218145</v>
      </c>
      <c r="V20" s="42">
        <f t="shared" si="29"/>
        <v>1359</v>
      </c>
      <c r="W20" s="42">
        <f t="shared" si="29"/>
        <v>478</v>
      </c>
      <c r="X20" s="41">
        <f>Y20+Z20+AA20</f>
        <v>199614.788</v>
      </c>
      <c r="Y20" s="42">
        <f t="shared" ref="Y20:AA20" si="30">Y21+Y22+Y23</f>
        <v>197779.788</v>
      </c>
      <c r="Z20" s="42">
        <f t="shared" si="30"/>
        <v>1359</v>
      </c>
      <c r="AA20" s="42">
        <f t="shared" si="30"/>
        <v>476</v>
      </c>
      <c r="AB20" s="41">
        <f>AC20+AD20+AE20</f>
        <v>199331.747</v>
      </c>
      <c r="AC20" s="42">
        <f t="shared" ref="AC20:AE20" si="31">AC21+AC22+AC23</f>
        <v>197495.747</v>
      </c>
      <c r="AD20" s="42">
        <f t="shared" si="31"/>
        <v>1359</v>
      </c>
      <c r="AE20" s="42">
        <f t="shared" si="31"/>
        <v>477</v>
      </c>
      <c r="AF20" s="41">
        <f>AG20+AH20+AI20</f>
        <v>6045</v>
      </c>
      <c r="AG20" s="42">
        <f t="shared" ref="AG20:AI20" si="32">AG21+AG22+AG23</f>
        <v>4980</v>
      </c>
      <c r="AH20" s="42">
        <f t="shared" si="32"/>
        <v>1065</v>
      </c>
      <c r="AI20" s="42">
        <f t="shared" si="32"/>
        <v>0</v>
      </c>
      <c r="AJ20" s="41">
        <f>AK20+AL20+AM20</f>
        <v>476</v>
      </c>
      <c r="AK20" s="42">
        <f t="shared" ref="AK20:AM20" si="33">AK21+AK22+AK23</f>
        <v>476</v>
      </c>
      <c r="AL20" s="42">
        <f t="shared" si="33"/>
        <v>0</v>
      </c>
      <c r="AM20" s="42">
        <f t="shared" si="33"/>
        <v>0</v>
      </c>
      <c r="AN20" s="41">
        <f>AO20+AP20+AQ20</f>
        <v>0</v>
      </c>
      <c r="AO20" s="42">
        <f t="shared" ref="AO20:AQ20" si="34">AO21+AO22+AO23</f>
        <v>0</v>
      </c>
      <c r="AP20" s="42">
        <f t="shared" si="34"/>
        <v>0</v>
      </c>
      <c r="AQ20" s="42">
        <f t="shared" si="34"/>
        <v>0</v>
      </c>
      <c r="AR20" s="41">
        <f>AS20+AT20+AU20</f>
        <v>0</v>
      </c>
      <c r="AS20" s="42">
        <f t="shared" ref="AS20:AU20" si="35">AS21+AS22+AS23</f>
        <v>0</v>
      </c>
      <c r="AT20" s="42">
        <f t="shared" si="35"/>
        <v>0</v>
      </c>
      <c r="AU20" s="42">
        <f t="shared" si="35"/>
        <v>0</v>
      </c>
      <c r="AV20" s="41">
        <f>AW20+AX20+AY20</f>
        <v>0</v>
      </c>
      <c r="AW20" s="42">
        <f t="shared" ref="AW20:AY20" si="36">AW21+AW22+AW23</f>
        <v>0</v>
      </c>
      <c r="AX20" s="42">
        <f t="shared" si="36"/>
        <v>0</v>
      </c>
      <c r="AY20" s="42">
        <f t="shared" si="36"/>
        <v>0</v>
      </c>
      <c r="AZ20" s="34"/>
    </row>
    <row r="21" ht="16.5" customHeight="1">
      <c r="A21" s="29"/>
      <c r="B21" s="145" t="s">
        <v>137</v>
      </c>
      <c r="C21" s="31" t="s">
        <v>30</v>
      </c>
      <c r="D21" s="41">
        <f>TONGHOP!E56</f>
        <v>113116</v>
      </c>
      <c r="E21" s="42">
        <f>TONGHOP!F56</f>
        <v>111981</v>
      </c>
      <c r="F21" s="42">
        <f>TONGHOP!G56</f>
        <v>934</v>
      </c>
      <c r="G21" s="42">
        <f>TONGHOP!H56</f>
        <v>201</v>
      </c>
      <c r="H21" s="41">
        <f>TONGHOP!I56</f>
        <v>112603</v>
      </c>
      <c r="I21" s="42">
        <f>TONGHOP!J56</f>
        <v>111468</v>
      </c>
      <c r="J21" s="42">
        <f>TONGHOP!K56</f>
        <v>934</v>
      </c>
      <c r="K21" s="42">
        <f>TONGHOP!L56</f>
        <v>201</v>
      </c>
      <c r="L21" s="41">
        <f>TONGHOP!M56</f>
        <v>112550</v>
      </c>
      <c r="M21" s="42">
        <f>TONGHOP!N56</f>
        <v>111417</v>
      </c>
      <c r="N21" s="42">
        <f>TONGHOP!O56</f>
        <v>934</v>
      </c>
      <c r="O21" s="42">
        <f>TONGHOP!P56</f>
        <v>199</v>
      </c>
      <c r="P21" s="41">
        <f>TONGHOP!Q56</f>
        <v>112265</v>
      </c>
      <c r="Q21" s="42">
        <f>TONGHOP!R56</f>
        <v>111142</v>
      </c>
      <c r="R21" s="42">
        <f>TONGHOP!S56</f>
        <v>924</v>
      </c>
      <c r="S21" s="42">
        <f>TONGHOP!T56</f>
        <v>199</v>
      </c>
      <c r="T21" s="41">
        <f>TONGHOP!U56</f>
        <v>112159</v>
      </c>
      <c r="U21" s="42">
        <f>TONGHOP!V56</f>
        <v>111037</v>
      </c>
      <c r="V21" s="42">
        <f>TONGHOP!W56</f>
        <v>924</v>
      </c>
      <c r="W21" s="42">
        <f>TONGHOP!X56</f>
        <v>198</v>
      </c>
      <c r="X21" s="41">
        <f>TONGHOP!Y56</f>
        <v>100646.421</v>
      </c>
      <c r="Y21" s="42">
        <f>TONGHOP!Z56</f>
        <v>99526.421</v>
      </c>
      <c r="Z21" s="42">
        <f>TONGHOP!AA56</f>
        <v>924</v>
      </c>
      <c r="AA21" s="42">
        <f>TONGHOP!AB56</f>
        <v>196</v>
      </c>
      <c r="AB21" s="41">
        <f>TONGHOP!AC56</f>
        <v>100611.421</v>
      </c>
      <c r="AC21" s="42">
        <f>TONGHOP!AD56</f>
        <v>99491.421</v>
      </c>
      <c r="AD21" s="42">
        <f>TONGHOP!AE56</f>
        <v>924</v>
      </c>
      <c r="AE21" s="42">
        <f>TONGHOP!AF56</f>
        <v>196</v>
      </c>
      <c r="AF21" s="41">
        <f>TONGHOP!AG56</f>
        <v>1349</v>
      </c>
      <c r="AG21" s="42">
        <f>TONGHOP!AH56</f>
        <v>719</v>
      </c>
      <c r="AH21" s="42">
        <f>TONGHOP!AI56</f>
        <v>630</v>
      </c>
      <c r="AI21" s="42">
        <f>TONGHOP!AJ56</f>
        <v>0</v>
      </c>
      <c r="AJ21" s="41">
        <f>TONGHOP!AK56</f>
        <v>0</v>
      </c>
      <c r="AK21" s="42">
        <f>TONGHOP!AL56</f>
        <v>0</v>
      </c>
      <c r="AL21" s="42">
        <f>TONGHOP!AM56</f>
        <v>0</v>
      </c>
      <c r="AM21" s="42">
        <f>TONGHOP!AN56</f>
        <v>0</v>
      </c>
      <c r="AN21" s="41">
        <f>TONGHOP!AO56</f>
        <v>0</v>
      </c>
      <c r="AO21" s="42">
        <f>TONGHOP!AP56</f>
        <v>0</v>
      </c>
      <c r="AP21" s="42">
        <f>TONGHOP!AQ56</f>
        <v>0</v>
      </c>
      <c r="AQ21" s="42">
        <f>TONGHOP!AR56</f>
        <v>0</v>
      </c>
      <c r="AR21" s="41">
        <f>TONGHOP!AS56</f>
        <v>0</v>
      </c>
      <c r="AS21" s="42">
        <f>TONGHOP!AT56</f>
        <v>0</v>
      </c>
      <c r="AT21" s="42">
        <f>TONGHOP!AU56</f>
        <v>0</v>
      </c>
      <c r="AU21" s="42">
        <f>TONGHOP!AV56</f>
        <v>0</v>
      </c>
      <c r="AV21" s="41">
        <f>TONGHOP!AW56</f>
        <v>0</v>
      </c>
      <c r="AW21" s="42">
        <f>TONGHOP!AX56</f>
        <v>0</v>
      </c>
      <c r="AX21" s="42">
        <f>TONGHOP!AY56</f>
        <v>0</v>
      </c>
      <c r="AY21" s="42">
        <f>TONGHOP!AZ56</f>
        <v>0</v>
      </c>
      <c r="AZ21" s="34"/>
    </row>
    <row r="22" ht="16.5" customHeight="1">
      <c r="A22" s="29"/>
      <c r="B22" s="145" t="s">
        <v>138</v>
      </c>
      <c r="C22" s="31" t="s">
        <v>30</v>
      </c>
      <c r="D22" s="41">
        <f>TONGHOP!E57</f>
        <v>78983</v>
      </c>
      <c r="E22" s="42">
        <f>TONGHOP!F57</f>
        <v>78356</v>
      </c>
      <c r="F22" s="42">
        <f>TONGHOP!G57</f>
        <v>437</v>
      </c>
      <c r="G22" s="42">
        <f>TONGHOP!H57</f>
        <v>190</v>
      </c>
      <c r="H22" s="41">
        <f>TONGHOP!I57</f>
        <v>77687</v>
      </c>
      <c r="I22" s="42">
        <f>TONGHOP!J57</f>
        <v>77169</v>
      </c>
      <c r="J22" s="42">
        <f>TONGHOP!K57</f>
        <v>437</v>
      </c>
      <c r="K22" s="42">
        <f>TONGHOP!L57</f>
        <v>81</v>
      </c>
      <c r="L22" s="41">
        <f>TONGHOP!M57</f>
        <v>76662</v>
      </c>
      <c r="M22" s="42">
        <f>TONGHOP!N57</f>
        <v>76146</v>
      </c>
      <c r="N22" s="42">
        <f>TONGHOP!O57</f>
        <v>436</v>
      </c>
      <c r="O22" s="42">
        <f>TONGHOP!P57</f>
        <v>80</v>
      </c>
      <c r="P22" s="41">
        <f>TONGHOP!Q57</f>
        <v>76234</v>
      </c>
      <c r="Q22" s="42">
        <f>TONGHOP!R57</f>
        <v>75618</v>
      </c>
      <c r="R22" s="42">
        <f>TONGHOP!S57</f>
        <v>435</v>
      </c>
      <c r="S22" s="42">
        <f>TONGHOP!T57</f>
        <v>181</v>
      </c>
      <c r="T22" s="41">
        <f>TONGHOP!U57</f>
        <v>76445</v>
      </c>
      <c r="U22" s="42">
        <f>TONGHOP!V57</f>
        <v>75830</v>
      </c>
      <c r="V22" s="42">
        <f>TONGHOP!W57</f>
        <v>435</v>
      </c>
      <c r="W22" s="42">
        <f>TONGHOP!X57</f>
        <v>180</v>
      </c>
      <c r="X22" s="41">
        <f>TONGHOP!Y57</f>
        <v>67668.367</v>
      </c>
      <c r="Y22" s="42">
        <f>TONGHOP!Z57</f>
        <v>67054.367</v>
      </c>
      <c r="Z22" s="42">
        <f>TONGHOP!AA57</f>
        <v>435</v>
      </c>
      <c r="AA22" s="42">
        <f>TONGHOP!AB57</f>
        <v>179</v>
      </c>
      <c r="AB22" s="41">
        <f>TONGHOP!AC57</f>
        <v>67479.326</v>
      </c>
      <c r="AC22" s="42">
        <f>TONGHOP!AD57</f>
        <v>66864.326</v>
      </c>
      <c r="AD22" s="42">
        <f>TONGHOP!AE57</f>
        <v>435</v>
      </c>
      <c r="AE22" s="42">
        <f>TONGHOP!AF57</f>
        <v>180</v>
      </c>
      <c r="AF22" s="41">
        <f>TONGHOP!AG57</f>
        <v>1578</v>
      </c>
      <c r="AG22" s="42">
        <f>TONGHOP!AH57</f>
        <v>1143</v>
      </c>
      <c r="AH22" s="42">
        <f>TONGHOP!AI57</f>
        <v>435</v>
      </c>
      <c r="AI22" s="42">
        <f>TONGHOP!AJ57</f>
        <v>0</v>
      </c>
      <c r="AJ22" s="41">
        <f>TONGHOP!AK57</f>
        <v>271</v>
      </c>
      <c r="AK22" s="42">
        <f>TONGHOP!AL57</f>
        <v>271</v>
      </c>
      <c r="AL22" s="42">
        <f>TONGHOP!AM57</f>
        <v>0</v>
      </c>
      <c r="AM22" s="42">
        <f>TONGHOP!AN57</f>
        <v>0</v>
      </c>
      <c r="AN22" s="41">
        <f>TONGHOP!AO57</f>
        <v>0</v>
      </c>
      <c r="AO22" s="42">
        <f>TONGHOP!AP57</f>
        <v>0</v>
      </c>
      <c r="AP22" s="42">
        <f>TONGHOP!AQ57</f>
        <v>0</v>
      </c>
      <c r="AQ22" s="42">
        <f>TONGHOP!AR57</f>
        <v>0</v>
      </c>
      <c r="AR22" s="41">
        <f>TONGHOP!AS57</f>
        <v>0</v>
      </c>
      <c r="AS22" s="42">
        <f>TONGHOP!AT57</f>
        <v>0</v>
      </c>
      <c r="AT22" s="42">
        <f>TONGHOP!AU57</f>
        <v>0</v>
      </c>
      <c r="AU22" s="42">
        <f>TONGHOP!AV57</f>
        <v>0</v>
      </c>
      <c r="AV22" s="41">
        <f>TONGHOP!AW57</f>
        <v>0</v>
      </c>
      <c r="AW22" s="42">
        <f>TONGHOP!AX57</f>
        <v>0</v>
      </c>
      <c r="AX22" s="42">
        <f>TONGHOP!AY57</f>
        <v>0</v>
      </c>
      <c r="AY22" s="42">
        <f>TONGHOP!AZ57</f>
        <v>0</v>
      </c>
      <c r="AZ22" s="34"/>
    </row>
    <row r="23" ht="16.5" customHeight="1">
      <c r="A23" s="29"/>
      <c r="B23" s="145" t="s">
        <v>139</v>
      </c>
      <c r="C23" s="31" t="s">
        <v>30</v>
      </c>
      <c r="D23" s="41">
        <f>TONGHOP!E58</f>
        <v>34637</v>
      </c>
      <c r="E23" s="42">
        <f>TONGHOP!F58</f>
        <v>34558</v>
      </c>
      <c r="F23" s="42">
        <f>TONGHOP!G58</f>
        <v>0</v>
      </c>
      <c r="G23" s="42">
        <f>TONGHOP!H58</f>
        <v>79</v>
      </c>
      <c r="H23" s="41">
        <f>TONGHOP!I58</f>
        <v>33387</v>
      </c>
      <c r="I23" s="42">
        <f>TONGHOP!J58</f>
        <v>33387</v>
      </c>
      <c r="J23" s="42">
        <f>TONGHOP!K58</f>
        <v>0</v>
      </c>
      <c r="K23" s="42">
        <f>TONGHOP!L58</f>
        <v>0</v>
      </c>
      <c r="L23" s="41">
        <f>TONGHOP!M58</f>
        <v>31436</v>
      </c>
      <c r="M23" s="42">
        <f>TONGHOP!N58</f>
        <v>31436</v>
      </c>
      <c r="N23" s="42">
        <f>TONGHOP!O58</f>
        <v>0</v>
      </c>
      <c r="O23" s="42">
        <f>TONGHOP!P58</f>
        <v>0</v>
      </c>
      <c r="P23" s="41">
        <f>TONGHOP!Q58</f>
        <v>31422</v>
      </c>
      <c r="Q23" s="42">
        <f>TONGHOP!R58</f>
        <v>31322</v>
      </c>
      <c r="R23" s="42">
        <f>TONGHOP!S58</f>
        <v>0</v>
      </c>
      <c r="S23" s="42">
        <f>TONGHOP!T58</f>
        <v>100</v>
      </c>
      <c r="T23" s="41">
        <f>TONGHOP!U58</f>
        <v>31378</v>
      </c>
      <c r="U23" s="42">
        <f>TONGHOP!V58</f>
        <v>31278</v>
      </c>
      <c r="V23" s="42">
        <f>TONGHOP!W58</f>
        <v>0</v>
      </c>
      <c r="W23" s="42">
        <f>TONGHOP!X58</f>
        <v>100</v>
      </c>
      <c r="X23" s="41">
        <f>TONGHOP!Y58</f>
        <v>31300</v>
      </c>
      <c r="Y23" s="42">
        <f>TONGHOP!Z58</f>
        <v>31199</v>
      </c>
      <c r="Z23" s="42">
        <f>TONGHOP!AA58</f>
        <v>0</v>
      </c>
      <c r="AA23" s="42">
        <f>TONGHOP!AB58</f>
        <v>101</v>
      </c>
      <c r="AB23" s="41">
        <f>TONGHOP!AC58</f>
        <v>31241</v>
      </c>
      <c r="AC23" s="42">
        <f>TONGHOP!AD58</f>
        <v>31140</v>
      </c>
      <c r="AD23" s="42">
        <f>TONGHOP!AE58</f>
        <v>0</v>
      </c>
      <c r="AE23" s="42">
        <f>TONGHOP!AF58</f>
        <v>101</v>
      </c>
      <c r="AF23" s="41">
        <f>TONGHOP!AG58</f>
        <v>3118</v>
      </c>
      <c r="AG23" s="42">
        <f>TONGHOP!AH58</f>
        <v>3118</v>
      </c>
      <c r="AH23" s="42">
        <f>TONGHOP!AI58</f>
        <v>0</v>
      </c>
      <c r="AI23" s="42">
        <f>TONGHOP!AJ58</f>
        <v>0</v>
      </c>
      <c r="AJ23" s="41">
        <f>TONGHOP!AK58</f>
        <v>205</v>
      </c>
      <c r="AK23" s="42">
        <f>TONGHOP!AL58</f>
        <v>205</v>
      </c>
      <c r="AL23" s="42">
        <f>TONGHOP!AM58</f>
        <v>0</v>
      </c>
      <c r="AM23" s="42">
        <f>TONGHOP!AN58</f>
        <v>0</v>
      </c>
      <c r="AN23" s="41">
        <f>TONGHOP!AO58</f>
        <v>0</v>
      </c>
      <c r="AO23" s="42">
        <f>TONGHOP!AP58</f>
        <v>0</v>
      </c>
      <c r="AP23" s="42">
        <f>TONGHOP!AQ58</f>
        <v>0</v>
      </c>
      <c r="AQ23" s="42">
        <f>TONGHOP!AR58</f>
        <v>0</v>
      </c>
      <c r="AR23" s="41">
        <f>TONGHOP!AS58</f>
        <v>0</v>
      </c>
      <c r="AS23" s="42">
        <f>TONGHOP!AT58</f>
        <v>0</v>
      </c>
      <c r="AT23" s="42">
        <f>TONGHOP!AU58</f>
        <v>0</v>
      </c>
      <c r="AU23" s="42">
        <f>TONGHOP!AV58</f>
        <v>0</v>
      </c>
      <c r="AV23" s="41">
        <f>TONGHOP!AW58</f>
        <v>0</v>
      </c>
      <c r="AW23" s="42">
        <f>TONGHOP!AX58</f>
        <v>0</v>
      </c>
      <c r="AX23" s="42">
        <f>TONGHOP!AY58</f>
        <v>0</v>
      </c>
      <c r="AY23" s="42">
        <f>TONGHOP!AZ58</f>
        <v>0</v>
      </c>
      <c r="AZ23" s="34"/>
    </row>
    <row r="24" ht="29.25" customHeight="1">
      <c r="A24" s="55"/>
      <c r="B24" s="138" t="s">
        <v>140</v>
      </c>
      <c r="C24" s="31" t="s">
        <v>44</v>
      </c>
      <c r="D24" s="146" t="s">
        <v>141</v>
      </c>
      <c r="E24" s="147" t="s">
        <v>142</v>
      </c>
      <c r="F24" s="146" t="s">
        <v>143</v>
      </c>
      <c r="G24" s="148" t="s">
        <v>144</v>
      </c>
      <c r="H24" s="146" t="s">
        <v>141</v>
      </c>
      <c r="I24" s="147" t="s">
        <v>142</v>
      </c>
      <c r="J24" s="146" t="s">
        <v>143</v>
      </c>
      <c r="K24" s="148" t="s">
        <v>144</v>
      </c>
      <c r="L24" s="146" t="s">
        <v>141</v>
      </c>
      <c r="M24" s="147" t="s">
        <v>142</v>
      </c>
      <c r="N24" s="146" t="s">
        <v>143</v>
      </c>
      <c r="O24" s="148" t="s">
        <v>144</v>
      </c>
      <c r="P24" s="146" t="s">
        <v>141</v>
      </c>
      <c r="Q24" s="147" t="s">
        <v>142</v>
      </c>
      <c r="R24" s="146" t="s">
        <v>143</v>
      </c>
      <c r="S24" s="148" t="s">
        <v>144</v>
      </c>
      <c r="T24" s="146" t="s">
        <v>141</v>
      </c>
      <c r="U24" s="147" t="s">
        <v>142</v>
      </c>
      <c r="V24" s="146" t="s">
        <v>143</v>
      </c>
      <c r="W24" s="148" t="s">
        <v>144</v>
      </c>
      <c r="X24" s="146" t="s">
        <v>141</v>
      </c>
      <c r="Y24" s="147" t="s">
        <v>142</v>
      </c>
      <c r="Z24" s="146" t="s">
        <v>143</v>
      </c>
      <c r="AA24" s="148" t="s">
        <v>144</v>
      </c>
      <c r="AB24" s="146" t="s">
        <v>141</v>
      </c>
      <c r="AC24" s="147" t="s">
        <v>142</v>
      </c>
      <c r="AD24" s="146" t="s">
        <v>143</v>
      </c>
      <c r="AE24" s="148" t="s">
        <v>144</v>
      </c>
      <c r="AF24" s="146" t="s">
        <v>141</v>
      </c>
      <c r="AG24" s="147" t="s">
        <v>142</v>
      </c>
      <c r="AH24" s="146" t="s">
        <v>143</v>
      </c>
      <c r="AI24" s="148" t="s">
        <v>144</v>
      </c>
      <c r="AJ24" s="146" t="s">
        <v>141</v>
      </c>
      <c r="AK24" s="147" t="s">
        <v>142</v>
      </c>
      <c r="AL24" s="146" t="s">
        <v>143</v>
      </c>
      <c r="AM24" s="148" t="s">
        <v>144</v>
      </c>
      <c r="AN24" s="146" t="s">
        <v>141</v>
      </c>
      <c r="AO24" s="147" t="s">
        <v>142</v>
      </c>
      <c r="AP24" s="146" t="s">
        <v>143</v>
      </c>
      <c r="AQ24" s="148" t="s">
        <v>144</v>
      </c>
      <c r="AR24" s="146" t="s">
        <v>141</v>
      </c>
      <c r="AS24" s="147" t="s">
        <v>142</v>
      </c>
      <c r="AT24" s="146" t="s">
        <v>143</v>
      </c>
      <c r="AU24" s="148" t="s">
        <v>144</v>
      </c>
      <c r="AV24" s="146" t="s">
        <v>141</v>
      </c>
      <c r="AW24" s="147" t="s">
        <v>142</v>
      </c>
      <c r="AX24" s="146" t="s">
        <v>143</v>
      </c>
      <c r="AY24" s="148" t="s">
        <v>144</v>
      </c>
      <c r="AZ24" s="63"/>
    </row>
    <row r="25" ht="15.75" customHeight="1">
      <c r="A25" s="29"/>
      <c r="B25" s="145" t="s">
        <v>145</v>
      </c>
      <c r="C25" s="31" t="s">
        <v>30</v>
      </c>
      <c r="D25" s="149">
        <f t="shared" ref="D25:D26" si="37">(D18*E25)/G25</f>
        <v>16.6285887</v>
      </c>
      <c r="E25" s="150">
        <v>19.0</v>
      </c>
      <c r="F25" s="151">
        <f t="shared" ref="F25:F29" si="38">D25/E25*100</f>
        <v>87.51888788</v>
      </c>
      <c r="G25" s="152">
        <v>3309.0</v>
      </c>
      <c r="H25" s="149">
        <f t="shared" ref="H25:H26" si="39">(H18*I25)/K25</f>
        <v>17.32336053</v>
      </c>
      <c r="I25" s="150">
        <v>19.0</v>
      </c>
      <c r="J25" s="151">
        <f t="shared" ref="J25:J29" si="40">H25/I25*100</f>
        <v>91.17558175</v>
      </c>
      <c r="K25" s="152">
        <v>3309.0</v>
      </c>
      <c r="L25" s="149">
        <f t="shared" ref="L25:L26" si="41">(L18*M25)/O25</f>
        <v>17.93774554</v>
      </c>
      <c r="M25" s="150">
        <v>19.0</v>
      </c>
      <c r="N25" s="151">
        <f t="shared" ref="N25:N29" si="42">L25/M25*100</f>
        <v>94.40918707</v>
      </c>
      <c r="O25" s="152">
        <v>3309.0</v>
      </c>
      <c r="P25" s="149">
        <f t="shared" ref="P25:P26" si="43">(P18*Q25)/S25</f>
        <v>18.33967966</v>
      </c>
      <c r="Q25" s="150">
        <v>19.0</v>
      </c>
      <c r="R25" s="151">
        <f t="shared" ref="R25:R29" si="44">P25/Q25*100</f>
        <v>96.5246298</v>
      </c>
      <c r="S25" s="152">
        <v>3309.0</v>
      </c>
      <c r="T25" s="149">
        <f t="shared" ref="T25:T26" si="45">(T18*U25)/W25</f>
        <v>18.40284074</v>
      </c>
      <c r="U25" s="150">
        <v>19.0</v>
      </c>
      <c r="V25" s="151">
        <f t="shared" ref="V25:V29" si="46">T25/U25*100</f>
        <v>96.85705651</v>
      </c>
      <c r="W25" s="152">
        <v>3309.0</v>
      </c>
      <c r="X25" s="149">
        <f t="shared" ref="X25:X26" si="47">(X18*Y25)/AA25</f>
        <v>18.97129042</v>
      </c>
      <c r="Y25" s="150">
        <v>19.0</v>
      </c>
      <c r="Z25" s="151">
        <f t="shared" ref="Z25:Z29" si="48">X25/Y25*100</f>
        <v>99.84889695</v>
      </c>
      <c r="AA25" s="152">
        <v>3309.0</v>
      </c>
      <c r="AB25" s="149">
        <f t="shared" ref="AB25:AB26" si="49">(AB18*AC25)/AE25</f>
        <v>19.06890299</v>
      </c>
      <c r="AC25" s="150">
        <v>19.0</v>
      </c>
      <c r="AD25" s="151">
        <f t="shared" ref="AD25:AD29" si="50">AB25/AC25*100</f>
        <v>100.3626473</v>
      </c>
      <c r="AE25" s="152">
        <v>3309.0</v>
      </c>
      <c r="AF25" s="149">
        <f t="shared" ref="AF25:AF26" si="51">(AF18*AG25)/AI25</f>
        <v>0</v>
      </c>
      <c r="AG25" s="150">
        <v>19.0</v>
      </c>
      <c r="AH25" s="151">
        <f t="shared" ref="AH25:AH29" si="52">AF25/AG25*100</f>
        <v>0</v>
      </c>
      <c r="AI25" s="152">
        <v>3309.0</v>
      </c>
      <c r="AJ25" s="149">
        <f t="shared" ref="AJ25:AJ26" si="53">(AJ18*AK25)/AM25</f>
        <v>0</v>
      </c>
      <c r="AK25" s="150">
        <v>19.0</v>
      </c>
      <c r="AL25" s="151">
        <f t="shared" ref="AL25:AL29" si="54">AJ25/AK25*100</f>
        <v>0</v>
      </c>
      <c r="AM25" s="152">
        <v>3309.0</v>
      </c>
      <c r="AN25" s="149">
        <f t="shared" ref="AN25:AN26" si="55">(AN18*AO25)/AQ25</f>
        <v>0</v>
      </c>
      <c r="AO25" s="150">
        <v>19.0</v>
      </c>
      <c r="AP25" s="151">
        <f t="shared" ref="AP25:AP29" si="56">AN25/AO25*100</f>
        <v>0</v>
      </c>
      <c r="AQ25" s="152">
        <v>3309.0</v>
      </c>
      <c r="AR25" s="149">
        <f t="shared" ref="AR25:AR26" si="57">(AR18*AS25)/AU25</f>
        <v>0</v>
      </c>
      <c r="AS25" s="150">
        <v>19.0</v>
      </c>
      <c r="AT25" s="151">
        <f t="shared" ref="AT25:AT29" si="58">AR25/AS25*100</f>
        <v>0</v>
      </c>
      <c r="AU25" s="152">
        <v>3309.0</v>
      </c>
      <c r="AV25" s="149">
        <f t="shared" ref="AV25:AV26" si="59">(AV18*AW25)/AY25</f>
        <v>0</v>
      </c>
      <c r="AW25" s="150">
        <v>19.0</v>
      </c>
      <c r="AX25" s="151">
        <f t="shared" ref="AX25:AX29" si="60">AV25/AW25*100</f>
        <v>0</v>
      </c>
      <c r="AY25" s="152">
        <v>3309.0</v>
      </c>
      <c r="AZ25" s="34"/>
    </row>
    <row r="26" ht="15.75" customHeight="1">
      <c r="A26" s="29"/>
      <c r="B26" s="145" t="s">
        <v>146</v>
      </c>
      <c r="C26" s="31" t="s">
        <v>30</v>
      </c>
      <c r="D26" s="149">
        <f t="shared" si="37"/>
        <v>93.87544768</v>
      </c>
      <c r="E26" s="150">
        <v>93.0</v>
      </c>
      <c r="F26" s="151">
        <f t="shared" si="38"/>
        <v>100.9413416</v>
      </c>
      <c r="G26" s="152">
        <v>41324.0</v>
      </c>
      <c r="H26" s="149">
        <f t="shared" si="39"/>
        <v>94.7328913</v>
      </c>
      <c r="I26" s="150">
        <v>93.0</v>
      </c>
      <c r="J26" s="151">
        <f t="shared" si="40"/>
        <v>101.863324</v>
      </c>
      <c r="K26" s="152">
        <v>41324.0</v>
      </c>
      <c r="L26" s="149">
        <f t="shared" si="41"/>
        <v>95.17174039</v>
      </c>
      <c r="M26" s="150">
        <v>93.0</v>
      </c>
      <c r="N26" s="151">
        <f t="shared" si="42"/>
        <v>102.3352047</v>
      </c>
      <c r="O26" s="152">
        <v>41324.0</v>
      </c>
      <c r="P26" s="149">
        <f t="shared" si="43"/>
        <v>95.50706611</v>
      </c>
      <c r="Q26" s="150">
        <v>93.0</v>
      </c>
      <c r="R26" s="151">
        <f t="shared" si="44"/>
        <v>102.69577</v>
      </c>
      <c r="S26" s="152">
        <v>41324.0</v>
      </c>
      <c r="T26" s="149">
        <f t="shared" si="45"/>
        <v>84.89533266</v>
      </c>
      <c r="U26" s="150">
        <v>93.0</v>
      </c>
      <c r="V26" s="151">
        <f t="shared" si="46"/>
        <v>91.28530394</v>
      </c>
      <c r="W26" s="152">
        <v>41324.0</v>
      </c>
      <c r="X26" s="149">
        <f t="shared" si="47"/>
        <v>85.41979109</v>
      </c>
      <c r="Y26" s="150">
        <v>93.0</v>
      </c>
      <c r="Z26" s="151">
        <f t="shared" si="48"/>
        <v>91.84923773</v>
      </c>
      <c r="AA26" s="152">
        <v>41324.0</v>
      </c>
      <c r="AB26" s="149">
        <f t="shared" si="49"/>
        <v>85.54345201</v>
      </c>
      <c r="AC26" s="150">
        <v>93.0</v>
      </c>
      <c r="AD26" s="151">
        <f t="shared" si="50"/>
        <v>91.98220647</v>
      </c>
      <c r="AE26" s="152">
        <v>41324.0</v>
      </c>
      <c r="AF26" s="149">
        <f t="shared" si="51"/>
        <v>0</v>
      </c>
      <c r="AG26" s="150">
        <v>93.0</v>
      </c>
      <c r="AH26" s="151">
        <f t="shared" si="52"/>
        <v>0</v>
      </c>
      <c r="AI26" s="152">
        <v>41324.0</v>
      </c>
      <c r="AJ26" s="149">
        <f t="shared" si="53"/>
        <v>0</v>
      </c>
      <c r="AK26" s="150">
        <v>93.0</v>
      </c>
      <c r="AL26" s="151">
        <f t="shared" si="54"/>
        <v>0</v>
      </c>
      <c r="AM26" s="152">
        <v>41324.0</v>
      </c>
      <c r="AN26" s="149">
        <f t="shared" si="55"/>
        <v>0</v>
      </c>
      <c r="AO26" s="150">
        <v>93.0</v>
      </c>
      <c r="AP26" s="151">
        <f t="shared" si="56"/>
        <v>0</v>
      </c>
      <c r="AQ26" s="152">
        <v>41324.0</v>
      </c>
      <c r="AR26" s="149">
        <f t="shared" si="57"/>
        <v>0</v>
      </c>
      <c r="AS26" s="150">
        <v>93.0</v>
      </c>
      <c r="AT26" s="151">
        <f t="shared" si="58"/>
        <v>0</v>
      </c>
      <c r="AU26" s="152">
        <v>41324.0</v>
      </c>
      <c r="AV26" s="149">
        <f t="shared" si="59"/>
        <v>0</v>
      </c>
      <c r="AW26" s="150">
        <v>93.0</v>
      </c>
      <c r="AX26" s="151">
        <f t="shared" si="60"/>
        <v>0</v>
      </c>
      <c r="AY26" s="152">
        <v>41324.0</v>
      </c>
      <c r="AZ26" s="34"/>
    </row>
    <row r="27" ht="15.75" customHeight="1">
      <c r="A27" s="29"/>
      <c r="B27" s="145" t="s">
        <v>147</v>
      </c>
      <c r="C27" s="31" t="s">
        <v>30</v>
      </c>
      <c r="D27" s="149">
        <f t="shared" ref="D27:D29" si="61">(D21*E27)/G27</f>
        <v>100.0537114</v>
      </c>
      <c r="E27" s="150">
        <v>99.5</v>
      </c>
      <c r="F27" s="151">
        <f t="shared" si="38"/>
        <v>100.5564939</v>
      </c>
      <c r="G27" s="152">
        <v>112490.0</v>
      </c>
      <c r="H27" s="149">
        <f t="shared" ref="H27:H29" si="62">(H21*I27)/K27</f>
        <v>99.59995111</v>
      </c>
      <c r="I27" s="150">
        <v>99.5</v>
      </c>
      <c r="J27" s="151">
        <f t="shared" si="40"/>
        <v>100.1004534</v>
      </c>
      <c r="K27" s="152">
        <v>112490.0</v>
      </c>
      <c r="L27" s="149">
        <f t="shared" ref="L27:L29" si="63">(L21*M27)/O27</f>
        <v>99.55307138</v>
      </c>
      <c r="M27" s="150">
        <v>99.5</v>
      </c>
      <c r="N27" s="151">
        <f t="shared" si="42"/>
        <v>100.0533381</v>
      </c>
      <c r="O27" s="152">
        <v>112490.0</v>
      </c>
      <c r="P27" s="149">
        <f t="shared" ref="P27:P29" si="64">(P21*Q27)/S27</f>
        <v>99.30098231</v>
      </c>
      <c r="Q27" s="150">
        <v>99.5</v>
      </c>
      <c r="R27" s="151">
        <f t="shared" si="44"/>
        <v>99.79998222</v>
      </c>
      <c r="S27" s="152">
        <v>112490.0</v>
      </c>
      <c r="T27" s="149">
        <f t="shared" ref="T27:T29" si="65">(T21*U27)/W27</f>
        <v>99.20722286</v>
      </c>
      <c r="U27" s="150">
        <v>99.5</v>
      </c>
      <c r="V27" s="151">
        <f t="shared" si="46"/>
        <v>99.70575162</v>
      </c>
      <c r="W27" s="152">
        <v>112490.0</v>
      </c>
      <c r="X27" s="149">
        <f t="shared" ref="X27:X29" si="66">(X21*Y27)/AA27</f>
        <v>89.02408116</v>
      </c>
      <c r="Y27" s="150">
        <v>99.5</v>
      </c>
      <c r="Z27" s="151">
        <f t="shared" si="48"/>
        <v>89.47143835</v>
      </c>
      <c r="AA27" s="152">
        <v>112490.0</v>
      </c>
      <c r="AB27" s="149">
        <f t="shared" ref="AB27:AB29" si="67">(AB21*AC27)/AE27</f>
        <v>88.99312285</v>
      </c>
      <c r="AC27" s="150">
        <v>99.5</v>
      </c>
      <c r="AD27" s="151">
        <f t="shared" si="50"/>
        <v>89.44032447</v>
      </c>
      <c r="AE27" s="152">
        <v>112490.0</v>
      </c>
      <c r="AF27" s="149">
        <f t="shared" ref="AF27:AF29" si="68">(AF21*AG27)/AI27</f>
        <v>1.19322162</v>
      </c>
      <c r="AG27" s="150">
        <v>99.5</v>
      </c>
      <c r="AH27" s="151">
        <f t="shared" si="52"/>
        <v>1.199217708</v>
      </c>
      <c r="AI27" s="152">
        <v>112490.0</v>
      </c>
      <c r="AJ27" s="149">
        <f t="shared" ref="AJ27:AJ29" si="69">(AJ21*AK27)/AM27</f>
        <v>0</v>
      </c>
      <c r="AK27" s="150">
        <v>99.5</v>
      </c>
      <c r="AL27" s="151">
        <f t="shared" si="54"/>
        <v>0</v>
      </c>
      <c r="AM27" s="152">
        <v>112490.0</v>
      </c>
      <c r="AN27" s="149">
        <f t="shared" ref="AN27:AN29" si="70">(AN21*AO27)/AQ27</f>
        <v>0</v>
      </c>
      <c r="AO27" s="150">
        <v>99.5</v>
      </c>
      <c r="AP27" s="151">
        <f t="shared" si="56"/>
        <v>0</v>
      </c>
      <c r="AQ27" s="152">
        <v>112490.0</v>
      </c>
      <c r="AR27" s="149">
        <f t="shared" ref="AR27:AR29" si="71">(AR21*AS27)/AU27</f>
        <v>0</v>
      </c>
      <c r="AS27" s="150">
        <v>99.5</v>
      </c>
      <c r="AT27" s="151">
        <f t="shared" si="58"/>
        <v>0</v>
      </c>
      <c r="AU27" s="152">
        <v>112490.0</v>
      </c>
      <c r="AV27" s="149">
        <f t="shared" ref="AV27:AV29" si="72">(AV21*AW27)/AY27</f>
        <v>0</v>
      </c>
      <c r="AW27" s="150">
        <v>99.5</v>
      </c>
      <c r="AX27" s="151">
        <f t="shared" si="60"/>
        <v>0</v>
      </c>
      <c r="AY27" s="152">
        <v>112490.0</v>
      </c>
      <c r="AZ27" s="34"/>
    </row>
    <row r="28" ht="15.75" customHeight="1">
      <c r="A28" s="29"/>
      <c r="B28" s="145" t="s">
        <v>148</v>
      </c>
      <c r="C28" s="31" t="s">
        <v>30</v>
      </c>
      <c r="D28" s="149">
        <f t="shared" si="61"/>
        <v>102.9733843</v>
      </c>
      <c r="E28" s="150">
        <v>98.1</v>
      </c>
      <c r="F28" s="151">
        <f t="shared" si="38"/>
        <v>104.9677719</v>
      </c>
      <c r="G28" s="152">
        <v>75245.0</v>
      </c>
      <c r="H28" s="149">
        <f t="shared" si="62"/>
        <v>101.2837358</v>
      </c>
      <c r="I28" s="150">
        <v>98.1</v>
      </c>
      <c r="J28" s="151">
        <f t="shared" si="40"/>
        <v>103.2453984</v>
      </c>
      <c r="K28" s="152">
        <v>75245.0</v>
      </c>
      <c r="L28" s="149">
        <f t="shared" si="63"/>
        <v>99.94740116</v>
      </c>
      <c r="M28" s="150">
        <v>98.1</v>
      </c>
      <c r="N28" s="151">
        <f t="shared" si="42"/>
        <v>101.8831816</v>
      </c>
      <c r="O28" s="152">
        <v>75245.0</v>
      </c>
      <c r="P28" s="149">
        <f t="shared" si="64"/>
        <v>99.38939996</v>
      </c>
      <c r="Q28" s="150">
        <v>98.1</v>
      </c>
      <c r="R28" s="151">
        <f t="shared" si="44"/>
        <v>101.314373</v>
      </c>
      <c r="S28" s="152">
        <v>75245.0</v>
      </c>
      <c r="T28" s="149">
        <f t="shared" si="65"/>
        <v>99.66448933</v>
      </c>
      <c r="U28" s="150">
        <v>98.1</v>
      </c>
      <c r="V28" s="151">
        <f t="shared" si="46"/>
        <v>101.5947904</v>
      </c>
      <c r="W28" s="152">
        <v>75245.0</v>
      </c>
      <c r="X28" s="149">
        <f t="shared" si="66"/>
        <v>88.22203206</v>
      </c>
      <c r="Y28" s="150">
        <v>98.1</v>
      </c>
      <c r="Z28" s="151">
        <f t="shared" si="48"/>
        <v>89.93071566</v>
      </c>
      <c r="AA28" s="152">
        <v>75245.0</v>
      </c>
      <c r="AB28" s="149">
        <f t="shared" si="67"/>
        <v>87.97557154</v>
      </c>
      <c r="AC28" s="150">
        <v>98.1</v>
      </c>
      <c r="AD28" s="151">
        <f t="shared" si="50"/>
        <v>89.67948169</v>
      </c>
      <c r="AE28" s="152">
        <v>75245.0</v>
      </c>
      <c r="AF28" s="149">
        <f t="shared" si="68"/>
        <v>2.057303475</v>
      </c>
      <c r="AG28" s="150">
        <v>98.1</v>
      </c>
      <c r="AH28" s="151">
        <f t="shared" si="52"/>
        <v>2.097149312</v>
      </c>
      <c r="AI28" s="152">
        <v>75245.0</v>
      </c>
      <c r="AJ28" s="149">
        <f t="shared" si="69"/>
        <v>0.3533138415</v>
      </c>
      <c r="AK28" s="150">
        <v>98.1</v>
      </c>
      <c r="AL28" s="151">
        <f t="shared" si="54"/>
        <v>0.3601568211</v>
      </c>
      <c r="AM28" s="152">
        <v>75245.0</v>
      </c>
      <c r="AN28" s="149">
        <f t="shared" si="70"/>
        <v>0</v>
      </c>
      <c r="AO28" s="150">
        <v>98.1</v>
      </c>
      <c r="AP28" s="151">
        <f t="shared" si="56"/>
        <v>0</v>
      </c>
      <c r="AQ28" s="152">
        <v>75245.0</v>
      </c>
      <c r="AR28" s="149">
        <f t="shared" si="71"/>
        <v>0</v>
      </c>
      <c r="AS28" s="150">
        <v>98.1</v>
      </c>
      <c r="AT28" s="151">
        <f t="shared" si="58"/>
        <v>0</v>
      </c>
      <c r="AU28" s="152">
        <v>75245.0</v>
      </c>
      <c r="AV28" s="149">
        <f t="shared" si="72"/>
        <v>0</v>
      </c>
      <c r="AW28" s="150">
        <v>98.1</v>
      </c>
      <c r="AX28" s="151">
        <f t="shared" si="60"/>
        <v>0</v>
      </c>
      <c r="AY28" s="152">
        <v>75245.0</v>
      </c>
      <c r="AZ28" s="34"/>
    </row>
    <row r="29" ht="15.75" customHeight="1">
      <c r="A29" s="29"/>
      <c r="B29" s="145" t="s">
        <v>149</v>
      </c>
      <c r="C29" s="31" t="s">
        <v>30</v>
      </c>
      <c r="D29" s="149">
        <f t="shared" si="61"/>
        <v>79.90470156</v>
      </c>
      <c r="E29" s="150">
        <v>71.0</v>
      </c>
      <c r="F29" s="151">
        <f t="shared" si="38"/>
        <v>112.5418332</v>
      </c>
      <c r="G29" s="152">
        <v>30777.0</v>
      </c>
      <c r="H29" s="149">
        <f t="shared" si="62"/>
        <v>77.02105468</v>
      </c>
      <c r="I29" s="150">
        <v>71.0</v>
      </c>
      <c r="J29" s="151">
        <f t="shared" si="40"/>
        <v>108.4803587</v>
      </c>
      <c r="K29" s="152">
        <v>30777.0</v>
      </c>
      <c r="L29" s="149">
        <f t="shared" si="63"/>
        <v>72.52025863</v>
      </c>
      <c r="M29" s="150">
        <v>71.0</v>
      </c>
      <c r="N29" s="151">
        <f t="shared" si="42"/>
        <v>102.1412093</v>
      </c>
      <c r="O29" s="152">
        <v>30777.0</v>
      </c>
      <c r="P29" s="149">
        <f t="shared" si="64"/>
        <v>72.48796179</v>
      </c>
      <c r="Q29" s="150">
        <v>71.0</v>
      </c>
      <c r="R29" s="151">
        <f t="shared" si="44"/>
        <v>102.0957208</v>
      </c>
      <c r="S29" s="152">
        <v>30777.0</v>
      </c>
      <c r="T29" s="149">
        <f t="shared" si="65"/>
        <v>72.38645742</v>
      </c>
      <c r="U29" s="150">
        <v>71.0</v>
      </c>
      <c r="V29" s="151">
        <f t="shared" si="46"/>
        <v>101.9527569</v>
      </c>
      <c r="W29" s="152">
        <v>30777.0</v>
      </c>
      <c r="X29" s="149">
        <f t="shared" si="66"/>
        <v>72.20651785</v>
      </c>
      <c r="Y29" s="150">
        <v>71.0</v>
      </c>
      <c r="Z29" s="151">
        <f t="shared" si="48"/>
        <v>101.6993209</v>
      </c>
      <c r="AA29" s="152">
        <v>30777.0</v>
      </c>
      <c r="AB29" s="149">
        <f t="shared" si="67"/>
        <v>72.07040972</v>
      </c>
      <c r="AC29" s="150">
        <v>71.0</v>
      </c>
      <c r="AD29" s="151">
        <f t="shared" si="50"/>
        <v>101.5076193</v>
      </c>
      <c r="AE29" s="152">
        <v>30777.0</v>
      </c>
      <c r="AF29" s="149">
        <f t="shared" si="68"/>
        <v>7.192968775</v>
      </c>
      <c r="AG29" s="150">
        <v>71.0</v>
      </c>
      <c r="AH29" s="151">
        <f t="shared" si="52"/>
        <v>10.13094194</v>
      </c>
      <c r="AI29" s="152">
        <v>30777.0</v>
      </c>
      <c r="AJ29" s="149">
        <f t="shared" si="69"/>
        <v>0.4729180882</v>
      </c>
      <c r="AK29" s="150">
        <v>71.0</v>
      </c>
      <c r="AL29" s="151">
        <f t="shared" si="54"/>
        <v>0.6660818143</v>
      </c>
      <c r="AM29" s="152">
        <v>30777.0</v>
      </c>
      <c r="AN29" s="149">
        <f t="shared" si="70"/>
        <v>0</v>
      </c>
      <c r="AO29" s="150">
        <v>71.0</v>
      </c>
      <c r="AP29" s="151">
        <f t="shared" si="56"/>
        <v>0</v>
      </c>
      <c r="AQ29" s="152">
        <v>30777.0</v>
      </c>
      <c r="AR29" s="149">
        <f t="shared" si="71"/>
        <v>0</v>
      </c>
      <c r="AS29" s="150">
        <v>71.0</v>
      </c>
      <c r="AT29" s="151">
        <f t="shared" si="58"/>
        <v>0</v>
      </c>
      <c r="AU29" s="152">
        <v>30777.0</v>
      </c>
      <c r="AV29" s="149">
        <f t="shared" si="72"/>
        <v>0</v>
      </c>
      <c r="AW29" s="150">
        <v>71.0</v>
      </c>
      <c r="AX29" s="151">
        <f t="shared" si="60"/>
        <v>0</v>
      </c>
      <c r="AY29" s="152">
        <v>30777.0</v>
      </c>
      <c r="AZ29" s="34"/>
    </row>
    <row r="30" ht="15.75" customHeight="1">
      <c r="A30" s="55"/>
      <c r="B30" s="138" t="s">
        <v>150</v>
      </c>
      <c r="C30" s="57" t="s">
        <v>71</v>
      </c>
      <c r="D30" s="125">
        <f t="shared" ref="D30:D35" si="85">E30+F30+G30</f>
        <v>15045</v>
      </c>
      <c r="E30" s="125">
        <f t="shared" ref="E30:G30" si="73">E36+E42</f>
        <v>14322</v>
      </c>
      <c r="F30" s="125">
        <f t="shared" si="73"/>
        <v>94</v>
      </c>
      <c r="G30" s="125">
        <f t="shared" si="73"/>
        <v>629</v>
      </c>
      <c r="H30" s="125">
        <f t="shared" ref="H30:H35" si="87">I30+J30+K30</f>
        <v>14803</v>
      </c>
      <c r="I30" s="125">
        <f t="shared" ref="I30:K30" si="74">I36+I42</f>
        <v>14348</v>
      </c>
      <c r="J30" s="125">
        <f t="shared" si="74"/>
        <v>94</v>
      </c>
      <c r="K30" s="125">
        <f t="shared" si="74"/>
        <v>361</v>
      </c>
      <c r="L30" s="125">
        <f t="shared" ref="L30:L35" si="89">M30+N30+O30</f>
        <v>14330</v>
      </c>
      <c r="M30" s="125">
        <f t="shared" ref="M30:O30" si="75">M36+M42</f>
        <v>13887</v>
      </c>
      <c r="N30" s="125">
        <f t="shared" si="75"/>
        <v>94</v>
      </c>
      <c r="O30" s="125">
        <f t="shared" si="75"/>
        <v>349</v>
      </c>
      <c r="P30" s="125">
        <f t="shared" ref="P30:P35" si="91">Q30+R30+S30</f>
        <v>14385</v>
      </c>
      <c r="Q30" s="125">
        <f t="shared" ref="Q30:S30" si="76">Q36+Q42</f>
        <v>13856</v>
      </c>
      <c r="R30" s="125">
        <f t="shared" si="76"/>
        <v>152</v>
      </c>
      <c r="S30" s="125">
        <f t="shared" si="76"/>
        <v>377</v>
      </c>
      <c r="T30" s="125">
        <f t="shared" ref="T30:T35" si="93">U30+V30+W30</f>
        <v>14414</v>
      </c>
      <c r="U30" s="125">
        <f t="shared" ref="U30:W30" si="77">U36+U42</f>
        <v>13945</v>
      </c>
      <c r="V30" s="125">
        <f t="shared" si="77"/>
        <v>94</v>
      </c>
      <c r="W30" s="125">
        <f t="shared" si="77"/>
        <v>375</v>
      </c>
      <c r="X30" s="125">
        <f t="shared" ref="X30:X35" si="95">Y30+Z30+AA30</f>
        <v>14461</v>
      </c>
      <c r="Y30" s="125">
        <f t="shared" ref="Y30:AA30" si="78">Y36+Y42</f>
        <v>13984</v>
      </c>
      <c r="Z30" s="125">
        <f t="shared" si="78"/>
        <v>94</v>
      </c>
      <c r="AA30" s="125">
        <f t="shared" si="78"/>
        <v>383</v>
      </c>
      <c r="AB30" s="125">
        <f t="shared" ref="AB30:AB35" si="97">AC30+AD30+AE30</f>
        <v>14267</v>
      </c>
      <c r="AC30" s="125">
        <f t="shared" ref="AC30:AE30" si="79">AC36+AC42</f>
        <v>13795</v>
      </c>
      <c r="AD30" s="125">
        <f t="shared" si="79"/>
        <v>94</v>
      </c>
      <c r="AE30" s="125">
        <f t="shared" si="79"/>
        <v>378</v>
      </c>
      <c r="AF30" s="125">
        <f t="shared" ref="AF30:AF35" si="99">AG30+AH30+AI30</f>
        <v>442</v>
      </c>
      <c r="AG30" s="125">
        <f t="shared" ref="AG30:AI30" si="80">AG36+AG42</f>
        <v>422</v>
      </c>
      <c r="AH30" s="125">
        <f t="shared" si="80"/>
        <v>20</v>
      </c>
      <c r="AI30" s="125">
        <f t="shared" si="80"/>
        <v>0</v>
      </c>
      <c r="AJ30" s="125">
        <f t="shared" ref="AJ30:AJ35" si="101">AK30+AL30+AM30</f>
        <v>52</v>
      </c>
      <c r="AK30" s="125">
        <f t="shared" ref="AK30:AM30" si="81">AK36+AK42</f>
        <v>52</v>
      </c>
      <c r="AL30" s="125">
        <f t="shared" si="81"/>
        <v>0</v>
      </c>
      <c r="AM30" s="125">
        <f t="shared" si="81"/>
        <v>0</v>
      </c>
      <c r="AN30" s="125">
        <f t="shared" ref="AN30:AN35" si="103">AO30+AP30+AQ30</f>
        <v>52</v>
      </c>
      <c r="AO30" s="125">
        <f t="shared" ref="AO30:AQ30" si="82">AO36+AO42</f>
        <v>52</v>
      </c>
      <c r="AP30" s="125">
        <f t="shared" si="82"/>
        <v>0</v>
      </c>
      <c r="AQ30" s="125">
        <f t="shared" si="82"/>
        <v>0</v>
      </c>
      <c r="AR30" s="125">
        <f t="shared" ref="AR30:AR35" si="105">AS30+AT30+AU30</f>
        <v>52</v>
      </c>
      <c r="AS30" s="125">
        <f t="shared" ref="AS30:AU30" si="83">AS36+AS42</f>
        <v>52</v>
      </c>
      <c r="AT30" s="125">
        <f t="shared" si="83"/>
        <v>0</v>
      </c>
      <c r="AU30" s="125">
        <f t="shared" si="83"/>
        <v>0</v>
      </c>
      <c r="AV30" s="125">
        <f t="shared" ref="AV30:AV35" si="107">AW30+AX30+AY30</f>
        <v>52</v>
      </c>
      <c r="AW30" s="125">
        <f t="shared" ref="AW30:AY30" si="84">AW36+AW42</f>
        <v>52</v>
      </c>
      <c r="AX30" s="125">
        <f t="shared" si="84"/>
        <v>0</v>
      </c>
      <c r="AY30" s="125">
        <f t="shared" si="84"/>
        <v>0</v>
      </c>
      <c r="AZ30" s="63"/>
    </row>
    <row r="31" ht="15.75" customHeight="1">
      <c r="A31" s="37"/>
      <c r="B31" s="144" t="s">
        <v>29</v>
      </c>
      <c r="C31" s="31" t="s">
        <v>30</v>
      </c>
      <c r="D31" s="41">
        <f t="shared" si="85"/>
        <v>3472</v>
      </c>
      <c r="E31" s="42">
        <f t="shared" ref="E31:G31" si="86">E37+E43</f>
        <v>2830</v>
      </c>
      <c r="F31" s="42">
        <f t="shared" si="86"/>
        <v>37</v>
      </c>
      <c r="G31" s="42">
        <f t="shared" si="86"/>
        <v>605</v>
      </c>
      <c r="H31" s="41">
        <f t="shared" si="87"/>
        <v>3376</v>
      </c>
      <c r="I31" s="42">
        <f t="shared" ref="I31:K31" si="88">I37+I43</f>
        <v>3002</v>
      </c>
      <c r="J31" s="42">
        <f t="shared" si="88"/>
        <v>37</v>
      </c>
      <c r="K31" s="42">
        <f t="shared" si="88"/>
        <v>337</v>
      </c>
      <c r="L31" s="41">
        <f t="shared" si="89"/>
        <v>3277</v>
      </c>
      <c r="M31" s="42">
        <f t="shared" ref="M31:O31" si="90">M37+M43</f>
        <v>2916</v>
      </c>
      <c r="N31" s="42">
        <f t="shared" si="90"/>
        <v>37</v>
      </c>
      <c r="O31" s="42">
        <f t="shared" si="90"/>
        <v>324</v>
      </c>
      <c r="P31" s="41">
        <f t="shared" si="91"/>
        <v>3307</v>
      </c>
      <c r="Q31" s="42">
        <f t="shared" ref="Q31:S31" si="92">Q37+Q43</f>
        <v>2949</v>
      </c>
      <c r="R31" s="42">
        <f t="shared" si="92"/>
        <v>37</v>
      </c>
      <c r="S31" s="42">
        <f t="shared" si="92"/>
        <v>321</v>
      </c>
      <c r="T31" s="41">
        <f t="shared" si="93"/>
        <v>3310</v>
      </c>
      <c r="U31" s="42">
        <f t="shared" ref="U31:W31" si="94">U37+U43</f>
        <v>2952</v>
      </c>
      <c r="V31" s="42">
        <f t="shared" si="94"/>
        <v>37</v>
      </c>
      <c r="W31" s="42">
        <f t="shared" si="94"/>
        <v>321</v>
      </c>
      <c r="X31" s="41">
        <f t="shared" si="95"/>
        <v>3359</v>
      </c>
      <c r="Y31" s="42">
        <f t="shared" ref="Y31:AA31" si="96">Y37+Y43</f>
        <v>2992</v>
      </c>
      <c r="Z31" s="42">
        <f t="shared" si="96"/>
        <v>37</v>
      </c>
      <c r="AA31" s="42">
        <f t="shared" si="96"/>
        <v>330</v>
      </c>
      <c r="AB31" s="41">
        <f t="shared" si="97"/>
        <v>3349</v>
      </c>
      <c r="AC31" s="42">
        <f t="shared" ref="AC31:AE31" si="98">AC37+AC43</f>
        <v>2987</v>
      </c>
      <c r="AD31" s="42">
        <f t="shared" si="98"/>
        <v>37</v>
      </c>
      <c r="AE31" s="42">
        <f t="shared" si="98"/>
        <v>325</v>
      </c>
      <c r="AF31" s="41">
        <f t="shared" si="99"/>
        <v>0</v>
      </c>
      <c r="AG31" s="42">
        <f t="shared" ref="AG31:AI31" si="100">AG37+AG43</f>
        <v>0</v>
      </c>
      <c r="AH31" s="42">
        <f t="shared" si="100"/>
        <v>0</v>
      </c>
      <c r="AI31" s="42">
        <f t="shared" si="100"/>
        <v>0</v>
      </c>
      <c r="AJ31" s="41">
        <f t="shared" si="101"/>
        <v>0</v>
      </c>
      <c r="AK31" s="42">
        <f t="shared" ref="AK31:AM31" si="102">AK37+AK43</f>
        <v>0</v>
      </c>
      <c r="AL31" s="42">
        <f t="shared" si="102"/>
        <v>0</v>
      </c>
      <c r="AM31" s="42">
        <f t="shared" si="102"/>
        <v>0</v>
      </c>
      <c r="AN31" s="41">
        <f t="shared" si="103"/>
        <v>0</v>
      </c>
      <c r="AO31" s="42">
        <f t="shared" ref="AO31:AQ31" si="104">AO37+AO43</f>
        <v>0</v>
      </c>
      <c r="AP31" s="42">
        <f t="shared" si="104"/>
        <v>0</v>
      </c>
      <c r="AQ31" s="42">
        <f t="shared" si="104"/>
        <v>0</v>
      </c>
      <c r="AR31" s="41">
        <f t="shared" si="105"/>
        <v>0</v>
      </c>
      <c r="AS31" s="42">
        <f t="shared" ref="AS31:AU31" si="106">AS37+AS43</f>
        <v>0</v>
      </c>
      <c r="AT31" s="42">
        <f t="shared" si="106"/>
        <v>0</v>
      </c>
      <c r="AU31" s="42">
        <f t="shared" si="106"/>
        <v>0</v>
      </c>
      <c r="AV31" s="41">
        <f t="shared" si="107"/>
        <v>0</v>
      </c>
      <c r="AW31" s="42">
        <f t="shared" ref="AW31:AY31" si="108">AW37+AW43</f>
        <v>0</v>
      </c>
      <c r="AX31" s="42">
        <f t="shared" si="108"/>
        <v>0</v>
      </c>
      <c r="AY31" s="42">
        <f t="shared" si="108"/>
        <v>0</v>
      </c>
      <c r="AZ31" s="34"/>
    </row>
    <row r="32" ht="15.75" customHeight="1">
      <c r="A32" s="29"/>
      <c r="B32" s="145" t="s">
        <v>151</v>
      </c>
      <c r="C32" s="31" t="s">
        <v>30</v>
      </c>
      <c r="D32" s="41">
        <f t="shared" si="85"/>
        <v>11573</v>
      </c>
      <c r="E32" s="42">
        <f t="shared" ref="E32:G32" si="109">E38+E44</f>
        <v>11492</v>
      </c>
      <c r="F32" s="42">
        <f t="shared" si="109"/>
        <v>57</v>
      </c>
      <c r="G32" s="42">
        <f t="shared" si="109"/>
        <v>24</v>
      </c>
      <c r="H32" s="41">
        <f t="shared" si="87"/>
        <v>11427</v>
      </c>
      <c r="I32" s="42">
        <f t="shared" ref="I32:K32" si="110">I38+I44</f>
        <v>11346</v>
      </c>
      <c r="J32" s="42">
        <f t="shared" si="110"/>
        <v>57</v>
      </c>
      <c r="K32" s="42">
        <f t="shared" si="110"/>
        <v>24</v>
      </c>
      <c r="L32" s="41">
        <f t="shared" si="89"/>
        <v>11053</v>
      </c>
      <c r="M32" s="42">
        <f t="shared" ref="M32:O32" si="111">M38+M44</f>
        <v>10971</v>
      </c>
      <c r="N32" s="42">
        <f t="shared" si="111"/>
        <v>57</v>
      </c>
      <c r="O32" s="42">
        <f t="shared" si="111"/>
        <v>25</v>
      </c>
      <c r="P32" s="41">
        <f t="shared" si="91"/>
        <v>11078</v>
      </c>
      <c r="Q32" s="42">
        <f t="shared" ref="Q32:S32" si="112">Q38+Q44</f>
        <v>10907</v>
      </c>
      <c r="R32" s="42">
        <f t="shared" si="112"/>
        <v>115</v>
      </c>
      <c r="S32" s="42">
        <f t="shared" si="112"/>
        <v>56</v>
      </c>
      <c r="T32" s="41">
        <f t="shared" si="93"/>
        <v>11104</v>
      </c>
      <c r="U32" s="42">
        <f t="shared" ref="U32:W32" si="113">U38+U44</f>
        <v>10993</v>
      </c>
      <c r="V32" s="42">
        <f t="shared" si="113"/>
        <v>57</v>
      </c>
      <c r="W32" s="42">
        <f t="shared" si="113"/>
        <v>54</v>
      </c>
      <c r="X32" s="41">
        <f t="shared" si="95"/>
        <v>11102</v>
      </c>
      <c r="Y32" s="42">
        <f t="shared" ref="Y32:AA32" si="114">Y38+Y44</f>
        <v>10992</v>
      </c>
      <c r="Z32" s="42">
        <f t="shared" si="114"/>
        <v>57</v>
      </c>
      <c r="AA32" s="42">
        <f t="shared" si="114"/>
        <v>53</v>
      </c>
      <c r="AB32" s="41">
        <f t="shared" si="97"/>
        <v>10918</v>
      </c>
      <c r="AC32" s="42">
        <f t="shared" ref="AC32:AE32" si="115">AC38+AC44</f>
        <v>10808</v>
      </c>
      <c r="AD32" s="42">
        <f t="shared" si="115"/>
        <v>57</v>
      </c>
      <c r="AE32" s="42">
        <f t="shared" si="115"/>
        <v>53</v>
      </c>
      <c r="AF32" s="41">
        <f t="shared" si="99"/>
        <v>442</v>
      </c>
      <c r="AG32" s="42">
        <f t="shared" ref="AG32:AI32" si="116">AG38+AG44</f>
        <v>422</v>
      </c>
      <c r="AH32" s="42">
        <f t="shared" si="116"/>
        <v>20</v>
      </c>
      <c r="AI32" s="42">
        <f t="shared" si="116"/>
        <v>0</v>
      </c>
      <c r="AJ32" s="41">
        <f t="shared" si="101"/>
        <v>52</v>
      </c>
      <c r="AK32" s="42">
        <f t="shared" ref="AK32:AM32" si="117">AK38+AK44</f>
        <v>52</v>
      </c>
      <c r="AL32" s="42">
        <f t="shared" si="117"/>
        <v>0</v>
      </c>
      <c r="AM32" s="42">
        <f t="shared" si="117"/>
        <v>0</v>
      </c>
      <c r="AN32" s="41">
        <f t="shared" si="103"/>
        <v>52</v>
      </c>
      <c r="AO32" s="42">
        <f t="shared" ref="AO32:AQ32" si="118">AO38+AO44</f>
        <v>52</v>
      </c>
      <c r="AP32" s="42">
        <f t="shared" si="118"/>
        <v>0</v>
      </c>
      <c r="AQ32" s="42">
        <f t="shared" si="118"/>
        <v>0</v>
      </c>
      <c r="AR32" s="41">
        <f t="shared" si="105"/>
        <v>52</v>
      </c>
      <c r="AS32" s="42">
        <f t="shared" ref="AS32:AU32" si="119">AS38+AS44</f>
        <v>52</v>
      </c>
      <c r="AT32" s="42">
        <f t="shared" si="119"/>
        <v>0</v>
      </c>
      <c r="AU32" s="42">
        <f t="shared" si="119"/>
        <v>0</v>
      </c>
      <c r="AV32" s="41">
        <f t="shared" si="107"/>
        <v>52</v>
      </c>
      <c r="AW32" s="42">
        <f t="shared" ref="AW32:AY32" si="120">AW38+AW44</f>
        <v>52</v>
      </c>
      <c r="AX32" s="42">
        <f t="shared" si="120"/>
        <v>0</v>
      </c>
      <c r="AY32" s="42">
        <f t="shared" si="120"/>
        <v>0</v>
      </c>
      <c r="AZ32" s="34"/>
    </row>
    <row r="33" ht="15.75" customHeight="1">
      <c r="A33" s="29"/>
      <c r="B33" s="144" t="s">
        <v>31</v>
      </c>
      <c r="C33" s="31" t="s">
        <v>30</v>
      </c>
      <c r="D33" s="41">
        <f t="shared" si="85"/>
        <v>5974</v>
      </c>
      <c r="E33" s="42">
        <f t="shared" ref="E33:G33" si="121">E39+E45</f>
        <v>5903</v>
      </c>
      <c r="F33" s="42">
        <f t="shared" si="121"/>
        <v>56</v>
      </c>
      <c r="G33" s="42">
        <f t="shared" si="121"/>
        <v>15</v>
      </c>
      <c r="H33" s="41">
        <f t="shared" si="87"/>
        <v>5946</v>
      </c>
      <c r="I33" s="42">
        <f t="shared" ref="I33:K33" si="122">I39+I45</f>
        <v>5875</v>
      </c>
      <c r="J33" s="42">
        <f t="shared" si="122"/>
        <v>56</v>
      </c>
      <c r="K33" s="42">
        <f t="shared" si="122"/>
        <v>15</v>
      </c>
      <c r="L33" s="41">
        <f t="shared" si="89"/>
        <v>5607</v>
      </c>
      <c r="M33" s="42">
        <f t="shared" ref="M33:O33" si="123">M39+M45</f>
        <v>5535</v>
      </c>
      <c r="N33" s="42">
        <f t="shared" si="123"/>
        <v>56</v>
      </c>
      <c r="O33" s="42">
        <f t="shared" si="123"/>
        <v>16</v>
      </c>
      <c r="P33" s="41">
        <f t="shared" si="91"/>
        <v>5601</v>
      </c>
      <c r="Q33" s="42">
        <f t="shared" ref="Q33:S33" si="124">Q39+Q45</f>
        <v>5529</v>
      </c>
      <c r="R33" s="42">
        <f t="shared" si="124"/>
        <v>56</v>
      </c>
      <c r="S33" s="42">
        <f t="shared" si="124"/>
        <v>16</v>
      </c>
      <c r="T33" s="41">
        <f t="shared" si="93"/>
        <v>5603</v>
      </c>
      <c r="U33" s="42">
        <f t="shared" ref="U33:W33" si="125">U39+U45</f>
        <v>5532</v>
      </c>
      <c r="V33" s="42">
        <f t="shared" si="125"/>
        <v>56</v>
      </c>
      <c r="W33" s="42">
        <f t="shared" si="125"/>
        <v>15</v>
      </c>
      <c r="X33" s="41">
        <f t="shared" si="95"/>
        <v>5602</v>
      </c>
      <c r="Y33" s="42">
        <f t="shared" ref="Y33:AA33" si="126">Y39+Y45</f>
        <v>5531</v>
      </c>
      <c r="Z33" s="42">
        <f t="shared" si="126"/>
        <v>56</v>
      </c>
      <c r="AA33" s="42">
        <f t="shared" si="126"/>
        <v>15</v>
      </c>
      <c r="AB33" s="41">
        <f t="shared" si="97"/>
        <v>5598</v>
      </c>
      <c r="AC33" s="42">
        <f t="shared" ref="AC33:AE33" si="127">AC39+AC45</f>
        <v>5527</v>
      </c>
      <c r="AD33" s="42">
        <f t="shared" si="127"/>
        <v>56</v>
      </c>
      <c r="AE33" s="42">
        <f t="shared" si="127"/>
        <v>15</v>
      </c>
      <c r="AF33" s="41">
        <f t="shared" si="99"/>
        <v>27</v>
      </c>
      <c r="AG33" s="42">
        <f t="shared" ref="AG33:AI33" si="128">AG39+AG45</f>
        <v>8</v>
      </c>
      <c r="AH33" s="42">
        <f t="shared" si="128"/>
        <v>19</v>
      </c>
      <c r="AI33" s="42">
        <f t="shared" si="128"/>
        <v>0</v>
      </c>
      <c r="AJ33" s="41">
        <f t="shared" si="101"/>
        <v>0</v>
      </c>
      <c r="AK33" s="42">
        <f t="shared" ref="AK33:AM33" si="129">AK39+AK45</f>
        <v>0</v>
      </c>
      <c r="AL33" s="42">
        <f t="shared" si="129"/>
        <v>0</v>
      </c>
      <c r="AM33" s="42">
        <f t="shared" si="129"/>
        <v>0</v>
      </c>
      <c r="AN33" s="41">
        <f t="shared" si="103"/>
        <v>0</v>
      </c>
      <c r="AO33" s="42">
        <f t="shared" ref="AO33:AQ33" si="130">AO39+AO45</f>
        <v>0</v>
      </c>
      <c r="AP33" s="42">
        <f t="shared" si="130"/>
        <v>0</v>
      </c>
      <c r="AQ33" s="42">
        <f t="shared" si="130"/>
        <v>0</v>
      </c>
      <c r="AR33" s="41">
        <f t="shared" si="105"/>
        <v>0</v>
      </c>
      <c r="AS33" s="42">
        <f t="shared" ref="AS33:AU33" si="131">AS39+AS45</f>
        <v>0</v>
      </c>
      <c r="AT33" s="42">
        <f t="shared" si="131"/>
        <v>0</v>
      </c>
      <c r="AU33" s="42">
        <f t="shared" si="131"/>
        <v>0</v>
      </c>
      <c r="AV33" s="41">
        <f t="shared" si="107"/>
        <v>0</v>
      </c>
      <c r="AW33" s="42">
        <f t="shared" ref="AW33:AY33" si="132">AW39+AW45</f>
        <v>0</v>
      </c>
      <c r="AX33" s="42">
        <f t="shared" si="132"/>
        <v>0</v>
      </c>
      <c r="AY33" s="42">
        <f t="shared" si="132"/>
        <v>0</v>
      </c>
      <c r="AZ33" s="34"/>
    </row>
    <row r="34" ht="15.75" customHeight="1">
      <c r="A34" s="29"/>
      <c r="B34" s="144" t="s">
        <v>33</v>
      </c>
      <c r="C34" s="31" t="s">
        <v>30</v>
      </c>
      <c r="D34" s="41">
        <f t="shared" si="85"/>
        <v>3917</v>
      </c>
      <c r="E34" s="42">
        <f t="shared" ref="E34:G34" si="133">E40+E46</f>
        <v>3907</v>
      </c>
      <c r="F34" s="42">
        <f t="shared" si="133"/>
        <v>1</v>
      </c>
      <c r="G34" s="42">
        <f t="shared" si="133"/>
        <v>9</v>
      </c>
      <c r="H34" s="41">
        <f t="shared" si="87"/>
        <v>3865</v>
      </c>
      <c r="I34" s="42">
        <f t="shared" ref="I34:K34" si="134">I40+I46</f>
        <v>3855</v>
      </c>
      <c r="J34" s="42">
        <f t="shared" si="134"/>
        <v>1</v>
      </c>
      <c r="K34" s="42">
        <f t="shared" si="134"/>
        <v>9</v>
      </c>
      <c r="L34" s="41">
        <f t="shared" si="89"/>
        <v>3835</v>
      </c>
      <c r="M34" s="42">
        <f t="shared" ref="M34:O34" si="135">M40+M46</f>
        <v>3825</v>
      </c>
      <c r="N34" s="42">
        <f t="shared" si="135"/>
        <v>1</v>
      </c>
      <c r="O34" s="42">
        <f t="shared" si="135"/>
        <v>9</v>
      </c>
      <c r="P34" s="41">
        <f t="shared" si="91"/>
        <v>3838</v>
      </c>
      <c r="Q34" s="42">
        <f t="shared" ref="Q34:S34" si="136">Q40+Q46</f>
        <v>3796</v>
      </c>
      <c r="R34" s="42">
        <f t="shared" si="136"/>
        <v>33</v>
      </c>
      <c r="S34" s="42">
        <f t="shared" si="136"/>
        <v>9</v>
      </c>
      <c r="T34" s="41">
        <f t="shared" si="93"/>
        <v>3862</v>
      </c>
      <c r="U34" s="42">
        <f t="shared" ref="U34:W34" si="137">U40+U46</f>
        <v>3853</v>
      </c>
      <c r="V34" s="42">
        <f t="shared" si="137"/>
        <v>1</v>
      </c>
      <c r="W34" s="42">
        <f t="shared" si="137"/>
        <v>8</v>
      </c>
      <c r="X34" s="41">
        <f t="shared" si="95"/>
        <v>3861</v>
      </c>
      <c r="Y34" s="42">
        <f t="shared" ref="Y34:AA34" si="138">Y40+Y46</f>
        <v>3853</v>
      </c>
      <c r="Z34" s="42">
        <f t="shared" si="138"/>
        <v>1</v>
      </c>
      <c r="AA34" s="42">
        <f t="shared" si="138"/>
        <v>7</v>
      </c>
      <c r="AB34" s="41">
        <f t="shared" si="97"/>
        <v>3758</v>
      </c>
      <c r="AC34" s="42">
        <f t="shared" ref="AC34:AE34" si="139">AC40+AC46</f>
        <v>3750</v>
      </c>
      <c r="AD34" s="42">
        <f t="shared" si="139"/>
        <v>1</v>
      </c>
      <c r="AE34" s="42">
        <f t="shared" si="139"/>
        <v>7</v>
      </c>
      <c r="AF34" s="41">
        <f t="shared" si="99"/>
        <v>113</v>
      </c>
      <c r="AG34" s="42">
        <f t="shared" ref="AG34:AI34" si="140">AG40+AG46</f>
        <v>112</v>
      </c>
      <c r="AH34" s="42">
        <f t="shared" si="140"/>
        <v>1</v>
      </c>
      <c r="AI34" s="42">
        <f t="shared" si="140"/>
        <v>0</v>
      </c>
      <c r="AJ34" s="41">
        <f t="shared" si="101"/>
        <v>31</v>
      </c>
      <c r="AK34" s="42">
        <f t="shared" ref="AK34:AM34" si="141">AK40+AK46</f>
        <v>31</v>
      </c>
      <c r="AL34" s="42">
        <f t="shared" si="141"/>
        <v>0</v>
      </c>
      <c r="AM34" s="42">
        <f t="shared" si="141"/>
        <v>0</v>
      </c>
      <c r="AN34" s="41">
        <f t="shared" si="103"/>
        <v>31</v>
      </c>
      <c r="AO34" s="42">
        <f t="shared" ref="AO34:AQ34" si="142">AO40+AO46</f>
        <v>31</v>
      </c>
      <c r="AP34" s="42">
        <f t="shared" si="142"/>
        <v>0</v>
      </c>
      <c r="AQ34" s="42">
        <f t="shared" si="142"/>
        <v>0</v>
      </c>
      <c r="AR34" s="41">
        <f t="shared" si="105"/>
        <v>31</v>
      </c>
      <c r="AS34" s="42">
        <f t="shared" ref="AS34:AU34" si="143">AS40+AS46</f>
        <v>31</v>
      </c>
      <c r="AT34" s="42">
        <f t="shared" si="143"/>
        <v>0</v>
      </c>
      <c r="AU34" s="42">
        <f t="shared" si="143"/>
        <v>0</v>
      </c>
      <c r="AV34" s="41">
        <f t="shared" si="107"/>
        <v>31</v>
      </c>
      <c r="AW34" s="42">
        <f t="shared" ref="AW34:AY34" si="144">AW40+AW46</f>
        <v>31</v>
      </c>
      <c r="AX34" s="42">
        <f t="shared" si="144"/>
        <v>0</v>
      </c>
      <c r="AY34" s="42">
        <f t="shared" si="144"/>
        <v>0</v>
      </c>
      <c r="AZ34" s="34"/>
    </row>
    <row r="35" ht="15.75" customHeight="1">
      <c r="A35" s="29"/>
      <c r="B35" s="144" t="s">
        <v>35</v>
      </c>
      <c r="C35" s="31" t="s">
        <v>30</v>
      </c>
      <c r="D35" s="41">
        <f t="shared" si="85"/>
        <v>1682</v>
      </c>
      <c r="E35" s="42">
        <f t="shared" ref="E35:G35" si="145">E41+E47</f>
        <v>1682</v>
      </c>
      <c r="F35" s="42">
        <f t="shared" si="145"/>
        <v>0</v>
      </c>
      <c r="G35" s="42">
        <f t="shared" si="145"/>
        <v>0</v>
      </c>
      <c r="H35" s="41">
        <f t="shared" si="87"/>
        <v>1616</v>
      </c>
      <c r="I35" s="42">
        <f t="shared" ref="I35:K35" si="146">I41+I47</f>
        <v>1616</v>
      </c>
      <c r="J35" s="42">
        <f t="shared" si="146"/>
        <v>0</v>
      </c>
      <c r="K35" s="42">
        <f t="shared" si="146"/>
        <v>0</v>
      </c>
      <c r="L35" s="41">
        <f t="shared" si="89"/>
        <v>1611</v>
      </c>
      <c r="M35" s="42">
        <f t="shared" ref="M35:O35" si="147">M41+M47</f>
        <v>1611</v>
      </c>
      <c r="N35" s="42">
        <f t="shared" si="147"/>
        <v>0</v>
      </c>
      <c r="O35" s="42">
        <f t="shared" si="147"/>
        <v>0</v>
      </c>
      <c r="P35" s="41">
        <f t="shared" si="91"/>
        <v>1639</v>
      </c>
      <c r="Q35" s="42">
        <f t="shared" ref="Q35:S35" si="148">Q41+Q47</f>
        <v>1582</v>
      </c>
      <c r="R35" s="42">
        <f t="shared" si="148"/>
        <v>26</v>
      </c>
      <c r="S35" s="42">
        <f t="shared" si="148"/>
        <v>31</v>
      </c>
      <c r="T35" s="41">
        <f t="shared" si="93"/>
        <v>1639</v>
      </c>
      <c r="U35" s="42">
        <f t="shared" ref="U35:W35" si="149">U41+U47</f>
        <v>1608</v>
      </c>
      <c r="V35" s="42">
        <f t="shared" si="149"/>
        <v>0</v>
      </c>
      <c r="W35" s="42">
        <f t="shared" si="149"/>
        <v>31</v>
      </c>
      <c r="X35" s="41">
        <f t="shared" si="95"/>
        <v>1639</v>
      </c>
      <c r="Y35" s="42">
        <f t="shared" ref="Y35:AA35" si="150">Y41+Y47</f>
        <v>1608</v>
      </c>
      <c r="Z35" s="42">
        <f t="shared" si="150"/>
        <v>0</v>
      </c>
      <c r="AA35" s="42">
        <f t="shared" si="150"/>
        <v>31</v>
      </c>
      <c r="AB35" s="41">
        <f t="shared" si="97"/>
        <v>1562</v>
      </c>
      <c r="AC35" s="42">
        <f t="shared" ref="AC35:AE35" si="151">AC41+AC47</f>
        <v>1531</v>
      </c>
      <c r="AD35" s="42">
        <f t="shared" si="151"/>
        <v>0</v>
      </c>
      <c r="AE35" s="42">
        <f t="shared" si="151"/>
        <v>31</v>
      </c>
      <c r="AF35" s="41">
        <f t="shared" si="99"/>
        <v>302</v>
      </c>
      <c r="AG35" s="42">
        <f t="shared" ref="AG35:AI35" si="152">AG41+AG47</f>
        <v>302</v>
      </c>
      <c r="AH35" s="42">
        <f t="shared" si="152"/>
        <v>0</v>
      </c>
      <c r="AI35" s="42">
        <f t="shared" si="152"/>
        <v>0</v>
      </c>
      <c r="AJ35" s="41">
        <f t="shared" si="101"/>
        <v>21</v>
      </c>
      <c r="AK35" s="42">
        <f t="shared" ref="AK35:AM35" si="153">AK41+AK47</f>
        <v>21</v>
      </c>
      <c r="AL35" s="42">
        <f t="shared" si="153"/>
        <v>0</v>
      </c>
      <c r="AM35" s="42">
        <f t="shared" si="153"/>
        <v>0</v>
      </c>
      <c r="AN35" s="41">
        <f t="shared" si="103"/>
        <v>21</v>
      </c>
      <c r="AO35" s="42">
        <f t="shared" ref="AO35:AQ35" si="154">AO41+AO47</f>
        <v>21</v>
      </c>
      <c r="AP35" s="42">
        <f t="shared" si="154"/>
        <v>0</v>
      </c>
      <c r="AQ35" s="42">
        <f t="shared" si="154"/>
        <v>0</v>
      </c>
      <c r="AR35" s="41">
        <f t="shared" si="105"/>
        <v>21</v>
      </c>
      <c r="AS35" s="42">
        <f t="shared" ref="AS35:AU35" si="155">AS41+AS47</f>
        <v>21</v>
      </c>
      <c r="AT35" s="42">
        <f t="shared" si="155"/>
        <v>0</v>
      </c>
      <c r="AU35" s="42">
        <f t="shared" si="155"/>
        <v>0</v>
      </c>
      <c r="AV35" s="41">
        <f t="shared" si="107"/>
        <v>21</v>
      </c>
      <c r="AW35" s="42">
        <f t="shared" ref="AW35:AY35" si="156">AW41+AW47</f>
        <v>21</v>
      </c>
      <c r="AX35" s="42">
        <f t="shared" si="156"/>
        <v>0</v>
      </c>
      <c r="AY35" s="42">
        <f t="shared" si="156"/>
        <v>0</v>
      </c>
      <c r="AZ35" s="34"/>
    </row>
    <row r="36" ht="15.75" customHeight="1">
      <c r="A36" s="55"/>
      <c r="B36" s="153" t="s">
        <v>109</v>
      </c>
      <c r="C36" s="57" t="s">
        <v>89</v>
      </c>
      <c r="D36" s="125">
        <f>TONGHOP!E98</f>
        <v>14304</v>
      </c>
      <c r="E36" s="125">
        <f>TONGHOP!F98</f>
        <v>13991</v>
      </c>
      <c r="F36" s="125">
        <f>TONGHOP!G98</f>
        <v>26</v>
      </c>
      <c r="G36" s="125">
        <f>TONGHOP!H98</f>
        <v>287</v>
      </c>
      <c r="H36" s="125">
        <f>TONGHOP!I98</f>
        <v>14021</v>
      </c>
      <c r="I36" s="125">
        <f>TONGHOP!J98</f>
        <v>13982</v>
      </c>
      <c r="J36" s="125">
        <f>TONGHOP!K98</f>
        <v>26</v>
      </c>
      <c r="K36" s="125">
        <f>TONGHOP!L98</f>
        <v>13</v>
      </c>
      <c r="L36" s="125">
        <f>TONGHOP!M98</f>
        <v>13591</v>
      </c>
      <c r="M36" s="125">
        <f>TONGHOP!N98</f>
        <v>13560</v>
      </c>
      <c r="N36" s="125">
        <f>TONGHOP!O98</f>
        <v>26</v>
      </c>
      <c r="O36" s="125">
        <f>TONGHOP!P98</f>
        <v>5</v>
      </c>
      <c r="P36" s="125">
        <f>TONGHOP!Q98</f>
        <v>13602</v>
      </c>
      <c r="Q36" s="125">
        <f>TONGHOP!R98</f>
        <v>13514</v>
      </c>
      <c r="R36" s="125">
        <f>TONGHOP!S98</f>
        <v>83</v>
      </c>
      <c r="S36" s="125">
        <f>TONGHOP!T98</f>
        <v>5</v>
      </c>
      <c r="T36" s="125">
        <f>TONGHOP!U98</f>
        <v>13634</v>
      </c>
      <c r="U36" s="125">
        <f>TONGHOP!V98</f>
        <v>13603</v>
      </c>
      <c r="V36" s="125">
        <f>TONGHOP!W98</f>
        <v>26</v>
      </c>
      <c r="W36" s="125">
        <f>TONGHOP!X98</f>
        <v>5</v>
      </c>
      <c r="X36" s="125">
        <f>TONGHOP!Y98</f>
        <v>13667</v>
      </c>
      <c r="Y36" s="125">
        <f>TONGHOP!Z98</f>
        <v>13633</v>
      </c>
      <c r="Z36" s="125">
        <f>TONGHOP!AA98</f>
        <v>26</v>
      </c>
      <c r="AA36" s="125">
        <f>TONGHOP!AB98</f>
        <v>8</v>
      </c>
      <c r="AB36" s="125">
        <f>TONGHOP!AC98</f>
        <v>13481</v>
      </c>
      <c r="AC36" s="125">
        <f>TONGHOP!AD98</f>
        <v>13452</v>
      </c>
      <c r="AD36" s="125">
        <f>TONGHOP!AE98</f>
        <v>26</v>
      </c>
      <c r="AE36" s="125">
        <f>TONGHOP!AF98</f>
        <v>3</v>
      </c>
      <c r="AF36" s="125">
        <f>TONGHOP!AG98</f>
        <v>429</v>
      </c>
      <c r="AG36" s="125">
        <f>TONGHOP!AH98</f>
        <v>421</v>
      </c>
      <c r="AH36" s="125">
        <f>TONGHOP!AI98</f>
        <v>8</v>
      </c>
      <c r="AI36" s="125">
        <f>TONGHOP!AJ98</f>
        <v>0</v>
      </c>
      <c r="AJ36" s="125">
        <f>TONGHOP!AK98</f>
        <v>52</v>
      </c>
      <c r="AK36" s="125">
        <f>TONGHOP!AL98</f>
        <v>52</v>
      </c>
      <c r="AL36" s="125">
        <f>TONGHOP!AM98</f>
        <v>0</v>
      </c>
      <c r="AM36" s="125">
        <f>TONGHOP!AN98</f>
        <v>0</v>
      </c>
      <c r="AN36" s="125">
        <f>TONGHOP!AO98</f>
        <v>52</v>
      </c>
      <c r="AO36" s="125">
        <f>TONGHOP!AP98</f>
        <v>52</v>
      </c>
      <c r="AP36" s="125">
        <f>TONGHOP!AQ98</f>
        <v>0</v>
      </c>
      <c r="AQ36" s="125">
        <f>TONGHOP!AR98</f>
        <v>0</v>
      </c>
      <c r="AR36" s="125">
        <f>TONGHOP!AS98</f>
        <v>52</v>
      </c>
      <c r="AS36" s="125">
        <f>TONGHOP!AT98</f>
        <v>52</v>
      </c>
      <c r="AT36" s="125">
        <f>TONGHOP!AU98</f>
        <v>0</v>
      </c>
      <c r="AU36" s="125">
        <f>TONGHOP!AV98</f>
        <v>0</v>
      </c>
      <c r="AV36" s="125">
        <f>TONGHOP!AW98</f>
        <v>52</v>
      </c>
      <c r="AW36" s="125">
        <f>TONGHOP!AX98</f>
        <v>52</v>
      </c>
      <c r="AX36" s="125">
        <f>TONGHOP!AY98</f>
        <v>0</v>
      </c>
      <c r="AY36" s="125">
        <f>TONGHOP!AZ98</f>
        <v>0</v>
      </c>
      <c r="AZ36" s="63"/>
    </row>
    <row r="37" ht="15.75" customHeight="1">
      <c r="A37" s="29"/>
      <c r="B37" s="144" t="s">
        <v>29</v>
      </c>
      <c r="C37" s="31" t="s">
        <v>30</v>
      </c>
      <c r="D37" s="41">
        <f>TONGHOP!E99</f>
        <v>2976</v>
      </c>
      <c r="E37" s="42">
        <f>TONGHOP!F99</f>
        <v>2689</v>
      </c>
      <c r="F37" s="42">
        <f>TONGHOP!G99</f>
        <v>0</v>
      </c>
      <c r="G37" s="42">
        <f>TONGHOP!H99</f>
        <v>287</v>
      </c>
      <c r="H37" s="41">
        <f>TONGHOP!I99</f>
        <v>2862</v>
      </c>
      <c r="I37" s="42">
        <f>TONGHOP!J99</f>
        <v>2849</v>
      </c>
      <c r="J37" s="42">
        <f>TONGHOP!K99</f>
        <v>0</v>
      </c>
      <c r="K37" s="42">
        <f>TONGHOP!L99</f>
        <v>13</v>
      </c>
      <c r="L37" s="41">
        <f>TONGHOP!M99</f>
        <v>2798</v>
      </c>
      <c r="M37" s="42">
        <f>TONGHOP!N99</f>
        <v>2793</v>
      </c>
      <c r="N37" s="42">
        <f>TONGHOP!O99</f>
        <v>0</v>
      </c>
      <c r="O37" s="42">
        <f>TONGHOP!P99</f>
        <v>5</v>
      </c>
      <c r="P37" s="41">
        <f>TONGHOP!Q99</f>
        <v>2829</v>
      </c>
      <c r="Q37" s="42">
        <f>TONGHOP!R99</f>
        <v>2824</v>
      </c>
      <c r="R37" s="42">
        <f>TONGHOP!S99</f>
        <v>0</v>
      </c>
      <c r="S37" s="42">
        <f>TONGHOP!T99</f>
        <v>5</v>
      </c>
      <c r="T37" s="41">
        <f>TONGHOP!U99</f>
        <v>2832</v>
      </c>
      <c r="U37" s="42">
        <f>TONGHOP!V99</f>
        <v>2827</v>
      </c>
      <c r="V37" s="42">
        <f>TONGHOP!W99</f>
        <v>0</v>
      </c>
      <c r="W37" s="42">
        <f>TONGHOP!X99</f>
        <v>5</v>
      </c>
      <c r="X37" s="41">
        <f>TONGHOP!Y99</f>
        <v>2866</v>
      </c>
      <c r="Y37" s="42">
        <f>TONGHOP!Z99</f>
        <v>2858</v>
      </c>
      <c r="Z37" s="42">
        <f>TONGHOP!AA99</f>
        <v>0</v>
      </c>
      <c r="AA37" s="42">
        <f>TONGHOP!AB99</f>
        <v>8</v>
      </c>
      <c r="AB37" s="41">
        <f>TONGHOP!AC99</f>
        <v>2856</v>
      </c>
      <c r="AC37" s="42">
        <f>TONGHOP!AD99</f>
        <v>2853</v>
      </c>
      <c r="AD37" s="42">
        <f>TONGHOP!AE99</f>
        <v>0</v>
      </c>
      <c r="AE37" s="42">
        <f>TONGHOP!AF99</f>
        <v>3</v>
      </c>
      <c r="AF37" s="41">
        <f>TONGHOP!AG99</f>
        <v>0</v>
      </c>
      <c r="AG37" s="42">
        <f>TONGHOP!AH99</f>
        <v>0</v>
      </c>
      <c r="AH37" s="42">
        <f>TONGHOP!AI99</f>
        <v>0</v>
      </c>
      <c r="AI37" s="42">
        <f>TONGHOP!AJ99</f>
        <v>0</v>
      </c>
      <c r="AJ37" s="41">
        <f>TONGHOP!AK99</f>
        <v>0</v>
      </c>
      <c r="AK37" s="42">
        <f>TONGHOP!AL99</f>
        <v>0</v>
      </c>
      <c r="AL37" s="42">
        <f>TONGHOP!AM99</f>
        <v>0</v>
      </c>
      <c r="AM37" s="42">
        <f>TONGHOP!AN99</f>
        <v>0</v>
      </c>
      <c r="AN37" s="41">
        <f>TONGHOP!AO99</f>
        <v>0</v>
      </c>
      <c r="AO37" s="42">
        <f>TONGHOP!AP99</f>
        <v>0</v>
      </c>
      <c r="AP37" s="42">
        <f>TONGHOP!AQ99</f>
        <v>0</v>
      </c>
      <c r="AQ37" s="42">
        <f>TONGHOP!AR99</f>
        <v>0</v>
      </c>
      <c r="AR37" s="41">
        <f>TONGHOP!AS99</f>
        <v>0</v>
      </c>
      <c r="AS37" s="42">
        <f>TONGHOP!AT99</f>
        <v>0</v>
      </c>
      <c r="AT37" s="42">
        <f>TONGHOP!AU99</f>
        <v>0</v>
      </c>
      <c r="AU37" s="42">
        <f>TONGHOP!AV99</f>
        <v>0</v>
      </c>
      <c r="AV37" s="41">
        <f>TONGHOP!AW99</f>
        <v>0</v>
      </c>
      <c r="AW37" s="42">
        <f>TONGHOP!AX99</f>
        <v>0</v>
      </c>
      <c r="AX37" s="42">
        <f>TONGHOP!AY99</f>
        <v>0</v>
      </c>
      <c r="AY37" s="42">
        <f>TONGHOP!AZ99</f>
        <v>0</v>
      </c>
      <c r="AZ37" s="34"/>
    </row>
    <row r="38" ht="15.75" customHeight="1">
      <c r="A38" s="29"/>
      <c r="B38" s="145" t="s">
        <v>151</v>
      </c>
      <c r="C38" s="31" t="s">
        <v>30</v>
      </c>
      <c r="D38" s="41">
        <f>E38+F38+G38</f>
        <v>11328</v>
      </c>
      <c r="E38" s="42">
        <f t="shared" ref="E38:G38" si="157">E39+E40+E41</f>
        <v>11302</v>
      </c>
      <c r="F38" s="42">
        <f t="shared" si="157"/>
        <v>26</v>
      </c>
      <c r="G38" s="42">
        <f t="shared" si="157"/>
        <v>0</v>
      </c>
      <c r="H38" s="41">
        <f>I38+J38+K38</f>
        <v>11159</v>
      </c>
      <c r="I38" s="42">
        <f t="shared" ref="I38:K38" si="158">I39+I40+I41</f>
        <v>11133</v>
      </c>
      <c r="J38" s="42">
        <f t="shared" si="158"/>
        <v>26</v>
      </c>
      <c r="K38" s="42">
        <f t="shared" si="158"/>
        <v>0</v>
      </c>
      <c r="L38" s="41">
        <f>M38+N38+O38</f>
        <v>10793</v>
      </c>
      <c r="M38" s="42">
        <f t="shared" ref="M38:O38" si="159">M39+M40+M41</f>
        <v>10767</v>
      </c>
      <c r="N38" s="42">
        <f t="shared" si="159"/>
        <v>26</v>
      </c>
      <c r="O38" s="42">
        <f t="shared" si="159"/>
        <v>0</v>
      </c>
      <c r="P38" s="41">
        <f>Q38+R38+S38</f>
        <v>10773</v>
      </c>
      <c r="Q38" s="42">
        <f t="shared" ref="Q38:S38" si="160">Q39+Q40+Q41</f>
        <v>10690</v>
      </c>
      <c r="R38" s="42">
        <f t="shared" si="160"/>
        <v>83</v>
      </c>
      <c r="S38" s="42">
        <f t="shared" si="160"/>
        <v>0</v>
      </c>
      <c r="T38" s="41">
        <f>U38+V38+W38</f>
        <v>10802</v>
      </c>
      <c r="U38" s="42">
        <f t="shared" ref="U38:W38" si="161">U39+U40+U41</f>
        <v>10776</v>
      </c>
      <c r="V38" s="42">
        <f t="shared" si="161"/>
        <v>26</v>
      </c>
      <c r="W38" s="42">
        <f t="shared" si="161"/>
        <v>0</v>
      </c>
      <c r="X38" s="41">
        <f>Y38+Z38+AA38</f>
        <v>10801</v>
      </c>
      <c r="Y38" s="42">
        <f t="shared" ref="Y38:AA38" si="162">Y39+Y40+Y41</f>
        <v>10775</v>
      </c>
      <c r="Z38" s="42">
        <f t="shared" si="162"/>
        <v>26</v>
      </c>
      <c r="AA38" s="42">
        <f t="shared" si="162"/>
        <v>0</v>
      </c>
      <c r="AB38" s="41">
        <f>AC38+AD38+AE38</f>
        <v>10625</v>
      </c>
      <c r="AC38" s="42">
        <f t="shared" ref="AC38:AE38" si="163">AC39+AC40+AC41</f>
        <v>10599</v>
      </c>
      <c r="AD38" s="42">
        <f t="shared" si="163"/>
        <v>26</v>
      </c>
      <c r="AE38" s="42">
        <f t="shared" si="163"/>
        <v>0</v>
      </c>
      <c r="AF38" s="41">
        <f>AG38+AH38+AI38</f>
        <v>429</v>
      </c>
      <c r="AG38" s="42">
        <f t="shared" ref="AG38:AI38" si="164">AG39+AG40+AG41</f>
        <v>421</v>
      </c>
      <c r="AH38" s="42">
        <f t="shared" si="164"/>
        <v>8</v>
      </c>
      <c r="AI38" s="42">
        <f t="shared" si="164"/>
        <v>0</v>
      </c>
      <c r="AJ38" s="41">
        <f>AK38+AL38+AM38</f>
        <v>52</v>
      </c>
      <c r="AK38" s="42">
        <f t="shared" ref="AK38:AM38" si="165">AK39+AK40+AK41</f>
        <v>52</v>
      </c>
      <c r="AL38" s="42">
        <f t="shared" si="165"/>
        <v>0</v>
      </c>
      <c r="AM38" s="42">
        <f t="shared" si="165"/>
        <v>0</v>
      </c>
      <c r="AN38" s="41">
        <f>AO38+AP38+AQ38</f>
        <v>52</v>
      </c>
      <c r="AO38" s="42">
        <f t="shared" ref="AO38:AQ38" si="166">AO39+AO40+AO41</f>
        <v>52</v>
      </c>
      <c r="AP38" s="42">
        <f t="shared" si="166"/>
        <v>0</v>
      </c>
      <c r="AQ38" s="42">
        <f t="shared" si="166"/>
        <v>0</v>
      </c>
      <c r="AR38" s="41">
        <f>AS38+AT38+AU38</f>
        <v>52</v>
      </c>
      <c r="AS38" s="42">
        <f t="shared" ref="AS38:AU38" si="167">AS39+AS40+AS41</f>
        <v>52</v>
      </c>
      <c r="AT38" s="42">
        <f t="shared" si="167"/>
        <v>0</v>
      </c>
      <c r="AU38" s="42">
        <f t="shared" si="167"/>
        <v>0</v>
      </c>
      <c r="AV38" s="41">
        <f>AW38+AX38+AY38</f>
        <v>52</v>
      </c>
      <c r="AW38" s="42">
        <f t="shared" ref="AW38:AY38" si="168">AW39+AW40+AW41</f>
        <v>52</v>
      </c>
      <c r="AX38" s="42">
        <f t="shared" si="168"/>
        <v>0</v>
      </c>
      <c r="AY38" s="42">
        <f t="shared" si="168"/>
        <v>0</v>
      </c>
      <c r="AZ38" s="34"/>
    </row>
    <row r="39" ht="15.75" customHeight="1">
      <c r="A39" s="29"/>
      <c r="B39" s="144" t="s">
        <v>31</v>
      </c>
      <c r="C39" s="31" t="s">
        <v>30</v>
      </c>
      <c r="D39" s="41">
        <f>TONGHOP!E100</f>
        <v>5779</v>
      </c>
      <c r="E39" s="42">
        <f>TONGHOP!F100</f>
        <v>5754</v>
      </c>
      <c r="F39" s="42">
        <f>TONGHOP!G100</f>
        <v>25</v>
      </c>
      <c r="G39" s="42">
        <f>TONGHOP!H100</f>
        <v>0</v>
      </c>
      <c r="H39" s="41">
        <f>TONGHOP!I100</f>
        <v>5737</v>
      </c>
      <c r="I39" s="42">
        <f>TONGHOP!J100</f>
        <v>5712</v>
      </c>
      <c r="J39" s="42">
        <f>TONGHOP!K100</f>
        <v>25</v>
      </c>
      <c r="K39" s="42">
        <f>TONGHOP!L100</f>
        <v>0</v>
      </c>
      <c r="L39" s="41">
        <f>TONGHOP!M100</f>
        <v>5397</v>
      </c>
      <c r="M39" s="42">
        <f>TONGHOP!N100</f>
        <v>5372</v>
      </c>
      <c r="N39" s="42">
        <f>TONGHOP!O100</f>
        <v>25</v>
      </c>
      <c r="O39" s="42">
        <f>TONGHOP!P100</f>
        <v>0</v>
      </c>
      <c r="P39" s="41">
        <f>TONGHOP!Q100</f>
        <v>5384</v>
      </c>
      <c r="Q39" s="42">
        <f>TONGHOP!R100</f>
        <v>5359</v>
      </c>
      <c r="R39" s="42">
        <f>TONGHOP!S100</f>
        <v>25</v>
      </c>
      <c r="S39" s="42">
        <f>TONGHOP!T100</f>
        <v>0</v>
      </c>
      <c r="T39" s="41">
        <f>TONGHOP!U100</f>
        <v>5385</v>
      </c>
      <c r="U39" s="42">
        <f>TONGHOP!V100</f>
        <v>5360</v>
      </c>
      <c r="V39" s="42">
        <f>TONGHOP!W100</f>
        <v>25</v>
      </c>
      <c r="W39" s="42">
        <f>TONGHOP!X100</f>
        <v>0</v>
      </c>
      <c r="X39" s="41">
        <f>TONGHOP!Y100</f>
        <v>5384</v>
      </c>
      <c r="Y39" s="42">
        <f>TONGHOP!Z100</f>
        <v>5359</v>
      </c>
      <c r="Z39" s="42">
        <f>TONGHOP!AA100</f>
        <v>25</v>
      </c>
      <c r="AA39" s="42">
        <f>TONGHOP!AB100</f>
        <v>0</v>
      </c>
      <c r="AB39" s="41">
        <f>TONGHOP!AC100</f>
        <v>5388</v>
      </c>
      <c r="AC39" s="42">
        <f>TONGHOP!AD100</f>
        <v>5363</v>
      </c>
      <c r="AD39" s="42">
        <f>TONGHOP!AE100</f>
        <v>25</v>
      </c>
      <c r="AE39" s="42">
        <f>TONGHOP!AF100</f>
        <v>0</v>
      </c>
      <c r="AF39" s="41">
        <f>TONGHOP!AG100</f>
        <v>14</v>
      </c>
      <c r="AG39" s="42">
        <f>TONGHOP!AH100</f>
        <v>7</v>
      </c>
      <c r="AH39" s="42">
        <f>TONGHOP!AI100</f>
        <v>7</v>
      </c>
      <c r="AI39" s="42">
        <f>TONGHOP!AJ100</f>
        <v>0</v>
      </c>
      <c r="AJ39" s="41">
        <f>TONGHOP!AK100</f>
        <v>0</v>
      </c>
      <c r="AK39" s="42">
        <f>TONGHOP!AL100</f>
        <v>0</v>
      </c>
      <c r="AL39" s="42">
        <f>TONGHOP!AM100</f>
        <v>0</v>
      </c>
      <c r="AM39" s="42">
        <f>TONGHOP!AN100</f>
        <v>0</v>
      </c>
      <c r="AN39" s="41">
        <f>TONGHOP!AO100</f>
        <v>0</v>
      </c>
      <c r="AO39" s="42">
        <f>TONGHOP!AP100</f>
        <v>0</v>
      </c>
      <c r="AP39" s="42">
        <f>TONGHOP!AQ100</f>
        <v>0</v>
      </c>
      <c r="AQ39" s="42">
        <f>TONGHOP!AR100</f>
        <v>0</v>
      </c>
      <c r="AR39" s="41">
        <f>TONGHOP!AS100</f>
        <v>0</v>
      </c>
      <c r="AS39" s="42">
        <f>TONGHOP!AT100</f>
        <v>0</v>
      </c>
      <c r="AT39" s="42">
        <f>TONGHOP!AU100</f>
        <v>0</v>
      </c>
      <c r="AU39" s="42">
        <f>TONGHOP!AV100</f>
        <v>0</v>
      </c>
      <c r="AV39" s="41">
        <f>TONGHOP!AW100</f>
        <v>0</v>
      </c>
      <c r="AW39" s="42">
        <f>TONGHOP!AX100</f>
        <v>0</v>
      </c>
      <c r="AX39" s="42">
        <f>TONGHOP!AY100</f>
        <v>0</v>
      </c>
      <c r="AY39" s="42">
        <f>TONGHOP!AZ100</f>
        <v>0</v>
      </c>
      <c r="AZ39" s="34"/>
    </row>
    <row r="40" ht="15.75" customHeight="1">
      <c r="A40" s="29"/>
      <c r="B40" s="144" t="s">
        <v>33</v>
      </c>
      <c r="C40" s="31" t="s">
        <v>30</v>
      </c>
      <c r="D40" s="41">
        <f>TONGHOP!E101</f>
        <v>3872</v>
      </c>
      <c r="E40" s="42">
        <f>TONGHOP!F101</f>
        <v>3871</v>
      </c>
      <c r="F40" s="42">
        <f>TONGHOP!G101</f>
        <v>1</v>
      </c>
      <c r="G40" s="42">
        <f>TONGHOP!H101</f>
        <v>0</v>
      </c>
      <c r="H40" s="41">
        <f>TONGHOP!I101</f>
        <v>3811</v>
      </c>
      <c r="I40" s="42">
        <f>TONGHOP!J101</f>
        <v>3810</v>
      </c>
      <c r="J40" s="42">
        <f>TONGHOP!K101</f>
        <v>1</v>
      </c>
      <c r="K40" s="42">
        <f>TONGHOP!L101</f>
        <v>0</v>
      </c>
      <c r="L40" s="41">
        <f>TONGHOP!M101</f>
        <v>3790</v>
      </c>
      <c r="M40" s="42">
        <f>TONGHOP!N101</f>
        <v>3789</v>
      </c>
      <c r="N40" s="42">
        <f>TONGHOP!O101</f>
        <v>1</v>
      </c>
      <c r="O40" s="42">
        <f>TONGHOP!P101</f>
        <v>0</v>
      </c>
      <c r="P40" s="41">
        <f>TONGHOP!Q101</f>
        <v>3786</v>
      </c>
      <c r="Q40" s="42">
        <f>TONGHOP!R101</f>
        <v>3756</v>
      </c>
      <c r="R40" s="42">
        <f>TONGHOP!S101</f>
        <v>30</v>
      </c>
      <c r="S40" s="42">
        <f>TONGHOP!T101</f>
        <v>0</v>
      </c>
      <c r="T40" s="41">
        <f>TONGHOP!U101</f>
        <v>3814</v>
      </c>
      <c r="U40" s="42">
        <f>TONGHOP!V101</f>
        <v>3813</v>
      </c>
      <c r="V40" s="42">
        <f>TONGHOP!W101</f>
        <v>1</v>
      </c>
      <c r="W40" s="42">
        <f>TONGHOP!X101</f>
        <v>0</v>
      </c>
      <c r="X40" s="41">
        <f>TONGHOP!Y101</f>
        <v>3814</v>
      </c>
      <c r="Y40" s="42">
        <f>TONGHOP!Z101</f>
        <v>3813</v>
      </c>
      <c r="Z40" s="42">
        <f>TONGHOP!AA101</f>
        <v>1</v>
      </c>
      <c r="AA40" s="42">
        <f>TONGHOP!AB101</f>
        <v>0</v>
      </c>
      <c r="AB40" s="41">
        <f>TONGHOP!AC101</f>
        <v>3711</v>
      </c>
      <c r="AC40" s="42">
        <f>TONGHOP!AD101</f>
        <v>3710</v>
      </c>
      <c r="AD40" s="42">
        <f>TONGHOP!AE101</f>
        <v>1</v>
      </c>
      <c r="AE40" s="42">
        <f>TONGHOP!AF101</f>
        <v>0</v>
      </c>
      <c r="AF40" s="41">
        <f>TONGHOP!AG101</f>
        <v>113</v>
      </c>
      <c r="AG40" s="42">
        <f>TONGHOP!AH101</f>
        <v>112</v>
      </c>
      <c r="AH40" s="42">
        <f>TONGHOP!AI101</f>
        <v>1</v>
      </c>
      <c r="AI40" s="42">
        <f>TONGHOP!AJ101</f>
        <v>0</v>
      </c>
      <c r="AJ40" s="41">
        <f>TONGHOP!AK101</f>
        <v>31</v>
      </c>
      <c r="AK40" s="42">
        <f>TONGHOP!AL101</f>
        <v>31</v>
      </c>
      <c r="AL40" s="42">
        <f>TONGHOP!AM101</f>
        <v>0</v>
      </c>
      <c r="AM40" s="42">
        <f>TONGHOP!AN101</f>
        <v>0</v>
      </c>
      <c r="AN40" s="41">
        <f>TONGHOP!AO101</f>
        <v>31</v>
      </c>
      <c r="AO40" s="42">
        <f>TONGHOP!AP101</f>
        <v>31</v>
      </c>
      <c r="AP40" s="42">
        <f>TONGHOP!AQ101</f>
        <v>0</v>
      </c>
      <c r="AQ40" s="42">
        <f>TONGHOP!AR101</f>
        <v>0</v>
      </c>
      <c r="AR40" s="41">
        <f>TONGHOP!AS101</f>
        <v>31</v>
      </c>
      <c r="AS40" s="42">
        <f>TONGHOP!AT101</f>
        <v>31</v>
      </c>
      <c r="AT40" s="42">
        <f>TONGHOP!AU101</f>
        <v>0</v>
      </c>
      <c r="AU40" s="42">
        <f>TONGHOP!AV101</f>
        <v>0</v>
      </c>
      <c r="AV40" s="41">
        <f>TONGHOP!AW101</f>
        <v>31</v>
      </c>
      <c r="AW40" s="42">
        <f>TONGHOP!AX101</f>
        <v>31</v>
      </c>
      <c r="AX40" s="42">
        <f>TONGHOP!AY101</f>
        <v>0</v>
      </c>
      <c r="AY40" s="42">
        <f>TONGHOP!AZ101</f>
        <v>0</v>
      </c>
      <c r="AZ40" s="34"/>
    </row>
    <row r="41" ht="15.75" customHeight="1">
      <c r="A41" s="29"/>
      <c r="B41" s="144" t="s">
        <v>35</v>
      </c>
      <c r="C41" s="31" t="s">
        <v>30</v>
      </c>
      <c r="D41" s="41">
        <f>TONGHOP!E102</f>
        <v>1677</v>
      </c>
      <c r="E41" s="42">
        <f>TONGHOP!F102</f>
        <v>1677</v>
      </c>
      <c r="F41" s="42">
        <f>TONGHOP!G102</f>
        <v>0</v>
      </c>
      <c r="G41" s="42">
        <f>TONGHOP!H102</f>
        <v>0</v>
      </c>
      <c r="H41" s="41">
        <f>TONGHOP!I102</f>
        <v>1611</v>
      </c>
      <c r="I41" s="42">
        <f>TONGHOP!J102</f>
        <v>1611</v>
      </c>
      <c r="J41" s="42">
        <f>TONGHOP!K102</f>
        <v>0</v>
      </c>
      <c r="K41" s="42">
        <f>TONGHOP!L102</f>
        <v>0</v>
      </c>
      <c r="L41" s="41">
        <f>TONGHOP!M102</f>
        <v>1606</v>
      </c>
      <c r="M41" s="42">
        <f>TONGHOP!N102</f>
        <v>1606</v>
      </c>
      <c r="N41" s="42">
        <f>TONGHOP!O102</f>
        <v>0</v>
      </c>
      <c r="O41" s="42">
        <f>TONGHOP!P102</f>
        <v>0</v>
      </c>
      <c r="P41" s="41">
        <f>TONGHOP!Q102</f>
        <v>1603</v>
      </c>
      <c r="Q41" s="42">
        <f>TONGHOP!R102</f>
        <v>1575</v>
      </c>
      <c r="R41" s="42">
        <f>TONGHOP!S102</f>
        <v>28</v>
      </c>
      <c r="S41" s="42">
        <f>TONGHOP!T102</f>
        <v>0</v>
      </c>
      <c r="T41" s="41">
        <f>TONGHOP!U102</f>
        <v>1603</v>
      </c>
      <c r="U41" s="42">
        <f>TONGHOP!V102</f>
        <v>1603</v>
      </c>
      <c r="V41" s="42">
        <f>TONGHOP!W102</f>
        <v>0</v>
      </c>
      <c r="W41" s="42">
        <f>TONGHOP!X102</f>
        <v>0</v>
      </c>
      <c r="X41" s="41">
        <f>TONGHOP!Y102</f>
        <v>1603</v>
      </c>
      <c r="Y41" s="42">
        <f>TONGHOP!Z102</f>
        <v>1603</v>
      </c>
      <c r="Z41" s="42">
        <f>TONGHOP!AA102</f>
        <v>0</v>
      </c>
      <c r="AA41" s="42">
        <f>TONGHOP!AB102</f>
        <v>0</v>
      </c>
      <c r="AB41" s="41">
        <f>TONGHOP!AC102</f>
        <v>1526</v>
      </c>
      <c r="AC41" s="42">
        <f>TONGHOP!AD102</f>
        <v>1526</v>
      </c>
      <c r="AD41" s="42">
        <f>TONGHOP!AE102</f>
        <v>0</v>
      </c>
      <c r="AE41" s="42">
        <f>TONGHOP!AF102</f>
        <v>0</v>
      </c>
      <c r="AF41" s="41">
        <f>TONGHOP!AG102</f>
        <v>302</v>
      </c>
      <c r="AG41" s="42">
        <f>TONGHOP!AH102</f>
        <v>302</v>
      </c>
      <c r="AH41" s="42">
        <f>TONGHOP!AI102</f>
        <v>0</v>
      </c>
      <c r="AI41" s="42">
        <f>TONGHOP!AJ102</f>
        <v>0</v>
      </c>
      <c r="AJ41" s="41">
        <f>TONGHOP!AK102</f>
        <v>21</v>
      </c>
      <c r="AK41" s="42">
        <f>TONGHOP!AL102</f>
        <v>21</v>
      </c>
      <c r="AL41" s="42">
        <f>TONGHOP!AM102</f>
        <v>0</v>
      </c>
      <c r="AM41" s="42">
        <f>TONGHOP!AN102</f>
        <v>0</v>
      </c>
      <c r="AN41" s="41">
        <f>TONGHOP!AO102</f>
        <v>21</v>
      </c>
      <c r="AO41" s="42">
        <f>TONGHOP!AP102</f>
        <v>21</v>
      </c>
      <c r="AP41" s="42">
        <f>TONGHOP!AQ102</f>
        <v>0</v>
      </c>
      <c r="AQ41" s="42">
        <f>TONGHOP!AR102</f>
        <v>0</v>
      </c>
      <c r="AR41" s="41">
        <f>TONGHOP!AS102</f>
        <v>21</v>
      </c>
      <c r="AS41" s="42">
        <f>TONGHOP!AT102</f>
        <v>21</v>
      </c>
      <c r="AT41" s="42">
        <f>TONGHOP!AU102</f>
        <v>0</v>
      </c>
      <c r="AU41" s="42">
        <f>TONGHOP!AV102</f>
        <v>0</v>
      </c>
      <c r="AV41" s="41">
        <f>TONGHOP!AW102</f>
        <v>21</v>
      </c>
      <c r="AW41" s="42">
        <f>TONGHOP!AX102</f>
        <v>21</v>
      </c>
      <c r="AX41" s="42">
        <f>TONGHOP!AY102</f>
        <v>0</v>
      </c>
      <c r="AY41" s="42">
        <f>TONGHOP!AZ102</f>
        <v>0</v>
      </c>
      <c r="AZ41" s="34"/>
    </row>
    <row r="42" ht="15.75" customHeight="1">
      <c r="A42" s="55"/>
      <c r="B42" s="153" t="s">
        <v>113</v>
      </c>
      <c r="C42" s="57" t="s">
        <v>89</v>
      </c>
      <c r="D42" s="125">
        <f>TONGHOP!E118</f>
        <v>741</v>
      </c>
      <c r="E42" s="125">
        <f>TONGHOP!F118</f>
        <v>331</v>
      </c>
      <c r="F42" s="125">
        <f>TONGHOP!G118</f>
        <v>68</v>
      </c>
      <c r="G42" s="125">
        <f>TONGHOP!H118</f>
        <v>342</v>
      </c>
      <c r="H42" s="125">
        <f>TONGHOP!I118</f>
        <v>782</v>
      </c>
      <c r="I42" s="125">
        <f>TONGHOP!J118</f>
        <v>366</v>
      </c>
      <c r="J42" s="125">
        <f>TONGHOP!K118</f>
        <v>68</v>
      </c>
      <c r="K42" s="125">
        <f>TONGHOP!L118</f>
        <v>348</v>
      </c>
      <c r="L42" s="125">
        <f>TONGHOP!M118</f>
        <v>739</v>
      </c>
      <c r="M42" s="125">
        <f>TONGHOP!N118</f>
        <v>327</v>
      </c>
      <c r="N42" s="125">
        <f>TONGHOP!O118</f>
        <v>68</v>
      </c>
      <c r="O42" s="125">
        <f>TONGHOP!P118</f>
        <v>344</v>
      </c>
      <c r="P42" s="125">
        <f>TONGHOP!Q118</f>
        <v>783</v>
      </c>
      <c r="Q42" s="125">
        <f>TONGHOP!R118</f>
        <v>342</v>
      </c>
      <c r="R42" s="125">
        <f>TONGHOP!S118</f>
        <v>69</v>
      </c>
      <c r="S42" s="125">
        <f>TONGHOP!T118</f>
        <v>372</v>
      </c>
      <c r="T42" s="125">
        <f>TONGHOP!U118</f>
        <v>780</v>
      </c>
      <c r="U42" s="125">
        <f>TONGHOP!V118</f>
        <v>342</v>
      </c>
      <c r="V42" s="125">
        <f>TONGHOP!W118</f>
        <v>68</v>
      </c>
      <c r="W42" s="125">
        <f>TONGHOP!X118</f>
        <v>370</v>
      </c>
      <c r="X42" s="125">
        <f>TONGHOP!Y118</f>
        <v>794</v>
      </c>
      <c r="Y42" s="125">
        <f>TONGHOP!Z118</f>
        <v>351</v>
      </c>
      <c r="Z42" s="125">
        <f>TONGHOP!AA118</f>
        <v>68</v>
      </c>
      <c r="AA42" s="125">
        <f>TONGHOP!AB118</f>
        <v>375</v>
      </c>
      <c r="AB42" s="125">
        <f>TONGHOP!AC118</f>
        <v>786</v>
      </c>
      <c r="AC42" s="125">
        <f>TONGHOP!AD118</f>
        <v>343</v>
      </c>
      <c r="AD42" s="125">
        <f>TONGHOP!AE118</f>
        <v>68</v>
      </c>
      <c r="AE42" s="125">
        <f>TONGHOP!AF118</f>
        <v>375</v>
      </c>
      <c r="AF42" s="125">
        <f>TONGHOP!AG118</f>
        <v>13</v>
      </c>
      <c r="AG42" s="125">
        <f>TONGHOP!AH118</f>
        <v>1</v>
      </c>
      <c r="AH42" s="125">
        <f>TONGHOP!AI118</f>
        <v>12</v>
      </c>
      <c r="AI42" s="125">
        <f>TONGHOP!AJ118</f>
        <v>0</v>
      </c>
      <c r="AJ42" s="125">
        <f>TONGHOP!AK118</f>
        <v>0</v>
      </c>
      <c r="AK42" s="125">
        <f>TONGHOP!AL118</f>
        <v>0</v>
      </c>
      <c r="AL42" s="125">
        <f>TONGHOP!AM118</f>
        <v>0</v>
      </c>
      <c r="AM42" s="125">
        <f>TONGHOP!AN118</f>
        <v>0</v>
      </c>
      <c r="AN42" s="125">
        <f>TONGHOP!AO118</f>
        <v>0</v>
      </c>
      <c r="AO42" s="125">
        <f>TONGHOP!AP118</f>
        <v>0</v>
      </c>
      <c r="AP42" s="125">
        <f>TONGHOP!AQ118</f>
        <v>0</v>
      </c>
      <c r="AQ42" s="125">
        <f>TONGHOP!AR118</f>
        <v>0</v>
      </c>
      <c r="AR42" s="125">
        <f>TONGHOP!AS118</f>
        <v>0</v>
      </c>
      <c r="AS42" s="125">
        <f>TONGHOP!AT118</f>
        <v>0</v>
      </c>
      <c r="AT42" s="125">
        <f>TONGHOP!AU118</f>
        <v>0</v>
      </c>
      <c r="AU42" s="125">
        <f>TONGHOP!AV118</f>
        <v>0</v>
      </c>
      <c r="AV42" s="125">
        <f>TONGHOP!AW118</f>
        <v>0</v>
      </c>
      <c r="AW42" s="125">
        <f>TONGHOP!AX118</f>
        <v>0</v>
      </c>
      <c r="AX42" s="125">
        <f>TONGHOP!AY118</f>
        <v>0</v>
      </c>
      <c r="AY42" s="125">
        <f>TONGHOP!AZ118</f>
        <v>0</v>
      </c>
      <c r="AZ42" s="63"/>
    </row>
    <row r="43" ht="15.75" customHeight="1">
      <c r="A43" s="29"/>
      <c r="B43" s="154" t="s">
        <v>29</v>
      </c>
      <c r="C43" s="31" t="s">
        <v>30</v>
      </c>
      <c r="D43" s="41">
        <f>TONGHOP!E119</f>
        <v>496</v>
      </c>
      <c r="E43" s="42">
        <f>TONGHOP!F119</f>
        <v>141</v>
      </c>
      <c r="F43" s="42">
        <f>TONGHOP!G119</f>
        <v>37</v>
      </c>
      <c r="G43" s="42">
        <f>TONGHOP!H119</f>
        <v>318</v>
      </c>
      <c r="H43" s="41">
        <f>TONGHOP!I119</f>
        <v>514</v>
      </c>
      <c r="I43" s="42">
        <f>TONGHOP!J119</f>
        <v>153</v>
      </c>
      <c r="J43" s="42">
        <f>TONGHOP!K119</f>
        <v>37</v>
      </c>
      <c r="K43" s="42">
        <f>TONGHOP!L119</f>
        <v>324</v>
      </c>
      <c r="L43" s="41">
        <f>TONGHOP!M119</f>
        <v>479</v>
      </c>
      <c r="M43" s="42">
        <f>TONGHOP!N119</f>
        <v>123</v>
      </c>
      <c r="N43" s="42">
        <f>TONGHOP!O119</f>
        <v>37</v>
      </c>
      <c r="O43" s="42">
        <f>TONGHOP!P119</f>
        <v>319</v>
      </c>
      <c r="P43" s="41">
        <f>TONGHOP!Q119</f>
        <v>478</v>
      </c>
      <c r="Q43" s="42">
        <f>TONGHOP!R119</f>
        <v>125</v>
      </c>
      <c r="R43" s="42">
        <f>TONGHOP!S119</f>
        <v>37</v>
      </c>
      <c r="S43" s="42">
        <f>TONGHOP!T119</f>
        <v>316</v>
      </c>
      <c r="T43" s="41">
        <f>TONGHOP!U119</f>
        <v>478</v>
      </c>
      <c r="U43" s="42">
        <f>TONGHOP!V119</f>
        <v>125</v>
      </c>
      <c r="V43" s="42">
        <f>TONGHOP!W119</f>
        <v>37</v>
      </c>
      <c r="W43" s="42">
        <f>TONGHOP!X119</f>
        <v>316</v>
      </c>
      <c r="X43" s="41">
        <f>TONGHOP!Y119</f>
        <v>493</v>
      </c>
      <c r="Y43" s="42">
        <f>TONGHOP!Z119</f>
        <v>134</v>
      </c>
      <c r="Z43" s="42">
        <f>TONGHOP!AA119</f>
        <v>37</v>
      </c>
      <c r="AA43" s="42">
        <f>TONGHOP!AB119</f>
        <v>322</v>
      </c>
      <c r="AB43" s="41">
        <f>TONGHOP!AC119</f>
        <v>493</v>
      </c>
      <c r="AC43" s="42">
        <f>TONGHOP!AD119</f>
        <v>134</v>
      </c>
      <c r="AD43" s="42">
        <f>TONGHOP!AE119</f>
        <v>37</v>
      </c>
      <c r="AE43" s="42">
        <f>TONGHOP!AF119</f>
        <v>322</v>
      </c>
      <c r="AF43" s="41">
        <f>TONGHOP!AG119</f>
        <v>0</v>
      </c>
      <c r="AG43" s="42">
        <f>TONGHOP!AH119</f>
        <v>0</v>
      </c>
      <c r="AH43" s="42">
        <f>TONGHOP!AI119</f>
        <v>0</v>
      </c>
      <c r="AI43" s="42">
        <f>TONGHOP!AJ119</f>
        <v>0</v>
      </c>
      <c r="AJ43" s="41">
        <f>TONGHOP!AK119</f>
        <v>0</v>
      </c>
      <c r="AK43" s="42">
        <f>TONGHOP!AL119</f>
        <v>0</v>
      </c>
      <c r="AL43" s="42">
        <f>TONGHOP!AM119</f>
        <v>0</v>
      </c>
      <c r="AM43" s="42">
        <f>TONGHOP!AN119</f>
        <v>0</v>
      </c>
      <c r="AN43" s="41">
        <f>TONGHOP!AO119</f>
        <v>0</v>
      </c>
      <c r="AO43" s="42">
        <f>TONGHOP!AP119</f>
        <v>0</v>
      </c>
      <c r="AP43" s="42">
        <f>TONGHOP!AQ119</f>
        <v>0</v>
      </c>
      <c r="AQ43" s="42">
        <f>TONGHOP!AR119</f>
        <v>0</v>
      </c>
      <c r="AR43" s="41">
        <f>TONGHOP!AS119</f>
        <v>0</v>
      </c>
      <c r="AS43" s="42">
        <f>TONGHOP!AT119</f>
        <v>0</v>
      </c>
      <c r="AT43" s="42">
        <f>TONGHOP!AU119</f>
        <v>0</v>
      </c>
      <c r="AU43" s="42">
        <f>TONGHOP!AV119</f>
        <v>0</v>
      </c>
      <c r="AV43" s="41">
        <f>TONGHOP!AW119</f>
        <v>0</v>
      </c>
      <c r="AW43" s="42">
        <f>TONGHOP!AX119</f>
        <v>0</v>
      </c>
      <c r="AX43" s="42">
        <f>TONGHOP!AY119</f>
        <v>0</v>
      </c>
      <c r="AY43" s="42">
        <f>TONGHOP!AZ119</f>
        <v>0</v>
      </c>
      <c r="AZ43" s="34"/>
    </row>
    <row r="44" ht="15.75" customHeight="1">
      <c r="A44" s="29"/>
      <c r="B44" s="142" t="s">
        <v>151</v>
      </c>
      <c r="C44" s="31" t="s">
        <v>30</v>
      </c>
      <c r="D44" s="41">
        <f>E44+F44+G44</f>
        <v>245</v>
      </c>
      <c r="E44" s="42">
        <f t="shared" ref="E44:G44" si="169">E45+E46+E47</f>
        <v>190</v>
      </c>
      <c r="F44" s="42">
        <f t="shared" si="169"/>
        <v>31</v>
      </c>
      <c r="G44" s="42">
        <f t="shared" si="169"/>
        <v>24</v>
      </c>
      <c r="H44" s="41">
        <f>I44+J44+K44</f>
        <v>268</v>
      </c>
      <c r="I44" s="42">
        <f t="shared" ref="I44:K44" si="170">I45+I46+I47</f>
        <v>213</v>
      </c>
      <c r="J44" s="42">
        <f t="shared" si="170"/>
        <v>31</v>
      </c>
      <c r="K44" s="42">
        <f t="shared" si="170"/>
        <v>24</v>
      </c>
      <c r="L44" s="41">
        <f>M44+N44+O44</f>
        <v>260</v>
      </c>
      <c r="M44" s="42">
        <f t="shared" ref="M44:O44" si="171">M45+M46+M47</f>
        <v>204</v>
      </c>
      <c r="N44" s="42">
        <f t="shared" si="171"/>
        <v>31</v>
      </c>
      <c r="O44" s="42">
        <f t="shared" si="171"/>
        <v>25</v>
      </c>
      <c r="P44" s="41">
        <f>Q44+R44+S44</f>
        <v>305</v>
      </c>
      <c r="Q44" s="42">
        <f t="shared" ref="Q44:S44" si="172">Q45+Q46+Q47</f>
        <v>217</v>
      </c>
      <c r="R44" s="42">
        <f t="shared" si="172"/>
        <v>32</v>
      </c>
      <c r="S44" s="42">
        <f t="shared" si="172"/>
        <v>56</v>
      </c>
      <c r="T44" s="41">
        <f>U44+V44+W44</f>
        <v>302</v>
      </c>
      <c r="U44" s="42">
        <f t="shared" ref="U44:W44" si="173">U45+U46+U47</f>
        <v>217</v>
      </c>
      <c r="V44" s="42">
        <f t="shared" si="173"/>
        <v>31</v>
      </c>
      <c r="W44" s="42">
        <f t="shared" si="173"/>
        <v>54</v>
      </c>
      <c r="X44" s="41">
        <f>Y44+Z44+AA44</f>
        <v>301</v>
      </c>
      <c r="Y44" s="42">
        <f t="shared" ref="Y44:AA44" si="174">Y45+Y46+Y47</f>
        <v>217</v>
      </c>
      <c r="Z44" s="42">
        <f t="shared" si="174"/>
        <v>31</v>
      </c>
      <c r="AA44" s="42">
        <f t="shared" si="174"/>
        <v>53</v>
      </c>
      <c r="AB44" s="41">
        <f>AC44+AD44+AE44</f>
        <v>293</v>
      </c>
      <c r="AC44" s="42">
        <f t="shared" ref="AC44:AE44" si="175">AC45+AC46+AC47</f>
        <v>209</v>
      </c>
      <c r="AD44" s="42">
        <f t="shared" si="175"/>
        <v>31</v>
      </c>
      <c r="AE44" s="42">
        <f t="shared" si="175"/>
        <v>53</v>
      </c>
      <c r="AF44" s="41">
        <f>AG44+AH44+AI44</f>
        <v>13</v>
      </c>
      <c r="AG44" s="42">
        <f t="shared" ref="AG44:AI44" si="176">AG45+AG46+AG47</f>
        <v>1</v>
      </c>
      <c r="AH44" s="42">
        <f t="shared" si="176"/>
        <v>12</v>
      </c>
      <c r="AI44" s="42">
        <f t="shared" si="176"/>
        <v>0</v>
      </c>
      <c r="AJ44" s="41">
        <f>AK44+AL44+AM44</f>
        <v>0</v>
      </c>
      <c r="AK44" s="42">
        <f t="shared" ref="AK44:AM44" si="177">AK45+AK46+AK47</f>
        <v>0</v>
      </c>
      <c r="AL44" s="42">
        <f t="shared" si="177"/>
        <v>0</v>
      </c>
      <c r="AM44" s="42">
        <f t="shared" si="177"/>
        <v>0</v>
      </c>
      <c r="AN44" s="41">
        <f>AO44+AP44+AQ44</f>
        <v>0</v>
      </c>
      <c r="AO44" s="42">
        <f t="shared" ref="AO44:AQ44" si="178">AO45+AO46+AO47</f>
        <v>0</v>
      </c>
      <c r="AP44" s="42">
        <f t="shared" si="178"/>
        <v>0</v>
      </c>
      <c r="AQ44" s="42">
        <f t="shared" si="178"/>
        <v>0</v>
      </c>
      <c r="AR44" s="41">
        <f>AS44+AT44+AU44</f>
        <v>0</v>
      </c>
      <c r="AS44" s="42">
        <f t="shared" ref="AS44:AU44" si="179">AS45+AS46+AS47</f>
        <v>0</v>
      </c>
      <c r="AT44" s="42">
        <f t="shared" si="179"/>
        <v>0</v>
      </c>
      <c r="AU44" s="42">
        <f t="shared" si="179"/>
        <v>0</v>
      </c>
      <c r="AV44" s="41">
        <f>AW44+AX44+AY44</f>
        <v>0</v>
      </c>
      <c r="AW44" s="42">
        <f t="shared" ref="AW44:AY44" si="180">AW45+AW46+AW47</f>
        <v>0</v>
      </c>
      <c r="AX44" s="42">
        <f t="shared" si="180"/>
        <v>0</v>
      </c>
      <c r="AY44" s="42">
        <f t="shared" si="180"/>
        <v>0</v>
      </c>
      <c r="AZ44" s="34"/>
    </row>
    <row r="45" ht="15.75" customHeight="1">
      <c r="A45" s="29"/>
      <c r="B45" s="154" t="s">
        <v>31</v>
      </c>
      <c r="C45" s="31" t="s">
        <v>30</v>
      </c>
      <c r="D45" s="41">
        <f>TONGHOP!E120</f>
        <v>195</v>
      </c>
      <c r="E45" s="42">
        <f>TONGHOP!F120</f>
        <v>149</v>
      </c>
      <c r="F45" s="42">
        <f>TONGHOP!G120</f>
        <v>31</v>
      </c>
      <c r="G45" s="42">
        <f>TONGHOP!H120</f>
        <v>15</v>
      </c>
      <c r="H45" s="41">
        <f>TONGHOP!I120</f>
        <v>209</v>
      </c>
      <c r="I45" s="42">
        <f>TONGHOP!J120</f>
        <v>163</v>
      </c>
      <c r="J45" s="42">
        <f>TONGHOP!K120</f>
        <v>31</v>
      </c>
      <c r="K45" s="42">
        <f>TONGHOP!L120</f>
        <v>15</v>
      </c>
      <c r="L45" s="41">
        <f>TONGHOP!M120</f>
        <v>210</v>
      </c>
      <c r="M45" s="42">
        <f>TONGHOP!N120</f>
        <v>163</v>
      </c>
      <c r="N45" s="42">
        <f>TONGHOP!O120</f>
        <v>31</v>
      </c>
      <c r="O45" s="42">
        <f>TONGHOP!P120</f>
        <v>16</v>
      </c>
      <c r="P45" s="41">
        <f>TONGHOP!Q120</f>
        <v>217</v>
      </c>
      <c r="Q45" s="42">
        <f>TONGHOP!R120</f>
        <v>170</v>
      </c>
      <c r="R45" s="42">
        <f>TONGHOP!S120</f>
        <v>31</v>
      </c>
      <c r="S45" s="42">
        <f>TONGHOP!T120</f>
        <v>16</v>
      </c>
      <c r="T45" s="41">
        <f>TONGHOP!U120</f>
        <v>218</v>
      </c>
      <c r="U45" s="42">
        <f>TONGHOP!V120</f>
        <v>172</v>
      </c>
      <c r="V45" s="42">
        <f>TONGHOP!W120</f>
        <v>31</v>
      </c>
      <c r="W45" s="42">
        <f>TONGHOP!X120</f>
        <v>15</v>
      </c>
      <c r="X45" s="41">
        <f>TONGHOP!Y120</f>
        <v>218</v>
      </c>
      <c r="Y45" s="42">
        <f>TONGHOP!Z120</f>
        <v>172</v>
      </c>
      <c r="Z45" s="42">
        <f>TONGHOP!AA120</f>
        <v>31</v>
      </c>
      <c r="AA45" s="42">
        <f>TONGHOP!AB120</f>
        <v>15</v>
      </c>
      <c r="AB45" s="41">
        <f>TONGHOP!AC120</f>
        <v>210</v>
      </c>
      <c r="AC45" s="42">
        <f>TONGHOP!AD120</f>
        <v>164</v>
      </c>
      <c r="AD45" s="42">
        <f>TONGHOP!AE120</f>
        <v>31</v>
      </c>
      <c r="AE45" s="42">
        <f>TONGHOP!AF120</f>
        <v>15</v>
      </c>
      <c r="AF45" s="41">
        <f>TONGHOP!AG120</f>
        <v>13</v>
      </c>
      <c r="AG45" s="42">
        <f>TONGHOP!AH120</f>
        <v>1</v>
      </c>
      <c r="AH45" s="42">
        <f>TONGHOP!AI120</f>
        <v>12</v>
      </c>
      <c r="AI45" s="42">
        <f>TONGHOP!AJ120</f>
        <v>0</v>
      </c>
      <c r="AJ45" s="41">
        <f>TONGHOP!AK120</f>
        <v>0</v>
      </c>
      <c r="AK45" s="42">
        <f>TONGHOP!AL120</f>
        <v>0</v>
      </c>
      <c r="AL45" s="42">
        <f>TONGHOP!AM120</f>
        <v>0</v>
      </c>
      <c r="AM45" s="42">
        <f>TONGHOP!AN120</f>
        <v>0</v>
      </c>
      <c r="AN45" s="41">
        <f>TONGHOP!AO120</f>
        <v>0</v>
      </c>
      <c r="AO45" s="42">
        <f>TONGHOP!AP120</f>
        <v>0</v>
      </c>
      <c r="AP45" s="42">
        <f>TONGHOP!AQ120</f>
        <v>0</v>
      </c>
      <c r="AQ45" s="42">
        <f>TONGHOP!AR120</f>
        <v>0</v>
      </c>
      <c r="AR45" s="41">
        <f>TONGHOP!AS120</f>
        <v>0</v>
      </c>
      <c r="AS45" s="42">
        <f>TONGHOP!AT120</f>
        <v>0</v>
      </c>
      <c r="AT45" s="42">
        <f>TONGHOP!AU120</f>
        <v>0</v>
      </c>
      <c r="AU45" s="42">
        <f>TONGHOP!AV120</f>
        <v>0</v>
      </c>
      <c r="AV45" s="41">
        <f>TONGHOP!AW120</f>
        <v>0</v>
      </c>
      <c r="AW45" s="42">
        <f>TONGHOP!AX120</f>
        <v>0</v>
      </c>
      <c r="AX45" s="42">
        <f>TONGHOP!AY120</f>
        <v>0</v>
      </c>
      <c r="AY45" s="42">
        <f>TONGHOP!AZ120</f>
        <v>0</v>
      </c>
      <c r="AZ45" s="34"/>
    </row>
    <row r="46" ht="15.75" customHeight="1">
      <c r="A46" s="29"/>
      <c r="B46" s="154" t="s">
        <v>33</v>
      </c>
      <c r="C46" s="31" t="s">
        <v>30</v>
      </c>
      <c r="D46" s="41">
        <f>TONGHOP!E121</f>
        <v>45</v>
      </c>
      <c r="E46" s="42">
        <f>TONGHOP!F121</f>
        <v>36</v>
      </c>
      <c r="F46" s="42">
        <f>TONGHOP!G121</f>
        <v>0</v>
      </c>
      <c r="G46" s="42">
        <f>TONGHOP!H121</f>
        <v>9</v>
      </c>
      <c r="H46" s="41">
        <f>TONGHOP!I121</f>
        <v>54</v>
      </c>
      <c r="I46" s="42">
        <f>TONGHOP!J121</f>
        <v>45</v>
      </c>
      <c r="J46" s="42">
        <f>TONGHOP!K121</f>
        <v>0</v>
      </c>
      <c r="K46" s="42">
        <f>TONGHOP!L121</f>
        <v>9</v>
      </c>
      <c r="L46" s="41">
        <f>TONGHOP!M121</f>
        <v>45</v>
      </c>
      <c r="M46" s="42">
        <f>TONGHOP!N121</f>
        <v>36</v>
      </c>
      <c r="N46" s="42">
        <f>TONGHOP!O121</f>
        <v>0</v>
      </c>
      <c r="O46" s="42">
        <f>TONGHOP!P121</f>
        <v>9</v>
      </c>
      <c r="P46" s="41">
        <f>TONGHOP!Q121</f>
        <v>52</v>
      </c>
      <c r="Q46" s="42">
        <f>TONGHOP!R121</f>
        <v>40</v>
      </c>
      <c r="R46" s="42">
        <f>TONGHOP!S121</f>
        <v>3</v>
      </c>
      <c r="S46" s="42">
        <f>TONGHOP!T121</f>
        <v>9</v>
      </c>
      <c r="T46" s="41">
        <f>TONGHOP!U121</f>
        <v>48</v>
      </c>
      <c r="U46" s="42">
        <f>TONGHOP!V121</f>
        <v>40</v>
      </c>
      <c r="V46" s="42">
        <f>TONGHOP!W121</f>
        <v>0</v>
      </c>
      <c r="W46" s="42">
        <f>TONGHOP!X121</f>
        <v>8</v>
      </c>
      <c r="X46" s="41">
        <f>TONGHOP!Y121</f>
        <v>47</v>
      </c>
      <c r="Y46" s="42">
        <f>TONGHOP!Z121</f>
        <v>40</v>
      </c>
      <c r="Z46" s="42">
        <f>TONGHOP!AA121</f>
        <v>0</v>
      </c>
      <c r="AA46" s="42">
        <f>TONGHOP!AB121</f>
        <v>7</v>
      </c>
      <c r="AB46" s="41">
        <f>TONGHOP!AC121</f>
        <v>47</v>
      </c>
      <c r="AC46" s="42">
        <f>TONGHOP!AD121</f>
        <v>40</v>
      </c>
      <c r="AD46" s="42">
        <f>TONGHOP!AE121</f>
        <v>0</v>
      </c>
      <c r="AE46" s="42">
        <f>TONGHOP!AF121</f>
        <v>7</v>
      </c>
      <c r="AF46" s="41">
        <f>TONGHOP!AG121</f>
        <v>0</v>
      </c>
      <c r="AG46" s="42">
        <f>TONGHOP!AH121</f>
        <v>0</v>
      </c>
      <c r="AH46" s="42">
        <f>TONGHOP!AI121</f>
        <v>0</v>
      </c>
      <c r="AI46" s="42">
        <f>TONGHOP!AJ121</f>
        <v>0</v>
      </c>
      <c r="AJ46" s="41">
        <f>TONGHOP!AK121</f>
        <v>0</v>
      </c>
      <c r="AK46" s="42">
        <f>TONGHOP!AL121</f>
        <v>0</v>
      </c>
      <c r="AL46" s="42">
        <f>TONGHOP!AM121</f>
        <v>0</v>
      </c>
      <c r="AM46" s="42">
        <f>TONGHOP!AN121</f>
        <v>0</v>
      </c>
      <c r="AN46" s="41">
        <f>TONGHOP!AO121</f>
        <v>0</v>
      </c>
      <c r="AO46" s="42">
        <f>TONGHOP!AP121</f>
        <v>0</v>
      </c>
      <c r="AP46" s="42">
        <f>TONGHOP!AQ121</f>
        <v>0</v>
      </c>
      <c r="AQ46" s="42">
        <f>TONGHOP!AR121</f>
        <v>0</v>
      </c>
      <c r="AR46" s="41">
        <f>TONGHOP!AS121</f>
        <v>0</v>
      </c>
      <c r="AS46" s="42">
        <f>TONGHOP!AT121</f>
        <v>0</v>
      </c>
      <c r="AT46" s="42">
        <f>TONGHOP!AU121</f>
        <v>0</v>
      </c>
      <c r="AU46" s="42">
        <f>TONGHOP!AV121</f>
        <v>0</v>
      </c>
      <c r="AV46" s="41">
        <f>TONGHOP!AW121</f>
        <v>0</v>
      </c>
      <c r="AW46" s="42">
        <f>TONGHOP!AX121</f>
        <v>0</v>
      </c>
      <c r="AX46" s="42">
        <f>TONGHOP!AY121</f>
        <v>0</v>
      </c>
      <c r="AY46" s="42">
        <f>TONGHOP!AZ121</f>
        <v>0</v>
      </c>
      <c r="AZ46" s="34"/>
    </row>
    <row r="47" ht="15.75" customHeight="1">
      <c r="A47" s="29"/>
      <c r="B47" s="154" t="s">
        <v>35</v>
      </c>
      <c r="C47" s="31" t="s">
        <v>30</v>
      </c>
      <c r="D47" s="41">
        <f>TONGHOP!E122</f>
        <v>5</v>
      </c>
      <c r="E47" s="42">
        <f>TONGHOP!F122</f>
        <v>5</v>
      </c>
      <c r="F47" s="42">
        <f>TONGHOP!G122</f>
        <v>0</v>
      </c>
      <c r="G47" s="42">
        <f>TONGHOP!H122</f>
        <v>0</v>
      </c>
      <c r="H47" s="41">
        <f>TONGHOP!I122</f>
        <v>5</v>
      </c>
      <c r="I47" s="42">
        <f>TONGHOP!J122</f>
        <v>5</v>
      </c>
      <c r="J47" s="42">
        <f>TONGHOP!K122</f>
        <v>0</v>
      </c>
      <c r="K47" s="42">
        <f>TONGHOP!L122</f>
        <v>0</v>
      </c>
      <c r="L47" s="41">
        <f>TONGHOP!M122</f>
        <v>5</v>
      </c>
      <c r="M47" s="42">
        <f>TONGHOP!N122</f>
        <v>5</v>
      </c>
      <c r="N47" s="42">
        <f>TONGHOP!O122</f>
        <v>0</v>
      </c>
      <c r="O47" s="42">
        <f>TONGHOP!P122</f>
        <v>0</v>
      </c>
      <c r="P47" s="41">
        <f>TONGHOP!Q122</f>
        <v>36</v>
      </c>
      <c r="Q47" s="42">
        <f>TONGHOP!R122</f>
        <v>7</v>
      </c>
      <c r="R47" s="42">
        <f>TONGHOP!S122</f>
        <v>-2</v>
      </c>
      <c r="S47" s="42">
        <f>TONGHOP!T122</f>
        <v>31</v>
      </c>
      <c r="T47" s="41">
        <f>TONGHOP!U122</f>
        <v>36</v>
      </c>
      <c r="U47" s="42">
        <f>TONGHOP!V122</f>
        <v>5</v>
      </c>
      <c r="V47" s="42">
        <f>TONGHOP!W122</f>
        <v>0</v>
      </c>
      <c r="W47" s="42">
        <f>TONGHOP!X122</f>
        <v>31</v>
      </c>
      <c r="X47" s="41">
        <f>TONGHOP!Y122</f>
        <v>36</v>
      </c>
      <c r="Y47" s="42">
        <f>TONGHOP!Z122</f>
        <v>5</v>
      </c>
      <c r="Z47" s="42">
        <f>TONGHOP!AA122</f>
        <v>0</v>
      </c>
      <c r="AA47" s="42">
        <f>TONGHOP!AB122</f>
        <v>31</v>
      </c>
      <c r="AB47" s="41">
        <f>TONGHOP!AC122</f>
        <v>36</v>
      </c>
      <c r="AC47" s="42">
        <f>TONGHOP!AD122</f>
        <v>5</v>
      </c>
      <c r="AD47" s="42">
        <f>TONGHOP!AE122</f>
        <v>0</v>
      </c>
      <c r="AE47" s="42">
        <f>TONGHOP!AF122</f>
        <v>31</v>
      </c>
      <c r="AF47" s="41">
        <f>TONGHOP!AG122</f>
        <v>0</v>
      </c>
      <c r="AG47" s="42">
        <f>TONGHOP!AH122</f>
        <v>0</v>
      </c>
      <c r="AH47" s="42">
        <f>TONGHOP!AI122</f>
        <v>0</v>
      </c>
      <c r="AI47" s="42">
        <f>TONGHOP!AJ122</f>
        <v>0</v>
      </c>
      <c r="AJ47" s="41">
        <f>TONGHOP!AK122</f>
        <v>0</v>
      </c>
      <c r="AK47" s="42">
        <f>TONGHOP!AL122</f>
        <v>0</v>
      </c>
      <c r="AL47" s="42">
        <f>TONGHOP!AM122</f>
        <v>0</v>
      </c>
      <c r="AM47" s="42">
        <f>TONGHOP!AN122</f>
        <v>0</v>
      </c>
      <c r="AN47" s="41">
        <f>TONGHOP!AO122</f>
        <v>0</v>
      </c>
      <c r="AO47" s="42">
        <f>TONGHOP!AP122</f>
        <v>0</v>
      </c>
      <c r="AP47" s="42">
        <f>TONGHOP!AQ122</f>
        <v>0</v>
      </c>
      <c r="AQ47" s="42">
        <f>TONGHOP!AR122</f>
        <v>0</v>
      </c>
      <c r="AR47" s="41">
        <f>TONGHOP!AS122</f>
        <v>0</v>
      </c>
      <c r="AS47" s="42">
        <f>TONGHOP!AT122</f>
        <v>0</v>
      </c>
      <c r="AT47" s="42">
        <f>TONGHOP!AU122</f>
        <v>0</v>
      </c>
      <c r="AU47" s="42">
        <f>TONGHOP!AV122</f>
        <v>0</v>
      </c>
      <c r="AV47" s="41">
        <f>TONGHOP!AW122</f>
        <v>0</v>
      </c>
      <c r="AW47" s="42">
        <f>TONGHOP!AX122</f>
        <v>0</v>
      </c>
      <c r="AX47" s="42">
        <f>TONGHOP!AY122</f>
        <v>0</v>
      </c>
      <c r="AY47" s="42">
        <f>TONGHOP!AZ122</f>
        <v>0</v>
      </c>
      <c r="AZ47" s="34"/>
    </row>
    <row r="48" ht="15.75" customHeight="1">
      <c r="A48" s="137"/>
      <c r="B48" s="138" t="s">
        <v>152</v>
      </c>
      <c r="C48" s="143" t="s">
        <v>153</v>
      </c>
      <c r="D48" s="155">
        <f>D49+D50</f>
        <v>2777</v>
      </c>
      <c r="E48" s="54"/>
      <c r="F48" s="156"/>
      <c r="G48" s="156"/>
      <c r="H48" s="155">
        <f>H49+H50</f>
        <v>1936</v>
      </c>
      <c r="I48" s="54"/>
      <c r="J48" s="156"/>
      <c r="K48" s="156"/>
      <c r="L48" s="155">
        <f>L49+L50</f>
        <v>1697</v>
      </c>
      <c r="M48" s="54"/>
      <c r="N48" s="156"/>
      <c r="O48" s="156"/>
      <c r="P48" s="155">
        <f>P49+P50</f>
        <v>1525</v>
      </c>
      <c r="Q48" s="54"/>
      <c r="R48" s="156"/>
      <c r="S48" s="156"/>
      <c r="T48" s="155">
        <f>T49+T50</f>
        <v>1527</v>
      </c>
      <c r="U48" s="54"/>
      <c r="V48" s="156"/>
      <c r="W48" s="156"/>
      <c r="X48" s="155">
        <f>X49+X50</f>
        <v>1210</v>
      </c>
      <c r="Y48" s="54"/>
      <c r="Z48" s="156"/>
      <c r="AA48" s="156"/>
      <c r="AB48" s="155">
        <f>AB49+AB50</f>
        <v>1210</v>
      </c>
      <c r="AC48" s="54"/>
      <c r="AD48" s="156"/>
      <c r="AE48" s="156"/>
      <c r="AF48" s="155">
        <f>AF49+AF50</f>
        <v>0</v>
      </c>
      <c r="AG48" s="54"/>
      <c r="AH48" s="156"/>
      <c r="AI48" s="156"/>
      <c r="AJ48" s="155">
        <f>AJ49+AJ50</f>
        <v>0</v>
      </c>
      <c r="AK48" s="54"/>
      <c r="AL48" s="156"/>
      <c r="AM48" s="156"/>
      <c r="AN48" s="155">
        <f>AN49+AN50</f>
        <v>0</v>
      </c>
      <c r="AO48" s="54"/>
      <c r="AP48" s="156"/>
      <c r="AQ48" s="156"/>
      <c r="AR48" s="155">
        <f>AR49+AR50</f>
        <v>0</v>
      </c>
      <c r="AS48" s="54"/>
      <c r="AT48" s="156"/>
      <c r="AU48" s="156"/>
      <c r="AV48" s="155">
        <f>AV49+AV50</f>
        <v>0</v>
      </c>
      <c r="AW48" s="54"/>
      <c r="AX48" s="156"/>
      <c r="AY48" s="156"/>
      <c r="AZ48" s="140"/>
    </row>
    <row r="49" ht="15.75" customHeight="1">
      <c r="A49" s="29"/>
      <c r="B49" s="145" t="s">
        <v>154</v>
      </c>
      <c r="C49" s="31" t="s">
        <v>30</v>
      </c>
      <c r="D49" s="157">
        <f>'2.TH'!E85</f>
        <v>125</v>
      </c>
      <c r="E49" s="158"/>
      <c r="F49" s="42"/>
      <c r="G49" s="42"/>
      <c r="H49" s="157">
        <f>'2.TH'!I85</f>
        <v>136</v>
      </c>
      <c r="I49" s="158"/>
      <c r="J49" s="42"/>
      <c r="K49" s="42"/>
      <c r="L49" s="157">
        <f>'2.TH'!M85</f>
        <v>0</v>
      </c>
      <c r="M49" s="158"/>
      <c r="N49" s="42"/>
      <c r="O49" s="42"/>
      <c r="P49" s="157">
        <f>'2.TH'!Q85</f>
        <v>0</v>
      </c>
      <c r="Q49" s="158"/>
      <c r="R49" s="42"/>
      <c r="S49" s="42"/>
      <c r="T49" s="157">
        <f>'2.TH'!U85</f>
        <v>0</v>
      </c>
      <c r="U49" s="158"/>
      <c r="V49" s="42"/>
      <c r="W49" s="42"/>
      <c r="X49" s="157">
        <f>'2.TH'!Y85</f>
        <v>0</v>
      </c>
      <c r="Y49" s="158"/>
      <c r="Z49" s="42"/>
      <c r="AA49" s="42"/>
      <c r="AB49" s="157">
        <f>'2.TH'!AC85</f>
        <v>0</v>
      </c>
      <c r="AC49" s="158"/>
      <c r="AD49" s="42"/>
      <c r="AE49" s="42"/>
      <c r="AF49" s="157">
        <f>'2.TH'!AG85</f>
        <v>0</v>
      </c>
      <c r="AG49" s="158"/>
      <c r="AH49" s="42"/>
      <c r="AI49" s="42"/>
      <c r="AJ49" s="157">
        <f>'2.TH'!AK85</f>
        <v>0</v>
      </c>
      <c r="AK49" s="158"/>
      <c r="AL49" s="42"/>
      <c r="AM49" s="42"/>
      <c r="AN49" s="157">
        <f>'2.TH'!AO85</f>
        <v>0</v>
      </c>
      <c r="AO49" s="158"/>
      <c r="AP49" s="42"/>
      <c r="AQ49" s="42"/>
      <c r="AR49" s="157">
        <f>'2.TH'!AS85</f>
        <v>0</v>
      </c>
      <c r="AS49" s="158"/>
      <c r="AT49" s="42"/>
      <c r="AU49" s="42"/>
      <c r="AV49" s="157">
        <f>'2.TH'!AW85</f>
        <v>0</v>
      </c>
      <c r="AW49" s="158"/>
      <c r="AX49" s="42"/>
      <c r="AY49" s="42"/>
      <c r="AZ49" s="34"/>
    </row>
    <row r="50" ht="15.75" customHeight="1">
      <c r="A50" s="29"/>
      <c r="B50" s="145" t="s">
        <v>155</v>
      </c>
      <c r="C50" s="31" t="s">
        <v>30</v>
      </c>
      <c r="D50" s="157">
        <f>'3.THCS'!E83</f>
        <v>2652</v>
      </c>
      <c r="E50" s="158"/>
      <c r="F50" s="42"/>
      <c r="G50" s="42"/>
      <c r="H50" s="157">
        <f>'3.THCS'!I83</f>
        <v>1800</v>
      </c>
      <c r="I50" s="158"/>
      <c r="J50" s="42"/>
      <c r="K50" s="42"/>
      <c r="L50" s="157">
        <f>'3.THCS'!M83</f>
        <v>1697</v>
      </c>
      <c r="M50" s="158"/>
      <c r="N50" s="42"/>
      <c r="O50" s="42"/>
      <c r="P50" s="157">
        <f>'3.THCS'!Q83</f>
        <v>1525</v>
      </c>
      <c r="Q50" s="158"/>
      <c r="R50" s="42"/>
      <c r="S50" s="42"/>
      <c r="T50" s="157">
        <f>'3.THCS'!U83</f>
        <v>1527</v>
      </c>
      <c r="U50" s="158"/>
      <c r="V50" s="42"/>
      <c r="W50" s="42"/>
      <c r="X50" s="157">
        <f>'3.THCS'!Y83</f>
        <v>1210</v>
      </c>
      <c r="Y50" s="158"/>
      <c r="Z50" s="42"/>
      <c r="AA50" s="42"/>
      <c r="AB50" s="157">
        <f>'3.THCS'!AC83</f>
        <v>1210</v>
      </c>
      <c r="AC50" s="158"/>
      <c r="AD50" s="42"/>
      <c r="AE50" s="42"/>
      <c r="AF50" s="157">
        <f>'3.THCS'!AG83</f>
        <v>0</v>
      </c>
      <c r="AG50" s="158"/>
      <c r="AH50" s="42"/>
      <c r="AI50" s="42"/>
      <c r="AJ50" s="157">
        <f>'3.THCS'!AK83</f>
        <v>0</v>
      </c>
      <c r="AK50" s="158"/>
      <c r="AL50" s="42"/>
      <c r="AM50" s="42"/>
      <c r="AN50" s="157">
        <f>'3.THCS'!AO83</f>
        <v>0</v>
      </c>
      <c r="AO50" s="158"/>
      <c r="AP50" s="42"/>
      <c r="AQ50" s="42"/>
      <c r="AR50" s="157">
        <f>'3.THCS'!AS83</f>
        <v>0</v>
      </c>
      <c r="AS50" s="158"/>
      <c r="AT50" s="42"/>
      <c r="AU50" s="42"/>
      <c r="AV50" s="157">
        <f>'3.THCS'!AW83</f>
        <v>0</v>
      </c>
      <c r="AW50" s="158"/>
      <c r="AX50" s="42"/>
      <c r="AY50" s="42"/>
      <c r="AZ50" s="34"/>
    </row>
    <row r="51" ht="15.75" customHeight="1">
      <c r="A51" s="29"/>
      <c r="B51" s="145" t="s">
        <v>156</v>
      </c>
      <c r="C51" s="40" t="s">
        <v>44</v>
      </c>
      <c r="D51" s="157">
        <f>'3.THCS'!E84</f>
        <v>700</v>
      </c>
      <c r="E51" s="158"/>
      <c r="F51" s="42"/>
      <c r="G51" s="42"/>
      <c r="H51" s="157">
        <f>'3.THCS'!I84</f>
        <v>600</v>
      </c>
      <c r="I51" s="158"/>
      <c r="J51" s="42"/>
      <c r="K51" s="42"/>
      <c r="L51" s="157">
        <f>'3.THCS'!M84</f>
        <v>500</v>
      </c>
      <c r="M51" s="158"/>
      <c r="N51" s="42"/>
      <c r="O51" s="42"/>
      <c r="P51" s="157">
        <f>'3.THCS'!Q84</f>
        <v>486</v>
      </c>
      <c r="Q51" s="158"/>
      <c r="R51" s="42"/>
      <c r="S51" s="42"/>
      <c r="T51" s="157">
        <f>'3.THCS'!U84</f>
        <v>486</v>
      </c>
      <c r="U51" s="158"/>
      <c r="V51" s="42"/>
      <c r="W51" s="42"/>
      <c r="X51" s="157">
        <f>'3.THCS'!Y84</f>
        <v>200</v>
      </c>
      <c r="Y51" s="158"/>
      <c r="Z51" s="42"/>
      <c r="AA51" s="42"/>
      <c r="AB51" s="157">
        <f>'3.THCS'!AC84</f>
        <v>200</v>
      </c>
      <c r="AC51" s="158"/>
      <c r="AD51" s="42"/>
      <c r="AE51" s="42"/>
      <c r="AF51" s="157">
        <f>'3.THCS'!AG84</f>
        <v>0</v>
      </c>
      <c r="AG51" s="158"/>
      <c r="AH51" s="42"/>
      <c r="AI51" s="42"/>
      <c r="AJ51" s="157">
        <f>'3.THCS'!AK84</f>
        <v>0</v>
      </c>
      <c r="AK51" s="158"/>
      <c r="AL51" s="42"/>
      <c r="AM51" s="42"/>
      <c r="AN51" s="157">
        <f>'3.THCS'!AO84</f>
        <v>0</v>
      </c>
      <c r="AO51" s="158"/>
      <c r="AP51" s="42"/>
      <c r="AQ51" s="42"/>
      <c r="AR51" s="157">
        <f>'3.THCS'!AS84</f>
        <v>0</v>
      </c>
      <c r="AS51" s="158"/>
      <c r="AT51" s="42"/>
      <c r="AU51" s="42"/>
      <c r="AV51" s="157">
        <f>'3.THCS'!AW84</f>
        <v>0</v>
      </c>
      <c r="AW51" s="158"/>
      <c r="AX51" s="42"/>
      <c r="AY51" s="42"/>
      <c r="AZ51" s="34"/>
    </row>
    <row r="52" ht="15.75" customHeight="1">
      <c r="A52" s="137"/>
      <c r="B52" s="138" t="s">
        <v>157</v>
      </c>
      <c r="C52" s="143" t="s">
        <v>153</v>
      </c>
      <c r="D52" s="155">
        <f>'3.THCS'!E85</f>
        <v>17361</v>
      </c>
      <c r="E52" s="159">
        <v>770.0</v>
      </c>
      <c r="F52" s="160">
        <f>D52/E52*100</f>
        <v>2254.675325</v>
      </c>
      <c r="G52" s="161"/>
      <c r="H52" s="155">
        <f>'3.THCS'!I85</f>
        <v>6049</v>
      </c>
      <c r="I52" s="159">
        <v>770.0</v>
      </c>
      <c r="J52" s="160">
        <f>H52/I52*100</f>
        <v>785.5844156</v>
      </c>
      <c r="K52" s="161"/>
      <c r="L52" s="155">
        <f>'3.THCS'!M85</f>
        <v>610</v>
      </c>
      <c r="M52" s="159">
        <v>770.0</v>
      </c>
      <c r="N52" s="160">
        <f>L52/M52*100</f>
        <v>79.22077922</v>
      </c>
      <c r="O52" s="161"/>
      <c r="P52" s="155">
        <f>'3.THCS'!Q85</f>
        <v>520</v>
      </c>
      <c r="Q52" s="159">
        <v>770.0</v>
      </c>
      <c r="R52" s="160">
        <f>P52/Q52*100</f>
        <v>67.53246753</v>
      </c>
      <c r="S52" s="161"/>
      <c r="T52" s="155">
        <f>'3.THCS'!U85</f>
        <v>528</v>
      </c>
      <c r="U52" s="159">
        <v>770.0</v>
      </c>
      <c r="V52" s="160">
        <f>T52/U52*100</f>
        <v>68.57142857</v>
      </c>
      <c r="W52" s="161"/>
      <c r="X52" s="155">
        <f>'3.THCS'!Y85</f>
        <v>99</v>
      </c>
      <c r="Y52" s="159">
        <v>770.0</v>
      </c>
      <c r="Z52" s="160">
        <f>X52/Y52*100</f>
        <v>12.85714286</v>
      </c>
      <c r="AA52" s="161"/>
      <c r="AB52" s="155">
        <f>'3.THCS'!AC85</f>
        <v>48</v>
      </c>
      <c r="AC52" s="159">
        <v>770.0</v>
      </c>
      <c r="AD52" s="160">
        <f>AB52/AC52*100</f>
        <v>6.233766234</v>
      </c>
      <c r="AE52" s="161"/>
      <c r="AF52" s="155">
        <f>'3.THCS'!AG85</f>
        <v>0</v>
      </c>
      <c r="AG52" s="159">
        <v>770.0</v>
      </c>
      <c r="AH52" s="160">
        <f>AF52/AG52*100</f>
        <v>0</v>
      </c>
      <c r="AI52" s="161"/>
      <c r="AJ52" s="155">
        <f>'3.THCS'!AK85</f>
        <v>0</v>
      </c>
      <c r="AK52" s="159">
        <v>770.0</v>
      </c>
      <c r="AL52" s="160">
        <f>AJ52/AK52*100</f>
        <v>0</v>
      </c>
      <c r="AM52" s="161"/>
      <c r="AN52" s="155">
        <f>'3.THCS'!AO85</f>
        <v>0</v>
      </c>
      <c r="AO52" s="159">
        <v>770.0</v>
      </c>
      <c r="AP52" s="160">
        <f>AN52/AO52*100</f>
        <v>0</v>
      </c>
      <c r="AQ52" s="161"/>
      <c r="AR52" s="155">
        <f>'3.THCS'!AS85</f>
        <v>0</v>
      </c>
      <c r="AS52" s="159">
        <v>770.0</v>
      </c>
      <c r="AT52" s="160">
        <f>AR52/AS52*100</f>
        <v>0</v>
      </c>
      <c r="AU52" s="161"/>
      <c r="AV52" s="155">
        <f>'3.THCS'!AW85</f>
        <v>0</v>
      </c>
      <c r="AW52" s="159">
        <v>770.0</v>
      </c>
      <c r="AX52" s="160">
        <f>AV52/AW52*100</f>
        <v>0</v>
      </c>
      <c r="AY52" s="161"/>
      <c r="AZ52" s="140"/>
    </row>
    <row r="53" ht="27.0" customHeight="1">
      <c r="A53" s="55"/>
      <c r="B53" s="138" t="s">
        <v>158</v>
      </c>
      <c r="C53" s="57" t="s">
        <v>28</v>
      </c>
      <c r="D53" s="162">
        <f>TONGHOP!F19</f>
        <v>377</v>
      </c>
      <c r="E53" s="163" t="s">
        <v>142</v>
      </c>
      <c r="F53" s="164" t="s">
        <v>143</v>
      </c>
      <c r="G53" s="146"/>
      <c r="H53" s="162">
        <f>TONGHOP!J19</f>
        <v>377</v>
      </c>
      <c r="I53" s="147" t="s">
        <v>142</v>
      </c>
      <c r="J53" s="146" t="s">
        <v>143</v>
      </c>
      <c r="K53" s="146"/>
      <c r="L53" s="162">
        <f>TONGHOP!N19</f>
        <v>376</v>
      </c>
      <c r="M53" s="147" t="s">
        <v>142</v>
      </c>
      <c r="N53" s="146" t="s">
        <v>143</v>
      </c>
      <c r="O53" s="146"/>
      <c r="P53" s="162">
        <f>TONGHOP!R19</f>
        <v>381</v>
      </c>
      <c r="Q53" s="147" t="s">
        <v>142</v>
      </c>
      <c r="R53" s="146" t="s">
        <v>143</v>
      </c>
      <c r="S53" s="146"/>
      <c r="T53" s="162">
        <f>TONGHOP!V19</f>
        <v>380</v>
      </c>
      <c r="U53" s="147" t="s">
        <v>142</v>
      </c>
      <c r="V53" s="146" t="s">
        <v>143</v>
      </c>
      <c r="W53" s="146"/>
      <c r="X53" s="162">
        <f>TONGHOP!Z19</f>
        <v>373</v>
      </c>
      <c r="Y53" s="147" t="s">
        <v>142</v>
      </c>
      <c r="Z53" s="146" t="s">
        <v>143</v>
      </c>
      <c r="AA53" s="146"/>
      <c r="AB53" s="162">
        <f>TONGHOP!AD19</f>
        <v>363</v>
      </c>
      <c r="AC53" s="147" t="s">
        <v>142</v>
      </c>
      <c r="AD53" s="146" t="s">
        <v>143</v>
      </c>
      <c r="AE53" s="146"/>
      <c r="AF53" s="162">
        <f>TONGHOP!AH19</f>
        <v>9</v>
      </c>
      <c r="AG53" s="147" t="s">
        <v>142</v>
      </c>
      <c r="AH53" s="146" t="s">
        <v>143</v>
      </c>
      <c r="AI53" s="146"/>
      <c r="AJ53" s="162">
        <f>TONGHOP!AL19</f>
        <v>3</v>
      </c>
      <c r="AK53" s="147" t="s">
        <v>142</v>
      </c>
      <c r="AL53" s="146" t="s">
        <v>143</v>
      </c>
      <c r="AM53" s="146"/>
      <c r="AN53" s="162">
        <f>TONGHOP!AP19</f>
        <v>2</v>
      </c>
      <c r="AO53" s="147" t="s">
        <v>142</v>
      </c>
      <c r="AP53" s="146" t="s">
        <v>143</v>
      </c>
      <c r="AQ53" s="146"/>
      <c r="AR53" s="162">
        <f>TONGHOP!AT19</f>
        <v>2</v>
      </c>
      <c r="AS53" s="147" t="s">
        <v>142</v>
      </c>
      <c r="AT53" s="146" t="s">
        <v>143</v>
      </c>
      <c r="AU53" s="146"/>
      <c r="AV53" s="162">
        <f>TONGHOP!AX19</f>
        <v>2</v>
      </c>
      <c r="AW53" s="147" t="s">
        <v>142</v>
      </c>
      <c r="AX53" s="146" t="s">
        <v>143</v>
      </c>
      <c r="AY53" s="146"/>
      <c r="AZ53" s="63"/>
    </row>
    <row r="54">
      <c r="A54" s="55"/>
      <c r="B54" s="165" t="s">
        <v>43</v>
      </c>
      <c r="C54" s="58" t="s">
        <v>44</v>
      </c>
      <c r="D54" s="166">
        <f>TONGHOP!F20</f>
        <v>81.77874187</v>
      </c>
      <c r="E54" s="167">
        <v>83.0</v>
      </c>
      <c r="F54" s="168">
        <f>D54/E54*100</f>
        <v>98.52860466</v>
      </c>
      <c r="G54" s="168"/>
      <c r="H54" s="166">
        <f>TONGHOP!J20</f>
        <v>83.77777778</v>
      </c>
      <c r="I54" s="167">
        <v>83.0</v>
      </c>
      <c r="J54" s="168">
        <f>H54/I54*100</f>
        <v>100.9370817</v>
      </c>
      <c r="K54" s="168"/>
      <c r="L54" s="166">
        <f>TONGHOP!N20</f>
        <v>81.91721133</v>
      </c>
      <c r="M54" s="167">
        <v>83.0</v>
      </c>
      <c r="N54" s="168">
        <f>L54/M54*100</f>
        <v>98.69543534</v>
      </c>
      <c r="O54" s="168"/>
      <c r="P54" s="166">
        <f>TONGHOP!R20</f>
        <v>85.61797753</v>
      </c>
      <c r="Q54" s="167">
        <v>83.0</v>
      </c>
      <c r="R54" s="168">
        <f>P54/Q54*100</f>
        <v>103.1541898</v>
      </c>
      <c r="S54" s="168"/>
      <c r="T54" s="166">
        <f>TONGHOP!V20</f>
        <v>85.39325843</v>
      </c>
      <c r="U54" s="167">
        <v>83.0</v>
      </c>
      <c r="V54" s="168">
        <f>T54/U54*100</f>
        <v>102.8834439</v>
      </c>
      <c r="W54" s="168"/>
      <c r="X54" s="166">
        <f>TONGHOP!Z20</f>
        <v>83.82022472</v>
      </c>
      <c r="Y54" s="167">
        <v>83.0</v>
      </c>
      <c r="Z54" s="168">
        <f>X54/Y54*100</f>
        <v>100.9882226</v>
      </c>
      <c r="AA54" s="168"/>
      <c r="AB54" s="166">
        <f>TONGHOP!AD20</f>
        <v>84.02777778</v>
      </c>
      <c r="AC54" s="167">
        <v>83.0</v>
      </c>
      <c r="AD54" s="168">
        <f>AB54/AC54*100</f>
        <v>101.2382865</v>
      </c>
      <c r="AE54" s="168"/>
      <c r="AF54" s="166">
        <f>TONGHOP!AH20</f>
        <v>40.90909091</v>
      </c>
      <c r="AG54" s="167">
        <v>83.0</v>
      </c>
      <c r="AH54" s="168">
        <f>AF54/AG54*100</f>
        <v>49.28806134</v>
      </c>
      <c r="AI54" s="168"/>
      <c r="AJ54" s="166">
        <f>TONGHOP!AL20</f>
        <v>18.75</v>
      </c>
      <c r="AK54" s="167">
        <v>83.0</v>
      </c>
      <c r="AL54" s="168">
        <f>AJ54/AK54*100</f>
        <v>22.59036145</v>
      </c>
      <c r="AM54" s="168"/>
      <c r="AN54" s="166">
        <f>TONGHOP!AP20</f>
        <v>13.33333333</v>
      </c>
      <c r="AO54" s="167">
        <v>83.0</v>
      </c>
      <c r="AP54" s="168">
        <f>AN54/AO54*100</f>
        <v>16.06425703</v>
      </c>
      <c r="AQ54" s="168"/>
      <c r="AR54" s="166">
        <f>TONGHOP!AT20</f>
        <v>13.33333333</v>
      </c>
      <c r="AS54" s="167">
        <v>83.0</v>
      </c>
      <c r="AT54" s="168">
        <f>AR54/AS54*100</f>
        <v>16.06425703</v>
      </c>
      <c r="AU54" s="168"/>
      <c r="AV54" s="166">
        <f>TONGHOP!AX20</f>
        <v>13.33333333</v>
      </c>
      <c r="AW54" s="167">
        <v>83.0</v>
      </c>
      <c r="AX54" s="168">
        <f>AV54/AW54*100</f>
        <v>16.06425703</v>
      </c>
      <c r="AY54" s="168"/>
      <c r="AZ54" s="63"/>
    </row>
    <row r="55">
      <c r="A55" s="169"/>
      <c r="B55" s="154" t="s">
        <v>29</v>
      </c>
      <c r="C55" s="31" t="s">
        <v>28</v>
      </c>
      <c r="D55" s="162">
        <f>TONGHOP!F21</f>
        <v>95</v>
      </c>
      <c r="E55" s="162"/>
      <c r="F55" s="170"/>
      <c r="G55" s="171"/>
      <c r="H55" s="162">
        <f>TONGHOP!J21</f>
        <v>95</v>
      </c>
      <c r="I55" s="162"/>
      <c r="J55" s="170"/>
      <c r="K55" s="171"/>
      <c r="L55" s="162">
        <f>TONGHOP!N21</f>
        <v>95</v>
      </c>
      <c r="M55" s="162"/>
      <c r="N55" s="170"/>
      <c r="O55" s="171"/>
      <c r="P55" s="162">
        <f>TONGHOP!R21</f>
        <v>95</v>
      </c>
      <c r="Q55" s="162"/>
      <c r="R55" s="170"/>
      <c r="S55" s="171"/>
      <c r="T55" s="162">
        <f>TONGHOP!V21</f>
        <v>96</v>
      </c>
      <c r="U55" s="162"/>
      <c r="V55" s="170"/>
      <c r="W55" s="171"/>
      <c r="X55" s="162">
        <f>TONGHOP!Z21</f>
        <v>96</v>
      </c>
      <c r="Y55" s="162"/>
      <c r="Z55" s="170"/>
      <c r="AA55" s="171"/>
      <c r="AB55" s="162">
        <f>TONGHOP!AD21</f>
        <v>96</v>
      </c>
      <c r="AC55" s="162"/>
      <c r="AD55" s="170"/>
      <c r="AE55" s="171"/>
      <c r="AF55" s="162">
        <f>TONGHOP!AH21</f>
        <v>0</v>
      </c>
      <c r="AG55" s="162"/>
      <c r="AH55" s="170"/>
      <c r="AI55" s="171"/>
      <c r="AJ55" s="162">
        <f>TONGHOP!AL21</f>
        <v>0</v>
      </c>
      <c r="AK55" s="162"/>
      <c r="AL55" s="170"/>
      <c r="AM55" s="171"/>
      <c r="AN55" s="162">
        <f>TONGHOP!AP21</f>
        <v>0</v>
      </c>
      <c r="AO55" s="162"/>
      <c r="AP55" s="170"/>
      <c r="AQ55" s="171"/>
      <c r="AR55" s="162">
        <f>TONGHOP!AT21</f>
        <v>0</v>
      </c>
      <c r="AS55" s="162"/>
      <c r="AT55" s="170"/>
      <c r="AU55" s="171"/>
      <c r="AV55" s="162">
        <f>TONGHOP!AX21</f>
        <v>0</v>
      </c>
      <c r="AW55" s="162"/>
      <c r="AX55" s="170"/>
      <c r="AY55" s="171"/>
      <c r="AZ55" s="172"/>
    </row>
    <row r="56">
      <c r="A56" s="173"/>
      <c r="B56" s="165" t="s">
        <v>43</v>
      </c>
      <c r="C56" s="99" t="s">
        <v>44</v>
      </c>
      <c r="D56" s="166">
        <f>TONGHOP!F22</f>
        <v>80.50847458</v>
      </c>
      <c r="E56" s="166"/>
      <c r="F56" s="170"/>
      <c r="G56" s="171"/>
      <c r="H56" s="166">
        <f>TONGHOP!J22</f>
        <v>87.96296296</v>
      </c>
      <c r="I56" s="166"/>
      <c r="J56" s="170"/>
      <c r="K56" s="171"/>
      <c r="L56" s="166">
        <f>TONGHOP!N22</f>
        <v>80.50847458</v>
      </c>
      <c r="M56" s="166"/>
      <c r="N56" s="170"/>
      <c r="O56" s="171"/>
      <c r="P56" s="166">
        <f>TONGHOP!R22</f>
        <v>80.50847458</v>
      </c>
      <c r="Q56" s="166"/>
      <c r="R56" s="170"/>
      <c r="S56" s="171"/>
      <c r="T56" s="166">
        <f>TONGHOP!V22</f>
        <v>81.3559322</v>
      </c>
      <c r="U56" s="166"/>
      <c r="V56" s="170"/>
      <c r="W56" s="171"/>
      <c r="X56" s="166">
        <f>TONGHOP!Z22</f>
        <v>81.3559322</v>
      </c>
      <c r="Y56" s="166"/>
      <c r="Z56" s="170"/>
      <c r="AA56" s="171"/>
      <c r="AB56" s="166">
        <f>TONGHOP!AD22</f>
        <v>81.3559322</v>
      </c>
      <c r="AC56" s="166"/>
      <c r="AD56" s="170"/>
      <c r="AE56" s="171"/>
      <c r="AF56" s="166">
        <f>TONGHOP!AH22</f>
        <v>0</v>
      </c>
      <c r="AG56" s="166"/>
      <c r="AH56" s="170"/>
      <c r="AI56" s="171"/>
      <c r="AJ56" s="166">
        <f>TONGHOP!AL22</f>
        <v>0</v>
      </c>
      <c r="AK56" s="166"/>
      <c r="AL56" s="170"/>
      <c r="AM56" s="171"/>
      <c r="AN56" s="166">
        <f>TONGHOP!AP22</f>
        <v>0</v>
      </c>
      <c r="AO56" s="166"/>
      <c r="AP56" s="170"/>
      <c r="AQ56" s="171"/>
      <c r="AR56" s="166">
        <f>TONGHOP!AT22</f>
        <v>0</v>
      </c>
      <c r="AS56" s="166"/>
      <c r="AT56" s="170"/>
      <c r="AU56" s="171"/>
      <c r="AV56" s="166">
        <f>TONGHOP!AX22</f>
        <v>0</v>
      </c>
      <c r="AW56" s="166"/>
      <c r="AX56" s="170"/>
      <c r="AY56" s="171"/>
      <c r="AZ56" s="174"/>
    </row>
    <row r="57">
      <c r="A57" s="169"/>
      <c r="B57" s="154" t="s">
        <v>31</v>
      </c>
      <c r="C57" s="31" t="s">
        <v>28</v>
      </c>
      <c r="D57" s="162">
        <f>TONGHOP!F23</f>
        <v>169</v>
      </c>
      <c r="E57" s="162"/>
      <c r="F57" s="170"/>
      <c r="G57" s="171"/>
      <c r="H57" s="162">
        <f>TONGHOP!J23</f>
        <v>168</v>
      </c>
      <c r="I57" s="162"/>
      <c r="J57" s="170"/>
      <c r="K57" s="171"/>
      <c r="L57" s="162">
        <f>TONGHOP!N23</f>
        <v>169</v>
      </c>
      <c r="M57" s="162"/>
      <c r="N57" s="170"/>
      <c r="O57" s="171"/>
      <c r="P57" s="162">
        <f>TONGHOP!R23</f>
        <v>170</v>
      </c>
      <c r="Q57" s="162"/>
      <c r="R57" s="170"/>
      <c r="S57" s="171"/>
      <c r="T57" s="162">
        <f>TONGHOP!V23</f>
        <v>169</v>
      </c>
      <c r="U57" s="162"/>
      <c r="V57" s="170"/>
      <c r="W57" s="171"/>
      <c r="X57" s="162">
        <f>TONGHOP!Z23</f>
        <v>169</v>
      </c>
      <c r="Y57" s="162"/>
      <c r="Z57" s="170"/>
      <c r="AA57" s="171"/>
      <c r="AB57" s="162">
        <f>TONGHOP!AD23</f>
        <v>159</v>
      </c>
      <c r="AC57" s="162"/>
      <c r="AD57" s="170"/>
      <c r="AE57" s="171"/>
      <c r="AF57" s="162">
        <f>TONGHOP!AH23</f>
        <v>0</v>
      </c>
      <c r="AG57" s="162"/>
      <c r="AH57" s="170"/>
      <c r="AI57" s="171"/>
      <c r="AJ57" s="162">
        <f>TONGHOP!AL23</f>
        <v>0</v>
      </c>
      <c r="AK57" s="162"/>
      <c r="AL57" s="170"/>
      <c r="AM57" s="171"/>
      <c r="AN57" s="162">
        <f>TONGHOP!AP23</f>
        <v>0</v>
      </c>
      <c r="AO57" s="162"/>
      <c r="AP57" s="170"/>
      <c r="AQ57" s="171"/>
      <c r="AR57" s="162">
        <f>TONGHOP!AT23</f>
        <v>0</v>
      </c>
      <c r="AS57" s="162"/>
      <c r="AT57" s="170"/>
      <c r="AU57" s="171"/>
      <c r="AV57" s="162">
        <f>TONGHOP!AX23</f>
        <v>0</v>
      </c>
      <c r="AW57" s="162"/>
      <c r="AX57" s="170"/>
      <c r="AY57" s="171"/>
      <c r="AZ57" s="172"/>
    </row>
    <row r="58">
      <c r="A58" s="173"/>
      <c r="B58" s="165" t="s">
        <v>43</v>
      </c>
      <c r="C58" s="99" t="s">
        <v>44</v>
      </c>
      <c r="D58" s="166">
        <f>TONGHOP!F24</f>
        <v>85.35353535</v>
      </c>
      <c r="E58" s="166"/>
      <c r="F58" s="170"/>
      <c r="G58" s="171"/>
      <c r="H58" s="166">
        <f>TONGHOP!J24</f>
        <v>85.27918782</v>
      </c>
      <c r="I58" s="166"/>
      <c r="J58" s="170"/>
      <c r="K58" s="171"/>
      <c r="L58" s="166">
        <f>TONGHOP!N24</f>
        <v>86.2244898</v>
      </c>
      <c r="M58" s="166"/>
      <c r="N58" s="170"/>
      <c r="O58" s="171"/>
      <c r="P58" s="166">
        <f>TONGHOP!R24</f>
        <v>93.40659341</v>
      </c>
      <c r="Q58" s="166"/>
      <c r="R58" s="170"/>
      <c r="S58" s="171"/>
      <c r="T58" s="166">
        <f>TONGHOP!V24</f>
        <v>92.85714286</v>
      </c>
      <c r="U58" s="166"/>
      <c r="V58" s="170"/>
      <c r="W58" s="171"/>
      <c r="X58" s="166">
        <f>TONGHOP!Z24</f>
        <v>92.85714286</v>
      </c>
      <c r="Y58" s="166"/>
      <c r="Z58" s="170"/>
      <c r="AA58" s="171"/>
      <c r="AB58" s="166">
        <f>TONGHOP!AD24</f>
        <v>94.08284024</v>
      </c>
      <c r="AC58" s="166"/>
      <c r="AD58" s="170"/>
      <c r="AE58" s="171"/>
      <c r="AF58" s="166">
        <f>TONGHOP!AH24</f>
        <v>0</v>
      </c>
      <c r="AG58" s="166"/>
      <c r="AH58" s="170"/>
      <c r="AI58" s="171"/>
      <c r="AJ58" s="166">
        <f>TONGHOP!AL24</f>
        <v>0</v>
      </c>
      <c r="AK58" s="166"/>
      <c r="AL58" s="170"/>
      <c r="AM58" s="171"/>
      <c r="AN58" s="166">
        <f>TONGHOP!AP24</f>
        <v>0</v>
      </c>
      <c r="AO58" s="166"/>
      <c r="AP58" s="170"/>
      <c r="AQ58" s="171"/>
      <c r="AR58" s="166">
        <f>TONGHOP!AT24</f>
        <v>0</v>
      </c>
      <c r="AS58" s="166"/>
      <c r="AT58" s="170"/>
      <c r="AU58" s="171"/>
      <c r="AV58" s="166">
        <f>TONGHOP!AX24</f>
        <v>0</v>
      </c>
      <c r="AW58" s="166"/>
      <c r="AX58" s="170"/>
      <c r="AY58" s="171"/>
      <c r="AZ58" s="174"/>
    </row>
    <row r="59">
      <c r="A59" s="175"/>
      <c r="B59" s="154" t="s">
        <v>33</v>
      </c>
      <c r="C59" s="31" t="s">
        <v>28</v>
      </c>
      <c r="D59" s="162">
        <f>TONGHOP!F25</f>
        <v>85</v>
      </c>
      <c r="E59" s="162"/>
      <c r="F59" s="170"/>
      <c r="G59" s="171"/>
      <c r="H59" s="162">
        <f>TONGHOP!J25</f>
        <v>86</v>
      </c>
      <c r="I59" s="162"/>
      <c r="J59" s="170"/>
      <c r="K59" s="171"/>
      <c r="L59" s="162">
        <f>TONGHOP!N25</f>
        <v>84</v>
      </c>
      <c r="M59" s="162"/>
      <c r="N59" s="170"/>
      <c r="O59" s="171"/>
      <c r="P59" s="162">
        <f>TONGHOP!R25</f>
        <v>88</v>
      </c>
      <c r="Q59" s="162"/>
      <c r="R59" s="170"/>
      <c r="S59" s="171"/>
      <c r="T59" s="162">
        <f>TONGHOP!V25</f>
        <v>88</v>
      </c>
      <c r="U59" s="162"/>
      <c r="V59" s="170"/>
      <c r="W59" s="171"/>
      <c r="X59" s="162">
        <f>TONGHOP!Z25</f>
        <v>82</v>
      </c>
      <c r="Y59" s="162"/>
      <c r="Z59" s="170"/>
      <c r="AA59" s="171"/>
      <c r="AB59" s="162">
        <f>TONGHOP!AD25</f>
        <v>82</v>
      </c>
      <c r="AC59" s="162"/>
      <c r="AD59" s="170"/>
      <c r="AE59" s="171"/>
      <c r="AF59" s="162">
        <f>TONGHOP!AH25</f>
        <v>1</v>
      </c>
      <c r="AG59" s="162"/>
      <c r="AH59" s="170"/>
      <c r="AI59" s="171"/>
      <c r="AJ59" s="162">
        <f>TONGHOP!AL25</f>
        <v>0</v>
      </c>
      <c r="AK59" s="162"/>
      <c r="AL59" s="170"/>
      <c r="AM59" s="171"/>
      <c r="AN59" s="162">
        <f>TONGHOP!AP25</f>
        <v>0</v>
      </c>
      <c r="AO59" s="162"/>
      <c r="AP59" s="170"/>
      <c r="AQ59" s="171"/>
      <c r="AR59" s="162">
        <f>TONGHOP!AT25</f>
        <v>0</v>
      </c>
      <c r="AS59" s="162"/>
      <c r="AT59" s="170"/>
      <c r="AU59" s="171"/>
      <c r="AV59" s="162">
        <f>TONGHOP!AX25</f>
        <v>0</v>
      </c>
      <c r="AW59" s="162"/>
      <c r="AX59" s="170"/>
      <c r="AY59" s="171"/>
      <c r="AZ59" s="175"/>
    </row>
    <row r="60">
      <c r="A60" s="176"/>
      <c r="B60" s="165" t="s">
        <v>43</v>
      </c>
      <c r="C60" s="99" t="s">
        <v>44</v>
      </c>
      <c r="D60" s="166">
        <f>TONGHOP!F26</f>
        <v>80.18867925</v>
      </c>
      <c r="E60" s="166"/>
      <c r="F60" s="170"/>
      <c r="G60" s="171"/>
      <c r="H60" s="166">
        <f>TONGHOP!J26</f>
        <v>81.13207547</v>
      </c>
      <c r="I60" s="166"/>
      <c r="J60" s="170"/>
      <c r="K60" s="171"/>
      <c r="L60" s="166">
        <f>TONGHOP!N26</f>
        <v>79.24528302</v>
      </c>
      <c r="M60" s="166"/>
      <c r="N60" s="170"/>
      <c r="O60" s="171"/>
      <c r="P60" s="166">
        <f>TONGHOP!R26</f>
        <v>83.01886792</v>
      </c>
      <c r="Q60" s="166"/>
      <c r="R60" s="170"/>
      <c r="S60" s="171"/>
      <c r="T60" s="166">
        <f>TONGHOP!V26</f>
        <v>83.01886792</v>
      </c>
      <c r="U60" s="166"/>
      <c r="V60" s="170"/>
      <c r="W60" s="171"/>
      <c r="X60" s="166">
        <f>TONGHOP!Z26</f>
        <v>77.35849057</v>
      </c>
      <c r="Y60" s="166"/>
      <c r="Z60" s="170"/>
      <c r="AA60" s="171"/>
      <c r="AB60" s="166">
        <f>TONGHOP!AD26</f>
        <v>77.35849057</v>
      </c>
      <c r="AC60" s="166"/>
      <c r="AD60" s="170"/>
      <c r="AE60" s="171"/>
      <c r="AF60" s="166">
        <f>TONGHOP!AH26</f>
        <v>100</v>
      </c>
      <c r="AG60" s="166"/>
      <c r="AH60" s="170"/>
      <c r="AI60" s="171"/>
      <c r="AJ60" s="166">
        <f>TONGHOP!AL26</f>
        <v>0</v>
      </c>
      <c r="AK60" s="166"/>
      <c r="AL60" s="170"/>
      <c r="AM60" s="171"/>
      <c r="AN60" s="166">
        <f>TONGHOP!AP26</f>
        <v>0</v>
      </c>
      <c r="AO60" s="166"/>
      <c r="AP60" s="170"/>
      <c r="AQ60" s="171"/>
      <c r="AR60" s="166">
        <f>TONGHOP!AT26</f>
        <v>0</v>
      </c>
      <c r="AS60" s="166"/>
      <c r="AT60" s="170"/>
      <c r="AU60" s="171"/>
      <c r="AV60" s="166">
        <f>TONGHOP!AX26</f>
        <v>0</v>
      </c>
      <c r="AW60" s="166"/>
      <c r="AX60" s="170"/>
      <c r="AY60" s="171"/>
      <c r="AZ60" s="176"/>
    </row>
    <row r="61">
      <c r="A61" s="177"/>
      <c r="B61" s="142" t="s">
        <v>35</v>
      </c>
      <c r="C61" s="31" t="s">
        <v>28</v>
      </c>
      <c r="D61" s="162">
        <f>TONGHOP!F27</f>
        <v>28</v>
      </c>
      <c r="E61" s="162"/>
      <c r="F61" s="170"/>
      <c r="G61" s="171"/>
      <c r="H61" s="162">
        <f>TONGHOP!J27</f>
        <v>28</v>
      </c>
      <c r="I61" s="162"/>
      <c r="J61" s="170"/>
      <c r="K61" s="171"/>
      <c r="L61" s="162">
        <f>TONGHOP!N27</f>
        <v>28</v>
      </c>
      <c r="M61" s="162"/>
      <c r="N61" s="170"/>
      <c r="O61" s="171"/>
      <c r="P61" s="162">
        <f>TONGHOP!R27</f>
        <v>28</v>
      </c>
      <c r="Q61" s="162"/>
      <c r="R61" s="170"/>
      <c r="S61" s="171"/>
      <c r="T61" s="162">
        <f>TONGHOP!V27</f>
        <v>27</v>
      </c>
      <c r="U61" s="162"/>
      <c r="V61" s="170"/>
      <c r="W61" s="171"/>
      <c r="X61" s="162">
        <f>TONGHOP!Z27</f>
        <v>26</v>
      </c>
      <c r="Y61" s="162"/>
      <c r="Z61" s="170"/>
      <c r="AA61" s="171"/>
      <c r="AB61" s="162">
        <f>TONGHOP!AD27</f>
        <v>26</v>
      </c>
      <c r="AC61" s="162"/>
      <c r="AD61" s="170"/>
      <c r="AE61" s="171"/>
      <c r="AF61" s="162">
        <f>TONGHOP!AH27</f>
        <v>8</v>
      </c>
      <c r="AG61" s="162"/>
      <c r="AH61" s="170"/>
      <c r="AI61" s="171"/>
      <c r="AJ61" s="162">
        <f>TONGHOP!AL27</f>
        <v>3</v>
      </c>
      <c r="AK61" s="162"/>
      <c r="AL61" s="170"/>
      <c r="AM61" s="171"/>
      <c r="AN61" s="162">
        <f>TONGHOP!AP27</f>
        <v>2</v>
      </c>
      <c r="AO61" s="162"/>
      <c r="AP61" s="170"/>
      <c r="AQ61" s="171"/>
      <c r="AR61" s="162">
        <f>TONGHOP!AT27</f>
        <v>2</v>
      </c>
      <c r="AS61" s="162"/>
      <c r="AT61" s="170"/>
      <c r="AU61" s="171"/>
      <c r="AV61" s="162">
        <f>TONGHOP!AX27</f>
        <v>2</v>
      </c>
      <c r="AW61" s="162"/>
      <c r="AX61" s="170"/>
      <c r="AY61" s="171"/>
      <c r="AZ61" s="177"/>
    </row>
    <row r="62">
      <c r="A62" s="176"/>
      <c r="B62" s="178" t="s">
        <v>43</v>
      </c>
      <c r="C62" s="179" t="s">
        <v>44</v>
      </c>
      <c r="D62" s="180">
        <f>TONGHOP!F28</f>
        <v>71.79487179</v>
      </c>
      <c r="E62" s="180"/>
      <c r="F62" s="181"/>
      <c r="G62" s="182"/>
      <c r="H62" s="180">
        <f>TONGHOP!J28</f>
        <v>71.79487179</v>
      </c>
      <c r="I62" s="180"/>
      <c r="J62" s="181"/>
      <c r="K62" s="182"/>
      <c r="L62" s="180">
        <f>TONGHOP!N28</f>
        <v>71.79487179</v>
      </c>
      <c r="M62" s="180"/>
      <c r="N62" s="181"/>
      <c r="O62" s="182"/>
      <c r="P62" s="180">
        <f>TONGHOP!R28</f>
        <v>71.79487179</v>
      </c>
      <c r="Q62" s="180"/>
      <c r="R62" s="181"/>
      <c r="S62" s="182"/>
      <c r="T62" s="180">
        <f>TONGHOP!V28</f>
        <v>69.23076923</v>
      </c>
      <c r="U62" s="180"/>
      <c r="V62" s="181"/>
      <c r="W62" s="182"/>
      <c r="X62" s="180">
        <f>TONGHOP!Z28</f>
        <v>66.66666667</v>
      </c>
      <c r="Y62" s="180"/>
      <c r="Z62" s="181"/>
      <c r="AA62" s="182"/>
      <c r="AB62" s="180">
        <f>TONGHOP!AD28</f>
        <v>66.66666667</v>
      </c>
      <c r="AC62" s="180"/>
      <c r="AD62" s="181"/>
      <c r="AE62" s="182"/>
      <c r="AF62" s="180">
        <f>TONGHOP!AH28</f>
        <v>38.0952381</v>
      </c>
      <c r="AG62" s="180"/>
      <c r="AH62" s="181"/>
      <c r="AI62" s="182"/>
      <c r="AJ62" s="180">
        <f>TONGHOP!AL28</f>
        <v>18.75</v>
      </c>
      <c r="AK62" s="180"/>
      <c r="AL62" s="181"/>
      <c r="AM62" s="182"/>
      <c r="AN62" s="180">
        <f>TONGHOP!AP28</f>
        <v>13.33333333</v>
      </c>
      <c r="AO62" s="180"/>
      <c r="AP62" s="181"/>
      <c r="AQ62" s="182"/>
      <c r="AR62" s="180">
        <f>TONGHOP!AT28</f>
        <v>13.33333333</v>
      </c>
      <c r="AS62" s="180"/>
      <c r="AT62" s="181"/>
      <c r="AU62" s="182"/>
      <c r="AV62" s="180">
        <f>TONGHOP!AX28</f>
        <v>13.33333333</v>
      </c>
      <c r="AW62" s="180"/>
      <c r="AX62" s="181"/>
      <c r="AY62" s="182"/>
      <c r="AZ62" s="176"/>
    </row>
  </sheetData>
  <mergeCells count="51">
    <mergeCell ref="AH1:AI1"/>
    <mergeCell ref="AL1:AM1"/>
    <mergeCell ref="AP1:AQ1"/>
    <mergeCell ref="AT1:AU1"/>
    <mergeCell ref="AX1:AY1"/>
    <mergeCell ref="F1:G1"/>
    <mergeCell ref="J1:K1"/>
    <mergeCell ref="N1:O1"/>
    <mergeCell ref="R1:S1"/>
    <mergeCell ref="V1:W1"/>
    <mergeCell ref="Z1:AA1"/>
    <mergeCell ref="AD1:AE1"/>
    <mergeCell ref="AB2:AE2"/>
    <mergeCell ref="AF2:AI2"/>
    <mergeCell ref="AJ2:AM2"/>
    <mergeCell ref="AN2:AQ2"/>
    <mergeCell ref="AR2:AU2"/>
    <mergeCell ref="AV2:AY2"/>
    <mergeCell ref="B2:C2"/>
    <mergeCell ref="D2:G2"/>
    <mergeCell ref="H2:K2"/>
    <mergeCell ref="L2:O2"/>
    <mergeCell ref="P2:S2"/>
    <mergeCell ref="T2:W2"/>
    <mergeCell ref="X2:AA2"/>
    <mergeCell ref="B3:B4"/>
    <mergeCell ref="C3:C4"/>
    <mergeCell ref="D3:D4"/>
    <mergeCell ref="E3:G3"/>
    <mergeCell ref="H3:H4"/>
    <mergeCell ref="I3:K3"/>
    <mergeCell ref="L3:L4"/>
    <mergeCell ref="Y3:AA3"/>
    <mergeCell ref="AC3:AE3"/>
    <mergeCell ref="AG3:AI3"/>
    <mergeCell ref="AK3:AM3"/>
    <mergeCell ref="AO3:AQ3"/>
    <mergeCell ref="AS3:AU3"/>
    <mergeCell ref="AW3:AY3"/>
    <mergeCell ref="AF3:AF4"/>
    <mergeCell ref="AJ3:AJ4"/>
    <mergeCell ref="AN3:AN4"/>
    <mergeCell ref="AR3:AR4"/>
    <mergeCell ref="AV3:AV4"/>
    <mergeCell ref="M3:O3"/>
    <mergeCell ref="P3:P4"/>
    <mergeCell ref="Q3:S3"/>
    <mergeCell ref="T3:T4"/>
    <mergeCell ref="U3:W3"/>
    <mergeCell ref="X3:X4"/>
    <mergeCell ref="AB3:AB4"/>
  </mergeCells>
  <printOptions/>
  <pageMargins bottom="0.75" footer="0.0" header="0.0" left="0.7" right="0.7" top="0.75"/>
  <pageSetup paperSize="9" orientation="portrait"/>
  <drawing r:id="rId2"/>
  <legacyDrawing r:id="rId3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pageSetUpPr/>
  </sheetPr>
  <sheetViews>
    <sheetView showGridLines="0" workbookViewId="0">
      <pane xSplit="4.0" ySplit="6.0" topLeftCell="E7" activePane="bottomRight" state="frozen"/>
      <selection activeCell="E1" sqref="E1" pane="topRight"/>
      <selection activeCell="A7" sqref="A7" pane="bottomLeft"/>
      <selection activeCell="E7" sqref="E7" pane="bottomRight"/>
    </sheetView>
  </sheetViews>
  <sheetFormatPr customHeight="1" defaultColWidth="12.63" defaultRowHeight="15.0"/>
  <cols>
    <col customWidth="1" min="1" max="1" width="0.38"/>
    <col customWidth="1" min="2" max="2" width="28.88"/>
    <col customWidth="1" min="3" max="3" width="6.75"/>
    <col customWidth="1" min="4" max="4" width="8.0"/>
    <col customWidth="1" min="5" max="5" width="7.0"/>
    <col customWidth="1" min="6" max="6" width="6.88"/>
    <col customWidth="1" min="7" max="7" width="6.0"/>
    <col customWidth="1" min="8" max="8" width="6.13"/>
    <col customWidth="1" min="9" max="9" width="7.0"/>
    <col customWidth="1" min="10" max="10" width="6.88"/>
    <col customWidth="1" min="11" max="11" width="6.0"/>
    <col customWidth="1" min="12" max="12" width="6.13"/>
    <col customWidth="1" min="13" max="13" width="7.0"/>
    <col customWidth="1" min="14" max="14" width="6.88"/>
    <col customWidth="1" min="15" max="15" width="6.0"/>
    <col customWidth="1" min="16" max="16" width="6.13"/>
    <col customWidth="1" min="17" max="17" width="7.0"/>
    <col customWidth="1" min="18" max="18" width="6.88"/>
    <col customWidth="1" min="19" max="19" width="6.0"/>
    <col customWidth="1" min="20" max="20" width="6.13"/>
    <col customWidth="1" min="21" max="21" width="7.0"/>
    <col customWidth="1" min="22" max="22" width="6.88"/>
    <col customWidth="1" min="23" max="23" width="6.0"/>
    <col customWidth="1" min="24" max="24" width="6.13"/>
    <col customWidth="1" min="25" max="25" width="7.0"/>
    <col customWidth="1" min="26" max="26" width="6.88"/>
    <col customWidth="1" min="27" max="27" width="6.0"/>
    <col customWidth="1" min="28" max="28" width="6.13"/>
    <col customWidth="1" min="29" max="29" width="7.0"/>
    <col customWidth="1" min="30" max="30" width="6.88"/>
    <col customWidth="1" min="31" max="31" width="6.0"/>
    <col customWidth="1" min="32" max="32" width="6.13"/>
    <col customWidth="1" min="33" max="33" width="7.0"/>
    <col customWidth="1" min="34" max="34" width="6.88"/>
    <col customWidth="1" min="35" max="35" width="6.0"/>
    <col customWidth="1" min="36" max="36" width="6.13"/>
    <col customWidth="1" min="37" max="37" width="7.0"/>
    <col customWidth="1" min="38" max="38" width="6.88"/>
    <col customWidth="1" min="39" max="39" width="6.0"/>
    <col customWidth="1" min="40" max="40" width="6.13"/>
    <col customWidth="1" min="41" max="41" width="7.0"/>
    <col customWidth="1" min="42" max="42" width="6.88"/>
    <col customWidth="1" min="43" max="43" width="6.0"/>
    <col customWidth="1" min="44" max="44" width="6.13"/>
    <col customWidth="1" min="45" max="45" width="7.0"/>
    <col customWidth="1" min="46" max="46" width="6.88"/>
    <col customWidth="1" min="47" max="47" width="6.0"/>
    <col customWidth="1" min="48" max="48" width="6.13"/>
    <col customWidth="1" min="49" max="49" width="7.0"/>
    <col customWidth="1" min="50" max="50" width="6.88"/>
    <col customWidth="1" min="51" max="51" width="6.0"/>
    <col customWidth="1" min="52" max="52" width="6.13"/>
    <col customWidth="1" min="53" max="53" width="0.38"/>
  </cols>
  <sheetData>
    <row r="1">
      <c r="A1" s="183"/>
      <c r="B1" s="184" t="s">
        <v>159</v>
      </c>
      <c r="C1" s="185"/>
      <c r="D1" s="185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</row>
    <row r="2" ht="15.0" hidden="1" customHeight="1">
      <c r="A2" s="186" t="str">
        <f>IFERROR(__xludf.DUMMYFUNCTION("IMPORTRANGE(""https://docs.google.com/spreadsheets/d/1fTukpROnC5WsYiMqgw0l2v6HYuMYT4P9iYWcgU7qCBs/edit#gid=929121334"",""TONG!A1:AZ79"")"),"")</f>
        <v/>
      </c>
      <c r="B2" s="187"/>
      <c r="C2" s="188"/>
      <c r="D2" s="5"/>
      <c r="E2" s="189" t="str">
        <f>IFERROR(__xludf.DUMMYFUNCTION("""COMPUTED_VALUE"""),"* Lưu ý: chỉ nhập số liệu vào các ô tô MÀU VÀNG")</f>
        <v>* Lưu ý: chỉ nhập số liệu vào các ô tô MÀU VÀNG</v>
      </c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1"/>
      <c r="BA2" s="186"/>
    </row>
    <row r="3" ht="18.75" customHeight="1">
      <c r="A3" s="6"/>
      <c r="B3" s="192" t="str">
        <f>IFERROR(__xludf.DUMMYFUNCTION("""COMPUTED_VALUE"""),"BIỂU THỐNG KÊ SỐ LIỆU MẦM NON")</f>
        <v>BIỂU THỐNG KÊ SỐ LIỆU MẦM NON</v>
      </c>
      <c r="C3" s="8"/>
      <c r="D3" s="9"/>
      <c r="E3" s="11" t="str">
        <f>IFERROR(__xludf.DUMMYFUNCTION("""COMPUTED_VALUE"""),"Kỳ tháng 10/2023")</f>
        <v>Kỳ tháng 10/2023</v>
      </c>
      <c r="F3" s="8"/>
      <c r="G3" s="8"/>
      <c r="H3" s="9"/>
      <c r="I3" s="11" t="str">
        <f>IFERROR(__xludf.DUMMYFUNCTION("""COMPUTED_VALUE"""),"Kỳ tháng 11/2023")</f>
        <v>Kỳ tháng 11/2023</v>
      </c>
      <c r="J3" s="8"/>
      <c r="K3" s="8"/>
      <c r="L3" s="9"/>
      <c r="M3" s="11" t="str">
        <f>IFERROR(__xludf.DUMMYFUNCTION("""COMPUTED_VALUE"""),"Kỳ tháng 12/2023")</f>
        <v>Kỳ tháng 12/2023</v>
      </c>
      <c r="N3" s="8"/>
      <c r="O3" s="8"/>
      <c r="P3" s="9"/>
      <c r="Q3" s="12" t="str">
        <f>IFERROR(__xludf.DUMMYFUNCTION("""COMPUTED_VALUE"""),"Kỳ tháng 1/2024")</f>
        <v>Kỳ tháng 1/2024</v>
      </c>
      <c r="R3" s="8"/>
      <c r="S3" s="8"/>
      <c r="T3" s="9"/>
      <c r="U3" s="12" t="str">
        <f>IFERROR(__xludf.DUMMYFUNCTION("""COMPUTED_VALUE"""),"Kỳ tháng 2/2024")</f>
        <v>Kỳ tháng 2/2024</v>
      </c>
      <c r="V3" s="8"/>
      <c r="W3" s="8"/>
      <c r="X3" s="9"/>
      <c r="Y3" s="12" t="str">
        <f>IFERROR(__xludf.DUMMYFUNCTION("""COMPUTED_VALUE"""),"Kỳ tháng 3/2024")</f>
        <v>Kỳ tháng 3/2024</v>
      </c>
      <c r="Z3" s="8"/>
      <c r="AA3" s="8"/>
      <c r="AB3" s="9"/>
      <c r="AC3" s="193" t="str">
        <f>IFERROR(__xludf.DUMMYFUNCTION("""COMPUTED_VALUE"""),"Kỳ tháng 4/2024")</f>
        <v>Kỳ tháng 4/2024</v>
      </c>
      <c r="AD3" s="8"/>
      <c r="AE3" s="8"/>
      <c r="AF3" s="9"/>
      <c r="AG3" s="193" t="str">
        <f>IFERROR(__xludf.DUMMYFUNCTION("""COMPUTED_VALUE"""),"Kỳ tháng 5/2024")</f>
        <v>Kỳ tháng 5/2024</v>
      </c>
      <c r="AH3" s="8"/>
      <c r="AI3" s="8"/>
      <c r="AJ3" s="9"/>
      <c r="AK3" s="193" t="str">
        <f>IFERROR(__xludf.DUMMYFUNCTION("""COMPUTED_VALUE"""),"Kỳ tháng 6/2024")</f>
        <v>Kỳ tháng 6/2024</v>
      </c>
      <c r="AL3" s="8"/>
      <c r="AM3" s="8"/>
      <c r="AN3" s="9"/>
      <c r="AO3" s="14" t="str">
        <f>IFERROR(__xludf.DUMMYFUNCTION("""COMPUTED_VALUE"""),"Kỳ tháng 7/2024")</f>
        <v>Kỳ tháng 7/2024</v>
      </c>
      <c r="AP3" s="8"/>
      <c r="AQ3" s="8"/>
      <c r="AR3" s="9"/>
      <c r="AS3" s="14" t="str">
        <f>IFERROR(__xludf.DUMMYFUNCTION("""COMPUTED_VALUE"""),"Kỳ tháng 8/2024")</f>
        <v>Kỳ tháng 8/2024</v>
      </c>
      <c r="AT3" s="8"/>
      <c r="AU3" s="8"/>
      <c r="AV3" s="9"/>
      <c r="AW3" s="14" t="str">
        <f>IFERROR(__xludf.DUMMYFUNCTION("""COMPUTED_VALUE"""),"Kỳ tháng 9/2024")</f>
        <v>Kỳ tháng 9/2024</v>
      </c>
      <c r="AX3" s="8"/>
      <c r="AY3" s="8"/>
      <c r="AZ3" s="15"/>
      <c r="BA3" s="194"/>
    </row>
    <row r="4" ht="14.25" customHeight="1">
      <c r="A4" s="6"/>
      <c r="B4" s="17" t="str">
        <f>IFERROR(__xludf.DUMMYFUNCTION("""COMPUTED_VALUE"""),"TOÀN TỈNH")</f>
        <v>TOÀN TỈNH</v>
      </c>
      <c r="C4" s="18" t="str">
        <f>IFERROR(__xludf.DUMMYFUNCTION("""COMPUTED_VALUE"""),"Tần suất
báo cáo")</f>
        <v>Tần suất
báo cáo</v>
      </c>
      <c r="D4" s="18" t="str">
        <f>IFERROR(__xludf.DUMMYFUNCTION("""COMPUTED_VALUE"""),"Đơn vị
tính")</f>
        <v>Đơn vị
tính</v>
      </c>
      <c r="E4" s="19" t="str">
        <f>IFERROR(__xludf.DUMMYFUNCTION("""COMPUTED_VALUE"""),"Tổng số")</f>
        <v>Tổng số</v>
      </c>
      <c r="F4" s="20" t="str">
        <f>IFERROR(__xludf.DUMMYFUNCTION("""COMPUTED_VALUE"""),"Trong đó")</f>
        <v>Trong đó</v>
      </c>
      <c r="G4" s="21"/>
      <c r="H4" s="22"/>
      <c r="I4" s="19" t="str">
        <f>IFERROR(__xludf.DUMMYFUNCTION("""COMPUTED_VALUE"""),"Tổng số")</f>
        <v>Tổng số</v>
      </c>
      <c r="J4" s="20" t="str">
        <f>IFERROR(__xludf.DUMMYFUNCTION("""COMPUTED_VALUE"""),"Trong đó")</f>
        <v>Trong đó</v>
      </c>
      <c r="K4" s="21"/>
      <c r="L4" s="22"/>
      <c r="M4" s="19" t="str">
        <f>IFERROR(__xludf.DUMMYFUNCTION("""COMPUTED_VALUE"""),"Tổng số")</f>
        <v>Tổng số</v>
      </c>
      <c r="N4" s="20" t="str">
        <f>IFERROR(__xludf.DUMMYFUNCTION("""COMPUTED_VALUE"""),"Trong đó")</f>
        <v>Trong đó</v>
      </c>
      <c r="O4" s="21"/>
      <c r="P4" s="22"/>
      <c r="Q4" s="19" t="str">
        <f>IFERROR(__xludf.DUMMYFUNCTION("""COMPUTED_VALUE"""),"Tổng số")</f>
        <v>Tổng số</v>
      </c>
      <c r="R4" s="20" t="str">
        <f>IFERROR(__xludf.DUMMYFUNCTION("""COMPUTED_VALUE"""),"Trong đó")</f>
        <v>Trong đó</v>
      </c>
      <c r="S4" s="21"/>
      <c r="T4" s="22"/>
      <c r="U4" s="19" t="str">
        <f>IFERROR(__xludf.DUMMYFUNCTION("""COMPUTED_VALUE"""),"Tổng số")</f>
        <v>Tổng số</v>
      </c>
      <c r="V4" s="20" t="str">
        <f>IFERROR(__xludf.DUMMYFUNCTION("""COMPUTED_VALUE"""),"Trong đó")</f>
        <v>Trong đó</v>
      </c>
      <c r="W4" s="21"/>
      <c r="X4" s="22"/>
      <c r="Y4" s="19" t="str">
        <f>IFERROR(__xludf.DUMMYFUNCTION("""COMPUTED_VALUE"""),"Tổng số")</f>
        <v>Tổng số</v>
      </c>
      <c r="Z4" s="20" t="str">
        <f>IFERROR(__xludf.DUMMYFUNCTION("""COMPUTED_VALUE"""),"Trong đó")</f>
        <v>Trong đó</v>
      </c>
      <c r="AA4" s="21"/>
      <c r="AB4" s="22"/>
      <c r="AC4" s="19" t="str">
        <f>IFERROR(__xludf.DUMMYFUNCTION("""COMPUTED_VALUE"""),"Tổng số")</f>
        <v>Tổng số</v>
      </c>
      <c r="AD4" s="20" t="str">
        <f>IFERROR(__xludf.DUMMYFUNCTION("""COMPUTED_VALUE"""),"Trong đó")</f>
        <v>Trong đó</v>
      </c>
      <c r="AE4" s="21"/>
      <c r="AF4" s="22"/>
      <c r="AG4" s="19" t="str">
        <f>IFERROR(__xludf.DUMMYFUNCTION("""COMPUTED_VALUE"""),"Tổng số")</f>
        <v>Tổng số</v>
      </c>
      <c r="AH4" s="20" t="str">
        <f>IFERROR(__xludf.DUMMYFUNCTION("""COMPUTED_VALUE"""),"Trong đó")</f>
        <v>Trong đó</v>
      </c>
      <c r="AI4" s="21"/>
      <c r="AJ4" s="22"/>
      <c r="AK4" s="19" t="str">
        <f>IFERROR(__xludf.DUMMYFUNCTION("""COMPUTED_VALUE"""),"Tổng số")</f>
        <v>Tổng số</v>
      </c>
      <c r="AL4" s="20" t="str">
        <f>IFERROR(__xludf.DUMMYFUNCTION("""COMPUTED_VALUE"""),"Trong đó")</f>
        <v>Trong đó</v>
      </c>
      <c r="AM4" s="21"/>
      <c r="AN4" s="22"/>
      <c r="AO4" s="19" t="str">
        <f>IFERROR(__xludf.DUMMYFUNCTION("""COMPUTED_VALUE"""),"Tổng số")</f>
        <v>Tổng số</v>
      </c>
      <c r="AP4" s="20" t="str">
        <f>IFERROR(__xludf.DUMMYFUNCTION("""COMPUTED_VALUE"""),"Trong đó")</f>
        <v>Trong đó</v>
      </c>
      <c r="AQ4" s="21"/>
      <c r="AR4" s="22"/>
      <c r="AS4" s="19" t="str">
        <f>IFERROR(__xludf.DUMMYFUNCTION("""COMPUTED_VALUE"""),"Tổng số")</f>
        <v>Tổng số</v>
      </c>
      <c r="AT4" s="20" t="str">
        <f>IFERROR(__xludf.DUMMYFUNCTION("""COMPUTED_VALUE"""),"Trong đó")</f>
        <v>Trong đó</v>
      </c>
      <c r="AU4" s="21"/>
      <c r="AV4" s="22"/>
      <c r="AW4" s="19" t="str">
        <f>IFERROR(__xludf.DUMMYFUNCTION("""COMPUTED_VALUE"""),"Tổng số")</f>
        <v>Tổng số</v>
      </c>
      <c r="AX4" s="20" t="str">
        <f>IFERROR(__xludf.DUMMYFUNCTION("""COMPUTED_VALUE"""),"Trong đó")</f>
        <v>Trong đó</v>
      </c>
      <c r="AY4" s="21"/>
      <c r="AZ4" s="23"/>
      <c r="BA4" s="194"/>
    </row>
    <row r="5" ht="14.25" customHeight="1">
      <c r="A5" s="6"/>
      <c r="B5" s="24"/>
      <c r="C5" s="25"/>
      <c r="D5" s="25"/>
      <c r="E5" s="25"/>
      <c r="F5" s="26" t="str">
        <f>IFERROR(__xludf.DUMMYFUNCTION("""COMPUTED_VALUE"""),"Công lập")</f>
        <v>Công lập</v>
      </c>
      <c r="G5" s="26" t="str">
        <f>IFERROR(__xludf.DUMMYFUNCTION("""COMPUTED_VALUE"""),"Dân lập")</f>
        <v>Dân lập</v>
      </c>
      <c r="H5" s="26" t="str">
        <f>IFERROR(__xludf.DUMMYFUNCTION("""COMPUTED_VALUE"""),"Tư thục")</f>
        <v>Tư thục</v>
      </c>
      <c r="I5" s="25"/>
      <c r="J5" s="26" t="str">
        <f>IFERROR(__xludf.DUMMYFUNCTION("""COMPUTED_VALUE"""),"Công lập")</f>
        <v>Công lập</v>
      </c>
      <c r="K5" s="26" t="str">
        <f>IFERROR(__xludf.DUMMYFUNCTION("""COMPUTED_VALUE"""),"Dân lập")</f>
        <v>Dân lập</v>
      </c>
      <c r="L5" s="26" t="str">
        <f>IFERROR(__xludf.DUMMYFUNCTION("""COMPUTED_VALUE"""),"Tư thục")</f>
        <v>Tư thục</v>
      </c>
      <c r="M5" s="25"/>
      <c r="N5" s="26" t="str">
        <f>IFERROR(__xludf.DUMMYFUNCTION("""COMPUTED_VALUE"""),"Công lập")</f>
        <v>Công lập</v>
      </c>
      <c r="O5" s="26" t="str">
        <f>IFERROR(__xludf.DUMMYFUNCTION("""COMPUTED_VALUE"""),"Dân lập")</f>
        <v>Dân lập</v>
      </c>
      <c r="P5" s="26" t="str">
        <f>IFERROR(__xludf.DUMMYFUNCTION("""COMPUTED_VALUE"""),"Tư thục")</f>
        <v>Tư thục</v>
      </c>
      <c r="Q5" s="25"/>
      <c r="R5" s="26" t="str">
        <f>IFERROR(__xludf.DUMMYFUNCTION("""COMPUTED_VALUE"""),"Công lập")</f>
        <v>Công lập</v>
      </c>
      <c r="S5" s="26" t="str">
        <f>IFERROR(__xludf.DUMMYFUNCTION("""COMPUTED_VALUE"""),"Dân lập")</f>
        <v>Dân lập</v>
      </c>
      <c r="T5" s="26" t="str">
        <f>IFERROR(__xludf.DUMMYFUNCTION("""COMPUTED_VALUE"""),"Tư thục")</f>
        <v>Tư thục</v>
      </c>
      <c r="U5" s="25"/>
      <c r="V5" s="26" t="str">
        <f>IFERROR(__xludf.DUMMYFUNCTION("""COMPUTED_VALUE"""),"Công lập")</f>
        <v>Công lập</v>
      </c>
      <c r="W5" s="26" t="str">
        <f>IFERROR(__xludf.DUMMYFUNCTION("""COMPUTED_VALUE"""),"Dân lập")</f>
        <v>Dân lập</v>
      </c>
      <c r="X5" s="26" t="str">
        <f>IFERROR(__xludf.DUMMYFUNCTION("""COMPUTED_VALUE"""),"Tư thục")</f>
        <v>Tư thục</v>
      </c>
      <c r="Y5" s="25"/>
      <c r="Z5" s="26" t="str">
        <f>IFERROR(__xludf.DUMMYFUNCTION("""COMPUTED_VALUE"""),"Công lập")</f>
        <v>Công lập</v>
      </c>
      <c r="AA5" s="26" t="str">
        <f>IFERROR(__xludf.DUMMYFUNCTION("""COMPUTED_VALUE"""),"Dân lập")</f>
        <v>Dân lập</v>
      </c>
      <c r="AB5" s="26" t="str">
        <f>IFERROR(__xludf.DUMMYFUNCTION("""COMPUTED_VALUE"""),"Tư thục")</f>
        <v>Tư thục</v>
      </c>
      <c r="AC5" s="25"/>
      <c r="AD5" s="26" t="str">
        <f>IFERROR(__xludf.DUMMYFUNCTION("""COMPUTED_VALUE"""),"Công lập")</f>
        <v>Công lập</v>
      </c>
      <c r="AE5" s="26" t="str">
        <f>IFERROR(__xludf.DUMMYFUNCTION("""COMPUTED_VALUE"""),"Dân lập")</f>
        <v>Dân lập</v>
      </c>
      <c r="AF5" s="26" t="str">
        <f>IFERROR(__xludf.DUMMYFUNCTION("""COMPUTED_VALUE"""),"Tư thục")</f>
        <v>Tư thục</v>
      </c>
      <c r="AG5" s="25"/>
      <c r="AH5" s="26" t="str">
        <f>IFERROR(__xludf.DUMMYFUNCTION("""COMPUTED_VALUE"""),"Công lập")</f>
        <v>Công lập</v>
      </c>
      <c r="AI5" s="26" t="str">
        <f>IFERROR(__xludf.DUMMYFUNCTION("""COMPUTED_VALUE"""),"Dân lập")</f>
        <v>Dân lập</v>
      </c>
      <c r="AJ5" s="26" t="str">
        <f>IFERROR(__xludf.DUMMYFUNCTION("""COMPUTED_VALUE"""),"Tư thục")</f>
        <v>Tư thục</v>
      </c>
      <c r="AK5" s="25"/>
      <c r="AL5" s="26" t="str">
        <f>IFERROR(__xludf.DUMMYFUNCTION("""COMPUTED_VALUE"""),"Công lập")</f>
        <v>Công lập</v>
      </c>
      <c r="AM5" s="26" t="str">
        <f>IFERROR(__xludf.DUMMYFUNCTION("""COMPUTED_VALUE"""),"Dân lập")</f>
        <v>Dân lập</v>
      </c>
      <c r="AN5" s="26" t="str">
        <f>IFERROR(__xludf.DUMMYFUNCTION("""COMPUTED_VALUE"""),"Tư thục")</f>
        <v>Tư thục</v>
      </c>
      <c r="AO5" s="25"/>
      <c r="AP5" s="26" t="str">
        <f>IFERROR(__xludf.DUMMYFUNCTION("""COMPUTED_VALUE"""),"Công lập")</f>
        <v>Công lập</v>
      </c>
      <c r="AQ5" s="26" t="str">
        <f>IFERROR(__xludf.DUMMYFUNCTION("""COMPUTED_VALUE"""),"Dân lập")</f>
        <v>Dân lập</v>
      </c>
      <c r="AR5" s="26" t="str">
        <f>IFERROR(__xludf.DUMMYFUNCTION("""COMPUTED_VALUE"""),"Tư thục")</f>
        <v>Tư thục</v>
      </c>
      <c r="AS5" s="25"/>
      <c r="AT5" s="26" t="str">
        <f>IFERROR(__xludf.DUMMYFUNCTION("""COMPUTED_VALUE"""),"Công lập")</f>
        <v>Công lập</v>
      </c>
      <c r="AU5" s="26" t="str">
        <f>IFERROR(__xludf.DUMMYFUNCTION("""COMPUTED_VALUE"""),"Dân lập")</f>
        <v>Dân lập</v>
      </c>
      <c r="AV5" s="26" t="str">
        <f>IFERROR(__xludf.DUMMYFUNCTION("""COMPUTED_VALUE"""),"Tư thục")</f>
        <v>Tư thục</v>
      </c>
      <c r="AW5" s="25"/>
      <c r="AX5" s="26" t="str">
        <f>IFERROR(__xludf.DUMMYFUNCTION("""COMPUTED_VALUE"""),"Công lập")</f>
        <v>Công lập</v>
      </c>
      <c r="AY5" s="26" t="str">
        <f>IFERROR(__xludf.DUMMYFUNCTION("""COMPUTED_VALUE"""),"Dân lập")</f>
        <v>Dân lập</v>
      </c>
      <c r="AZ5" s="27" t="str">
        <f>IFERROR(__xludf.DUMMYFUNCTION("""COMPUTED_VALUE"""),"Tư thục")</f>
        <v>Tư thục</v>
      </c>
      <c r="BA5" s="194"/>
    </row>
    <row r="6" ht="13.5" customHeight="1">
      <c r="A6" s="6"/>
      <c r="B6" s="28" t="str">
        <f>IFERROR(__xludf.DUMMYFUNCTION("""COMPUTED_VALUE"""),"A")</f>
        <v>A</v>
      </c>
      <c r="C6" s="26" t="str">
        <f>IFERROR(__xludf.DUMMYFUNCTION("""COMPUTED_VALUE"""),"B")</f>
        <v>B</v>
      </c>
      <c r="D6" s="26" t="str">
        <f>IFERROR(__xludf.DUMMYFUNCTION("""COMPUTED_VALUE"""),"C")</f>
        <v>C</v>
      </c>
      <c r="E6" s="26" t="str">
        <f>IFERROR(__xludf.DUMMYFUNCTION("""COMPUTED_VALUE"""),"1=2+3+4")</f>
        <v>1=2+3+4</v>
      </c>
      <c r="F6" s="26">
        <f>IFERROR(__xludf.DUMMYFUNCTION("""COMPUTED_VALUE"""),2.0)</f>
        <v>2</v>
      </c>
      <c r="G6" s="26">
        <f>IFERROR(__xludf.DUMMYFUNCTION("""COMPUTED_VALUE"""),3.0)</f>
        <v>3</v>
      </c>
      <c r="H6" s="26">
        <f>IFERROR(__xludf.DUMMYFUNCTION("""COMPUTED_VALUE"""),4.0)</f>
        <v>4</v>
      </c>
      <c r="I6" s="26" t="str">
        <f>IFERROR(__xludf.DUMMYFUNCTION("""COMPUTED_VALUE"""),"1=2+3+4")</f>
        <v>1=2+3+4</v>
      </c>
      <c r="J6" s="26">
        <f>IFERROR(__xludf.DUMMYFUNCTION("""COMPUTED_VALUE"""),2.0)</f>
        <v>2</v>
      </c>
      <c r="K6" s="26">
        <f>IFERROR(__xludf.DUMMYFUNCTION("""COMPUTED_VALUE"""),3.0)</f>
        <v>3</v>
      </c>
      <c r="L6" s="26">
        <f>IFERROR(__xludf.DUMMYFUNCTION("""COMPUTED_VALUE"""),4.0)</f>
        <v>4</v>
      </c>
      <c r="M6" s="26" t="str">
        <f>IFERROR(__xludf.DUMMYFUNCTION("""COMPUTED_VALUE"""),"1=2+3+4")</f>
        <v>1=2+3+4</v>
      </c>
      <c r="N6" s="26">
        <f>IFERROR(__xludf.DUMMYFUNCTION("""COMPUTED_VALUE"""),2.0)</f>
        <v>2</v>
      </c>
      <c r="O6" s="26">
        <f>IFERROR(__xludf.DUMMYFUNCTION("""COMPUTED_VALUE"""),3.0)</f>
        <v>3</v>
      </c>
      <c r="P6" s="26">
        <f>IFERROR(__xludf.DUMMYFUNCTION("""COMPUTED_VALUE"""),4.0)</f>
        <v>4</v>
      </c>
      <c r="Q6" s="26" t="str">
        <f>IFERROR(__xludf.DUMMYFUNCTION("""COMPUTED_VALUE"""),"1=2+3+4")</f>
        <v>1=2+3+4</v>
      </c>
      <c r="R6" s="26">
        <f>IFERROR(__xludf.DUMMYFUNCTION("""COMPUTED_VALUE"""),2.0)</f>
        <v>2</v>
      </c>
      <c r="S6" s="26">
        <f>IFERROR(__xludf.DUMMYFUNCTION("""COMPUTED_VALUE"""),3.0)</f>
        <v>3</v>
      </c>
      <c r="T6" s="26">
        <f>IFERROR(__xludf.DUMMYFUNCTION("""COMPUTED_VALUE"""),4.0)</f>
        <v>4</v>
      </c>
      <c r="U6" s="26" t="str">
        <f>IFERROR(__xludf.DUMMYFUNCTION("""COMPUTED_VALUE"""),"1=2+3+4")</f>
        <v>1=2+3+4</v>
      </c>
      <c r="V6" s="26">
        <f>IFERROR(__xludf.DUMMYFUNCTION("""COMPUTED_VALUE"""),2.0)</f>
        <v>2</v>
      </c>
      <c r="W6" s="26">
        <f>IFERROR(__xludf.DUMMYFUNCTION("""COMPUTED_VALUE"""),3.0)</f>
        <v>3</v>
      </c>
      <c r="X6" s="26">
        <f>IFERROR(__xludf.DUMMYFUNCTION("""COMPUTED_VALUE"""),4.0)</f>
        <v>4</v>
      </c>
      <c r="Y6" s="26" t="str">
        <f>IFERROR(__xludf.DUMMYFUNCTION("""COMPUTED_VALUE"""),"1=2+3+4")</f>
        <v>1=2+3+4</v>
      </c>
      <c r="Z6" s="26">
        <f>IFERROR(__xludf.DUMMYFUNCTION("""COMPUTED_VALUE"""),2.0)</f>
        <v>2</v>
      </c>
      <c r="AA6" s="26">
        <f>IFERROR(__xludf.DUMMYFUNCTION("""COMPUTED_VALUE"""),3.0)</f>
        <v>3</v>
      </c>
      <c r="AB6" s="26">
        <f>IFERROR(__xludf.DUMMYFUNCTION("""COMPUTED_VALUE"""),4.0)</f>
        <v>4</v>
      </c>
      <c r="AC6" s="26" t="str">
        <f>IFERROR(__xludf.DUMMYFUNCTION("""COMPUTED_VALUE"""),"1=2+3+4")</f>
        <v>1=2+3+4</v>
      </c>
      <c r="AD6" s="26">
        <f>IFERROR(__xludf.DUMMYFUNCTION("""COMPUTED_VALUE"""),2.0)</f>
        <v>2</v>
      </c>
      <c r="AE6" s="26">
        <f>IFERROR(__xludf.DUMMYFUNCTION("""COMPUTED_VALUE"""),3.0)</f>
        <v>3</v>
      </c>
      <c r="AF6" s="26">
        <f>IFERROR(__xludf.DUMMYFUNCTION("""COMPUTED_VALUE"""),4.0)</f>
        <v>4</v>
      </c>
      <c r="AG6" s="26" t="str">
        <f>IFERROR(__xludf.DUMMYFUNCTION("""COMPUTED_VALUE"""),"1=2+3+4")</f>
        <v>1=2+3+4</v>
      </c>
      <c r="AH6" s="26">
        <f>IFERROR(__xludf.DUMMYFUNCTION("""COMPUTED_VALUE"""),2.0)</f>
        <v>2</v>
      </c>
      <c r="AI6" s="26">
        <f>IFERROR(__xludf.DUMMYFUNCTION("""COMPUTED_VALUE"""),3.0)</f>
        <v>3</v>
      </c>
      <c r="AJ6" s="26">
        <f>IFERROR(__xludf.DUMMYFUNCTION("""COMPUTED_VALUE"""),4.0)</f>
        <v>4</v>
      </c>
      <c r="AK6" s="26" t="str">
        <f>IFERROR(__xludf.DUMMYFUNCTION("""COMPUTED_VALUE"""),"1=2+3+4")</f>
        <v>1=2+3+4</v>
      </c>
      <c r="AL6" s="26">
        <f>IFERROR(__xludf.DUMMYFUNCTION("""COMPUTED_VALUE"""),2.0)</f>
        <v>2</v>
      </c>
      <c r="AM6" s="26">
        <f>IFERROR(__xludf.DUMMYFUNCTION("""COMPUTED_VALUE"""),3.0)</f>
        <v>3</v>
      </c>
      <c r="AN6" s="26">
        <f>IFERROR(__xludf.DUMMYFUNCTION("""COMPUTED_VALUE"""),4.0)</f>
        <v>4</v>
      </c>
      <c r="AO6" s="26" t="str">
        <f>IFERROR(__xludf.DUMMYFUNCTION("""COMPUTED_VALUE"""),"1=2+3+4")</f>
        <v>1=2+3+4</v>
      </c>
      <c r="AP6" s="26">
        <f>IFERROR(__xludf.DUMMYFUNCTION("""COMPUTED_VALUE"""),2.0)</f>
        <v>2</v>
      </c>
      <c r="AQ6" s="26">
        <f>IFERROR(__xludf.DUMMYFUNCTION("""COMPUTED_VALUE"""),3.0)</f>
        <v>3</v>
      </c>
      <c r="AR6" s="26">
        <f>IFERROR(__xludf.DUMMYFUNCTION("""COMPUTED_VALUE"""),4.0)</f>
        <v>4</v>
      </c>
      <c r="AS6" s="26" t="str">
        <f>IFERROR(__xludf.DUMMYFUNCTION("""COMPUTED_VALUE"""),"1=2+3+4")</f>
        <v>1=2+3+4</v>
      </c>
      <c r="AT6" s="26">
        <f>IFERROR(__xludf.DUMMYFUNCTION("""COMPUTED_VALUE"""),2.0)</f>
        <v>2</v>
      </c>
      <c r="AU6" s="26">
        <f>IFERROR(__xludf.DUMMYFUNCTION("""COMPUTED_VALUE"""),3.0)</f>
        <v>3</v>
      </c>
      <c r="AV6" s="26">
        <f>IFERROR(__xludf.DUMMYFUNCTION("""COMPUTED_VALUE"""),4.0)</f>
        <v>4</v>
      </c>
      <c r="AW6" s="26" t="str">
        <f>IFERROR(__xludf.DUMMYFUNCTION("""COMPUTED_VALUE"""),"1=2+3+4")</f>
        <v>1=2+3+4</v>
      </c>
      <c r="AX6" s="26">
        <f>IFERROR(__xludf.DUMMYFUNCTION("""COMPUTED_VALUE"""),2.0)</f>
        <v>2</v>
      </c>
      <c r="AY6" s="26">
        <f>IFERROR(__xludf.DUMMYFUNCTION("""COMPUTED_VALUE"""),3.0)</f>
        <v>3</v>
      </c>
      <c r="AZ6" s="27">
        <f>IFERROR(__xludf.DUMMYFUNCTION("""COMPUTED_VALUE"""),4.0)</f>
        <v>4</v>
      </c>
      <c r="BA6" s="194"/>
    </row>
    <row r="7" ht="15.75" customHeight="1">
      <c r="A7" s="29"/>
      <c r="B7" s="30" t="str">
        <f>IFERROR(__xludf.DUMMYFUNCTION("""COMPUTED_VALUE"""),"1. CƠ SỞ GIÁO DỤC MẦM NON")</f>
        <v>1. CƠ SỞ GIÁO DỤC MẦM NON</v>
      </c>
      <c r="C7" s="31" t="str">
        <f>IFERROR(__xludf.DUMMYFUNCTION("""COMPUTED_VALUE"""),"Tháng")</f>
        <v>Tháng</v>
      </c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3"/>
      <c r="BA7" s="195"/>
    </row>
    <row r="8" ht="15.75" customHeight="1">
      <c r="A8" s="29"/>
      <c r="B8" s="196" t="str">
        <f>IFERROR(__xludf.DUMMYFUNCTION("""COMPUTED_VALUE"""),"1.1. Tổng số cơ sở")</f>
        <v>1.1. Tổng số cơ sở</v>
      </c>
      <c r="C8" s="57"/>
      <c r="D8" s="57" t="str">
        <f>IFERROR(__xludf.DUMMYFUNCTION("""COMPUTED_VALUE"""),"Cơ sở")</f>
        <v>Cơ sở</v>
      </c>
      <c r="E8" s="125">
        <f>IFERROR(__xludf.DUMMYFUNCTION("""COMPUTED_VALUE"""),131.0)</f>
        <v>131</v>
      </c>
      <c r="F8" s="125">
        <f>IFERROR(__xludf.DUMMYFUNCTION("""COMPUTED_VALUE"""),118.0)</f>
        <v>118</v>
      </c>
      <c r="G8" s="125">
        <f>IFERROR(__xludf.DUMMYFUNCTION("""COMPUTED_VALUE"""),1.0)</f>
        <v>1</v>
      </c>
      <c r="H8" s="125">
        <f>IFERROR(__xludf.DUMMYFUNCTION("""COMPUTED_VALUE"""),12.0)</f>
        <v>12</v>
      </c>
      <c r="I8" s="125">
        <f>IFERROR(__xludf.DUMMYFUNCTION("""COMPUTED_VALUE"""),130.0)</f>
        <v>130</v>
      </c>
      <c r="J8" s="125">
        <f>IFERROR(__xludf.DUMMYFUNCTION("""COMPUTED_VALUE"""),108.0)</f>
        <v>108</v>
      </c>
      <c r="K8" s="125">
        <f>IFERROR(__xludf.DUMMYFUNCTION("""COMPUTED_VALUE"""),1.0)</f>
        <v>1</v>
      </c>
      <c r="L8" s="125">
        <f>IFERROR(__xludf.DUMMYFUNCTION("""COMPUTED_VALUE"""),21.0)</f>
        <v>21</v>
      </c>
      <c r="M8" s="125">
        <f>IFERROR(__xludf.DUMMYFUNCTION("""COMPUTED_VALUE"""),130.0)</f>
        <v>130</v>
      </c>
      <c r="N8" s="125">
        <f>IFERROR(__xludf.DUMMYFUNCTION("""COMPUTED_VALUE"""),118.0)</f>
        <v>118</v>
      </c>
      <c r="O8" s="125">
        <f>IFERROR(__xludf.DUMMYFUNCTION("""COMPUTED_VALUE"""),1.0)</f>
        <v>1</v>
      </c>
      <c r="P8" s="125">
        <f>IFERROR(__xludf.DUMMYFUNCTION("""COMPUTED_VALUE"""),11.0)</f>
        <v>11</v>
      </c>
      <c r="Q8" s="125">
        <f>IFERROR(__xludf.DUMMYFUNCTION("""COMPUTED_VALUE"""),130.0)</f>
        <v>130</v>
      </c>
      <c r="R8" s="125">
        <f>IFERROR(__xludf.DUMMYFUNCTION("""COMPUTED_VALUE"""),118.0)</f>
        <v>118</v>
      </c>
      <c r="S8" s="125">
        <f>IFERROR(__xludf.DUMMYFUNCTION("""COMPUTED_VALUE"""),1.0)</f>
        <v>1</v>
      </c>
      <c r="T8" s="125">
        <f>IFERROR(__xludf.DUMMYFUNCTION("""COMPUTED_VALUE"""),11.0)</f>
        <v>11</v>
      </c>
      <c r="U8" s="125">
        <f>IFERROR(__xludf.DUMMYFUNCTION("""COMPUTED_VALUE"""),130.0)</f>
        <v>130</v>
      </c>
      <c r="V8" s="125">
        <f>IFERROR(__xludf.DUMMYFUNCTION("""COMPUTED_VALUE"""),118.0)</f>
        <v>118</v>
      </c>
      <c r="W8" s="125">
        <f>IFERROR(__xludf.DUMMYFUNCTION("""COMPUTED_VALUE"""),1.0)</f>
        <v>1</v>
      </c>
      <c r="X8" s="125">
        <f>IFERROR(__xludf.DUMMYFUNCTION("""COMPUTED_VALUE"""),11.0)</f>
        <v>11</v>
      </c>
      <c r="Y8" s="125">
        <f>IFERROR(__xludf.DUMMYFUNCTION("""COMPUTED_VALUE"""),130.0)</f>
        <v>130</v>
      </c>
      <c r="Z8" s="125">
        <f>IFERROR(__xludf.DUMMYFUNCTION("""COMPUTED_VALUE"""),118.0)</f>
        <v>118</v>
      </c>
      <c r="AA8" s="125">
        <f>IFERROR(__xludf.DUMMYFUNCTION("""COMPUTED_VALUE"""),1.0)</f>
        <v>1</v>
      </c>
      <c r="AB8" s="125">
        <f>IFERROR(__xludf.DUMMYFUNCTION("""COMPUTED_VALUE"""),11.0)</f>
        <v>11</v>
      </c>
      <c r="AC8" s="125">
        <f>IFERROR(__xludf.DUMMYFUNCTION("""COMPUTED_VALUE"""),130.0)</f>
        <v>130</v>
      </c>
      <c r="AD8" s="125">
        <f>IFERROR(__xludf.DUMMYFUNCTION("""COMPUTED_VALUE"""),118.0)</f>
        <v>118</v>
      </c>
      <c r="AE8" s="125">
        <f>IFERROR(__xludf.DUMMYFUNCTION("""COMPUTED_VALUE"""),1.0)</f>
        <v>1</v>
      </c>
      <c r="AF8" s="125">
        <f>IFERROR(__xludf.DUMMYFUNCTION("""COMPUTED_VALUE"""),11.0)</f>
        <v>11</v>
      </c>
      <c r="AG8" s="125">
        <f>IFERROR(__xludf.DUMMYFUNCTION("""COMPUTED_VALUE"""),0.0)</f>
        <v>0</v>
      </c>
      <c r="AH8" s="125">
        <f>IFERROR(__xludf.DUMMYFUNCTION("""COMPUTED_VALUE"""),0.0)</f>
        <v>0</v>
      </c>
      <c r="AI8" s="125">
        <f>IFERROR(__xludf.DUMMYFUNCTION("""COMPUTED_VALUE"""),0.0)</f>
        <v>0</v>
      </c>
      <c r="AJ8" s="125">
        <f>IFERROR(__xludf.DUMMYFUNCTION("""COMPUTED_VALUE"""),0.0)</f>
        <v>0</v>
      </c>
      <c r="AK8" s="125">
        <f>IFERROR(__xludf.DUMMYFUNCTION("""COMPUTED_VALUE"""),0.0)</f>
        <v>0</v>
      </c>
      <c r="AL8" s="125">
        <f>IFERROR(__xludf.DUMMYFUNCTION("""COMPUTED_VALUE"""),0.0)</f>
        <v>0</v>
      </c>
      <c r="AM8" s="125">
        <f>IFERROR(__xludf.DUMMYFUNCTION("""COMPUTED_VALUE"""),0.0)</f>
        <v>0</v>
      </c>
      <c r="AN8" s="125">
        <f>IFERROR(__xludf.DUMMYFUNCTION("""COMPUTED_VALUE"""),0.0)</f>
        <v>0</v>
      </c>
      <c r="AO8" s="125">
        <f>IFERROR(__xludf.DUMMYFUNCTION("""COMPUTED_VALUE"""),0.0)</f>
        <v>0</v>
      </c>
      <c r="AP8" s="125">
        <f>IFERROR(__xludf.DUMMYFUNCTION("""COMPUTED_VALUE"""),0.0)</f>
        <v>0</v>
      </c>
      <c r="AQ8" s="125">
        <f>IFERROR(__xludf.DUMMYFUNCTION("""COMPUTED_VALUE"""),0.0)</f>
        <v>0</v>
      </c>
      <c r="AR8" s="125">
        <f>IFERROR(__xludf.DUMMYFUNCTION("""COMPUTED_VALUE"""),0.0)</f>
        <v>0</v>
      </c>
      <c r="AS8" s="125">
        <f>IFERROR(__xludf.DUMMYFUNCTION("""COMPUTED_VALUE"""),0.0)</f>
        <v>0</v>
      </c>
      <c r="AT8" s="125">
        <f>IFERROR(__xludf.DUMMYFUNCTION("""COMPUTED_VALUE"""),0.0)</f>
        <v>0</v>
      </c>
      <c r="AU8" s="125">
        <f>IFERROR(__xludf.DUMMYFUNCTION("""COMPUTED_VALUE"""),0.0)</f>
        <v>0</v>
      </c>
      <c r="AV8" s="125">
        <f>IFERROR(__xludf.DUMMYFUNCTION("""COMPUTED_VALUE"""),0.0)</f>
        <v>0</v>
      </c>
      <c r="AW8" s="125">
        <f>IFERROR(__xludf.DUMMYFUNCTION("""COMPUTED_VALUE"""),0.0)</f>
        <v>0</v>
      </c>
      <c r="AX8" s="125">
        <f>IFERROR(__xludf.DUMMYFUNCTION("""COMPUTED_VALUE"""),0.0)</f>
        <v>0</v>
      </c>
      <c r="AY8" s="125">
        <f>IFERROR(__xludf.DUMMYFUNCTION("""COMPUTED_VALUE"""),0.0)</f>
        <v>0</v>
      </c>
      <c r="AZ8" s="127">
        <f>IFERROR(__xludf.DUMMYFUNCTION("""COMPUTED_VALUE"""),0.0)</f>
        <v>0</v>
      </c>
      <c r="BA8" s="195"/>
    </row>
    <row r="9" ht="15.75" customHeight="1">
      <c r="A9" s="29"/>
      <c r="B9" s="67" t="str">
        <f>IFERROR(__xludf.DUMMYFUNCTION("""COMPUTED_VALUE"""),"Chia ra: + Nhà trẻ")</f>
        <v>Chia ra: + Nhà trẻ</v>
      </c>
      <c r="C9" s="31"/>
      <c r="D9" s="31" t="str">
        <f>IFERROR(__xludf.DUMMYFUNCTION("""COMPUTED_VALUE"""),"Nhà trẻ")</f>
        <v>Nhà trẻ</v>
      </c>
      <c r="E9" s="41">
        <f>IFERROR(__xludf.DUMMYFUNCTION("""COMPUTED_VALUE"""),10.0)</f>
        <v>10</v>
      </c>
      <c r="F9" s="197">
        <f>IFERROR(__xludf.DUMMYFUNCTION("""COMPUTED_VALUE"""),10.0)</f>
        <v>10</v>
      </c>
      <c r="G9" s="197">
        <f>IFERROR(__xludf.DUMMYFUNCTION("""COMPUTED_VALUE"""),0.0)</f>
        <v>0</v>
      </c>
      <c r="H9" s="197">
        <f>IFERROR(__xludf.DUMMYFUNCTION("""COMPUTED_VALUE"""),0.0)</f>
        <v>0</v>
      </c>
      <c r="I9" s="41">
        <f>IFERROR(__xludf.DUMMYFUNCTION("""COMPUTED_VALUE"""),9.0)</f>
        <v>9</v>
      </c>
      <c r="J9" s="197">
        <f>IFERROR(__xludf.DUMMYFUNCTION("""COMPUTED_VALUE"""),0.0)</f>
        <v>0</v>
      </c>
      <c r="K9" s="197">
        <f>IFERROR(__xludf.DUMMYFUNCTION("""COMPUTED_VALUE"""),0.0)</f>
        <v>0</v>
      </c>
      <c r="L9" s="197">
        <f>IFERROR(__xludf.DUMMYFUNCTION("""COMPUTED_VALUE"""),9.0)</f>
        <v>9</v>
      </c>
      <c r="M9" s="41">
        <f>IFERROR(__xludf.DUMMYFUNCTION("""COMPUTED_VALUE"""),9.0)</f>
        <v>9</v>
      </c>
      <c r="N9" s="197">
        <f>IFERROR(__xludf.DUMMYFUNCTION("""COMPUTED_VALUE"""),0.0)</f>
        <v>0</v>
      </c>
      <c r="O9" s="197">
        <f>IFERROR(__xludf.DUMMYFUNCTION("""COMPUTED_VALUE"""),0.0)</f>
        <v>0</v>
      </c>
      <c r="P9" s="197">
        <f>IFERROR(__xludf.DUMMYFUNCTION("""COMPUTED_VALUE"""),9.0)</f>
        <v>9</v>
      </c>
      <c r="Q9" s="41">
        <f>IFERROR(__xludf.DUMMYFUNCTION("""COMPUTED_VALUE"""),9.0)</f>
        <v>9</v>
      </c>
      <c r="R9" s="197">
        <f>IFERROR(__xludf.DUMMYFUNCTION("""COMPUTED_VALUE"""),0.0)</f>
        <v>0</v>
      </c>
      <c r="S9" s="197">
        <f>IFERROR(__xludf.DUMMYFUNCTION("""COMPUTED_VALUE"""),0.0)</f>
        <v>0</v>
      </c>
      <c r="T9" s="197">
        <f>IFERROR(__xludf.DUMMYFUNCTION("""COMPUTED_VALUE"""),9.0)</f>
        <v>9</v>
      </c>
      <c r="U9" s="41">
        <f>IFERROR(__xludf.DUMMYFUNCTION("""COMPUTED_VALUE"""),9.0)</f>
        <v>9</v>
      </c>
      <c r="V9" s="197">
        <f>IFERROR(__xludf.DUMMYFUNCTION("""COMPUTED_VALUE"""),0.0)</f>
        <v>0</v>
      </c>
      <c r="W9" s="197">
        <f>IFERROR(__xludf.DUMMYFUNCTION("""COMPUTED_VALUE"""),0.0)</f>
        <v>0</v>
      </c>
      <c r="X9" s="197">
        <f>IFERROR(__xludf.DUMMYFUNCTION("""COMPUTED_VALUE"""),9.0)</f>
        <v>9</v>
      </c>
      <c r="Y9" s="41">
        <f>IFERROR(__xludf.DUMMYFUNCTION("""COMPUTED_VALUE"""),9.0)</f>
        <v>9</v>
      </c>
      <c r="Z9" s="197">
        <f>IFERROR(__xludf.DUMMYFUNCTION("""COMPUTED_VALUE"""),0.0)</f>
        <v>0</v>
      </c>
      <c r="AA9" s="197">
        <f>IFERROR(__xludf.DUMMYFUNCTION("""COMPUTED_VALUE"""),0.0)</f>
        <v>0</v>
      </c>
      <c r="AB9" s="197">
        <f>IFERROR(__xludf.DUMMYFUNCTION("""COMPUTED_VALUE"""),9.0)</f>
        <v>9</v>
      </c>
      <c r="AC9" s="41">
        <f>IFERROR(__xludf.DUMMYFUNCTION("""COMPUTED_VALUE"""),9.0)</f>
        <v>9</v>
      </c>
      <c r="AD9" s="197">
        <f>IFERROR(__xludf.DUMMYFUNCTION("""COMPUTED_VALUE"""),0.0)</f>
        <v>0</v>
      </c>
      <c r="AE9" s="197">
        <f>IFERROR(__xludf.DUMMYFUNCTION("""COMPUTED_VALUE"""),0.0)</f>
        <v>0</v>
      </c>
      <c r="AF9" s="197">
        <f>IFERROR(__xludf.DUMMYFUNCTION("""COMPUTED_VALUE"""),9.0)</f>
        <v>9</v>
      </c>
      <c r="AG9" s="41">
        <f>IFERROR(__xludf.DUMMYFUNCTION("""COMPUTED_VALUE"""),0.0)</f>
        <v>0</v>
      </c>
      <c r="AH9" s="197">
        <f>IFERROR(__xludf.DUMMYFUNCTION("""COMPUTED_VALUE"""),0.0)</f>
        <v>0</v>
      </c>
      <c r="AI9" s="197">
        <f>IFERROR(__xludf.DUMMYFUNCTION("""COMPUTED_VALUE"""),0.0)</f>
        <v>0</v>
      </c>
      <c r="AJ9" s="197">
        <f>IFERROR(__xludf.DUMMYFUNCTION("""COMPUTED_VALUE"""),0.0)</f>
        <v>0</v>
      </c>
      <c r="AK9" s="41">
        <f>IFERROR(__xludf.DUMMYFUNCTION("""COMPUTED_VALUE"""),0.0)</f>
        <v>0</v>
      </c>
      <c r="AL9" s="197">
        <f>IFERROR(__xludf.DUMMYFUNCTION("""COMPUTED_VALUE"""),0.0)</f>
        <v>0</v>
      </c>
      <c r="AM9" s="197">
        <f>IFERROR(__xludf.DUMMYFUNCTION("""COMPUTED_VALUE"""),0.0)</f>
        <v>0</v>
      </c>
      <c r="AN9" s="197">
        <f>IFERROR(__xludf.DUMMYFUNCTION("""COMPUTED_VALUE"""),0.0)</f>
        <v>0</v>
      </c>
      <c r="AO9" s="41">
        <f>IFERROR(__xludf.DUMMYFUNCTION("""COMPUTED_VALUE"""),0.0)</f>
        <v>0</v>
      </c>
      <c r="AP9" s="197">
        <f>IFERROR(__xludf.DUMMYFUNCTION("""COMPUTED_VALUE"""),0.0)</f>
        <v>0</v>
      </c>
      <c r="AQ9" s="197">
        <f>IFERROR(__xludf.DUMMYFUNCTION("""COMPUTED_VALUE"""),0.0)</f>
        <v>0</v>
      </c>
      <c r="AR9" s="197">
        <f>IFERROR(__xludf.DUMMYFUNCTION("""COMPUTED_VALUE"""),0.0)</f>
        <v>0</v>
      </c>
      <c r="AS9" s="41">
        <f>IFERROR(__xludf.DUMMYFUNCTION("""COMPUTED_VALUE"""),0.0)</f>
        <v>0</v>
      </c>
      <c r="AT9" s="197">
        <f>IFERROR(__xludf.DUMMYFUNCTION("""COMPUTED_VALUE"""),0.0)</f>
        <v>0</v>
      </c>
      <c r="AU9" s="197">
        <f>IFERROR(__xludf.DUMMYFUNCTION("""COMPUTED_VALUE"""),0.0)</f>
        <v>0</v>
      </c>
      <c r="AV9" s="197">
        <f>IFERROR(__xludf.DUMMYFUNCTION("""COMPUTED_VALUE"""),0.0)</f>
        <v>0</v>
      </c>
      <c r="AW9" s="41">
        <f>IFERROR(__xludf.DUMMYFUNCTION("""COMPUTED_VALUE"""),0.0)</f>
        <v>0</v>
      </c>
      <c r="AX9" s="197">
        <f>IFERROR(__xludf.DUMMYFUNCTION("""COMPUTED_VALUE"""),0.0)</f>
        <v>0</v>
      </c>
      <c r="AY9" s="197">
        <f>IFERROR(__xludf.DUMMYFUNCTION("""COMPUTED_VALUE"""),0.0)</f>
        <v>0</v>
      </c>
      <c r="AZ9" s="198">
        <f>IFERROR(__xludf.DUMMYFUNCTION("""COMPUTED_VALUE"""),0.0)</f>
        <v>0</v>
      </c>
      <c r="BA9" s="195"/>
    </row>
    <row r="10" ht="15.75" customHeight="1">
      <c r="A10" s="29"/>
      <c r="B10" s="67" t="str">
        <f>IFERROR(__xludf.DUMMYFUNCTION("""COMPUTED_VALUE"""),"              + Trường mầm non, mẫu giáo")</f>
        <v>              + Trường mầm non, mẫu giáo</v>
      </c>
      <c r="C10" s="31"/>
      <c r="D10" s="31" t="str">
        <f>IFERROR(__xludf.DUMMYFUNCTION("""COMPUTED_VALUE"""),"Trường")</f>
        <v>Trường</v>
      </c>
      <c r="E10" s="41">
        <f>IFERROR(__xludf.DUMMYFUNCTION("""COMPUTED_VALUE"""),121.0)</f>
        <v>121</v>
      </c>
      <c r="F10" s="197">
        <f>IFERROR(__xludf.DUMMYFUNCTION("""COMPUTED_VALUE"""),108.0)</f>
        <v>108</v>
      </c>
      <c r="G10" s="197">
        <f>IFERROR(__xludf.DUMMYFUNCTION("""COMPUTED_VALUE"""),1.0)</f>
        <v>1</v>
      </c>
      <c r="H10" s="197">
        <f>IFERROR(__xludf.DUMMYFUNCTION("""COMPUTED_VALUE"""),12.0)</f>
        <v>12</v>
      </c>
      <c r="I10" s="41">
        <f>IFERROR(__xludf.DUMMYFUNCTION("""COMPUTED_VALUE"""),121.0)</f>
        <v>121</v>
      </c>
      <c r="J10" s="197">
        <f>IFERROR(__xludf.DUMMYFUNCTION("""COMPUTED_VALUE"""),108.0)</f>
        <v>108</v>
      </c>
      <c r="K10" s="197">
        <f>IFERROR(__xludf.DUMMYFUNCTION("""COMPUTED_VALUE"""),1.0)</f>
        <v>1</v>
      </c>
      <c r="L10" s="197">
        <f>IFERROR(__xludf.DUMMYFUNCTION("""COMPUTED_VALUE"""),12.0)</f>
        <v>12</v>
      </c>
      <c r="M10" s="41">
        <f>IFERROR(__xludf.DUMMYFUNCTION("""COMPUTED_VALUE"""),121.0)</f>
        <v>121</v>
      </c>
      <c r="N10" s="197">
        <f>IFERROR(__xludf.DUMMYFUNCTION("""COMPUTED_VALUE"""),118.0)</f>
        <v>118</v>
      </c>
      <c r="O10" s="197">
        <f>IFERROR(__xludf.DUMMYFUNCTION("""COMPUTED_VALUE"""),1.0)</f>
        <v>1</v>
      </c>
      <c r="P10" s="197">
        <f>IFERROR(__xludf.DUMMYFUNCTION("""COMPUTED_VALUE"""),2.0)</f>
        <v>2</v>
      </c>
      <c r="Q10" s="41">
        <f>IFERROR(__xludf.DUMMYFUNCTION("""COMPUTED_VALUE"""),121.0)</f>
        <v>121</v>
      </c>
      <c r="R10" s="197">
        <f>IFERROR(__xludf.DUMMYFUNCTION("""COMPUTED_VALUE"""),118.0)</f>
        <v>118</v>
      </c>
      <c r="S10" s="197">
        <f>IFERROR(__xludf.DUMMYFUNCTION("""COMPUTED_VALUE"""),1.0)</f>
        <v>1</v>
      </c>
      <c r="T10" s="197">
        <f>IFERROR(__xludf.DUMMYFUNCTION("""COMPUTED_VALUE"""),2.0)</f>
        <v>2</v>
      </c>
      <c r="U10" s="41">
        <f>IFERROR(__xludf.DUMMYFUNCTION("""COMPUTED_VALUE"""),121.0)</f>
        <v>121</v>
      </c>
      <c r="V10" s="197">
        <f>IFERROR(__xludf.DUMMYFUNCTION("""COMPUTED_VALUE"""),118.0)</f>
        <v>118</v>
      </c>
      <c r="W10" s="197">
        <f>IFERROR(__xludf.DUMMYFUNCTION("""COMPUTED_VALUE"""),1.0)</f>
        <v>1</v>
      </c>
      <c r="X10" s="197">
        <f>IFERROR(__xludf.DUMMYFUNCTION("""COMPUTED_VALUE"""),2.0)</f>
        <v>2</v>
      </c>
      <c r="Y10" s="41">
        <f>IFERROR(__xludf.DUMMYFUNCTION("""COMPUTED_VALUE"""),121.0)</f>
        <v>121</v>
      </c>
      <c r="Z10" s="197">
        <f>IFERROR(__xludf.DUMMYFUNCTION("""COMPUTED_VALUE"""),118.0)</f>
        <v>118</v>
      </c>
      <c r="AA10" s="197">
        <f>IFERROR(__xludf.DUMMYFUNCTION("""COMPUTED_VALUE"""),1.0)</f>
        <v>1</v>
      </c>
      <c r="AB10" s="197">
        <f>IFERROR(__xludf.DUMMYFUNCTION("""COMPUTED_VALUE"""),2.0)</f>
        <v>2</v>
      </c>
      <c r="AC10" s="41">
        <f>IFERROR(__xludf.DUMMYFUNCTION("""COMPUTED_VALUE"""),121.0)</f>
        <v>121</v>
      </c>
      <c r="AD10" s="197">
        <f>IFERROR(__xludf.DUMMYFUNCTION("""COMPUTED_VALUE"""),118.0)</f>
        <v>118</v>
      </c>
      <c r="AE10" s="197">
        <f>IFERROR(__xludf.DUMMYFUNCTION("""COMPUTED_VALUE"""),1.0)</f>
        <v>1</v>
      </c>
      <c r="AF10" s="197">
        <f>IFERROR(__xludf.DUMMYFUNCTION("""COMPUTED_VALUE"""),2.0)</f>
        <v>2</v>
      </c>
      <c r="AG10" s="41">
        <f>IFERROR(__xludf.DUMMYFUNCTION("""COMPUTED_VALUE"""),0.0)</f>
        <v>0</v>
      </c>
      <c r="AH10" s="197">
        <f>IFERROR(__xludf.DUMMYFUNCTION("""COMPUTED_VALUE"""),0.0)</f>
        <v>0</v>
      </c>
      <c r="AI10" s="197">
        <f>IFERROR(__xludf.DUMMYFUNCTION("""COMPUTED_VALUE"""),0.0)</f>
        <v>0</v>
      </c>
      <c r="AJ10" s="197">
        <f>IFERROR(__xludf.DUMMYFUNCTION("""COMPUTED_VALUE"""),0.0)</f>
        <v>0</v>
      </c>
      <c r="AK10" s="41">
        <f>IFERROR(__xludf.DUMMYFUNCTION("""COMPUTED_VALUE"""),0.0)</f>
        <v>0</v>
      </c>
      <c r="AL10" s="197">
        <f>IFERROR(__xludf.DUMMYFUNCTION("""COMPUTED_VALUE"""),0.0)</f>
        <v>0</v>
      </c>
      <c r="AM10" s="197">
        <f>IFERROR(__xludf.DUMMYFUNCTION("""COMPUTED_VALUE"""),0.0)</f>
        <v>0</v>
      </c>
      <c r="AN10" s="197">
        <f>IFERROR(__xludf.DUMMYFUNCTION("""COMPUTED_VALUE"""),0.0)</f>
        <v>0</v>
      </c>
      <c r="AO10" s="41">
        <f>IFERROR(__xludf.DUMMYFUNCTION("""COMPUTED_VALUE"""),0.0)</f>
        <v>0</v>
      </c>
      <c r="AP10" s="197">
        <f>IFERROR(__xludf.DUMMYFUNCTION("""COMPUTED_VALUE"""),0.0)</f>
        <v>0</v>
      </c>
      <c r="AQ10" s="197">
        <f>IFERROR(__xludf.DUMMYFUNCTION("""COMPUTED_VALUE"""),0.0)</f>
        <v>0</v>
      </c>
      <c r="AR10" s="197">
        <f>IFERROR(__xludf.DUMMYFUNCTION("""COMPUTED_VALUE"""),0.0)</f>
        <v>0</v>
      </c>
      <c r="AS10" s="41">
        <f>IFERROR(__xludf.DUMMYFUNCTION("""COMPUTED_VALUE"""),0.0)</f>
        <v>0</v>
      </c>
      <c r="AT10" s="197">
        <f>IFERROR(__xludf.DUMMYFUNCTION("""COMPUTED_VALUE"""),0.0)</f>
        <v>0</v>
      </c>
      <c r="AU10" s="197">
        <f>IFERROR(__xludf.DUMMYFUNCTION("""COMPUTED_VALUE"""),0.0)</f>
        <v>0</v>
      </c>
      <c r="AV10" s="197">
        <f>IFERROR(__xludf.DUMMYFUNCTION("""COMPUTED_VALUE"""),0.0)</f>
        <v>0</v>
      </c>
      <c r="AW10" s="41">
        <f>IFERROR(__xludf.DUMMYFUNCTION("""COMPUTED_VALUE"""),0.0)</f>
        <v>0</v>
      </c>
      <c r="AX10" s="197">
        <f>IFERROR(__xludf.DUMMYFUNCTION("""COMPUTED_VALUE"""),0.0)</f>
        <v>0</v>
      </c>
      <c r="AY10" s="197">
        <f>IFERROR(__xludf.DUMMYFUNCTION("""COMPUTED_VALUE"""),0.0)</f>
        <v>0</v>
      </c>
      <c r="AZ10" s="198">
        <f>IFERROR(__xludf.DUMMYFUNCTION("""COMPUTED_VALUE"""),0.0)</f>
        <v>0</v>
      </c>
      <c r="BA10" s="195"/>
    </row>
    <row r="11" ht="15.75" customHeight="1">
      <c r="A11" s="29"/>
      <c r="B11" s="48" t="str">
        <f>IFERROR(__xludf.DUMMYFUNCTION("""COMPUTED_VALUE"""),"Trong tổng số cơ sở, có:")</f>
        <v>Trong tổng số cơ sở, có:</v>
      </c>
      <c r="C11" s="31"/>
      <c r="D11" s="3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50"/>
      <c r="BA11" s="195"/>
    </row>
    <row r="12" ht="15.75" customHeight="1">
      <c r="A12" s="29"/>
      <c r="B12" s="67" t="str">
        <f>IFERROR(__xludf.DUMMYFUNCTION("""COMPUTED_VALUE"""),"1.2. Số trường đạt chuẩn Quốc gia")</f>
        <v>1.2. Số trường đạt chuẩn Quốc gia</v>
      </c>
      <c r="C12" s="31"/>
      <c r="D12" s="31" t="str">
        <f>IFERROR(__xludf.DUMMYFUNCTION("""COMPUTED_VALUE"""),"Trường")</f>
        <v>Trường</v>
      </c>
      <c r="E12" s="41">
        <f>IFERROR(__xludf.DUMMYFUNCTION("""COMPUTED_VALUE"""),95.0)</f>
        <v>95</v>
      </c>
      <c r="F12" s="197">
        <f>IFERROR(__xludf.DUMMYFUNCTION("""COMPUTED_VALUE"""),95.0)</f>
        <v>95</v>
      </c>
      <c r="G12" s="197">
        <f>IFERROR(__xludf.DUMMYFUNCTION("""COMPUTED_VALUE"""),0.0)</f>
        <v>0</v>
      </c>
      <c r="H12" s="197">
        <f>IFERROR(__xludf.DUMMYFUNCTION("""COMPUTED_VALUE"""),0.0)</f>
        <v>0</v>
      </c>
      <c r="I12" s="41">
        <f>IFERROR(__xludf.DUMMYFUNCTION("""COMPUTED_VALUE"""),95.0)</f>
        <v>95</v>
      </c>
      <c r="J12" s="197">
        <f>IFERROR(__xludf.DUMMYFUNCTION("""COMPUTED_VALUE"""),95.0)</f>
        <v>95</v>
      </c>
      <c r="K12" s="197">
        <f>IFERROR(__xludf.DUMMYFUNCTION("""COMPUTED_VALUE"""),0.0)</f>
        <v>0</v>
      </c>
      <c r="L12" s="197">
        <f>IFERROR(__xludf.DUMMYFUNCTION("""COMPUTED_VALUE"""),0.0)</f>
        <v>0</v>
      </c>
      <c r="M12" s="41">
        <f>IFERROR(__xludf.DUMMYFUNCTION("""COMPUTED_VALUE"""),95.0)</f>
        <v>95</v>
      </c>
      <c r="N12" s="197">
        <f>IFERROR(__xludf.DUMMYFUNCTION("""COMPUTED_VALUE"""),95.0)</f>
        <v>95</v>
      </c>
      <c r="O12" s="197">
        <f>IFERROR(__xludf.DUMMYFUNCTION("""COMPUTED_VALUE"""),0.0)</f>
        <v>0</v>
      </c>
      <c r="P12" s="197">
        <f>IFERROR(__xludf.DUMMYFUNCTION("""COMPUTED_VALUE"""),0.0)</f>
        <v>0</v>
      </c>
      <c r="Q12" s="41">
        <f>IFERROR(__xludf.DUMMYFUNCTION("""COMPUTED_VALUE"""),95.0)</f>
        <v>95</v>
      </c>
      <c r="R12" s="197">
        <f>IFERROR(__xludf.DUMMYFUNCTION("""COMPUTED_VALUE"""),95.0)</f>
        <v>95</v>
      </c>
      <c r="S12" s="197">
        <f>IFERROR(__xludf.DUMMYFUNCTION("""COMPUTED_VALUE"""),0.0)</f>
        <v>0</v>
      </c>
      <c r="T12" s="197">
        <f>IFERROR(__xludf.DUMMYFUNCTION("""COMPUTED_VALUE"""),0.0)</f>
        <v>0</v>
      </c>
      <c r="U12" s="41">
        <f>IFERROR(__xludf.DUMMYFUNCTION("""COMPUTED_VALUE"""),96.0)</f>
        <v>96</v>
      </c>
      <c r="V12" s="197">
        <f>IFERROR(__xludf.DUMMYFUNCTION("""COMPUTED_VALUE"""),96.0)</f>
        <v>96</v>
      </c>
      <c r="W12" s="197">
        <f>IFERROR(__xludf.DUMMYFUNCTION("""COMPUTED_VALUE"""),0.0)</f>
        <v>0</v>
      </c>
      <c r="X12" s="197">
        <f>IFERROR(__xludf.DUMMYFUNCTION("""COMPUTED_VALUE"""),0.0)</f>
        <v>0</v>
      </c>
      <c r="Y12" s="41">
        <f>IFERROR(__xludf.DUMMYFUNCTION("""COMPUTED_VALUE"""),96.0)</f>
        <v>96</v>
      </c>
      <c r="Z12" s="197">
        <f>IFERROR(__xludf.DUMMYFUNCTION("""COMPUTED_VALUE"""),96.0)</f>
        <v>96</v>
      </c>
      <c r="AA12" s="197">
        <f>IFERROR(__xludf.DUMMYFUNCTION("""COMPUTED_VALUE"""),0.0)</f>
        <v>0</v>
      </c>
      <c r="AB12" s="197">
        <f>IFERROR(__xludf.DUMMYFUNCTION("""COMPUTED_VALUE"""),0.0)</f>
        <v>0</v>
      </c>
      <c r="AC12" s="41">
        <f>IFERROR(__xludf.DUMMYFUNCTION("""COMPUTED_VALUE"""),96.0)</f>
        <v>96</v>
      </c>
      <c r="AD12" s="197">
        <f>IFERROR(__xludf.DUMMYFUNCTION("""COMPUTED_VALUE"""),96.0)</f>
        <v>96</v>
      </c>
      <c r="AE12" s="197">
        <f>IFERROR(__xludf.DUMMYFUNCTION("""COMPUTED_VALUE"""),0.0)</f>
        <v>0</v>
      </c>
      <c r="AF12" s="197">
        <f>IFERROR(__xludf.DUMMYFUNCTION("""COMPUTED_VALUE"""),0.0)</f>
        <v>0</v>
      </c>
      <c r="AG12" s="41">
        <f>IFERROR(__xludf.DUMMYFUNCTION("""COMPUTED_VALUE"""),0.0)</f>
        <v>0</v>
      </c>
      <c r="AH12" s="197">
        <f>IFERROR(__xludf.DUMMYFUNCTION("""COMPUTED_VALUE"""),0.0)</f>
        <v>0</v>
      </c>
      <c r="AI12" s="197">
        <f>IFERROR(__xludf.DUMMYFUNCTION("""COMPUTED_VALUE"""),0.0)</f>
        <v>0</v>
      </c>
      <c r="AJ12" s="197">
        <f>IFERROR(__xludf.DUMMYFUNCTION("""COMPUTED_VALUE"""),0.0)</f>
        <v>0</v>
      </c>
      <c r="AK12" s="41">
        <f>IFERROR(__xludf.DUMMYFUNCTION("""COMPUTED_VALUE"""),0.0)</f>
        <v>0</v>
      </c>
      <c r="AL12" s="197">
        <f>IFERROR(__xludf.DUMMYFUNCTION("""COMPUTED_VALUE"""),0.0)</f>
        <v>0</v>
      </c>
      <c r="AM12" s="197">
        <f>IFERROR(__xludf.DUMMYFUNCTION("""COMPUTED_VALUE"""),0.0)</f>
        <v>0</v>
      </c>
      <c r="AN12" s="197">
        <f>IFERROR(__xludf.DUMMYFUNCTION("""COMPUTED_VALUE"""),0.0)</f>
        <v>0</v>
      </c>
      <c r="AO12" s="41">
        <f>IFERROR(__xludf.DUMMYFUNCTION("""COMPUTED_VALUE"""),0.0)</f>
        <v>0</v>
      </c>
      <c r="AP12" s="197">
        <f>IFERROR(__xludf.DUMMYFUNCTION("""COMPUTED_VALUE"""),0.0)</f>
        <v>0</v>
      </c>
      <c r="AQ12" s="197">
        <f>IFERROR(__xludf.DUMMYFUNCTION("""COMPUTED_VALUE"""),0.0)</f>
        <v>0</v>
      </c>
      <c r="AR12" s="197">
        <f>IFERROR(__xludf.DUMMYFUNCTION("""COMPUTED_VALUE"""),0.0)</f>
        <v>0</v>
      </c>
      <c r="AS12" s="41">
        <f>IFERROR(__xludf.DUMMYFUNCTION("""COMPUTED_VALUE"""),0.0)</f>
        <v>0</v>
      </c>
      <c r="AT12" s="197">
        <f>IFERROR(__xludf.DUMMYFUNCTION("""COMPUTED_VALUE"""),0.0)</f>
        <v>0</v>
      </c>
      <c r="AU12" s="197">
        <f>IFERROR(__xludf.DUMMYFUNCTION("""COMPUTED_VALUE"""),0.0)</f>
        <v>0</v>
      </c>
      <c r="AV12" s="197">
        <f>IFERROR(__xludf.DUMMYFUNCTION("""COMPUTED_VALUE"""),0.0)</f>
        <v>0</v>
      </c>
      <c r="AW12" s="41">
        <f>IFERROR(__xludf.DUMMYFUNCTION("""COMPUTED_VALUE"""),0.0)</f>
        <v>0</v>
      </c>
      <c r="AX12" s="197">
        <f>IFERROR(__xludf.DUMMYFUNCTION("""COMPUTED_VALUE"""),0.0)</f>
        <v>0</v>
      </c>
      <c r="AY12" s="197">
        <f>IFERROR(__xludf.DUMMYFUNCTION("""COMPUTED_VALUE"""),0.0)</f>
        <v>0</v>
      </c>
      <c r="AZ12" s="198">
        <f>IFERROR(__xludf.DUMMYFUNCTION("""COMPUTED_VALUE"""),0.0)</f>
        <v>0</v>
      </c>
      <c r="BA12" s="195"/>
    </row>
    <row r="13" ht="15.75" customHeight="1">
      <c r="A13" s="29"/>
      <c r="B13" s="67" t="str">
        <f>IFERROR(__xludf.DUMMYFUNCTION("""COMPUTED_VALUE"""),"1.3. Số cơ sở có điểm lẻ")</f>
        <v>1.3. Số cơ sở có điểm lẻ</v>
      </c>
      <c r="C13" s="31"/>
      <c r="D13" s="31" t="str">
        <f>IFERROR(__xludf.DUMMYFUNCTION("""COMPUTED_VALUE"""),"Cơ sở")</f>
        <v>Cơ sở</v>
      </c>
      <c r="E13" s="41">
        <f>IFERROR(__xludf.DUMMYFUNCTION("""COMPUTED_VALUE"""),94.0)</f>
        <v>94</v>
      </c>
      <c r="F13" s="197">
        <f>IFERROR(__xludf.DUMMYFUNCTION("""COMPUTED_VALUE"""),91.0)</f>
        <v>91</v>
      </c>
      <c r="G13" s="197">
        <f>IFERROR(__xludf.DUMMYFUNCTION("""COMPUTED_VALUE"""),0.0)</f>
        <v>0</v>
      </c>
      <c r="H13" s="197">
        <f>IFERROR(__xludf.DUMMYFUNCTION("""COMPUTED_VALUE"""),3.0)</f>
        <v>3</v>
      </c>
      <c r="I13" s="41">
        <f>IFERROR(__xludf.DUMMYFUNCTION("""COMPUTED_VALUE"""),91.0)</f>
        <v>91</v>
      </c>
      <c r="J13" s="197">
        <f>IFERROR(__xludf.DUMMYFUNCTION("""COMPUTED_VALUE"""),91.0)</f>
        <v>91</v>
      </c>
      <c r="K13" s="197">
        <f>IFERROR(__xludf.DUMMYFUNCTION("""COMPUTED_VALUE"""),0.0)</f>
        <v>0</v>
      </c>
      <c r="L13" s="197">
        <f>IFERROR(__xludf.DUMMYFUNCTION("""COMPUTED_VALUE"""),0.0)</f>
        <v>0</v>
      </c>
      <c r="M13" s="41">
        <f>IFERROR(__xludf.DUMMYFUNCTION("""COMPUTED_VALUE"""),91.0)</f>
        <v>91</v>
      </c>
      <c r="N13" s="197">
        <f>IFERROR(__xludf.DUMMYFUNCTION("""COMPUTED_VALUE"""),91.0)</f>
        <v>91</v>
      </c>
      <c r="O13" s="197">
        <f>IFERROR(__xludf.DUMMYFUNCTION("""COMPUTED_VALUE"""),0.0)</f>
        <v>0</v>
      </c>
      <c r="P13" s="197">
        <f>IFERROR(__xludf.DUMMYFUNCTION("""COMPUTED_VALUE"""),0.0)</f>
        <v>0</v>
      </c>
      <c r="Q13" s="41">
        <f>IFERROR(__xludf.DUMMYFUNCTION("""COMPUTED_VALUE"""),83.0)</f>
        <v>83</v>
      </c>
      <c r="R13" s="197">
        <f>IFERROR(__xludf.DUMMYFUNCTION("""COMPUTED_VALUE"""),83.0)</f>
        <v>83</v>
      </c>
      <c r="S13" s="197">
        <f>IFERROR(__xludf.DUMMYFUNCTION("""COMPUTED_VALUE"""),0.0)</f>
        <v>0</v>
      </c>
      <c r="T13" s="197">
        <f>IFERROR(__xludf.DUMMYFUNCTION("""COMPUTED_VALUE"""),0.0)</f>
        <v>0</v>
      </c>
      <c r="U13" s="41">
        <f>IFERROR(__xludf.DUMMYFUNCTION("""COMPUTED_VALUE"""),83.0)</f>
        <v>83</v>
      </c>
      <c r="V13" s="197">
        <f>IFERROR(__xludf.DUMMYFUNCTION("""COMPUTED_VALUE"""),83.0)</f>
        <v>83</v>
      </c>
      <c r="W13" s="197">
        <f>IFERROR(__xludf.DUMMYFUNCTION("""COMPUTED_VALUE"""),0.0)</f>
        <v>0</v>
      </c>
      <c r="X13" s="197">
        <f>IFERROR(__xludf.DUMMYFUNCTION("""COMPUTED_VALUE"""),0.0)</f>
        <v>0</v>
      </c>
      <c r="Y13" s="41">
        <f>IFERROR(__xludf.DUMMYFUNCTION("""COMPUTED_VALUE"""),83.0)</f>
        <v>83</v>
      </c>
      <c r="Z13" s="197">
        <f>IFERROR(__xludf.DUMMYFUNCTION("""COMPUTED_VALUE"""),83.0)</f>
        <v>83</v>
      </c>
      <c r="AA13" s="197">
        <f>IFERROR(__xludf.DUMMYFUNCTION("""COMPUTED_VALUE"""),0.0)</f>
        <v>0</v>
      </c>
      <c r="AB13" s="197">
        <f>IFERROR(__xludf.DUMMYFUNCTION("""COMPUTED_VALUE"""),0.0)</f>
        <v>0</v>
      </c>
      <c r="AC13" s="41">
        <f>IFERROR(__xludf.DUMMYFUNCTION("""COMPUTED_VALUE"""),83.0)</f>
        <v>83</v>
      </c>
      <c r="AD13" s="197">
        <f>IFERROR(__xludf.DUMMYFUNCTION("""COMPUTED_VALUE"""),83.0)</f>
        <v>83</v>
      </c>
      <c r="AE13" s="197">
        <f>IFERROR(__xludf.DUMMYFUNCTION("""COMPUTED_VALUE"""),0.0)</f>
        <v>0</v>
      </c>
      <c r="AF13" s="197">
        <f>IFERROR(__xludf.DUMMYFUNCTION("""COMPUTED_VALUE"""),0.0)</f>
        <v>0</v>
      </c>
      <c r="AG13" s="41">
        <f>IFERROR(__xludf.DUMMYFUNCTION("""COMPUTED_VALUE"""),0.0)</f>
        <v>0</v>
      </c>
      <c r="AH13" s="197">
        <f>IFERROR(__xludf.DUMMYFUNCTION("""COMPUTED_VALUE"""),0.0)</f>
        <v>0</v>
      </c>
      <c r="AI13" s="197">
        <f>IFERROR(__xludf.DUMMYFUNCTION("""COMPUTED_VALUE"""),0.0)</f>
        <v>0</v>
      </c>
      <c r="AJ13" s="197">
        <f>IFERROR(__xludf.DUMMYFUNCTION("""COMPUTED_VALUE"""),0.0)</f>
        <v>0</v>
      </c>
      <c r="AK13" s="41">
        <f>IFERROR(__xludf.DUMMYFUNCTION("""COMPUTED_VALUE"""),0.0)</f>
        <v>0</v>
      </c>
      <c r="AL13" s="197">
        <f>IFERROR(__xludf.DUMMYFUNCTION("""COMPUTED_VALUE"""),0.0)</f>
        <v>0</v>
      </c>
      <c r="AM13" s="197">
        <f>IFERROR(__xludf.DUMMYFUNCTION("""COMPUTED_VALUE"""),0.0)</f>
        <v>0</v>
      </c>
      <c r="AN13" s="197">
        <f>IFERROR(__xludf.DUMMYFUNCTION("""COMPUTED_VALUE"""),0.0)</f>
        <v>0</v>
      </c>
      <c r="AO13" s="41">
        <f>IFERROR(__xludf.DUMMYFUNCTION("""COMPUTED_VALUE"""),0.0)</f>
        <v>0</v>
      </c>
      <c r="AP13" s="197">
        <f>IFERROR(__xludf.DUMMYFUNCTION("""COMPUTED_VALUE"""),0.0)</f>
        <v>0</v>
      </c>
      <c r="AQ13" s="197">
        <f>IFERROR(__xludf.DUMMYFUNCTION("""COMPUTED_VALUE"""),0.0)</f>
        <v>0</v>
      </c>
      <c r="AR13" s="197">
        <f>IFERROR(__xludf.DUMMYFUNCTION("""COMPUTED_VALUE"""),0.0)</f>
        <v>0</v>
      </c>
      <c r="AS13" s="41">
        <f>IFERROR(__xludf.DUMMYFUNCTION("""COMPUTED_VALUE"""),0.0)</f>
        <v>0</v>
      </c>
      <c r="AT13" s="197">
        <f>IFERROR(__xludf.DUMMYFUNCTION("""COMPUTED_VALUE"""),0.0)</f>
        <v>0</v>
      </c>
      <c r="AU13" s="197">
        <f>IFERROR(__xludf.DUMMYFUNCTION("""COMPUTED_VALUE"""),0.0)</f>
        <v>0</v>
      </c>
      <c r="AV13" s="197">
        <f>IFERROR(__xludf.DUMMYFUNCTION("""COMPUTED_VALUE"""),0.0)</f>
        <v>0</v>
      </c>
      <c r="AW13" s="41">
        <f>IFERROR(__xludf.DUMMYFUNCTION("""COMPUTED_VALUE"""),0.0)</f>
        <v>0</v>
      </c>
      <c r="AX13" s="197">
        <f>IFERROR(__xludf.DUMMYFUNCTION("""COMPUTED_VALUE"""),0.0)</f>
        <v>0</v>
      </c>
      <c r="AY13" s="197">
        <f>IFERROR(__xludf.DUMMYFUNCTION("""COMPUTED_VALUE"""),0.0)</f>
        <v>0</v>
      </c>
      <c r="AZ13" s="198">
        <f>IFERROR(__xludf.DUMMYFUNCTION("""COMPUTED_VALUE"""),0.0)</f>
        <v>0</v>
      </c>
      <c r="BA13" s="195"/>
    </row>
    <row r="14" ht="15.75" customHeight="1">
      <c r="A14" s="29"/>
      <c r="B14" s="52" t="str">
        <f>IFERROR(__xludf.DUMMYFUNCTION("""COMPUTED_VALUE"""),"Tổng số điểm lẻ")</f>
        <v>Tổng số điểm lẻ</v>
      </c>
      <c r="C14" s="49"/>
      <c r="D14" s="31" t="str">
        <f>IFERROR(__xludf.DUMMYFUNCTION("""COMPUTED_VALUE"""),"Điểm")</f>
        <v>Điểm</v>
      </c>
      <c r="E14" s="41">
        <f>IFERROR(__xludf.DUMMYFUNCTION("""COMPUTED_VALUE"""),182.0)</f>
        <v>182</v>
      </c>
      <c r="F14" s="197">
        <f>IFERROR(__xludf.DUMMYFUNCTION("""COMPUTED_VALUE"""),182.0)</f>
        <v>182</v>
      </c>
      <c r="G14" s="197">
        <f>IFERROR(__xludf.DUMMYFUNCTION("""COMPUTED_VALUE"""),0.0)</f>
        <v>0</v>
      </c>
      <c r="H14" s="197">
        <f>IFERROR(__xludf.DUMMYFUNCTION("""COMPUTED_VALUE"""),0.0)</f>
        <v>0</v>
      </c>
      <c r="I14" s="41">
        <f>IFERROR(__xludf.DUMMYFUNCTION("""COMPUTED_VALUE"""),182.0)</f>
        <v>182</v>
      </c>
      <c r="J14" s="197">
        <f>IFERROR(__xludf.DUMMYFUNCTION("""COMPUTED_VALUE"""),182.0)</f>
        <v>182</v>
      </c>
      <c r="K14" s="197">
        <f>IFERROR(__xludf.DUMMYFUNCTION("""COMPUTED_VALUE"""),0.0)</f>
        <v>0</v>
      </c>
      <c r="L14" s="197">
        <f>IFERROR(__xludf.DUMMYFUNCTION("""COMPUTED_VALUE"""),0.0)</f>
        <v>0</v>
      </c>
      <c r="M14" s="41">
        <f>IFERROR(__xludf.DUMMYFUNCTION("""COMPUTED_VALUE"""),182.0)</f>
        <v>182</v>
      </c>
      <c r="N14" s="197">
        <f>IFERROR(__xludf.DUMMYFUNCTION("""COMPUTED_VALUE"""),182.0)</f>
        <v>182</v>
      </c>
      <c r="O14" s="197">
        <f>IFERROR(__xludf.DUMMYFUNCTION("""COMPUTED_VALUE"""),0.0)</f>
        <v>0</v>
      </c>
      <c r="P14" s="197">
        <f>IFERROR(__xludf.DUMMYFUNCTION("""COMPUTED_VALUE"""),0.0)</f>
        <v>0</v>
      </c>
      <c r="Q14" s="41">
        <f>IFERROR(__xludf.DUMMYFUNCTION("""COMPUTED_VALUE"""),182.0)</f>
        <v>182</v>
      </c>
      <c r="R14" s="197">
        <f>IFERROR(__xludf.DUMMYFUNCTION("""COMPUTED_VALUE"""),182.0)</f>
        <v>182</v>
      </c>
      <c r="S14" s="197">
        <f>IFERROR(__xludf.DUMMYFUNCTION("""COMPUTED_VALUE"""),0.0)</f>
        <v>0</v>
      </c>
      <c r="T14" s="197">
        <f>IFERROR(__xludf.DUMMYFUNCTION("""COMPUTED_VALUE"""),0.0)</f>
        <v>0</v>
      </c>
      <c r="U14" s="41">
        <f>IFERROR(__xludf.DUMMYFUNCTION("""COMPUTED_VALUE"""),182.0)</f>
        <v>182</v>
      </c>
      <c r="V14" s="197">
        <f>IFERROR(__xludf.DUMMYFUNCTION("""COMPUTED_VALUE"""),182.0)</f>
        <v>182</v>
      </c>
      <c r="W14" s="197">
        <f>IFERROR(__xludf.DUMMYFUNCTION("""COMPUTED_VALUE"""),0.0)</f>
        <v>0</v>
      </c>
      <c r="X14" s="197">
        <f>IFERROR(__xludf.DUMMYFUNCTION("""COMPUTED_VALUE"""),0.0)</f>
        <v>0</v>
      </c>
      <c r="Y14" s="41">
        <f>IFERROR(__xludf.DUMMYFUNCTION("""COMPUTED_VALUE"""),182.0)</f>
        <v>182</v>
      </c>
      <c r="Z14" s="197">
        <f>IFERROR(__xludf.DUMMYFUNCTION("""COMPUTED_VALUE"""),182.0)</f>
        <v>182</v>
      </c>
      <c r="AA14" s="197">
        <f>IFERROR(__xludf.DUMMYFUNCTION("""COMPUTED_VALUE"""),0.0)</f>
        <v>0</v>
      </c>
      <c r="AB14" s="197">
        <f>IFERROR(__xludf.DUMMYFUNCTION("""COMPUTED_VALUE"""),0.0)</f>
        <v>0</v>
      </c>
      <c r="AC14" s="41">
        <f>IFERROR(__xludf.DUMMYFUNCTION("""COMPUTED_VALUE"""),182.0)</f>
        <v>182</v>
      </c>
      <c r="AD14" s="197">
        <f>IFERROR(__xludf.DUMMYFUNCTION("""COMPUTED_VALUE"""),182.0)</f>
        <v>182</v>
      </c>
      <c r="AE14" s="197">
        <f>IFERROR(__xludf.DUMMYFUNCTION("""COMPUTED_VALUE"""),0.0)</f>
        <v>0</v>
      </c>
      <c r="AF14" s="197">
        <f>IFERROR(__xludf.DUMMYFUNCTION("""COMPUTED_VALUE"""),0.0)</f>
        <v>0</v>
      </c>
      <c r="AG14" s="41">
        <f>IFERROR(__xludf.DUMMYFUNCTION("""COMPUTED_VALUE"""),0.0)</f>
        <v>0</v>
      </c>
      <c r="AH14" s="197">
        <f>IFERROR(__xludf.DUMMYFUNCTION("""COMPUTED_VALUE"""),0.0)</f>
        <v>0</v>
      </c>
      <c r="AI14" s="197">
        <f>IFERROR(__xludf.DUMMYFUNCTION("""COMPUTED_VALUE"""),0.0)</f>
        <v>0</v>
      </c>
      <c r="AJ14" s="197">
        <f>IFERROR(__xludf.DUMMYFUNCTION("""COMPUTED_VALUE"""),0.0)</f>
        <v>0</v>
      </c>
      <c r="AK14" s="41">
        <f>IFERROR(__xludf.DUMMYFUNCTION("""COMPUTED_VALUE"""),0.0)</f>
        <v>0</v>
      </c>
      <c r="AL14" s="197">
        <f>IFERROR(__xludf.DUMMYFUNCTION("""COMPUTED_VALUE"""),0.0)</f>
        <v>0</v>
      </c>
      <c r="AM14" s="197">
        <f>IFERROR(__xludf.DUMMYFUNCTION("""COMPUTED_VALUE"""),0.0)</f>
        <v>0</v>
      </c>
      <c r="AN14" s="197">
        <f>IFERROR(__xludf.DUMMYFUNCTION("""COMPUTED_VALUE"""),0.0)</f>
        <v>0</v>
      </c>
      <c r="AO14" s="41">
        <f>IFERROR(__xludf.DUMMYFUNCTION("""COMPUTED_VALUE"""),0.0)</f>
        <v>0</v>
      </c>
      <c r="AP14" s="197">
        <f>IFERROR(__xludf.DUMMYFUNCTION("""COMPUTED_VALUE"""),0.0)</f>
        <v>0</v>
      </c>
      <c r="AQ14" s="197">
        <f>IFERROR(__xludf.DUMMYFUNCTION("""COMPUTED_VALUE"""),0.0)</f>
        <v>0</v>
      </c>
      <c r="AR14" s="197">
        <f>IFERROR(__xludf.DUMMYFUNCTION("""COMPUTED_VALUE"""),0.0)</f>
        <v>0</v>
      </c>
      <c r="AS14" s="41">
        <f>IFERROR(__xludf.DUMMYFUNCTION("""COMPUTED_VALUE"""),0.0)</f>
        <v>0</v>
      </c>
      <c r="AT14" s="197">
        <f>IFERROR(__xludf.DUMMYFUNCTION("""COMPUTED_VALUE"""),0.0)</f>
        <v>0</v>
      </c>
      <c r="AU14" s="197">
        <f>IFERROR(__xludf.DUMMYFUNCTION("""COMPUTED_VALUE"""),0.0)</f>
        <v>0</v>
      </c>
      <c r="AV14" s="197">
        <f>IFERROR(__xludf.DUMMYFUNCTION("""COMPUTED_VALUE"""),0.0)</f>
        <v>0</v>
      </c>
      <c r="AW14" s="41">
        <f>IFERROR(__xludf.DUMMYFUNCTION("""COMPUTED_VALUE"""),0.0)</f>
        <v>0</v>
      </c>
      <c r="AX14" s="197">
        <f>IFERROR(__xludf.DUMMYFUNCTION("""COMPUTED_VALUE"""),0.0)</f>
        <v>0</v>
      </c>
      <c r="AY14" s="197">
        <f>IFERROR(__xludf.DUMMYFUNCTION("""COMPUTED_VALUE"""),0.0)</f>
        <v>0</v>
      </c>
      <c r="AZ14" s="198">
        <f>IFERROR(__xludf.DUMMYFUNCTION("""COMPUTED_VALUE"""),0.0)</f>
        <v>0</v>
      </c>
      <c r="BA14" s="195"/>
    </row>
    <row r="15" ht="15.75" customHeight="1">
      <c r="A15" s="199"/>
      <c r="B15" s="67" t="str">
        <f>IFERROR(__xludf.DUMMYFUNCTION("""COMPUTED_VALUE"""),"1.4. Số cơ sở ở vùng ĐBKK")</f>
        <v>1.4. Số cơ sở ở vùng ĐBKK</v>
      </c>
      <c r="C15" s="31"/>
      <c r="D15" s="31" t="str">
        <f>IFERROR(__xludf.DUMMYFUNCTION("""COMPUTED_VALUE"""),"Cơ sở")</f>
        <v>Cơ sở</v>
      </c>
      <c r="E15" s="41">
        <f>IFERROR(__xludf.DUMMYFUNCTION("""COMPUTED_VALUE"""),38.0)</f>
        <v>38</v>
      </c>
      <c r="F15" s="197">
        <f>IFERROR(__xludf.DUMMYFUNCTION("""COMPUTED_VALUE"""),37.0)</f>
        <v>37</v>
      </c>
      <c r="G15" s="197">
        <f>IFERROR(__xludf.DUMMYFUNCTION("""COMPUTED_VALUE"""),0.0)</f>
        <v>0</v>
      </c>
      <c r="H15" s="197">
        <f>IFERROR(__xludf.DUMMYFUNCTION("""COMPUTED_VALUE"""),1.0)</f>
        <v>1</v>
      </c>
      <c r="I15" s="41">
        <f>IFERROR(__xludf.DUMMYFUNCTION("""COMPUTED_VALUE"""),38.0)</f>
        <v>38</v>
      </c>
      <c r="J15" s="197">
        <f>IFERROR(__xludf.DUMMYFUNCTION("""COMPUTED_VALUE"""),37.0)</f>
        <v>37</v>
      </c>
      <c r="K15" s="197">
        <f>IFERROR(__xludf.DUMMYFUNCTION("""COMPUTED_VALUE"""),0.0)</f>
        <v>0</v>
      </c>
      <c r="L15" s="197">
        <f>IFERROR(__xludf.DUMMYFUNCTION("""COMPUTED_VALUE"""),1.0)</f>
        <v>1</v>
      </c>
      <c r="M15" s="41">
        <f>IFERROR(__xludf.DUMMYFUNCTION("""COMPUTED_VALUE"""),38.0)</f>
        <v>38</v>
      </c>
      <c r="N15" s="197">
        <f>IFERROR(__xludf.DUMMYFUNCTION("""COMPUTED_VALUE"""),37.0)</f>
        <v>37</v>
      </c>
      <c r="O15" s="197">
        <f>IFERROR(__xludf.DUMMYFUNCTION("""COMPUTED_VALUE"""),0.0)</f>
        <v>0</v>
      </c>
      <c r="P15" s="197">
        <f>IFERROR(__xludf.DUMMYFUNCTION("""COMPUTED_VALUE"""),1.0)</f>
        <v>1</v>
      </c>
      <c r="Q15" s="41">
        <f>IFERROR(__xludf.DUMMYFUNCTION("""COMPUTED_VALUE"""),38.0)</f>
        <v>38</v>
      </c>
      <c r="R15" s="197">
        <f>IFERROR(__xludf.DUMMYFUNCTION("""COMPUTED_VALUE"""),37.0)</f>
        <v>37</v>
      </c>
      <c r="S15" s="197">
        <f>IFERROR(__xludf.DUMMYFUNCTION("""COMPUTED_VALUE"""),0.0)</f>
        <v>0</v>
      </c>
      <c r="T15" s="197">
        <f>IFERROR(__xludf.DUMMYFUNCTION("""COMPUTED_VALUE"""),1.0)</f>
        <v>1</v>
      </c>
      <c r="U15" s="41">
        <f>IFERROR(__xludf.DUMMYFUNCTION("""COMPUTED_VALUE"""),38.0)</f>
        <v>38</v>
      </c>
      <c r="V15" s="197">
        <f>IFERROR(__xludf.DUMMYFUNCTION("""COMPUTED_VALUE"""),37.0)</f>
        <v>37</v>
      </c>
      <c r="W15" s="197">
        <f>IFERROR(__xludf.DUMMYFUNCTION("""COMPUTED_VALUE"""),0.0)</f>
        <v>0</v>
      </c>
      <c r="X15" s="197">
        <f>IFERROR(__xludf.DUMMYFUNCTION("""COMPUTED_VALUE"""),1.0)</f>
        <v>1</v>
      </c>
      <c r="Y15" s="41">
        <f>IFERROR(__xludf.DUMMYFUNCTION("""COMPUTED_VALUE"""),38.0)</f>
        <v>38</v>
      </c>
      <c r="Z15" s="197">
        <f>IFERROR(__xludf.DUMMYFUNCTION("""COMPUTED_VALUE"""),37.0)</f>
        <v>37</v>
      </c>
      <c r="AA15" s="197">
        <f>IFERROR(__xludf.DUMMYFUNCTION("""COMPUTED_VALUE"""),0.0)</f>
        <v>0</v>
      </c>
      <c r="AB15" s="197">
        <f>IFERROR(__xludf.DUMMYFUNCTION("""COMPUTED_VALUE"""),1.0)</f>
        <v>1</v>
      </c>
      <c r="AC15" s="41">
        <f>IFERROR(__xludf.DUMMYFUNCTION("""COMPUTED_VALUE"""),38.0)</f>
        <v>38</v>
      </c>
      <c r="AD15" s="197">
        <f>IFERROR(__xludf.DUMMYFUNCTION("""COMPUTED_VALUE"""),37.0)</f>
        <v>37</v>
      </c>
      <c r="AE15" s="197">
        <f>IFERROR(__xludf.DUMMYFUNCTION("""COMPUTED_VALUE"""),0.0)</f>
        <v>0</v>
      </c>
      <c r="AF15" s="197">
        <f>IFERROR(__xludf.DUMMYFUNCTION("""COMPUTED_VALUE"""),1.0)</f>
        <v>1</v>
      </c>
      <c r="AG15" s="41">
        <f>IFERROR(__xludf.DUMMYFUNCTION("""COMPUTED_VALUE"""),0.0)</f>
        <v>0</v>
      </c>
      <c r="AH15" s="197">
        <f>IFERROR(__xludf.DUMMYFUNCTION("""COMPUTED_VALUE"""),0.0)</f>
        <v>0</v>
      </c>
      <c r="AI15" s="197">
        <f>IFERROR(__xludf.DUMMYFUNCTION("""COMPUTED_VALUE"""),0.0)</f>
        <v>0</v>
      </c>
      <c r="AJ15" s="197">
        <f>IFERROR(__xludf.DUMMYFUNCTION("""COMPUTED_VALUE"""),0.0)</f>
        <v>0</v>
      </c>
      <c r="AK15" s="41">
        <f>IFERROR(__xludf.DUMMYFUNCTION("""COMPUTED_VALUE"""),0.0)</f>
        <v>0</v>
      </c>
      <c r="AL15" s="197">
        <f>IFERROR(__xludf.DUMMYFUNCTION("""COMPUTED_VALUE"""),0.0)</f>
        <v>0</v>
      </c>
      <c r="AM15" s="197">
        <f>IFERROR(__xludf.DUMMYFUNCTION("""COMPUTED_VALUE"""),0.0)</f>
        <v>0</v>
      </c>
      <c r="AN15" s="197">
        <f>IFERROR(__xludf.DUMMYFUNCTION("""COMPUTED_VALUE"""),0.0)</f>
        <v>0</v>
      </c>
      <c r="AO15" s="41">
        <f>IFERROR(__xludf.DUMMYFUNCTION("""COMPUTED_VALUE"""),0.0)</f>
        <v>0</v>
      </c>
      <c r="AP15" s="197">
        <f>IFERROR(__xludf.DUMMYFUNCTION("""COMPUTED_VALUE"""),0.0)</f>
        <v>0</v>
      </c>
      <c r="AQ15" s="197">
        <f>IFERROR(__xludf.DUMMYFUNCTION("""COMPUTED_VALUE"""),0.0)</f>
        <v>0</v>
      </c>
      <c r="AR15" s="197">
        <f>IFERROR(__xludf.DUMMYFUNCTION("""COMPUTED_VALUE"""),0.0)</f>
        <v>0</v>
      </c>
      <c r="AS15" s="41">
        <f>IFERROR(__xludf.DUMMYFUNCTION("""COMPUTED_VALUE"""),0.0)</f>
        <v>0</v>
      </c>
      <c r="AT15" s="197">
        <f>IFERROR(__xludf.DUMMYFUNCTION("""COMPUTED_VALUE"""),0.0)</f>
        <v>0</v>
      </c>
      <c r="AU15" s="197">
        <f>IFERROR(__xludf.DUMMYFUNCTION("""COMPUTED_VALUE"""),0.0)</f>
        <v>0</v>
      </c>
      <c r="AV15" s="197">
        <f>IFERROR(__xludf.DUMMYFUNCTION("""COMPUTED_VALUE"""),0.0)</f>
        <v>0</v>
      </c>
      <c r="AW15" s="41">
        <f>IFERROR(__xludf.DUMMYFUNCTION("""COMPUTED_VALUE"""),0.0)</f>
        <v>0</v>
      </c>
      <c r="AX15" s="197">
        <f>IFERROR(__xludf.DUMMYFUNCTION("""COMPUTED_VALUE"""),0.0)</f>
        <v>0</v>
      </c>
      <c r="AY15" s="197">
        <f>IFERROR(__xludf.DUMMYFUNCTION("""COMPUTED_VALUE"""),0.0)</f>
        <v>0</v>
      </c>
      <c r="AZ15" s="198">
        <f>IFERROR(__xludf.DUMMYFUNCTION("""COMPUTED_VALUE"""),0.0)</f>
        <v>0</v>
      </c>
      <c r="BA15" s="195"/>
    </row>
    <row r="16" ht="15.75" customHeight="1">
      <c r="A16" s="29"/>
      <c r="B16" s="30" t="str">
        <f>IFERROR(__xludf.DUMMYFUNCTION("""COMPUTED_VALUE"""),"2. SỐ NHÓM, LỚP")</f>
        <v>2. SỐ NHÓM, LỚP</v>
      </c>
      <c r="C16" s="31" t="str">
        <f>IFERROR(__xludf.DUMMYFUNCTION("""COMPUTED_VALUE"""),"Tháng")</f>
        <v>Tháng</v>
      </c>
      <c r="D16" s="3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50"/>
      <c r="BA16" s="195"/>
    </row>
    <row r="17" ht="15.75" customHeight="1">
      <c r="A17" s="29"/>
      <c r="B17" s="196" t="str">
        <f>IFERROR(__xludf.DUMMYFUNCTION("""COMPUTED_VALUE"""),"Tổng số")</f>
        <v>Tổng số</v>
      </c>
      <c r="C17" s="57"/>
      <c r="D17" s="57" t="str">
        <f>IFERROR(__xludf.DUMMYFUNCTION("""COMPUTED_VALUE"""),"Nhóm, lớp")</f>
        <v>Nhóm, lớp</v>
      </c>
      <c r="E17" s="125">
        <f>IFERROR(__xludf.DUMMYFUNCTION("""COMPUTED_VALUE"""),1614.0)</f>
        <v>1614</v>
      </c>
      <c r="F17" s="125">
        <f>IFERROR(__xludf.DUMMYFUNCTION("""COMPUTED_VALUE"""),1414.0)</f>
        <v>1414</v>
      </c>
      <c r="G17" s="125">
        <f>IFERROR(__xludf.DUMMYFUNCTION("""COMPUTED_VALUE"""),25.0)</f>
        <v>25</v>
      </c>
      <c r="H17" s="125">
        <f>IFERROR(__xludf.DUMMYFUNCTION("""COMPUTED_VALUE"""),175.0)</f>
        <v>175</v>
      </c>
      <c r="I17" s="125">
        <f>IFERROR(__xludf.DUMMYFUNCTION("""COMPUTED_VALUE"""),1614.0)</f>
        <v>1614</v>
      </c>
      <c r="J17" s="125">
        <f>IFERROR(__xludf.DUMMYFUNCTION("""COMPUTED_VALUE"""),1414.0)</f>
        <v>1414</v>
      </c>
      <c r="K17" s="125">
        <f>IFERROR(__xludf.DUMMYFUNCTION("""COMPUTED_VALUE"""),25.0)</f>
        <v>25</v>
      </c>
      <c r="L17" s="125">
        <f>IFERROR(__xludf.DUMMYFUNCTION("""COMPUTED_VALUE"""),175.0)</f>
        <v>175</v>
      </c>
      <c r="M17" s="125">
        <f>IFERROR(__xludf.DUMMYFUNCTION("""COMPUTED_VALUE"""),1609.0)</f>
        <v>1609</v>
      </c>
      <c r="N17" s="125">
        <f>IFERROR(__xludf.DUMMYFUNCTION("""COMPUTED_VALUE"""),1415.0)</f>
        <v>1415</v>
      </c>
      <c r="O17" s="125">
        <f>IFERROR(__xludf.DUMMYFUNCTION("""COMPUTED_VALUE"""),23.0)</f>
        <v>23</v>
      </c>
      <c r="P17" s="125">
        <f>IFERROR(__xludf.DUMMYFUNCTION("""COMPUTED_VALUE"""),171.0)</f>
        <v>171</v>
      </c>
      <c r="Q17" s="125">
        <f>IFERROR(__xludf.DUMMYFUNCTION("""COMPUTED_VALUE"""),1612.0)</f>
        <v>1612</v>
      </c>
      <c r="R17" s="125">
        <f>IFERROR(__xludf.DUMMYFUNCTION("""COMPUTED_VALUE"""),1417.0)</f>
        <v>1417</v>
      </c>
      <c r="S17" s="125">
        <f>IFERROR(__xludf.DUMMYFUNCTION("""COMPUTED_VALUE"""),23.0)</f>
        <v>23</v>
      </c>
      <c r="T17" s="125">
        <f>IFERROR(__xludf.DUMMYFUNCTION("""COMPUTED_VALUE"""),172.0)</f>
        <v>172</v>
      </c>
      <c r="U17" s="125">
        <f>IFERROR(__xludf.DUMMYFUNCTION("""COMPUTED_VALUE"""),1612.0)</f>
        <v>1612</v>
      </c>
      <c r="V17" s="125">
        <f>IFERROR(__xludf.DUMMYFUNCTION("""COMPUTED_VALUE"""),1417.0)</f>
        <v>1417</v>
      </c>
      <c r="W17" s="125">
        <f>IFERROR(__xludf.DUMMYFUNCTION("""COMPUTED_VALUE"""),23.0)</f>
        <v>23</v>
      </c>
      <c r="X17" s="125">
        <f>IFERROR(__xludf.DUMMYFUNCTION("""COMPUTED_VALUE"""),172.0)</f>
        <v>172</v>
      </c>
      <c r="Y17" s="125">
        <f>IFERROR(__xludf.DUMMYFUNCTION("""COMPUTED_VALUE"""),1616.0)</f>
        <v>1616</v>
      </c>
      <c r="Z17" s="125">
        <f>IFERROR(__xludf.DUMMYFUNCTION("""COMPUTED_VALUE"""),1418.0)</f>
        <v>1418</v>
      </c>
      <c r="AA17" s="125">
        <f>IFERROR(__xludf.DUMMYFUNCTION("""COMPUTED_VALUE"""),23.0)</f>
        <v>23</v>
      </c>
      <c r="AB17" s="125">
        <f>IFERROR(__xludf.DUMMYFUNCTION("""COMPUTED_VALUE"""),175.0)</f>
        <v>175</v>
      </c>
      <c r="AC17" s="125">
        <f>IFERROR(__xludf.DUMMYFUNCTION("""COMPUTED_VALUE"""),1616.0)</f>
        <v>1616</v>
      </c>
      <c r="AD17" s="125">
        <f>IFERROR(__xludf.DUMMYFUNCTION("""COMPUTED_VALUE"""),1418.0)</f>
        <v>1418</v>
      </c>
      <c r="AE17" s="125">
        <f>IFERROR(__xludf.DUMMYFUNCTION("""COMPUTED_VALUE"""),23.0)</f>
        <v>23</v>
      </c>
      <c r="AF17" s="125">
        <f>IFERROR(__xludf.DUMMYFUNCTION("""COMPUTED_VALUE"""),175.0)</f>
        <v>175</v>
      </c>
      <c r="AG17" s="125">
        <f>IFERROR(__xludf.DUMMYFUNCTION("""COMPUTED_VALUE"""),0.0)</f>
        <v>0</v>
      </c>
      <c r="AH17" s="125">
        <f>IFERROR(__xludf.DUMMYFUNCTION("""COMPUTED_VALUE"""),0.0)</f>
        <v>0</v>
      </c>
      <c r="AI17" s="125">
        <f>IFERROR(__xludf.DUMMYFUNCTION("""COMPUTED_VALUE"""),0.0)</f>
        <v>0</v>
      </c>
      <c r="AJ17" s="125">
        <f>IFERROR(__xludf.DUMMYFUNCTION("""COMPUTED_VALUE"""),0.0)</f>
        <v>0</v>
      </c>
      <c r="AK17" s="125">
        <f>IFERROR(__xludf.DUMMYFUNCTION("""COMPUTED_VALUE"""),0.0)</f>
        <v>0</v>
      </c>
      <c r="AL17" s="125">
        <f>IFERROR(__xludf.DUMMYFUNCTION("""COMPUTED_VALUE"""),0.0)</f>
        <v>0</v>
      </c>
      <c r="AM17" s="125">
        <f>IFERROR(__xludf.DUMMYFUNCTION("""COMPUTED_VALUE"""),0.0)</f>
        <v>0</v>
      </c>
      <c r="AN17" s="125">
        <f>IFERROR(__xludf.DUMMYFUNCTION("""COMPUTED_VALUE"""),0.0)</f>
        <v>0</v>
      </c>
      <c r="AO17" s="125">
        <f>IFERROR(__xludf.DUMMYFUNCTION("""COMPUTED_VALUE"""),0.0)</f>
        <v>0</v>
      </c>
      <c r="AP17" s="125">
        <f>IFERROR(__xludf.DUMMYFUNCTION("""COMPUTED_VALUE"""),0.0)</f>
        <v>0</v>
      </c>
      <c r="AQ17" s="125">
        <f>IFERROR(__xludf.DUMMYFUNCTION("""COMPUTED_VALUE"""),0.0)</f>
        <v>0</v>
      </c>
      <c r="AR17" s="125">
        <f>IFERROR(__xludf.DUMMYFUNCTION("""COMPUTED_VALUE"""),0.0)</f>
        <v>0</v>
      </c>
      <c r="AS17" s="125">
        <f>IFERROR(__xludf.DUMMYFUNCTION("""COMPUTED_VALUE"""),0.0)</f>
        <v>0</v>
      </c>
      <c r="AT17" s="125">
        <f>IFERROR(__xludf.DUMMYFUNCTION("""COMPUTED_VALUE"""),0.0)</f>
        <v>0</v>
      </c>
      <c r="AU17" s="125">
        <f>IFERROR(__xludf.DUMMYFUNCTION("""COMPUTED_VALUE"""),0.0)</f>
        <v>0</v>
      </c>
      <c r="AV17" s="125">
        <f>IFERROR(__xludf.DUMMYFUNCTION("""COMPUTED_VALUE"""),0.0)</f>
        <v>0</v>
      </c>
      <c r="AW17" s="125">
        <f>IFERROR(__xludf.DUMMYFUNCTION("""COMPUTED_VALUE"""),0.0)</f>
        <v>0</v>
      </c>
      <c r="AX17" s="125">
        <f>IFERROR(__xludf.DUMMYFUNCTION("""COMPUTED_VALUE"""),0.0)</f>
        <v>0</v>
      </c>
      <c r="AY17" s="125">
        <f>IFERROR(__xludf.DUMMYFUNCTION("""COMPUTED_VALUE"""),0.0)</f>
        <v>0</v>
      </c>
      <c r="AZ17" s="127">
        <f>IFERROR(__xludf.DUMMYFUNCTION("""COMPUTED_VALUE"""),0.0)</f>
        <v>0</v>
      </c>
      <c r="BA17" s="195"/>
    </row>
    <row r="18" ht="15.75" customHeight="1">
      <c r="A18" s="29"/>
      <c r="B18" s="67" t="str">
        <f>IFERROR(__xludf.DUMMYFUNCTION("""COMPUTED_VALUE"""),"Chia ra:  + Nhóm trẻ")</f>
        <v>Chia ra:  + Nhóm trẻ</v>
      </c>
      <c r="C18" s="31"/>
      <c r="D18" s="31" t="str">
        <f>IFERROR(__xludf.DUMMYFUNCTION("""COMPUTED_VALUE"""),"Nhóm")</f>
        <v>Nhóm</v>
      </c>
      <c r="E18" s="41">
        <f>IFERROR(__xludf.DUMMYFUNCTION("""COMPUTED_VALUE"""),150.0)</f>
        <v>150</v>
      </c>
      <c r="F18" s="197">
        <f>IFERROR(__xludf.DUMMYFUNCTION("""COMPUTED_VALUE"""),106.0)</f>
        <v>106</v>
      </c>
      <c r="G18" s="197">
        <f>IFERROR(__xludf.DUMMYFUNCTION("""COMPUTED_VALUE"""),2.0)</f>
        <v>2</v>
      </c>
      <c r="H18" s="197">
        <f>IFERROR(__xludf.DUMMYFUNCTION("""COMPUTED_VALUE"""),42.0)</f>
        <v>42</v>
      </c>
      <c r="I18" s="41">
        <f>IFERROR(__xludf.DUMMYFUNCTION("""COMPUTED_VALUE"""),150.0)</f>
        <v>150</v>
      </c>
      <c r="J18" s="197">
        <f>IFERROR(__xludf.DUMMYFUNCTION("""COMPUTED_VALUE"""),106.0)</f>
        <v>106</v>
      </c>
      <c r="K18" s="197">
        <f>IFERROR(__xludf.DUMMYFUNCTION("""COMPUTED_VALUE"""),2.0)</f>
        <v>2</v>
      </c>
      <c r="L18" s="197">
        <f>IFERROR(__xludf.DUMMYFUNCTION("""COMPUTED_VALUE"""),42.0)</f>
        <v>42</v>
      </c>
      <c r="M18" s="41">
        <f>IFERROR(__xludf.DUMMYFUNCTION("""COMPUTED_VALUE"""),146.0)</f>
        <v>146</v>
      </c>
      <c r="N18" s="197">
        <f>IFERROR(__xludf.DUMMYFUNCTION("""COMPUTED_VALUE"""),106.0)</f>
        <v>106</v>
      </c>
      <c r="O18" s="197">
        <f>IFERROR(__xludf.DUMMYFUNCTION("""COMPUTED_VALUE"""),2.0)</f>
        <v>2</v>
      </c>
      <c r="P18" s="197">
        <f>IFERROR(__xludf.DUMMYFUNCTION("""COMPUTED_VALUE"""),38.0)</f>
        <v>38</v>
      </c>
      <c r="Q18" s="41">
        <f>IFERROR(__xludf.DUMMYFUNCTION("""COMPUTED_VALUE"""),148.0)</f>
        <v>148</v>
      </c>
      <c r="R18" s="197">
        <f>IFERROR(__xludf.DUMMYFUNCTION("""COMPUTED_VALUE"""),107.0)</f>
        <v>107</v>
      </c>
      <c r="S18" s="197">
        <f>IFERROR(__xludf.DUMMYFUNCTION("""COMPUTED_VALUE"""),2.0)</f>
        <v>2</v>
      </c>
      <c r="T18" s="197">
        <f>IFERROR(__xludf.DUMMYFUNCTION("""COMPUTED_VALUE"""),39.0)</f>
        <v>39</v>
      </c>
      <c r="U18" s="41">
        <f>IFERROR(__xludf.DUMMYFUNCTION("""COMPUTED_VALUE"""),148.0)</f>
        <v>148</v>
      </c>
      <c r="V18" s="197">
        <f>IFERROR(__xludf.DUMMYFUNCTION("""COMPUTED_VALUE"""),107.0)</f>
        <v>107</v>
      </c>
      <c r="W18" s="197">
        <f>IFERROR(__xludf.DUMMYFUNCTION("""COMPUTED_VALUE"""),2.0)</f>
        <v>2</v>
      </c>
      <c r="X18" s="197">
        <f>IFERROR(__xludf.DUMMYFUNCTION("""COMPUTED_VALUE"""),39.0)</f>
        <v>39</v>
      </c>
      <c r="Y18" s="41">
        <f>IFERROR(__xludf.DUMMYFUNCTION("""COMPUTED_VALUE"""),149.0)</f>
        <v>149</v>
      </c>
      <c r="Z18" s="197">
        <f>IFERROR(__xludf.DUMMYFUNCTION("""COMPUTED_VALUE"""),107.0)</f>
        <v>107</v>
      </c>
      <c r="AA18" s="197">
        <f>IFERROR(__xludf.DUMMYFUNCTION("""COMPUTED_VALUE"""),2.0)</f>
        <v>2</v>
      </c>
      <c r="AB18" s="197">
        <f>IFERROR(__xludf.DUMMYFUNCTION("""COMPUTED_VALUE"""),40.0)</f>
        <v>40</v>
      </c>
      <c r="AC18" s="41">
        <f>IFERROR(__xludf.DUMMYFUNCTION("""COMPUTED_VALUE"""),149.0)</f>
        <v>149</v>
      </c>
      <c r="AD18" s="197">
        <f>IFERROR(__xludf.DUMMYFUNCTION("""COMPUTED_VALUE"""),107.0)</f>
        <v>107</v>
      </c>
      <c r="AE18" s="197">
        <f>IFERROR(__xludf.DUMMYFUNCTION("""COMPUTED_VALUE"""),2.0)</f>
        <v>2</v>
      </c>
      <c r="AF18" s="197">
        <f>IFERROR(__xludf.DUMMYFUNCTION("""COMPUTED_VALUE"""),40.0)</f>
        <v>40</v>
      </c>
      <c r="AG18" s="41">
        <f>IFERROR(__xludf.DUMMYFUNCTION("""COMPUTED_VALUE"""),0.0)</f>
        <v>0</v>
      </c>
      <c r="AH18" s="197">
        <f>IFERROR(__xludf.DUMMYFUNCTION("""COMPUTED_VALUE"""),0.0)</f>
        <v>0</v>
      </c>
      <c r="AI18" s="197">
        <f>IFERROR(__xludf.DUMMYFUNCTION("""COMPUTED_VALUE"""),0.0)</f>
        <v>0</v>
      </c>
      <c r="AJ18" s="197">
        <f>IFERROR(__xludf.DUMMYFUNCTION("""COMPUTED_VALUE"""),0.0)</f>
        <v>0</v>
      </c>
      <c r="AK18" s="41">
        <f>IFERROR(__xludf.DUMMYFUNCTION("""COMPUTED_VALUE"""),0.0)</f>
        <v>0</v>
      </c>
      <c r="AL18" s="197">
        <f>IFERROR(__xludf.DUMMYFUNCTION("""COMPUTED_VALUE"""),0.0)</f>
        <v>0</v>
      </c>
      <c r="AM18" s="197">
        <f>IFERROR(__xludf.DUMMYFUNCTION("""COMPUTED_VALUE"""),0.0)</f>
        <v>0</v>
      </c>
      <c r="AN18" s="197">
        <f>IFERROR(__xludf.DUMMYFUNCTION("""COMPUTED_VALUE"""),0.0)</f>
        <v>0</v>
      </c>
      <c r="AO18" s="41">
        <f>IFERROR(__xludf.DUMMYFUNCTION("""COMPUTED_VALUE"""),0.0)</f>
        <v>0</v>
      </c>
      <c r="AP18" s="197">
        <f>IFERROR(__xludf.DUMMYFUNCTION("""COMPUTED_VALUE"""),0.0)</f>
        <v>0</v>
      </c>
      <c r="AQ18" s="197">
        <f>IFERROR(__xludf.DUMMYFUNCTION("""COMPUTED_VALUE"""),0.0)</f>
        <v>0</v>
      </c>
      <c r="AR18" s="197">
        <f>IFERROR(__xludf.DUMMYFUNCTION("""COMPUTED_VALUE"""),0.0)</f>
        <v>0</v>
      </c>
      <c r="AS18" s="41">
        <f>IFERROR(__xludf.DUMMYFUNCTION("""COMPUTED_VALUE"""),0.0)</f>
        <v>0</v>
      </c>
      <c r="AT18" s="197">
        <f>IFERROR(__xludf.DUMMYFUNCTION("""COMPUTED_VALUE"""),0.0)</f>
        <v>0</v>
      </c>
      <c r="AU18" s="197">
        <f>IFERROR(__xludf.DUMMYFUNCTION("""COMPUTED_VALUE"""),0.0)</f>
        <v>0</v>
      </c>
      <c r="AV18" s="197">
        <f>IFERROR(__xludf.DUMMYFUNCTION("""COMPUTED_VALUE"""),0.0)</f>
        <v>0</v>
      </c>
      <c r="AW18" s="41">
        <f>IFERROR(__xludf.DUMMYFUNCTION("""COMPUTED_VALUE"""),0.0)</f>
        <v>0</v>
      </c>
      <c r="AX18" s="197">
        <f>IFERROR(__xludf.DUMMYFUNCTION("""COMPUTED_VALUE"""),0.0)</f>
        <v>0</v>
      </c>
      <c r="AY18" s="197">
        <f>IFERROR(__xludf.DUMMYFUNCTION("""COMPUTED_VALUE"""),0.0)</f>
        <v>0</v>
      </c>
      <c r="AZ18" s="198">
        <f>IFERROR(__xludf.DUMMYFUNCTION("""COMPUTED_VALUE"""),0.0)</f>
        <v>0</v>
      </c>
      <c r="BA18" s="195"/>
    </row>
    <row r="19" ht="15.75" customHeight="1">
      <c r="A19" s="29"/>
      <c r="B19" s="67" t="str">
        <f>IFERROR(__xludf.DUMMYFUNCTION("""COMPUTED_VALUE"""),"              + Lớp mầm non, mẫu giáo")</f>
        <v>              + Lớp mầm non, mẫu giáo</v>
      </c>
      <c r="C19" s="31"/>
      <c r="D19" s="31" t="str">
        <f>IFERROR(__xludf.DUMMYFUNCTION("""COMPUTED_VALUE"""),"Lớp")</f>
        <v>Lớp</v>
      </c>
      <c r="E19" s="41">
        <f>IFERROR(__xludf.DUMMYFUNCTION("""COMPUTED_VALUE"""),1464.0)</f>
        <v>1464</v>
      </c>
      <c r="F19" s="197">
        <f>IFERROR(__xludf.DUMMYFUNCTION("""COMPUTED_VALUE"""),1308.0)</f>
        <v>1308</v>
      </c>
      <c r="G19" s="197">
        <f>IFERROR(__xludf.DUMMYFUNCTION("""COMPUTED_VALUE"""),23.0)</f>
        <v>23</v>
      </c>
      <c r="H19" s="197">
        <f>IFERROR(__xludf.DUMMYFUNCTION("""COMPUTED_VALUE"""),133.0)</f>
        <v>133</v>
      </c>
      <c r="I19" s="41">
        <f>IFERROR(__xludf.DUMMYFUNCTION("""COMPUTED_VALUE"""),1464.0)</f>
        <v>1464</v>
      </c>
      <c r="J19" s="197">
        <f>IFERROR(__xludf.DUMMYFUNCTION("""COMPUTED_VALUE"""),1308.0)</f>
        <v>1308</v>
      </c>
      <c r="K19" s="197">
        <f>IFERROR(__xludf.DUMMYFUNCTION("""COMPUTED_VALUE"""),23.0)</f>
        <v>23</v>
      </c>
      <c r="L19" s="197">
        <f>IFERROR(__xludf.DUMMYFUNCTION("""COMPUTED_VALUE"""),133.0)</f>
        <v>133</v>
      </c>
      <c r="M19" s="41">
        <f>IFERROR(__xludf.DUMMYFUNCTION("""COMPUTED_VALUE"""),1463.0)</f>
        <v>1463</v>
      </c>
      <c r="N19" s="197">
        <f>IFERROR(__xludf.DUMMYFUNCTION("""COMPUTED_VALUE"""),1309.0)</f>
        <v>1309</v>
      </c>
      <c r="O19" s="197">
        <f>IFERROR(__xludf.DUMMYFUNCTION("""COMPUTED_VALUE"""),21.0)</f>
        <v>21</v>
      </c>
      <c r="P19" s="197">
        <f>IFERROR(__xludf.DUMMYFUNCTION("""COMPUTED_VALUE"""),133.0)</f>
        <v>133</v>
      </c>
      <c r="Q19" s="41">
        <f>IFERROR(__xludf.DUMMYFUNCTION("""COMPUTED_VALUE"""),1464.0)</f>
        <v>1464</v>
      </c>
      <c r="R19" s="197">
        <f>IFERROR(__xludf.DUMMYFUNCTION("""COMPUTED_VALUE"""),1310.0)</f>
        <v>1310</v>
      </c>
      <c r="S19" s="197">
        <f>IFERROR(__xludf.DUMMYFUNCTION("""COMPUTED_VALUE"""),21.0)</f>
        <v>21</v>
      </c>
      <c r="T19" s="197">
        <f>IFERROR(__xludf.DUMMYFUNCTION("""COMPUTED_VALUE"""),133.0)</f>
        <v>133</v>
      </c>
      <c r="U19" s="41">
        <f>IFERROR(__xludf.DUMMYFUNCTION("""COMPUTED_VALUE"""),1464.0)</f>
        <v>1464</v>
      </c>
      <c r="V19" s="197">
        <f>IFERROR(__xludf.DUMMYFUNCTION("""COMPUTED_VALUE"""),1310.0)</f>
        <v>1310</v>
      </c>
      <c r="W19" s="197">
        <f>IFERROR(__xludf.DUMMYFUNCTION("""COMPUTED_VALUE"""),21.0)</f>
        <v>21</v>
      </c>
      <c r="X19" s="197">
        <f>IFERROR(__xludf.DUMMYFUNCTION("""COMPUTED_VALUE"""),133.0)</f>
        <v>133</v>
      </c>
      <c r="Y19" s="41">
        <f>IFERROR(__xludf.DUMMYFUNCTION("""COMPUTED_VALUE"""),1467.0)</f>
        <v>1467</v>
      </c>
      <c r="Z19" s="197">
        <f>IFERROR(__xludf.DUMMYFUNCTION("""COMPUTED_VALUE"""),1311.0)</f>
        <v>1311</v>
      </c>
      <c r="AA19" s="197">
        <f>IFERROR(__xludf.DUMMYFUNCTION("""COMPUTED_VALUE"""),21.0)</f>
        <v>21</v>
      </c>
      <c r="AB19" s="197">
        <f>IFERROR(__xludf.DUMMYFUNCTION("""COMPUTED_VALUE"""),135.0)</f>
        <v>135</v>
      </c>
      <c r="AC19" s="41">
        <f>IFERROR(__xludf.DUMMYFUNCTION("""COMPUTED_VALUE"""),1467.0)</f>
        <v>1467</v>
      </c>
      <c r="AD19" s="197">
        <f>IFERROR(__xludf.DUMMYFUNCTION("""COMPUTED_VALUE"""),1311.0)</f>
        <v>1311</v>
      </c>
      <c r="AE19" s="197">
        <f>IFERROR(__xludf.DUMMYFUNCTION("""COMPUTED_VALUE"""),21.0)</f>
        <v>21</v>
      </c>
      <c r="AF19" s="197">
        <f>IFERROR(__xludf.DUMMYFUNCTION("""COMPUTED_VALUE"""),135.0)</f>
        <v>135</v>
      </c>
      <c r="AG19" s="41">
        <f>IFERROR(__xludf.DUMMYFUNCTION("""COMPUTED_VALUE"""),0.0)</f>
        <v>0</v>
      </c>
      <c r="AH19" s="197">
        <f>IFERROR(__xludf.DUMMYFUNCTION("""COMPUTED_VALUE"""),0.0)</f>
        <v>0</v>
      </c>
      <c r="AI19" s="197">
        <f>IFERROR(__xludf.DUMMYFUNCTION("""COMPUTED_VALUE"""),0.0)</f>
        <v>0</v>
      </c>
      <c r="AJ19" s="197">
        <f>IFERROR(__xludf.DUMMYFUNCTION("""COMPUTED_VALUE"""),0.0)</f>
        <v>0</v>
      </c>
      <c r="AK19" s="41">
        <f>IFERROR(__xludf.DUMMYFUNCTION("""COMPUTED_VALUE"""),0.0)</f>
        <v>0</v>
      </c>
      <c r="AL19" s="197">
        <f>IFERROR(__xludf.DUMMYFUNCTION("""COMPUTED_VALUE"""),0.0)</f>
        <v>0</v>
      </c>
      <c r="AM19" s="197">
        <f>IFERROR(__xludf.DUMMYFUNCTION("""COMPUTED_VALUE"""),0.0)</f>
        <v>0</v>
      </c>
      <c r="AN19" s="197">
        <f>IFERROR(__xludf.DUMMYFUNCTION("""COMPUTED_VALUE"""),0.0)</f>
        <v>0</v>
      </c>
      <c r="AO19" s="41">
        <f>IFERROR(__xludf.DUMMYFUNCTION("""COMPUTED_VALUE"""),0.0)</f>
        <v>0</v>
      </c>
      <c r="AP19" s="197">
        <f>IFERROR(__xludf.DUMMYFUNCTION("""COMPUTED_VALUE"""),0.0)</f>
        <v>0</v>
      </c>
      <c r="AQ19" s="197">
        <f>IFERROR(__xludf.DUMMYFUNCTION("""COMPUTED_VALUE"""),0.0)</f>
        <v>0</v>
      </c>
      <c r="AR19" s="197">
        <f>IFERROR(__xludf.DUMMYFUNCTION("""COMPUTED_VALUE"""),0.0)</f>
        <v>0</v>
      </c>
      <c r="AS19" s="41">
        <f>IFERROR(__xludf.DUMMYFUNCTION("""COMPUTED_VALUE"""),0.0)</f>
        <v>0</v>
      </c>
      <c r="AT19" s="197">
        <f>IFERROR(__xludf.DUMMYFUNCTION("""COMPUTED_VALUE"""),0.0)</f>
        <v>0</v>
      </c>
      <c r="AU19" s="197">
        <f>IFERROR(__xludf.DUMMYFUNCTION("""COMPUTED_VALUE"""),0.0)</f>
        <v>0</v>
      </c>
      <c r="AV19" s="197">
        <f>IFERROR(__xludf.DUMMYFUNCTION("""COMPUTED_VALUE"""),0.0)</f>
        <v>0</v>
      </c>
      <c r="AW19" s="41">
        <f>IFERROR(__xludf.DUMMYFUNCTION("""COMPUTED_VALUE"""),0.0)</f>
        <v>0</v>
      </c>
      <c r="AX19" s="197">
        <f>IFERROR(__xludf.DUMMYFUNCTION("""COMPUTED_VALUE"""),0.0)</f>
        <v>0</v>
      </c>
      <c r="AY19" s="197">
        <f>IFERROR(__xludf.DUMMYFUNCTION("""COMPUTED_VALUE"""),0.0)</f>
        <v>0</v>
      </c>
      <c r="AZ19" s="198">
        <f>IFERROR(__xludf.DUMMYFUNCTION("""COMPUTED_VALUE"""),0.0)</f>
        <v>0</v>
      </c>
      <c r="BA19" s="195"/>
    </row>
    <row r="20" ht="15.75" customHeight="1">
      <c r="A20" s="29"/>
      <c r="B20" s="30" t="str">
        <f>IFERROR(__xludf.DUMMYFUNCTION("""COMPUTED_VALUE"""),"3. SỐ TRẺ EM MẦM NON")</f>
        <v>3. SỐ TRẺ EM MẦM NON</v>
      </c>
      <c r="C20" s="31" t="str">
        <f>IFERROR(__xludf.DUMMYFUNCTION("""COMPUTED_VALUE"""),"Tháng")</f>
        <v>Tháng</v>
      </c>
      <c r="D20" s="31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3"/>
      <c r="BA20" s="195"/>
    </row>
    <row r="21" ht="15.75" customHeight="1">
      <c r="A21" s="29"/>
      <c r="B21" s="196" t="str">
        <f>IFERROR(__xludf.DUMMYFUNCTION("""COMPUTED_VALUE"""),"3.1. Tổng số")</f>
        <v>3.1. Tổng số</v>
      </c>
      <c r="C21" s="57"/>
      <c r="D21" s="57" t="str">
        <f>IFERROR(__xludf.DUMMYFUNCTION("""COMPUTED_VALUE"""),"Người")</f>
        <v>Người</v>
      </c>
      <c r="E21" s="125">
        <f>IFERROR(__xludf.DUMMYFUNCTION("""COMPUTED_VALUE"""),44609.0)</f>
        <v>44609</v>
      </c>
      <c r="F21" s="125">
        <f>IFERROR(__xludf.DUMMYFUNCTION("""COMPUTED_VALUE"""),40224.0)</f>
        <v>40224</v>
      </c>
      <c r="G21" s="125">
        <f>IFERROR(__xludf.DUMMYFUNCTION("""COMPUTED_VALUE"""),754.0)</f>
        <v>754</v>
      </c>
      <c r="H21" s="125">
        <f>IFERROR(__xludf.DUMMYFUNCTION("""COMPUTED_VALUE"""),3631.0)</f>
        <v>3631</v>
      </c>
      <c r="I21" s="125">
        <f>IFERROR(__xludf.DUMMYFUNCTION("""COMPUTED_VALUE"""),45111.0)</f>
        <v>45111</v>
      </c>
      <c r="J21" s="125">
        <f>IFERROR(__xludf.DUMMYFUNCTION("""COMPUTED_VALUE"""),40631.0)</f>
        <v>40631</v>
      </c>
      <c r="K21" s="125">
        <f>IFERROR(__xludf.DUMMYFUNCTION("""COMPUTED_VALUE"""),756.0)</f>
        <v>756</v>
      </c>
      <c r="L21" s="125">
        <f>IFERROR(__xludf.DUMMYFUNCTION("""COMPUTED_VALUE"""),3724.0)</f>
        <v>3724</v>
      </c>
      <c r="M21" s="125">
        <f>IFERROR(__xludf.DUMMYFUNCTION("""COMPUTED_VALUE"""),45413.0)</f>
        <v>45413</v>
      </c>
      <c r="N21" s="125">
        <f>IFERROR(__xludf.DUMMYFUNCTION("""COMPUTED_VALUE"""),40804.0)</f>
        <v>40804</v>
      </c>
      <c r="O21" s="125">
        <f>IFERROR(__xludf.DUMMYFUNCTION("""COMPUTED_VALUE"""),756.0)</f>
        <v>756</v>
      </c>
      <c r="P21" s="125">
        <f>IFERROR(__xludf.DUMMYFUNCTION("""COMPUTED_VALUE"""),3853.0)</f>
        <v>3853</v>
      </c>
      <c r="Q21" s="125">
        <f>IFERROR(__xludf.DUMMYFUNCTION("""COMPUTED_VALUE"""),45632.0)</f>
        <v>45632</v>
      </c>
      <c r="R21" s="125">
        <f>IFERROR(__xludf.DUMMYFUNCTION("""COMPUTED_VALUE"""),41013.0)</f>
        <v>41013</v>
      </c>
      <c r="S21" s="125">
        <f>IFERROR(__xludf.DUMMYFUNCTION("""COMPUTED_VALUE"""),756.0)</f>
        <v>756</v>
      </c>
      <c r="T21" s="125">
        <f>IFERROR(__xludf.DUMMYFUNCTION("""COMPUTED_VALUE"""),3863.0)</f>
        <v>3863</v>
      </c>
      <c r="U21" s="125">
        <f>IFERROR(__xludf.DUMMYFUNCTION("""COMPUTED_VALUE"""),40927.739)</f>
        <v>40927.739</v>
      </c>
      <c r="V21" s="125">
        <f>IFERROR(__xludf.DUMMYFUNCTION("""COMPUTED_VALUE"""),38976.062)</f>
        <v>38976.062</v>
      </c>
      <c r="W21" s="125">
        <f>IFERROR(__xludf.DUMMYFUNCTION("""COMPUTED_VALUE"""),756.0)</f>
        <v>756</v>
      </c>
      <c r="X21" s="125">
        <f>IFERROR(__xludf.DUMMYFUNCTION("""COMPUTED_VALUE"""),1195.6770000000001)</f>
        <v>1195.677</v>
      </c>
      <c r="Y21" s="125">
        <f>IFERROR(__xludf.DUMMYFUNCTION("""COMPUTED_VALUE"""),41259.779)</f>
        <v>41259.779</v>
      </c>
      <c r="Z21" s="125">
        <f>IFERROR(__xludf.DUMMYFUNCTION("""COMPUTED_VALUE"""),39220.049)</f>
        <v>39220.049</v>
      </c>
      <c r="AA21" s="125">
        <f>IFERROR(__xludf.DUMMYFUNCTION("""COMPUTED_VALUE"""),742.0)</f>
        <v>742</v>
      </c>
      <c r="AB21" s="125">
        <f>IFERROR(__xludf.DUMMYFUNCTION("""COMPUTED_VALUE"""),1297.73)</f>
        <v>1297.73</v>
      </c>
      <c r="AC21" s="125">
        <f>IFERROR(__xludf.DUMMYFUNCTION("""COMPUTED_VALUE"""),41331.727)</f>
        <v>41331.727</v>
      </c>
      <c r="AD21" s="125">
        <f>IFERROR(__xludf.DUMMYFUNCTION("""COMPUTED_VALUE"""),39274.049)</f>
        <v>39274.049</v>
      </c>
      <c r="AE21" s="125">
        <f>IFERROR(__xludf.DUMMYFUNCTION("""COMPUTED_VALUE"""),742.0)</f>
        <v>742</v>
      </c>
      <c r="AF21" s="125">
        <f>IFERROR(__xludf.DUMMYFUNCTION("""COMPUTED_VALUE"""),1315.6779999999999)</f>
        <v>1315.678</v>
      </c>
      <c r="AG21" s="125">
        <f>IFERROR(__xludf.DUMMYFUNCTION("""COMPUTED_VALUE"""),0.0)</f>
        <v>0</v>
      </c>
      <c r="AH21" s="125">
        <f>IFERROR(__xludf.DUMMYFUNCTION("""COMPUTED_VALUE"""),0.0)</f>
        <v>0</v>
      </c>
      <c r="AI21" s="125">
        <f>IFERROR(__xludf.DUMMYFUNCTION("""COMPUTED_VALUE"""),0.0)</f>
        <v>0</v>
      </c>
      <c r="AJ21" s="125">
        <f>IFERROR(__xludf.DUMMYFUNCTION("""COMPUTED_VALUE"""),0.0)</f>
        <v>0</v>
      </c>
      <c r="AK21" s="125">
        <f>IFERROR(__xludf.DUMMYFUNCTION("""COMPUTED_VALUE"""),0.0)</f>
        <v>0</v>
      </c>
      <c r="AL21" s="125">
        <f>IFERROR(__xludf.DUMMYFUNCTION("""COMPUTED_VALUE"""),0.0)</f>
        <v>0</v>
      </c>
      <c r="AM21" s="125">
        <f>IFERROR(__xludf.DUMMYFUNCTION("""COMPUTED_VALUE"""),0.0)</f>
        <v>0</v>
      </c>
      <c r="AN21" s="125">
        <f>IFERROR(__xludf.DUMMYFUNCTION("""COMPUTED_VALUE"""),0.0)</f>
        <v>0</v>
      </c>
      <c r="AO21" s="125">
        <f>IFERROR(__xludf.DUMMYFUNCTION("""COMPUTED_VALUE"""),0.0)</f>
        <v>0</v>
      </c>
      <c r="AP21" s="125">
        <f>IFERROR(__xludf.DUMMYFUNCTION("""COMPUTED_VALUE"""),0.0)</f>
        <v>0</v>
      </c>
      <c r="AQ21" s="125">
        <f>IFERROR(__xludf.DUMMYFUNCTION("""COMPUTED_VALUE"""),0.0)</f>
        <v>0</v>
      </c>
      <c r="AR21" s="125">
        <f>IFERROR(__xludf.DUMMYFUNCTION("""COMPUTED_VALUE"""),0.0)</f>
        <v>0</v>
      </c>
      <c r="AS21" s="125">
        <f>IFERROR(__xludf.DUMMYFUNCTION("""COMPUTED_VALUE"""),0.0)</f>
        <v>0</v>
      </c>
      <c r="AT21" s="125">
        <f>IFERROR(__xludf.DUMMYFUNCTION("""COMPUTED_VALUE"""),0.0)</f>
        <v>0</v>
      </c>
      <c r="AU21" s="125">
        <f>IFERROR(__xludf.DUMMYFUNCTION("""COMPUTED_VALUE"""),0.0)</f>
        <v>0</v>
      </c>
      <c r="AV21" s="125">
        <f>IFERROR(__xludf.DUMMYFUNCTION("""COMPUTED_VALUE"""),0.0)</f>
        <v>0</v>
      </c>
      <c r="AW21" s="125">
        <f>IFERROR(__xludf.DUMMYFUNCTION("""COMPUTED_VALUE"""),0.0)</f>
        <v>0</v>
      </c>
      <c r="AX21" s="125">
        <f>IFERROR(__xludf.DUMMYFUNCTION("""COMPUTED_VALUE"""),0.0)</f>
        <v>0</v>
      </c>
      <c r="AY21" s="125">
        <f>IFERROR(__xludf.DUMMYFUNCTION("""COMPUTED_VALUE"""),0.0)</f>
        <v>0</v>
      </c>
      <c r="AZ21" s="127">
        <f>IFERROR(__xludf.DUMMYFUNCTION("""COMPUTED_VALUE"""),0.0)</f>
        <v>0</v>
      </c>
      <c r="BA21" s="195"/>
    </row>
    <row r="22" ht="15.75" customHeight="1">
      <c r="A22" s="29"/>
      <c r="B22" s="48" t="str">
        <f>IFERROR(__xludf.DUMMYFUNCTION("""COMPUTED_VALUE"""),"Chia ra:")</f>
        <v>Chia ra:</v>
      </c>
      <c r="C22" s="49"/>
      <c r="D22" s="3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50"/>
      <c r="BA22" s="195"/>
    </row>
    <row r="23" ht="15.75" customHeight="1">
      <c r="A23" s="29"/>
      <c r="B23" s="67" t="str">
        <f>IFERROR(__xludf.DUMMYFUNCTION("""COMPUTED_VALUE"""),"3.1.1. Số trẻ nhà trẻ")</f>
        <v>3.1.1. Số trẻ nhà trẻ</v>
      </c>
      <c r="C23" s="31"/>
      <c r="D23" s="31" t="str">
        <f>IFERROR(__xludf.DUMMYFUNCTION("""COMPUTED_VALUE"""),"""")</f>
        <v>"</v>
      </c>
      <c r="E23" s="41">
        <f>IFERROR(__xludf.DUMMYFUNCTION("""COMPUTED_VALUE"""),2896.0)</f>
        <v>2896</v>
      </c>
      <c r="F23" s="197">
        <f>IFERROR(__xludf.DUMMYFUNCTION("""COMPUTED_VALUE"""),2270.0)</f>
        <v>2270</v>
      </c>
      <c r="G23" s="197">
        <f>IFERROR(__xludf.DUMMYFUNCTION("""COMPUTED_VALUE"""),51.0)</f>
        <v>51</v>
      </c>
      <c r="H23" s="197">
        <f>IFERROR(__xludf.DUMMYFUNCTION("""COMPUTED_VALUE"""),575.0)</f>
        <v>575</v>
      </c>
      <c r="I23" s="41">
        <f>IFERROR(__xludf.DUMMYFUNCTION("""COMPUTED_VALUE"""),3017.0)</f>
        <v>3017</v>
      </c>
      <c r="J23" s="197">
        <f>IFERROR(__xludf.DUMMYFUNCTION("""COMPUTED_VALUE"""),2390.0)</f>
        <v>2390</v>
      </c>
      <c r="K23" s="197">
        <f>IFERROR(__xludf.DUMMYFUNCTION("""COMPUTED_VALUE"""),51.0)</f>
        <v>51</v>
      </c>
      <c r="L23" s="197">
        <f>IFERROR(__xludf.DUMMYFUNCTION("""COMPUTED_VALUE"""),576.0)</f>
        <v>576</v>
      </c>
      <c r="M23" s="41">
        <f>IFERROR(__xludf.DUMMYFUNCTION("""COMPUTED_VALUE"""),3124.0)</f>
        <v>3124</v>
      </c>
      <c r="N23" s="197">
        <f>IFERROR(__xludf.DUMMYFUNCTION("""COMPUTED_VALUE"""),2484.0)</f>
        <v>2484</v>
      </c>
      <c r="O23" s="197">
        <f>IFERROR(__xludf.DUMMYFUNCTION("""COMPUTED_VALUE"""),51.0)</f>
        <v>51</v>
      </c>
      <c r="P23" s="197">
        <f>IFERROR(__xludf.DUMMYFUNCTION("""COMPUTED_VALUE"""),589.0)</f>
        <v>589</v>
      </c>
      <c r="Q23" s="41">
        <f>IFERROR(__xludf.DUMMYFUNCTION("""COMPUTED_VALUE"""),3194.0)</f>
        <v>3194</v>
      </c>
      <c r="R23" s="197">
        <f>IFERROR(__xludf.DUMMYFUNCTION("""COMPUTED_VALUE"""),2541.0)</f>
        <v>2541</v>
      </c>
      <c r="S23" s="197">
        <f>IFERROR(__xludf.DUMMYFUNCTION("""COMPUTED_VALUE"""),51.0)</f>
        <v>51</v>
      </c>
      <c r="T23" s="197">
        <f>IFERROR(__xludf.DUMMYFUNCTION("""COMPUTED_VALUE"""),602.0)</f>
        <v>602</v>
      </c>
      <c r="U23" s="41">
        <f>IFERROR(__xludf.DUMMYFUNCTION("""COMPUTED_VALUE"""),3205.0)</f>
        <v>3205</v>
      </c>
      <c r="V23" s="197">
        <f>IFERROR(__xludf.DUMMYFUNCTION("""COMPUTED_VALUE"""),2543.0)</f>
        <v>2543</v>
      </c>
      <c r="W23" s="197">
        <f>IFERROR(__xludf.DUMMYFUNCTION("""COMPUTED_VALUE"""),51.0)</f>
        <v>51</v>
      </c>
      <c r="X23" s="197">
        <f>IFERROR(__xludf.DUMMYFUNCTION("""COMPUTED_VALUE"""),611.0)</f>
        <v>611</v>
      </c>
      <c r="Y23" s="41">
        <f>IFERROR(__xludf.DUMMYFUNCTION("""COMPUTED_VALUE"""),3304.0)</f>
        <v>3304</v>
      </c>
      <c r="Z23" s="197">
        <f>IFERROR(__xludf.DUMMYFUNCTION("""COMPUTED_VALUE"""),2597.0)</f>
        <v>2597</v>
      </c>
      <c r="AA23" s="197">
        <f>IFERROR(__xludf.DUMMYFUNCTION("""COMPUTED_VALUE"""),44.0)</f>
        <v>44</v>
      </c>
      <c r="AB23" s="197">
        <f>IFERROR(__xludf.DUMMYFUNCTION("""COMPUTED_VALUE"""),663.0)</f>
        <v>663</v>
      </c>
      <c r="AC23" s="41">
        <f>IFERROR(__xludf.DUMMYFUNCTION("""COMPUTED_VALUE"""),3321.0)</f>
        <v>3321</v>
      </c>
      <c r="AD23" s="197">
        <f>IFERROR(__xludf.DUMMYFUNCTION("""COMPUTED_VALUE"""),2612.0)</f>
        <v>2612</v>
      </c>
      <c r="AE23" s="197">
        <f>IFERROR(__xludf.DUMMYFUNCTION("""COMPUTED_VALUE"""),44.0)</f>
        <v>44</v>
      </c>
      <c r="AF23" s="197">
        <f>IFERROR(__xludf.DUMMYFUNCTION("""COMPUTED_VALUE"""),665.0)</f>
        <v>665</v>
      </c>
      <c r="AG23" s="41">
        <f>IFERROR(__xludf.DUMMYFUNCTION("""COMPUTED_VALUE"""),0.0)</f>
        <v>0</v>
      </c>
      <c r="AH23" s="197">
        <f>IFERROR(__xludf.DUMMYFUNCTION("""COMPUTED_VALUE"""),0.0)</f>
        <v>0</v>
      </c>
      <c r="AI23" s="197">
        <f>IFERROR(__xludf.DUMMYFUNCTION("""COMPUTED_VALUE"""),0.0)</f>
        <v>0</v>
      </c>
      <c r="AJ23" s="197">
        <f>IFERROR(__xludf.DUMMYFUNCTION("""COMPUTED_VALUE"""),0.0)</f>
        <v>0</v>
      </c>
      <c r="AK23" s="41">
        <f>IFERROR(__xludf.DUMMYFUNCTION("""COMPUTED_VALUE"""),0.0)</f>
        <v>0</v>
      </c>
      <c r="AL23" s="197">
        <f>IFERROR(__xludf.DUMMYFUNCTION("""COMPUTED_VALUE"""),0.0)</f>
        <v>0</v>
      </c>
      <c r="AM23" s="197">
        <f>IFERROR(__xludf.DUMMYFUNCTION("""COMPUTED_VALUE"""),0.0)</f>
        <v>0</v>
      </c>
      <c r="AN23" s="197">
        <f>IFERROR(__xludf.DUMMYFUNCTION("""COMPUTED_VALUE"""),0.0)</f>
        <v>0</v>
      </c>
      <c r="AO23" s="41">
        <f>IFERROR(__xludf.DUMMYFUNCTION("""COMPUTED_VALUE"""),0.0)</f>
        <v>0</v>
      </c>
      <c r="AP23" s="197">
        <f>IFERROR(__xludf.DUMMYFUNCTION("""COMPUTED_VALUE"""),0.0)</f>
        <v>0</v>
      </c>
      <c r="AQ23" s="197">
        <f>IFERROR(__xludf.DUMMYFUNCTION("""COMPUTED_VALUE"""),0.0)</f>
        <v>0</v>
      </c>
      <c r="AR23" s="197">
        <f>IFERROR(__xludf.DUMMYFUNCTION("""COMPUTED_VALUE"""),0.0)</f>
        <v>0</v>
      </c>
      <c r="AS23" s="41">
        <f>IFERROR(__xludf.DUMMYFUNCTION("""COMPUTED_VALUE"""),0.0)</f>
        <v>0</v>
      </c>
      <c r="AT23" s="197">
        <f>IFERROR(__xludf.DUMMYFUNCTION("""COMPUTED_VALUE"""),0.0)</f>
        <v>0</v>
      </c>
      <c r="AU23" s="197">
        <f>IFERROR(__xludf.DUMMYFUNCTION("""COMPUTED_VALUE"""),0.0)</f>
        <v>0</v>
      </c>
      <c r="AV23" s="197">
        <f>IFERROR(__xludf.DUMMYFUNCTION("""COMPUTED_VALUE"""),0.0)</f>
        <v>0</v>
      </c>
      <c r="AW23" s="41">
        <f>IFERROR(__xludf.DUMMYFUNCTION("""COMPUTED_VALUE"""),0.0)</f>
        <v>0</v>
      </c>
      <c r="AX23" s="197">
        <f>IFERROR(__xludf.DUMMYFUNCTION("""COMPUTED_VALUE"""),0.0)</f>
        <v>0</v>
      </c>
      <c r="AY23" s="197">
        <f>IFERROR(__xludf.DUMMYFUNCTION("""COMPUTED_VALUE"""),0.0)</f>
        <v>0</v>
      </c>
      <c r="AZ23" s="198">
        <f>IFERROR(__xludf.DUMMYFUNCTION("""COMPUTED_VALUE"""),0.0)</f>
        <v>0</v>
      </c>
      <c r="BA23" s="195"/>
    </row>
    <row r="24" ht="15.75" customHeight="1">
      <c r="A24" s="29"/>
      <c r="B24" s="48" t="str">
        <f>IFERROR(__xludf.DUMMYFUNCTION("""COMPUTED_VALUE"""),"Trong đó:")</f>
        <v>Trong đó:</v>
      </c>
      <c r="C24" s="49"/>
      <c r="D24" s="3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50"/>
      <c r="BA24" s="195"/>
    </row>
    <row r="25" ht="15.75" customHeight="1">
      <c r="A25" s="29"/>
      <c r="B25" s="67" t="str">
        <f>IFERROR(__xludf.DUMMYFUNCTION("""COMPUTED_VALUE""")," + Nữ")</f>
        <v> + Nữ</v>
      </c>
      <c r="C25" s="31"/>
      <c r="D25" s="31" t="str">
        <f>IFERROR(__xludf.DUMMYFUNCTION("""COMPUTED_VALUE""")," Người")</f>
        <v> Người</v>
      </c>
      <c r="E25" s="41">
        <f>IFERROR(__xludf.DUMMYFUNCTION("""COMPUTED_VALUE"""),1338.0)</f>
        <v>1338</v>
      </c>
      <c r="F25" s="197">
        <f>IFERROR(__xludf.DUMMYFUNCTION("""COMPUTED_VALUE"""),1071.0)</f>
        <v>1071</v>
      </c>
      <c r="G25" s="197">
        <f>IFERROR(__xludf.DUMMYFUNCTION("""COMPUTED_VALUE"""),24.0)</f>
        <v>24</v>
      </c>
      <c r="H25" s="197">
        <f>IFERROR(__xludf.DUMMYFUNCTION("""COMPUTED_VALUE"""),243.0)</f>
        <v>243</v>
      </c>
      <c r="I25" s="41">
        <f>IFERROR(__xludf.DUMMYFUNCTION("""COMPUTED_VALUE"""),1394.0)</f>
        <v>1394</v>
      </c>
      <c r="J25" s="197">
        <f>IFERROR(__xludf.DUMMYFUNCTION("""COMPUTED_VALUE"""),1108.0)</f>
        <v>1108</v>
      </c>
      <c r="K25" s="197">
        <f>IFERROR(__xludf.DUMMYFUNCTION("""COMPUTED_VALUE"""),24.0)</f>
        <v>24</v>
      </c>
      <c r="L25" s="197">
        <f>IFERROR(__xludf.DUMMYFUNCTION("""COMPUTED_VALUE"""),262.0)</f>
        <v>262</v>
      </c>
      <c r="M25" s="41">
        <f>IFERROR(__xludf.DUMMYFUNCTION("""COMPUTED_VALUE"""),1450.0)</f>
        <v>1450</v>
      </c>
      <c r="N25" s="197">
        <f>IFERROR(__xludf.DUMMYFUNCTION("""COMPUTED_VALUE"""),1161.0)</f>
        <v>1161</v>
      </c>
      <c r="O25" s="197">
        <f>IFERROR(__xludf.DUMMYFUNCTION("""COMPUTED_VALUE"""),24.0)</f>
        <v>24</v>
      </c>
      <c r="P25" s="197">
        <f>IFERROR(__xludf.DUMMYFUNCTION("""COMPUTED_VALUE"""),265.0)</f>
        <v>265</v>
      </c>
      <c r="Q25" s="41">
        <f>IFERROR(__xludf.DUMMYFUNCTION("""COMPUTED_VALUE"""),1481.0)</f>
        <v>1481</v>
      </c>
      <c r="R25" s="197">
        <f>IFERROR(__xludf.DUMMYFUNCTION("""COMPUTED_VALUE"""),1187.0)</f>
        <v>1187</v>
      </c>
      <c r="S25" s="197">
        <f>IFERROR(__xludf.DUMMYFUNCTION("""COMPUTED_VALUE"""),24.0)</f>
        <v>24</v>
      </c>
      <c r="T25" s="197">
        <f>IFERROR(__xludf.DUMMYFUNCTION("""COMPUTED_VALUE"""),270.0)</f>
        <v>270</v>
      </c>
      <c r="U25" s="41">
        <f>IFERROR(__xludf.DUMMYFUNCTION("""COMPUTED_VALUE"""),1492.0)</f>
        <v>1492</v>
      </c>
      <c r="V25" s="197">
        <f>IFERROR(__xludf.DUMMYFUNCTION("""COMPUTED_VALUE"""),1199.0)</f>
        <v>1199</v>
      </c>
      <c r="W25" s="197">
        <f>IFERROR(__xludf.DUMMYFUNCTION("""COMPUTED_VALUE"""),25.0)</f>
        <v>25</v>
      </c>
      <c r="X25" s="197">
        <f>IFERROR(__xludf.DUMMYFUNCTION("""COMPUTED_VALUE"""),268.0)</f>
        <v>268</v>
      </c>
      <c r="Y25" s="41">
        <f>IFERROR(__xludf.DUMMYFUNCTION("""COMPUTED_VALUE"""),1552.0)</f>
        <v>1552</v>
      </c>
      <c r="Z25" s="197">
        <f>IFERROR(__xludf.DUMMYFUNCTION("""COMPUTED_VALUE"""),1234.0)</f>
        <v>1234</v>
      </c>
      <c r="AA25" s="197">
        <f>IFERROR(__xludf.DUMMYFUNCTION("""COMPUTED_VALUE"""),24.0)</f>
        <v>24</v>
      </c>
      <c r="AB25" s="197">
        <f>IFERROR(__xludf.DUMMYFUNCTION("""COMPUTED_VALUE"""),294.0)</f>
        <v>294</v>
      </c>
      <c r="AC25" s="41">
        <f>IFERROR(__xludf.DUMMYFUNCTION("""COMPUTED_VALUE"""),1544.0)</f>
        <v>1544</v>
      </c>
      <c r="AD25" s="197">
        <f>IFERROR(__xludf.DUMMYFUNCTION("""COMPUTED_VALUE"""),1226.0)</f>
        <v>1226</v>
      </c>
      <c r="AE25" s="197">
        <f>IFERROR(__xludf.DUMMYFUNCTION("""COMPUTED_VALUE"""),24.0)</f>
        <v>24</v>
      </c>
      <c r="AF25" s="197">
        <f>IFERROR(__xludf.DUMMYFUNCTION("""COMPUTED_VALUE"""),294.0)</f>
        <v>294</v>
      </c>
      <c r="AG25" s="41">
        <f>IFERROR(__xludf.DUMMYFUNCTION("""COMPUTED_VALUE"""),0.0)</f>
        <v>0</v>
      </c>
      <c r="AH25" s="197">
        <f>IFERROR(__xludf.DUMMYFUNCTION("""COMPUTED_VALUE"""),0.0)</f>
        <v>0</v>
      </c>
      <c r="AI25" s="197">
        <f>IFERROR(__xludf.DUMMYFUNCTION("""COMPUTED_VALUE"""),0.0)</f>
        <v>0</v>
      </c>
      <c r="AJ25" s="197">
        <f>IFERROR(__xludf.DUMMYFUNCTION("""COMPUTED_VALUE"""),0.0)</f>
        <v>0</v>
      </c>
      <c r="AK25" s="41">
        <f>IFERROR(__xludf.DUMMYFUNCTION("""COMPUTED_VALUE"""),0.0)</f>
        <v>0</v>
      </c>
      <c r="AL25" s="197">
        <f>IFERROR(__xludf.DUMMYFUNCTION("""COMPUTED_VALUE"""),0.0)</f>
        <v>0</v>
      </c>
      <c r="AM25" s="197">
        <f>IFERROR(__xludf.DUMMYFUNCTION("""COMPUTED_VALUE"""),0.0)</f>
        <v>0</v>
      </c>
      <c r="AN25" s="197">
        <f>IFERROR(__xludf.DUMMYFUNCTION("""COMPUTED_VALUE"""),0.0)</f>
        <v>0</v>
      </c>
      <c r="AO25" s="41">
        <f>IFERROR(__xludf.DUMMYFUNCTION("""COMPUTED_VALUE"""),0.0)</f>
        <v>0</v>
      </c>
      <c r="AP25" s="197">
        <f>IFERROR(__xludf.DUMMYFUNCTION("""COMPUTED_VALUE"""),0.0)</f>
        <v>0</v>
      </c>
      <c r="AQ25" s="197">
        <f>IFERROR(__xludf.DUMMYFUNCTION("""COMPUTED_VALUE"""),0.0)</f>
        <v>0</v>
      </c>
      <c r="AR25" s="197">
        <f>IFERROR(__xludf.DUMMYFUNCTION("""COMPUTED_VALUE"""),0.0)</f>
        <v>0</v>
      </c>
      <c r="AS25" s="41">
        <f>IFERROR(__xludf.DUMMYFUNCTION("""COMPUTED_VALUE"""),0.0)</f>
        <v>0</v>
      </c>
      <c r="AT25" s="197">
        <f>IFERROR(__xludf.DUMMYFUNCTION("""COMPUTED_VALUE"""),0.0)</f>
        <v>0</v>
      </c>
      <c r="AU25" s="197">
        <f>IFERROR(__xludf.DUMMYFUNCTION("""COMPUTED_VALUE"""),0.0)</f>
        <v>0</v>
      </c>
      <c r="AV25" s="197">
        <f>IFERROR(__xludf.DUMMYFUNCTION("""COMPUTED_VALUE"""),0.0)</f>
        <v>0</v>
      </c>
      <c r="AW25" s="41">
        <f>IFERROR(__xludf.DUMMYFUNCTION("""COMPUTED_VALUE"""),0.0)</f>
        <v>0</v>
      </c>
      <c r="AX25" s="197">
        <f>IFERROR(__xludf.DUMMYFUNCTION("""COMPUTED_VALUE"""),0.0)</f>
        <v>0</v>
      </c>
      <c r="AY25" s="197">
        <f>IFERROR(__xludf.DUMMYFUNCTION("""COMPUTED_VALUE"""),0.0)</f>
        <v>0</v>
      </c>
      <c r="AZ25" s="198">
        <f>IFERROR(__xludf.DUMMYFUNCTION("""COMPUTED_VALUE"""),0.0)</f>
        <v>0</v>
      </c>
      <c r="BA25" s="195"/>
    </row>
    <row r="26" ht="15.75" customHeight="1">
      <c r="A26" s="29"/>
      <c r="B26" s="67" t="str">
        <f>IFERROR(__xludf.DUMMYFUNCTION("""COMPUTED_VALUE""")," + Dân tộc thiểu số")</f>
        <v> + Dân tộc thiểu số</v>
      </c>
      <c r="C26" s="31"/>
      <c r="D26" s="31" t="str">
        <f>IFERROR(__xludf.DUMMYFUNCTION("""COMPUTED_VALUE"""),"""")</f>
        <v>"</v>
      </c>
      <c r="E26" s="41">
        <f>IFERROR(__xludf.DUMMYFUNCTION("""COMPUTED_VALUE"""),841.0)</f>
        <v>841</v>
      </c>
      <c r="F26" s="197">
        <f>IFERROR(__xludf.DUMMYFUNCTION("""COMPUTED_VALUE"""),746.0)</f>
        <v>746</v>
      </c>
      <c r="G26" s="197">
        <f>IFERROR(__xludf.DUMMYFUNCTION("""COMPUTED_VALUE"""),22.0)</f>
        <v>22</v>
      </c>
      <c r="H26" s="197">
        <f>IFERROR(__xludf.DUMMYFUNCTION("""COMPUTED_VALUE"""),73.0)</f>
        <v>73</v>
      </c>
      <c r="I26" s="41">
        <f>IFERROR(__xludf.DUMMYFUNCTION("""COMPUTED_VALUE"""),887.0)</f>
        <v>887</v>
      </c>
      <c r="J26" s="197">
        <f>IFERROR(__xludf.DUMMYFUNCTION("""COMPUTED_VALUE"""),771.0)</f>
        <v>771</v>
      </c>
      <c r="K26" s="197">
        <f>IFERROR(__xludf.DUMMYFUNCTION("""COMPUTED_VALUE"""),22.0)</f>
        <v>22</v>
      </c>
      <c r="L26" s="197">
        <f>IFERROR(__xludf.DUMMYFUNCTION("""COMPUTED_VALUE"""),94.0)</f>
        <v>94</v>
      </c>
      <c r="M26" s="41">
        <f>IFERROR(__xludf.DUMMYFUNCTION("""COMPUTED_VALUE"""),928.0)</f>
        <v>928</v>
      </c>
      <c r="N26" s="197">
        <f>IFERROR(__xludf.DUMMYFUNCTION("""COMPUTED_VALUE"""),810.0)</f>
        <v>810</v>
      </c>
      <c r="O26" s="197">
        <f>IFERROR(__xludf.DUMMYFUNCTION("""COMPUTED_VALUE"""),22.0)</f>
        <v>22</v>
      </c>
      <c r="P26" s="197">
        <f>IFERROR(__xludf.DUMMYFUNCTION("""COMPUTED_VALUE"""),96.0)</f>
        <v>96</v>
      </c>
      <c r="Q26" s="41">
        <f>IFERROR(__xludf.DUMMYFUNCTION("""COMPUTED_VALUE"""),964.0)</f>
        <v>964</v>
      </c>
      <c r="R26" s="197">
        <f>IFERROR(__xludf.DUMMYFUNCTION("""COMPUTED_VALUE"""),838.0)</f>
        <v>838</v>
      </c>
      <c r="S26" s="197">
        <f>IFERROR(__xludf.DUMMYFUNCTION("""COMPUTED_VALUE"""),22.0)</f>
        <v>22</v>
      </c>
      <c r="T26" s="197">
        <f>IFERROR(__xludf.DUMMYFUNCTION("""COMPUTED_VALUE"""),104.0)</f>
        <v>104</v>
      </c>
      <c r="U26" s="41">
        <f>IFERROR(__xludf.DUMMYFUNCTION("""COMPUTED_VALUE"""),966.0)</f>
        <v>966</v>
      </c>
      <c r="V26" s="197">
        <f>IFERROR(__xludf.DUMMYFUNCTION("""COMPUTED_VALUE"""),838.0)</f>
        <v>838</v>
      </c>
      <c r="W26" s="197">
        <f>IFERROR(__xludf.DUMMYFUNCTION("""COMPUTED_VALUE"""),22.0)</f>
        <v>22</v>
      </c>
      <c r="X26" s="197">
        <f>IFERROR(__xludf.DUMMYFUNCTION("""COMPUTED_VALUE"""),106.0)</f>
        <v>106</v>
      </c>
      <c r="Y26" s="41">
        <f>IFERROR(__xludf.DUMMYFUNCTION("""COMPUTED_VALUE"""),968.0)</f>
        <v>968</v>
      </c>
      <c r="Z26" s="197">
        <f>IFERROR(__xludf.DUMMYFUNCTION("""COMPUTED_VALUE"""),839.0)</f>
        <v>839</v>
      </c>
      <c r="AA26" s="197">
        <f>IFERROR(__xludf.DUMMYFUNCTION("""COMPUTED_VALUE"""),22.0)</f>
        <v>22</v>
      </c>
      <c r="AB26" s="197">
        <f>IFERROR(__xludf.DUMMYFUNCTION("""COMPUTED_VALUE"""),107.0)</f>
        <v>107</v>
      </c>
      <c r="AC26" s="41">
        <f>IFERROR(__xludf.DUMMYFUNCTION("""COMPUTED_VALUE"""),968.0)</f>
        <v>968</v>
      </c>
      <c r="AD26" s="197">
        <f>IFERROR(__xludf.DUMMYFUNCTION("""COMPUTED_VALUE"""),839.0)</f>
        <v>839</v>
      </c>
      <c r="AE26" s="197">
        <f>IFERROR(__xludf.DUMMYFUNCTION("""COMPUTED_VALUE"""),22.0)</f>
        <v>22</v>
      </c>
      <c r="AF26" s="197">
        <f>IFERROR(__xludf.DUMMYFUNCTION("""COMPUTED_VALUE"""),107.0)</f>
        <v>107</v>
      </c>
      <c r="AG26" s="41">
        <f>IFERROR(__xludf.DUMMYFUNCTION("""COMPUTED_VALUE"""),0.0)</f>
        <v>0</v>
      </c>
      <c r="AH26" s="197">
        <f>IFERROR(__xludf.DUMMYFUNCTION("""COMPUTED_VALUE"""),0.0)</f>
        <v>0</v>
      </c>
      <c r="AI26" s="197">
        <f>IFERROR(__xludf.DUMMYFUNCTION("""COMPUTED_VALUE"""),0.0)</f>
        <v>0</v>
      </c>
      <c r="AJ26" s="197">
        <f>IFERROR(__xludf.DUMMYFUNCTION("""COMPUTED_VALUE"""),0.0)</f>
        <v>0</v>
      </c>
      <c r="AK26" s="41">
        <f>IFERROR(__xludf.DUMMYFUNCTION("""COMPUTED_VALUE"""),0.0)</f>
        <v>0</v>
      </c>
      <c r="AL26" s="197">
        <f>IFERROR(__xludf.DUMMYFUNCTION("""COMPUTED_VALUE"""),0.0)</f>
        <v>0</v>
      </c>
      <c r="AM26" s="197">
        <f>IFERROR(__xludf.DUMMYFUNCTION("""COMPUTED_VALUE"""),0.0)</f>
        <v>0</v>
      </c>
      <c r="AN26" s="197">
        <f>IFERROR(__xludf.DUMMYFUNCTION("""COMPUTED_VALUE"""),0.0)</f>
        <v>0</v>
      </c>
      <c r="AO26" s="41">
        <f>IFERROR(__xludf.DUMMYFUNCTION("""COMPUTED_VALUE"""),0.0)</f>
        <v>0</v>
      </c>
      <c r="AP26" s="197">
        <f>IFERROR(__xludf.DUMMYFUNCTION("""COMPUTED_VALUE"""),0.0)</f>
        <v>0</v>
      </c>
      <c r="AQ26" s="197">
        <f>IFERROR(__xludf.DUMMYFUNCTION("""COMPUTED_VALUE"""),0.0)</f>
        <v>0</v>
      </c>
      <c r="AR26" s="197">
        <f>IFERROR(__xludf.DUMMYFUNCTION("""COMPUTED_VALUE"""),0.0)</f>
        <v>0</v>
      </c>
      <c r="AS26" s="41">
        <f>IFERROR(__xludf.DUMMYFUNCTION("""COMPUTED_VALUE"""),0.0)</f>
        <v>0</v>
      </c>
      <c r="AT26" s="197">
        <f>IFERROR(__xludf.DUMMYFUNCTION("""COMPUTED_VALUE"""),0.0)</f>
        <v>0</v>
      </c>
      <c r="AU26" s="197">
        <f>IFERROR(__xludf.DUMMYFUNCTION("""COMPUTED_VALUE"""),0.0)</f>
        <v>0</v>
      </c>
      <c r="AV26" s="197">
        <f>IFERROR(__xludf.DUMMYFUNCTION("""COMPUTED_VALUE"""),0.0)</f>
        <v>0</v>
      </c>
      <c r="AW26" s="41">
        <f>IFERROR(__xludf.DUMMYFUNCTION("""COMPUTED_VALUE"""),0.0)</f>
        <v>0</v>
      </c>
      <c r="AX26" s="197">
        <f>IFERROR(__xludf.DUMMYFUNCTION("""COMPUTED_VALUE"""),0.0)</f>
        <v>0</v>
      </c>
      <c r="AY26" s="197">
        <f>IFERROR(__xludf.DUMMYFUNCTION("""COMPUTED_VALUE"""),0.0)</f>
        <v>0</v>
      </c>
      <c r="AZ26" s="198">
        <f>IFERROR(__xludf.DUMMYFUNCTION("""COMPUTED_VALUE"""),0.0)</f>
        <v>0</v>
      </c>
      <c r="BA26" s="195"/>
    </row>
    <row r="27" ht="15.75" customHeight="1">
      <c r="A27" s="29"/>
      <c r="B27" s="67" t="str">
        <f>IFERROR(__xludf.DUMMYFUNCTION("""COMPUTED_VALUE""")," + Nữ dân tộc thiểu số")</f>
        <v> + Nữ dân tộc thiểu số</v>
      </c>
      <c r="C27" s="31"/>
      <c r="D27" s="31" t="str">
        <f>IFERROR(__xludf.DUMMYFUNCTION("""COMPUTED_VALUE"""),"""")</f>
        <v>"</v>
      </c>
      <c r="E27" s="41">
        <f>IFERROR(__xludf.DUMMYFUNCTION("""COMPUTED_VALUE"""),414.0)</f>
        <v>414</v>
      </c>
      <c r="F27" s="197">
        <f>IFERROR(__xludf.DUMMYFUNCTION("""COMPUTED_VALUE"""),372.0)</f>
        <v>372</v>
      </c>
      <c r="G27" s="197">
        <f>IFERROR(__xludf.DUMMYFUNCTION("""COMPUTED_VALUE"""),8.0)</f>
        <v>8</v>
      </c>
      <c r="H27" s="197">
        <f>IFERROR(__xludf.DUMMYFUNCTION("""COMPUTED_VALUE"""),34.0)</f>
        <v>34</v>
      </c>
      <c r="I27" s="41">
        <f>IFERROR(__xludf.DUMMYFUNCTION("""COMPUTED_VALUE"""),436.0)</f>
        <v>436</v>
      </c>
      <c r="J27" s="197">
        <f>IFERROR(__xludf.DUMMYFUNCTION("""COMPUTED_VALUE"""),377.0)</f>
        <v>377</v>
      </c>
      <c r="K27" s="197">
        <f>IFERROR(__xludf.DUMMYFUNCTION("""COMPUTED_VALUE"""),7.0)</f>
        <v>7</v>
      </c>
      <c r="L27" s="197">
        <f>IFERROR(__xludf.DUMMYFUNCTION("""COMPUTED_VALUE"""),52.0)</f>
        <v>52</v>
      </c>
      <c r="M27" s="41">
        <f>IFERROR(__xludf.DUMMYFUNCTION("""COMPUTED_VALUE"""),451.0)</f>
        <v>451</v>
      </c>
      <c r="N27" s="197">
        <f>IFERROR(__xludf.DUMMYFUNCTION("""COMPUTED_VALUE"""),393.0)</f>
        <v>393</v>
      </c>
      <c r="O27" s="197">
        <f>IFERROR(__xludf.DUMMYFUNCTION("""COMPUTED_VALUE"""),7.0)</f>
        <v>7</v>
      </c>
      <c r="P27" s="197">
        <f>IFERROR(__xludf.DUMMYFUNCTION("""COMPUTED_VALUE"""),51.0)</f>
        <v>51</v>
      </c>
      <c r="Q27" s="41">
        <f>IFERROR(__xludf.DUMMYFUNCTION("""COMPUTED_VALUE"""),467.0)</f>
        <v>467</v>
      </c>
      <c r="R27" s="197">
        <f>IFERROR(__xludf.DUMMYFUNCTION("""COMPUTED_VALUE"""),408.0)</f>
        <v>408</v>
      </c>
      <c r="S27" s="197">
        <f>IFERROR(__xludf.DUMMYFUNCTION("""COMPUTED_VALUE"""),7.0)</f>
        <v>7</v>
      </c>
      <c r="T27" s="197">
        <f>IFERROR(__xludf.DUMMYFUNCTION("""COMPUTED_VALUE"""),52.0)</f>
        <v>52</v>
      </c>
      <c r="U27" s="41">
        <f>IFERROR(__xludf.DUMMYFUNCTION("""COMPUTED_VALUE"""),468.0)</f>
        <v>468</v>
      </c>
      <c r="V27" s="197">
        <f>IFERROR(__xludf.DUMMYFUNCTION("""COMPUTED_VALUE"""),408.0)</f>
        <v>408</v>
      </c>
      <c r="W27" s="197">
        <f>IFERROR(__xludf.DUMMYFUNCTION("""COMPUTED_VALUE"""),7.0)</f>
        <v>7</v>
      </c>
      <c r="X27" s="197">
        <f>IFERROR(__xludf.DUMMYFUNCTION("""COMPUTED_VALUE"""),53.0)</f>
        <v>53</v>
      </c>
      <c r="Y27" s="41">
        <f>IFERROR(__xludf.DUMMYFUNCTION("""COMPUTED_VALUE"""),475.0)</f>
        <v>475</v>
      </c>
      <c r="Z27" s="197">
        <f>IFERROR(__xludf.DUMMYFUNCTION("""COMPUTED_VALUE"""),414.0)</f>
        <v>414</v>
      </c>
      <c r="AA27" s="197">
        <f>IFERROR(__xludf.DUMMYFUNCTION("""COMPUTED_VALUE"""),7.0)</f>
        <v>7</v>
      </c>
      <c r="AB27" s="197">
        <f>IFERROR(__xludf.DUMMYFUNCTION("""COMPUTED_VALUE"""),54.0)</f>
        <v>54</v>
      </c>
      <c r="AC27" s="41">
        <f>IFERROR(__xludf.DUMMYFUNCTION("""COMPUTED_VALUE"""),475.0)</f>
        <v>475</v>
      </c>
      <c r="AD27" s="197">
        <f>IFERROR(__xludf.DUMMYFUNCTION("""COMPUTED_VALUE"""),414.0)</f>
        <v>414</v>
      </c>
      <c r="AE27" s="197">
        <f>IFERROR(__xludf.DUMMYFUNCTION("""COMPUTED_VALUE"""),7.0)</f>
        <v>7</v>
      </c>
      <c r="AF27" s="197">
        <f>IFERROR(__xludf.DUMMYFUNCTION("""COMPUTED_VALUE"""),54.0)</f>
        <v>54</v>
      </c>
      <c r="AG27" s="41">
        <f>IFERROR(__xludf.DUMMYFUNCTION("""COMPUTED_VALUE"""),0.0)</f>
        <v>0</v>
      </c>
      <c r="AH27" s="197">
        <f>IFERROR(__xludf.DUMMYFUNCTION("""COMPUTED_VALUE"""),0.0)</f>
        <v>0</v>
      </c>
      <c r="AI27" s="197">
        <f>IFERROR(__xludf.DUMMYFUNCTION("""COMPUTED_VALUE"""),0.0)</f>
        <v>0</v>
      </c>
      <c r="AJ27" s="197">
        <f>IFERROR(__xludf.DUMMYFUNCTION("""COMPUTED_VALUE"""),0.0)</f>
        <v>0</v>
      </c>
      <c r="AK27" s="41">
        <f>IFERROR(__xludf.DUMMYFUNCTION("""COMPUTED_VALUE"""),0.0)</f>
        <v>0</v>
      </c>
      <c r="AL27" s="197">
        <f>IFERROR(__xludf.DUMMYFUNCTION("""COMPUTED_VALUE"""),0.0)</f>
        <v>0</v>
      </c>
      <c r="AM27" s="197">
        <f>IFERROR(__xludf.DUMMYFUNCTION("""COMPUTED_VALUE"""),0.0)</f>
        <v>0</v>
      </c>
      <c r="AN27" s="197">
        <f>IFERROR(__xludf.DUMMYFUNCTION("""COMPUTED_VALUE"""),0.0)</f>
        <v>0</v>
      </c>
      <c r="AO27" s="41">
        <f>IFERROR(__xludf.DUMMYFUNCTION("""COMPUTED_VALUE"""),0.0)</f>
        <v>0</v>
      </c>
      <c r="AP27" s="197">
        <f>IFERROR(__xludf.DUMMYFUNCTION("""COMPUTED_VALUE"""),0.0)</f>
        <v>0</v>
      </c>
      <c r="AQ27" s="197">
        <f>IFERROR(__xludf.DUMMYFUNCTION("""COMPUTED_VALUE"""),0.0)</f>
        <v>0</v>
      </c>
      <c r="AR27" s="197">
        <f>IFERROR(__xludf.DUMMYFUNCTION("""COMPUTED_VALUE"""),0.0)</f>
        <v>0</v>
      </c>
      <c r="AS27" s="41">
        <f>IFERROR(__xludf.DUMMYFUNCTION("""COMPUTED_VALUE"""),0.0)</f>
        <v>0</v>
      </c>
      <c r="AT27" s="197">
        <f>IFERROR(__xludf.DUMMYFUNCTION("""COMPUTED_VALUE"""),0.0)</f>
        <v>0</v>
      </c>
      <c r="AU27" s="197">
        <f>IFERROR(__xludf.DUMMYFUNCTION("""COMPUTED_VALUE"""),0.0)</f>
        <v>0</v>
      </c>
      <c r="AV27" s="197">
        <f>IFERROR(__xludf.DUMMYFUNCTION("""COMPUTED_VALUE"""),0.0)</f>
        <v>0</v>
      </c>
      <c r="AW27" s="41">
        <f>IFERROR(__xludf.DUMMYFUNCTION("""COMPUTED_VALUE"""),0.0)</f>
        <v>0</v>
      </c>
      <c r="AX27" s="197">
        <f>IFERROR(__xludf.DUMMYFUNCTION("""COMPUTED_VALUE"""),0.0)</f>
        <v>0</v>
      </c>
      <c r="AY27" s="197">
        <f>IFERROR(__xludf.DUMMYFUNCTION("""COMPUTED_VALUE"""),0.0)</f>
        <v>0</v>
      </c>
      <c r="AZ27" s="198">
        <f>IFERROR(__xludf.DUMMYFUNCTION("""COMPUTED_VALUE"""),0.0)</f>
        <v>0</v>
      </c>
      <c r="BA27" s="195"/>
    </row>
    <row r="28" ht="15.75" customHeight="1">
      <c r="A28" s="29"/>
      <c r="B28" s="67" t="str">
        <f>IFERROR(__xludf.DUMMYFUNCTION("""COMPUTED_VALUE""")," + Khuyết tật")</f>
        <v> + Khuyết tật</v>
      </c>
      <c r="C28" s="31"/>
      <c r="D28" s="31" t="str">
        <f>IFERROR(__xludf.DUMMYFUNCTION("""COMPUTED_VALUE"""),"""")</f>
        <v>"</v>
      </c>
      <c r="E28" s="41">
        <f>IFERROR(__xludf.DUMMYFUNCTION("""COMPUTED_VALUE"""),1.0)</f>
        <v>1</v>
      </c>
      <c r="F28" s="197">
        <f>IFERROR(__xludf.DUMMYFUNCTION("""COMPUTED_VALUE"""),0.0)</f>
        <v>0</v>
      </c>
      <c r="G28" s="197">
        <f>IFERROR(__xludf.DUMMYFUNCTION("""COMPUTED_VALUE"""),0.0)</f>
        <v>0</v>
      </c>
      <c r="H28" s="197">
        <f>IFERROR(__xludf.DUMMYFUNCTION("""COMPUTED_VALUE"""),1.0)</f>
        <v>1</v>
      </c>
      <c r="I28" s="41">
        <f>IFERROR(__xludf.DUMMYFUNCTION("""COMPUTED_VALUE"""),1.0)</f>
        <v>1</v>
      </c>
      <c r="J28" s="197">
        <f>IFERROR(__xludf.DUMMYFUNCTION("""COMPUTED_VALUE"""),0.0)</f>
        <v>0</v>
      </c>
      <c r="K28" s="197">
        <f>IFERROR(__xludf.DUMMYFUNCTION("""COMPUTED_VALUE"""),0.0)</f>
        <v>0</v>
      </c>
      <c r="L28" s="197">
        <f>IFERROR(__xludf.DUMMYFUNCTION("""COMPUTED_VALUE"""),1.0)</f>
        <v>1</v>
      </c>
      <c r="M28" s="41">
        <f>IFERROR(__xludf.DUMMYFUNCTION("""COMPUTED_VALUE"""),1.0)</f>
        <v>1</v>
      </c>
      <c r="N28" s="197">
        <f>IFERROR(__xludf.DUMMYFUNCTION("""COMPUTED_VALUE"""),0.0)</f>
        <v>0</v>
      </c>
      <c r="O28" s="197">
        <f>IFERROR(__xludf.DUMMYFUNCTION("""COMPUTED_VALUE"""),0.0)</f>
        <v>0</v>
      </c>
      <c r="P28" s="197">
        <f>IFERROR(__xludf.DUMMYFUNCTION("""COMPUTED_VALUE"""),1.0)</f>
        <v>1</v>
      </c>
      <c r="Q28" s="41">
        <f>IFERROR(__xludf.DUMMYFUNCTION("""COMPUTED_VALUE"""),1.0)</f>
        <v>1</v>
      </c>
      <c r="R28" s="197">
        <f>IFERROR(__xludf.DUMMYFUNCTION("""COMPUTED_VALUE"""),0.0)</f>
        <v>0</v>
      </c>
      <c r="S28" s="197">
        <f>IFERROR(__xludf.DUMMYFUNCTION("""COMPUTED_VALUE"""),0.0)</f>
        <v>0</v>
      </c>
      <c r="T28" s="197">
        <f>IFERROR(__xludf.DUMMYFUNCTION("""COMPUTED_VALUE"""),1.0)</f>
        <v>1</v>
      </c>
      <c r="U28" s="41">
        <f>IFERROR(__xludf.DUMMYFUNCTION("""COMPUTED_VALUE"""),1.0)</f>
        <v>1</v>
      </c>
      <c r="V28" s="197">
        <f>IFERROR(__xludf.DUMMYFUNCTION("""COMPUTED_VALUE"""),0.0)</f>
        <v>0</v>
      </c>
      <c r="W28" s="197">
        <f>IFERROR(__xludf.DUMMYFUNCTION("""COMPUTED_VALUE"""),0.0)</f>
        <v>0</v>
      </c>
      <c r="X28" s="197">
        <f>IFERROR(__xludf.DUMMYFUNCTION("""COMPUTED_VALUE"""),1.0)</f>
        <v>1</v>
      </c>
      <c r="Y28" s="41">
        <f>IFERROR(__xludf.DUMMYFUNCTION("""COMPUTED_VALUE"""),1.0)</f>
        <v>1</v>
      </c>
      <c r="Z28" s="197">
        <f>IFERROR(__xludf.DUMMYFUNCTION("""COMPUTED_VALUE"""),0.0)</f>
        <v>0</v>
      </c>
      <c r="AA28" s="197">
        <f>IFERROR(__xludf.DUMMYFUNCTION("""COMPUTED_VALUE"""),0.0)</f>
        <v>0</v>
      </c>
      <c r="AB28" s="197">
        <f>IFERROR(__xludf.DUMMYFUNCTION("""COMPUTED_VALUE"""),1.0)</f>
        <v>1</v>
      </c>
      <c r="AC28" s="41">
        <f>IFERROR(__xludf.DUMMYFUNCTION("""COMPUTED_VALUE"""),1.0)</f>
        <v>1</v>
      </c>
      <c r="AD28" s="197">
        <f>IFERROR(__xludf.DUMMYFUNCTION("""COMPUTED_VALUE"""),0.0)</f>
        <v>0</v>
      </c>
      <c r="AE28" s="197">
        <f>IFERROR(__xludf.DUMMYFUNCTION("""COMPUTED_VALUE"""),0.0)</f>
        <v>0</v>
      </c>
      <c r="AF28" s="197">
        <f>IFERROR(__xludf.DUMMYFUNCTION("""COMPUTED_VALUE"""),1.0)</f>
        <v>1</v>
      </c>
      <c r="AG28" s="41">
        <f>IFERROR(__xludf.DUMMYFUNCTION("""COMPUTED_VALUE"""),0.0)</f>
        <v>0</v>
      </c>
      <c r="AH28" s="197">
        <f>IFERROR(__xludf.DUMMYFUNCTION("""COMPUTED_VALUE"""),0.0)</f>
        <v>0</v>
      </c>
      <c r="AI28" s="197">
        <f>IFERROR(__xludf.DUMMYFUNCTION("""COMPUTED_VALUE"""),0.0)</f>
        <v>0</v>
      </c>
      <c r="AJ28" s="197">
        <f>IFERROR(__xludf.DUMMYFUNCTION("""COMPUTED_VALUE"""),0.0)</f>
        <v>0</v>
      </c>
      <c r="AK28" s="41">
        <f>IFERROR(__xludf.DUMMYFUNCTION("""COMPUTED_VALUE"""),0.0)</f>
        <v>0</v>
      </c>
      <c r="AL28" s="197">
        <f>IFERROR(__xludf.DUMMYFUNCTION("""COMPUTED_VALUE"""),0.0)</f>
        <v>0</v>
      </c>
      <c r="AM28" s="197">
        <f>IFERROR(__xludf.DUMMYFUNCTION("""COMPUTED_VALUE"""),0.0)</f>
        <v>0</v>
      </c>
      <c r="AN28" s="197">
        <f>IFERROR(__xludf.DUMMYFUNCTION("""COMPUTED_VALUE"""),0.0)</f>
        <v>0</v>
      </c>
      <c r="AO28" s="41">
        <f>IFERROR(__xludf.DUMMYFUNCTION("""COMPUTED_VALUE"""),0.0)</f>
        <v>0</v>
      </c>
      <c r="AP28" s="197">
        <f>IFERROR(__xludf.DUMMYFUNCTION("""COMPUTED_VALUE"""),0.0)</f>
        <v>0</v>
      </c>
      <c r="AQ28" s="197">
        <f>IFERROR(__xludf.DUMMYFUNCTION("""COMPUTED_VALUE"""),0.0)</f>
        <v>0</v>
      </c>
      <c r="AR28" s="197">
        <f>IFERROR(__xludf.DUMMYFUNCTION("""COMPUTED_VALUE"""),0.0)</f>
        <v>0</v>
      </c>
      <c r="AS28" s="41">
        <f>IFERROR(__xludf.DUMMYFUNCTION("""COMPUTED_VALUE"""),0.0)</f>
        <v>0</v>
      </c>
      <c r="AT28" s="197">
        <f>IFERROR(__xludf.DUMMYFUNCTION("""COMPUTED_VALUE"""),0.0)</f>
        <v>0</v>
      </c>
      <c r="AU28" s="197">
        <f>IFERROR(__xludf.DUMMYFUNCTION("""COMPUTED_VALUE"""),0.0)</f>
        <v>0</v>
      </c>
      <c r="AV28" s="197">
        <f>IFERROR(__xludf.DUMMYFUNCTION("""COMPUTED_VALUE"""),0.0)</f>
        <v>0</v>
      </c>
      <c r="AW28" s="41">
        <f>IFERROR(__xludf.DUMMYFUNCTION("""COMPUTED_VALUE"""),0.0)</f>
        <v>0</v>
      </c>
      <c r="AX28" s="197">
        <f>IFERROR(__xludf.DUMMYFUNCTION("""COMPUTED_VALUE"""),0.0)</f>
        <v>0</v>
      </c>
      <c r="AY28" s="197">
        <f>IFERROR(__xludf.DUMMYFUNCTION("""COMPUTED_VALUE"""),0.0)</f>
        <v>0</v>
      </c>
      <c r="AZ28" s="198">
        <f>IFERROR(__xludf.DUMMYFUNCTION("""COMPUTED_VALUE"""),0.0)</f>
        <v>0</v>
      </c>
      <c r="BA28" s="195"/>
    </row>
    <row r="29" ht="15.75" customHeight="1">
      <c r="A29" s="29"/>
      <c r="B29" s="67" t="str">
        <f>IFERROR(__xludf.DUMMYFUNCTION("""COMPUTED_VALUE""")," + Suy dinh dưỡng")</f>
        <v> + Suy dinh dưỡng</v>
      </c>
      <c r="C29" s="31"/>
      <c r="D29" s="31" t="str">
        <f>IFERROR(__xludf.DUMMYFUNCTION("""COMPUTED_VALUE"""),"""")</f>
        <v>"</v>
      </c>
      <c r="E29" s="41">
        <f>IFERROR(__xludf.DUMMYFUNCTION("""COMPUTED_VALUE"""),67.0)</f>
        <v>67</v>
      </c>
      <c r="F29" s="197">
        <f>IFERROR(__xludf.DUMMYFUNCTION("""COMPUTED_VALUE"""),48.0)</f>
        <v>48</v>
      </c>
      <c r="G29" s="197">
        <f>IFERROR(__xludf.DUMMYFUNCTION("""COMPUTED_VALUE"""),1.0)</f>
        <v>1</v>
      </c>
      <c r="H29" s="197">
        <f>IFERROR(__xludf.DUMMYFUNCTION("""COMPUTED_VALUE"""),18.0)</f>
        <v>18</v>
      </c>
      <c r="I29" s="41">
        <f>IFERROR(__xludf.DUMMYFUNCTION("""COMPUTED_VALUE"""),94.0)</f>
        <v>94</v>
      </c>
      <c r="J29" s="197">
        <f>IFERROR(__xludf.DUMMYFUNCTION("""COMPUTED_VALUE"""),74.0)</f>
        <v>74</v>
      </c>
      <c r="K29" s="197">
        <f>IFERROR(__xludf.DUMMYFUNCTION("""COMPUTED_VALUE"""),1.0)</f>
        <v>1</v>
      </c>
      <c r="L29" s="197">
        <f>IFERROR(__xludf.DUMMYFUNCTION("""COMPUTED_VALUE"""),19.0)</f>
        <v>19</v>
      </c>
      <c r="M29" s="41">
        <f>IFERROR(__xludf.DUMMYFUNCTION("""COMPUTED_VALUE"""),87.0)</f>
        <v>87</v>
      </c>
      <c r="N29" s="197">
        <f>IFERROR(__xludf.DUMMYFUNCTION("""COMPUTED_VALUE"""),67.0)</f>
        <v>67</v>
      </c>
      <c r="O29" s="197">
        <f>IFERROR(__xludf.DUMMYFUNCTION("""COMPUTED_VALUE"""),1.0)</f>
        <v>1</v>
      </c>
      <c r="P29" s="197">
        <f>IFERROR(__xludf.DUMMYFUNCTION("""COMPUTED_VALUE"""),19.0)</f>
        <v>19</v>
      </c>
      <c r="Q29" s="41">
        <f>IFERROR(__xludf.DUMMYFUNCTION("""COMPUTED_VALUE"""),52.0)</f>
        <v>52</v>
      </c>
      <c r="R29" s="197">
        <f>IFERROR(__xludf.DUMMYFUNCTION("""COMPUTED_VALUE"""),33.0)</f>
        <v>33</v>
      </c>
      <c r="S29" s="197">
        <f>IFERROR(__xludf.DUMMYFUNCTION("""COMPUTED_VALUE"""),1.0)</f>
        <v>1</v>
      </c>
      <c r="T29" s="197">
        <f>IFERROR(__xludf.DUMMYFUNCTION("""COMPUTED_VALUE"""),18.0)</f>
        <v>18</v>
      </c>
      <c r="U29" s="41">
        <f>IFERROR(__xludf.DUMMYFUNCTION("""COMPUTED_VALUE"""),49.0)</f>
        <v>49</v>
      </c>
      <c r="V29" s="197">
        <f>IFERROR(__xludf.DUMMYFUNCTION("""COMPUTED_VALUE"""),30.0)</f>
        <v>30</v>
      </c>
      <c r="W29" s="197">
        <f>IFERROR(__xludf.DUMMYFUNCTION("""COMPUTED_VALUE"""),1.0)</f>
        <v>1</v>
      </c>
      <c r="X29" s="197">
        <f>IFERROR(__xludf.DUMMYFUNCTION("""COMPUTED_VALUE"""),18.0)</f>
        <v>18</v>
      </c>
      <c r="Y29" s="41">
        <f>IFERROR(__xludf.DUMMYFUNCTION("""COMPUTED_VALUE"""),41.0)</f>
        <v>41</v>
      </c>
      <c r="Z29" s="197">
        <f>IFERROR(__xludf.DUMMYFUNCTION("""COMPUTED_VALUE"""),22.0)</f>
        <v>22</v>
      </c>
      <c r="AA29" s="197">
        <f>IFERROR(__xludf.DUMMYFUNCTION("""COMPUTED_VALUE"""),1.0)</f>
        <v>1</v>
      </c>
      <c r="AB29" s="197">
        <f>IFERROR(__xludf.DUMMYFUNCTION("""COMPUTED_VALUE"""),18.0)</f>
        <v>18</v>
      </c>
      <c r="AC29" s="41">
        <f>IFERROR(__xludf.DUMMYFUNCTION("""COMPUTED_VALUE"""),37.0)</f>
        <v>37</v>
      </c>
      <c r="AD29" s="197">
        <f>IFERROR(__xludf.DUMMYFUNCTION("""COMPUTED_VALUE"""),18.0)</f>
        <v>18</v>
      </c>
      <c r="AE29" s="197">
        <f>IFERROR(__xludf.DUMMYFUNCTION("""COMPUTED_VALUE"""),1.0)</f>
        <v>1</v>
      </c>
      <c r="AF29" s="197">
        <f>IFERROR(__xludf.DUMMYFUNCTION("""COMPUTED_VALUE"""),18.0)</f>
        <v>18</v>
      </c>
      <c r="AG29" s="41">
        <f>IFERROR(__xludf.DUMMYFUNCTION("""COMPUTED_VALUE"""),0.0)</f>
        <v>0</v>
      </c>
      <c r="AH29" s="197">
        <f>IFERROR(__xludf.DUMMYFUNCTION("""COMPUTED_VALUE"""),0.0)</f>
        <v>0</v>
      </c>
      <c r="AI29" s="197">
        <f>IFERROR(__xludf.DUMMYFUNCTION("""COMPUTED_VALUE"""),0.0)</f>
        <v>0</v>
      </c>
      <c r="AJ29" s="197">
        <f>IFERROR(__xludf.DUMMYFUNCTION("""COMPUTED_VALUE"""),0.0)</f>
        <v>0</v>
      </c>
      <c r="AK29" s="41">
        <f>IFERROR(__xludf.DUMMYFUNCTION("""COMPUTED_VALUE"""),0.0)</f>
        <v>0</v>
      </c>
      <c r="AL29" s="197">
        <f>IFERROR(__xludf.DUMMYFUNCTION("""COMPUTED_VALUE"""),0.0)</f>
        <v>0</v>
      </c>
      <c r="AM29" s="197">
        <f>IFERROR(__xludf.DUMMYFUNCTION("""COMPUTED_VALUE"""),0.0)</f>
        <v>0</v>
      </c>
      <c r="AN29" s="197">
        <f>IFERROR(__xludf.DUMMYFUNCTION("""COMPUTED_VALUE"""),0.0)</f>
        <v>0</v>
      </c>
      <c r="AO29" s="41">
        <f>IFERROR(__xludf.DUMMYFUNCTION("""COMPUTED_VALUE"""),0.0)</f>
        <v>0</v>
      </c>
      <c r="AP29" s="197">
        <f>IFERROR(__xludf.DUMMYFUNCTION("""COMPUTED_VALUE"""),0.0)</f>
        <v>0</v>
      </c>
      <c r="AQ29" s="197">
        <f>IFERROR(__xludf.DUMMYFUNCTION("""COMPUTED_VALUE"""),0.0)</f>
        <v>0</v>
      </c>
      <c r="AR29" s="197">
        <f>IFERROR(__xludf.DUMMYFUNCTION("""COMPUTED_VALUE"""),0.0)</f>
        <v>0</v>
      </c>
      <c r="AS29" s="41">
        <f>IFERROR(__xludf.DUMMYFUNCTION("""COMPUTED_VALUE"""),0.0)</f>
        <v>0</v>
      </c>
      <c r="AT29" s="197">
        <f>IFERROR(__xludf.DUMMYFUNCTION("""COMPUTED_VALUE"""),0.0)</f>
        <v>0</v>
      </c>
      <c r="AU29" s="197">
        <f>IFERROR(__xludf.DUMMYFUNCTION("""COMPUTED_VALUE"""),0.0)</f>
        <v>0</v>
      </c>
      <c r="AV29" s="197">
        <f>IFERROR(__xludf.DUMMYFUNCTION("""COMPUTED_VALUE"""),0.0)</f>
        <v>0</v>
      </c>
      <c r="AW29" s="41">
        <f>IFERROR(__xludf.DUMMYFUNCTION("""COMPUTED_VALUE"""),0.0)</f>
        <v>0</v>
      </c>
      <c r="AX29" s="197">
        <f>IFERROR(__xludf.DUMMYFUNCTION("""COMPUTED_VALUE"""),0.0)</f>
        <v>0</v>
      </c>
      <c r="AY29" s="197">
        <f>IFERROR(__xludf.DUMMYFUNCTION("""COMPUTED_VALUE"""),0.0)</f>
        <v>0</v>
      </c>
      <c r="AZ29" s="198">
        <f>IFERROR(__xludf.DUMMYFUNCTION("""COMPUTED_VALUE"""),0.0)</f>
        <v>0</v>
      </c>
      <c r="BA29" s="195"/>
    </row>
    <row r="30" ht="15.75" customHeight="1">
      <c r="A30" s="29"/>
      <c r="B30" s="67" t="str">
        <f>IFERROR(__xludf.DUMMYFUNCTION("""COMPUTED_VALUE"""),"3.1.2. Số trẻ mẫu giáo")</f>
        <v>3.1.2. Số trẻ mẫu giáo</v>
      </c>
      <c r="C30" s="31"/>
      <c r="D30" s="31" t="str">
        <f>IFERROR(__xludf.DUMMYFUNCTION("""COMPUTED_VALUE""")," Người")</f>
        <v> Người</v>
      </c>
      <c r="E30" s="41">
        <f>IFERROR(__xludf.DUMMYFUNCTION("""COMPUTED_VALUE"""),41713.0)</f>
        <v>41713</v>
      </c>
      <c r="F30" s="197">
        <f>IFERROR(__xludf.DUMMYFUNCTION("""COMPUTED_VALUE"""),37954.0)</f>
        <v>37954</v>
      </c>
      <c r="G30" s="197">
        <f>IFERROR(__xludf.DUMMYFUNCTION("""COMPUTED_VALUE"""),703.0)</f>
        <v>703</v>
      </c>
      <c r="H30" s="197">
        <f>IFERROR(__xludf.DUMMYFUNCTION("""COMPUTED_VALUE"""),3056.0)</f>
        <v>3056</v>
      </c>
      <c r="I30" s="41">
        <f>IFERROR(__xludf.DUMMYFUNCTION("""COMPUTED_VALUE"""),42094.0)</f>
        <v>42094</v>
      </c>
      <c r="J30" s="197">
        <f>IFERROR(__xludf.DUMMYFUNCTION("""COMPUTED_VALUE"""),38241.0)</f>
        <v>38241</v>
      </c>
      <c r="K30" s="197">
        <f>IFERROR(__xludf.DUMMYFUNCTION("""COMPUTED_VALUE"""),705.0)</f>
        <v>705</v>
      </c>
      <c r="L30" s="197">
        <f>IFERROR(__xludf.DUMMYFUNCTION("""COMPUTED_VALUE"""),3148.0)</f>
        <v>3148</v>
      </c>
      <c r="M30" s="41">
        <f>IFERROR(__xludf.DUMMYFUNCTION("""COMPUTED_VALUE"""),42289.0)</f>
        <v>42289</v>
      </c>
      <c r="N30" s="197">
        <f>IFERROR(__xludf.DUMMYFUNCTION("""COMPUTED_VALUE"""),38320.0)</f>
        <v>38320</v>
      </c>
      <c r="O30" s="197">
        <f>IFERROR(__xludf.DUMMYFUNCTION("""COMPUTED_VALUE"""),705.0)</f>
        <v>705</v>
      </c>
      <c r="P30" s="197">
        <f>IFERROR(__xludf.DUMMYFUNCTION("""COMPUTED_VALUE"""),3264.0)</f>
        <v>3264</v>
      </c>
      <c r="Q30" s="41">
        <f>IFERROR(__xludf.DUMMYFUNCTION("""COMPUTED_VALUE"""),42438.0)</f>
        <v>42438</v>
      </c>
      <c r="R30" s="197">
        <f>IFERROR(__xludf.DUMMYFUNCTION("""COMPUTED_VALUE"""),38472.0)</f>
        <v>38472</v>
      </c>
      <c r="S30" s="197">
        <f>IFERROR(__xludf.DUMMYFUNCTION("""COMPUTED_VALUE"""),705.0)</f>
        <v>705</v>
      </c>
      <c r="T30" s="197">
        <f>IFERROR(__xludf.DUMMYFUNCTION("""COMPUTED_VALUE"""),3261.0)</f>
        <v>3261</v>
      </c>
      <c r="U30" s="41">
        <f>IFERROR(__xludf.DUMMYFUNCTION("""COMPUTED_VALUE"""),37722.739)</f>
        <v>37722.739</v>
      </c>
      <c r="V30" s="197">
        <f>IFERROR(__xludf.DUMMYFUNCTION("""COMPUTED_VALUE"""),36433.062)</f>
        <v>36433.062</v>
      </c>
      <c r="W30" s="197">
        <f>IFERROR(__xludf.DUMMYFUNCTION("""COMPUTED_VALUE"""),705.0)</f>
        <v>705</v>
      </c>
      <c r="X30" s="197">
        <f>IFERROR(__xludf.DUMMYFUNCTION("""COMPUTED_VALUE"""),584.677)</f>
        <v>584.677</v>
      </c>
      <c r="Y30" s="41">
        <f>IFERROR(__xludf.DUMMYFUNCTION("""COMPUTED_VALUE"""),37955.779)</f>
        <v>37955.779</v>
      </c>
      <c r="Z30" s="197">
        <f>IFERROR(__xludf.DUMMYFUNCTION("""COMPUTED_VALUE"""),36623.049)</f>
        <v>36623.049</v>
      </c>
      <c r="AA30" s="197">
        <f>IFERROR(__xludf.DUMMYFUNCTION("""COMPUTED_VALUE"""),698.0)</f>
        <v>698</v>
      </c>
      <c r="AB30" s="197">
        <f>IFERROR(__xludf.DUMMYFUNCTION("""COMPUTED_VALUE"""),634.73)</f>
        <v>634.73</v>
      </c>
      <c r="AC30" s="41">
        <f>IFERROR(__xludf.DUMMYFUNCTION("""COMPUTED_VALUE"""),38010.727)</f>
        <v>38010.727</v>
      </c>
      <c r="AD30" s="197">
        <f>IFERROR(__xludf.DUMMYFUNCTION("""COMPUTED_VALUE"""),36662.049)</f>
        <v>36662.049</v>
      </c>
      <c r="AE30" s="197">
        <f>IFERROR(__xludf.DUMMYFUNCTION("""COMPUTED_VALUE"""),698.0)</f>
        <v>698</v>
      </c>
      <c r="AF30" s="197">
        <f>IFERROR(__xludf.DUMMYFUNCTION("""COMPUTED_VALUE"""),650.678)</f>
        <v>650.678</v>
      </c>
      <c r="AG30" s="41">
        <f>IFERROR(__xludf.DUMMYFUNCTION("""COMPUTED_VALUE"""),0.0)</f>
        <v>0</v>
      </c>
      <c r="AH30" s="197">
        <f>IFERROR(__xludf.DUMMYFUNCTION("""COMPUTED_VALUE"""),0.0)</f>
        <v>0</v>
      </c>
      <c r="AI30" s="197">
        <f>IFERROR(__xludf.DUMMYFUNCTION("""COMPUTED_VALUE"""),0.0)</f>
        <v>0</v>
      </c>
      <c r="AJ30" s="197">
        <f>IFERROR(__xludf.DUMMYFUNCTION("""COMPUTED_VALUE"""),0.0)</f>
        <v>0</v>
      </c>
      <c r="AK30" s="41">
        <f>IFERROR(__xludf.DUMMYFUNCTION("""COMPUTED_VALUE"""),0.0)</f>
        <v>0</v>
      </c>
      <c r="AL30" s="197">
        <f>IFERROR(__xludf.DUMMYFUNCTION("""COMPUTED_VALUE"""),0.0)</f>
        <v>0</v>
      </c>
      <c r="AM30" s="197">
        <f>IFERROR(__xludf.DUMMYFUNCTION("""COMPUTED_VALUE"""),0.0)</f>
        <v>0</v>
      </c>
      <c r="AN30" s="197">
        <f>IFERROR(__xludf.DUMMYFUNCTION("""COMPUTED_VALUE"""),0.0)</f>
        <v>0</v>
      </c>
      <c r="AO30" s="41">
        <f>IFERROR(__xludf.DUMMYFUNCTION("""COMPUTED_VALUE"""),0.0)</f>
        <v>0</v>
      </c>
      <c r="AP30" s="197">
        <f>IFERROR(__xludf.DUMMYFUNCTION("""COMPUTED_VALUE"""),0.0)</f>
        <v>0</v>
      </c>
      <c r="AQ30" s="197">
        <f>IFERROR(__xludf.DUMMYFUNCTION("""COMPUTED_VALUE"""),0.0)</f>
        <v>0</v>
      </c>
      <c r="AR30" s="197">
        <f>IFERROR(__xludf.DUMMYFUNCTION("""COMPUTED_VALUE"""),0.0)</f>
        <v>0</v>
      </c>
      <c r="AS30" s="41">
        <f>IFERROR(__xludf.DUMMYFUNCTION("""COMPUTED_VALUE"""),0.0)</f>
        <v>0</v>
      </c>
      <c r="AT30" s="197">
        <f>IFERROR(__xludf.DUMMYFUNCTION("""COMPUTED_VALUE"""),0.0)</f>
        <v>0</v>
      </c>
      <c r="AU30" s="197">
        <f>IFERROR(__xludf.DUMMYFUNCTION("""COMPUTED_VALUE"""),0.0)</f>
        <v>0</v>
      </c>
      <c r="AV30" s="197">
        <f>IFERROR(__xludf.DUMMYFUNCTION("""COMPUTED_VALUE"""),0.0)</f>
        <v>0</v>
      </c>
      <c r="AW30" s="41">
        <f>IFERROR(__xludf.DUMMYFUNCTION("""COMPUTED_VALUE"""),0.0)</f>
        <v>0</v>
      </c>
      <c r="AX30" s="197">
        <f>IFERROR(__xludf.DUMMYFUNCTION("""COMPUTED_VALUE"""),0.0)</f>
        <v>0</v>
      </c>
      <c r="AY30" s="197">
        <f>IFERROR(__xludf.DUMMYFUNCTION("""COMPUTED_VALUE"""),0.0)</f>
        <v>0</v>
      </c>
      <c r="AZ30" s="198">
        <f>IFERROR(__xludf.DUMMYFUNCTION("""COMPUTED_VALUE"""),0.0)</f>
        <v>0</v>
      </c>
      <c r="BA30" s="195"/>
    </row>
    <row r="31" ht="15.75" customHeight="1">
      <c r="A31" s="29"/>
      <c r="B31" s="48" t="str">
        <f>IFERROR(__xludf.DUMMYFUNCTION("""COMPUTED_VALUE"""),"Trong đó:")</f>
        <v>Trong đó:</v>
      </c>
      <c r="C31" s="49"/>
      <c r="D31" s="3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50"/>
      <c r="BA31" s="195"/>
    </row>
    <row r="32" ht="15.75" customHeight="1">
      <c r="A32" s="29"/>
      <c r="B32" s="67" t="str">
        <f>IFERROR(__xludf.DUMMYFUNCTION("""COMPUTED_VALUE""")," + Nữ")</f>
        <v> + Nữ</v>
      </c>
      <c r="C32" s="31"/>
      <c r="D32" s="31" t="str">
        <f>IFERROR(__xludf.DUMMYFUNCTION("""COMPUTED_VALUE""")," Người")</f>
        <v> Người</v>
      </c>
      <c r="E32" s="41">
        <f>IFERROR(__xludf.DUMMYFUNCTION("""COMPUTED_VALUE"""),19897.0)</f>
        <v>19897</v>
      </c>
      <c r="F32" s="197">
        <f>IFERROR(__xludf.DUMMYFUNCTION("""COMPUTED_VALUE"""),18216.0)</f>
        <v>18216</v>
      </c>
      <c r="G32" s="197">
        <f>IFERROR(__xludf.DUMMYFUNCTION("""COMPUTED_VALUE"""),326.0)</f>
        <v>326</v>
      </c>
      <c r="H32" s="197">
        <f>IFERROR(__xludf.DUMMYFUNCTION("""COMPUTED_VALUE"""),1355.0)</f>
        <v>1355</v>
      </c>
      <c r="I32" s="41">
        <f>IFERROR(__xludf.DUMMYFUNCTION("""COMPUTED_VALUE"""),20166.0)</f>
        <v>20166</v>
      </c>
      <c r="J32" s="197">
        <f>IFERROR(__xludf.DUMMYFUNCTION("""COMPUTED_VALUE"""),18358.0)</f>
        <v>18358</v>
      </c>
      <c r="K32" s="197">
        <f>IFERROR(__xludf.DUMMYFUNCTION("""COMPUTED_VALUE"""),341.0)</f>
        <v>341</v>
      </c>
      <c r="L32" s="197">
        <f>IFERROR(__xludf.DUMMYFUNCTION("""COMPUTED_VALUE"""),1467.0)</f>
        <v>1467</v>
      </c>
      <c r="M32" s="41">
        <f>IFERROR(__xludf.DUMMYFUNCTION("""COMPUTED_VALUE"""),20220.0)</f>
        <v>20220</v>
      </c>
      <c r="N32" s="197">
        <f>IFERROR(__xludf.DUMMYFUNCTION("""COMPUTED_VALUE"""),18413.0)</f>
        <v>18413</v>
      </c>
      <c r="O32" s="197">
        <f>IFERROR(__xludf.DUMMYFUNCTION("""COMPUTED_VALUE"""),341.0)</f>
        <v>341</v>
      </c>
      <c r="P32" s="197">
        <f>IFERROR(__xludf.DUMMYFUNCTION("""COMPUTED_VALUE"""),1466.0)</f>
        <v>1466</v>
      </c>
      <c r="Q32" s="41">
        <f>IFERROR(__xludf.DUMMYFUNCTION("""COMPUTED_VALUE"""),20378.0)</f>
        <v>20378</v>
      </c>
      <c r="R32" s="197">
        <f>IFERROR(__xludf.DUMMYFUNCTION("""COMPUTED_VALUE"""),18571.0)</f>
        <v>18571</v>
      </c>
      <c r="S32" s="197">
        <f>IFERROR(__xludf.DUMMYFUNCTION("""COMPUTED_VALUE"""),341.0)</f>
        <v>341</v>
      </c>
      <c r="T32" s="197">
        <f>IFERROR(__xludf.DUMMYFUNCTION("""COMPUTED_VALUE"""),1466.0)</f>
        <v>1466</v>
      </c>
      <c r="U32" s="41">
        <f>IFERROR(__xludf.DUMMYFUNCTION("""COMPUTED_VALUE"""),18142.221999999998)</f>
        <v>18142.222</v>
      </c>
      <c r="V32" s="197">
        <f>IFERROR(__xludf.DUMMYFUNCTION("""COMPUTED_VALUE"""),17556.006999999998)</f>
        <v>17556.007</v>
      </c>
      <c r="W32" s="197">
        <f>IFERROR(__xludf.DUMMYFUNCTION("""COMPUTED_VALUE"""),341.0)</f>
        <v>341</v>
      </c>
      <c r="X32" s="197">
        <f>IFERROR(__xludf.DUMMYFUNCTION("""COMPUTED_VALUE"""),245.215)</f>
        <v>245.215</v>
      </c>
      <c r="Y32" s="41">
        <f>IFERROR(__xludf.DUMMYFUNCTION("""COMPUTED_VALUE"""),17964.235)</f>
        <v>17964.235</v>
      </c>
      <c r="Z32" s="197">
        <f>IFERROR(__xludf.DUMMYFUNCTION("""COMPUTED_VALUE"""),17351.006)</f>
        <v>17351.006</v>
      </c>
      <c r="AA32" s="197">
        <f>IFERROR(__xludf.DUMMYFUNCTION("""COMPUTED_VALUE"""),341.0)</f>
        <v>341</v>
      </c>
      <c r="AB32" s="197">
        <f>IFERROR(__xludf.DUMMYFUNCTION("""COMPUTED_VALUE"""),272.229)</f>
        <v>272.229</v>
      </c>
      <c r="AC32" s="41">
        <f>IFERROR(__xludf.DUMMYFUNCTION("""COMPUTED_VALUE"""),17948.235)</f>
        <v>17948.235</v>
      </c>
      <c r="AD32" s="197">
        <f>IFERROR(__xludf.DUMMYFUNCTION("""COMPUTED_VALUE"""),17344.006)</f>
        <v>17344.006</v>
      </c>
      <c r="AE32" s="197">
        <f>IFERROR(__xludf.DUMMYFUNCTION("""COMPUTED_VALUE"""),341.0)</f>
        <v>341</v>
      </c>
      <c r="AF32" s="197">
        <f>IFERROR(__xludf.DUMMYFUNCTION("""COMPUTED_VALUE"""),263.229)</f>
        <v>263.229</v>
      </c>
      <c r="AG32" s="41">
        <f>IFERROR(__xludf.DUMMYFUNCTION("""COMPUTED_VALUE"""),0.0)</f>
        <v>0</v>
      </c>
      <c r="AH32" s="197">
        <f>IFERROR(__xludf.DUMMYFUNCTION("""COMPUTED_VALUE"""),0.0)</f>
        <v>0</v>
      </c>
      <c r="AI32" s="197">
        <f>IFERROR(__xludf.DUMMYFUNCTION("""COMPUTED_VALUE"""),0.0)</f>
        <v>0</v>
      </c>
      <c r="AJ32" s="197">
        <f>IFERROR(__xludf.DUMMYFUNCTION("""COMPUTED_VALUE"""),0.0)</f>
        <v>0</v>
      </c>
      <c r="AK32" s="41">
        <f>IFERROR(__xludf.DUMMYFUNCTION("""COMPUTED_VALUE"""),0.0)</f>
        <v>0</v>
      </c>
      <c r="AL32" s="197">
        <f>IFERROR(__xludf.DUMMYFUNCTION("""COMPUTED_VALUE"""),0.0)</f>
        <v>0</v>
      </c>
      <c r="AM32" s="197">
        <f>IFERROR(__xludf.DUMMYFUNCTION("""COMPUTED_VALUE"""),0.0)</f>
        <v>0</v>
      </c>
      <c r="AN32" s="197">
        <f>IFERROR(__xludf.DUMMYFUNCTION("""COMPUTED_VALUE"""),0.0)</f>
        <v>0</v>
      </c>
      <c r="AO32" s="41">
        <f>IFERROR(__xludf.DUMMYFUNCTION("""COMPUTED_VALUE"""),0.0)</f>
        <v>0</v>
      </c>
      <c r="AP32" s="197">
        <f>IFERROR(__xludf.DUMMYFUNCTION("""COMPUTED_VALUE"""),0.0)</f>
        <v>0</v>
      </c>
      <c r="AQ32" s="197">
        <f>IFERROR(__xludf.DUMMYFUNCTION("""COMPUTED_VALUE"""),0.0)</f>
        <v>0</v>
      </c>
      <c r="AR32" s="197">
        <f>IFERROR(__xludf.DUMMYFUNCTION("""COMPUTED_VALUE"""),0.0)</f>
        <v>0</v>
      </c>
      <c r="AS32" s="41">
        <f>IFERROR(__xludf.DUMMYFUNCTION("""COMPUTED_VALUE"""),0.0)</f>
        <v>0</v>
      </c>
      <c r="AT32" s="197">
        <f>IFERROR(__xludf.DUMMYFUNCTION("""COMPUTED_VALUE"""),0.0)</f>
        <v>0</v>
      </c>
      <c r="AU32" s="197">
        <f>IFERROR(__xludf.DUMMYFUNCTION("""COMPUTED_VALUE"""),0.0)</f>
        <v>0</v>
      </c>
      <c r="AV32" s="197">
        <f>IFERROR(__xludf.DUMMYFUNCTION("""COMPUTED_VALUE"""),0.0)</f>
        <v>0</v>
      </c>
      <c r="AW32" s="41">
        <f>IFERROR(__xludf.DUMMYFUNCTION("""COMPUTED_VALUE"""),0.0)</f>
        <v>0</v>
      </c>
      <c r="AX32" s="197">
        <f>IFERROR(__xludf.DUMMYFUNCTION("""COMPUTED_VALUE"""),0.0)</f>
        <v>0</v>
      </c>
      <c r="AY32" s="197">
        <f>IFERROR(__xludf.DUMMYFUNCTION("""COMPUTED_VALUE"""),0.0)</f>
        <v>0</v>
      </c>
      <c r="AZ32" s="198">
        <f>IFERROR(__xludf.DUMMYFUNCTION("""COMPUTED_VALUE"""),0.0)</f>
        <v>0</v>
      </c>
      <c r="BA32" s="195"/>
    </row>
    <row r="33" ht="15.75" customHeight="1">
      <c r="A33" s="29"/>
      <c r="B33" s="67" t="str">
        <f>IFERROR(__xludf.DUMMYFUNCTION("""COMPUTED_VALUE""")," + Dân tộc thiểu số")</f>
        <v> + Dân tộc thiểu số</v>
      </c>
      <c r="C33" s="31"/>
      <c r="D33" s="31" t="str">
        <f>IFERROR(__xludf.DUMMYFUNCTION("""COMPUTED_VALUE"""),"""")</f>
        <v>"</v>
      </c>
      <c r="E33" s="41">
        <f>IFERROR(__xludf.DUMMYFUNCTION("""COMPUTED_VALUE"""),16332.0)</f>
        <v>16332</v>
      </c>
      <c r="F33" s="197">
        <f>IFERROR(__xludf.DUMMYFUNCTION("""COMPUTED_VALUE"""),15432.0)</f>
        <v>15432</v>
      </c>
      <c r="G33" s="197">
        <f>IFERROR(__xludf.DUMMYFUNCTION("""COMPUTED_VALUE"""),291.0)</f>
        <v>291</v>
      </c>
      <c r="H33" s="197">
        <f>IFERROR(__xludf.DUMMYFUNCTION("""COMPUTED_VALUE"""),609.0)</f>
        <v>609</v>
      </c>
      <c r="I33" s="41">
        <f>IFERROR(__xludf.DUMMYFUNCTION("""COMPUTED_VALUE"""),14969.0)</f>
        <v>14969</v>
      </c>
      <c r="J33" s="197">
        <f>IFERROR(__xludf.DUMMYFUNCTION("""COMPUTED_VALUE"""),14012.0)</f>
        <v>14012</v>
      </c>
      <c r="K33" s="197">
        <f>IFERROR(__xludf.DUMMYFUNCTION("""COMPUTED_VALUE"""),300.0)</f>
        <v>300</v>
      </c>
      <c r="L33" s="197">
        <f>IFERROR(__xludf.DUMMYFUNCTION("""COMPUTED_VALUE"""),657.0)</f>
        <v>657</v>
      </c>
      <c r="M33" s="41">
        <f>IFERROR(__xludf.DUMMYFUNCTION("""COMPUTED_VALUE"""),16896.0)</f>
        <v>16896</v>
      </c>
      <c r="N33" s="197">
        <f>IFERROR(__xludf.DUMMYFUNCTION("""COMPUTED_VALUE"""),15916.0)</f>
        <v>15916</v>
      </c>
      <c r="O33" s="197">
        <f>IFERROR(__xludf.DUMMYFUNCTION("""COMPUTED_VALUE"""),301.0)</f>
        <v>301</v>
      </c>
      <c r="P33" s="197">
        <f>IFERROR(__xludf.DUMMYFUNCTION("""COMPUTED_VALUE"""),679.0)</f>
        <v>679</v>
      </c>
      <c r="Q33" s="41">
        <f>IFERROR(__xludf.DUMMYFUNCTION("""COMPUTED_VALUE"""),17201.0)</f>
        <v>17201</v>
      </c>
      <c r="R33" s="197">
        <f>IFERROR(__xludf.DUMMYFUNCTION("""COMPUTED_VALUE"""),15920.0)</f>
        <v>15920</v>
      </c>
      <c r="S33" s="197">
        <f>IFERROR(__xludf.DUMMYFUNCTION("""COMPUTED_VALUE"""),301.0)</f>
        <v>301</v>
      </c>
      <c r="T33" s="197">
        <f>IFERROR(__xludf.DUMMYFUNCTION("""COMPUTED_VALUE"""),980.0)</f>
        <v>980</v>
      </c>
      <c r="U33" s="41">
        <f>IFERROR(__xludf.DUMMYFUNCTION("""COMPUTED_VALUE"""),16872.0)</f>
        <v>16872</v>
      </c>
      <c r="V33" s="197">
        <f>IFERROR(__xludf.DUMMYFUNCTION("""COMPUTED_VALUE"""),15926.0)</f>
        <v>15926</v>
      </c>
      <c r="W33" s="197">
        <f>IFERROR(__xludf.DUMMYFUNCTION("""COMPUTED_VALUE"""),301.0)</f>
        <v>301</v>
      </c>
      <c r="X33" s="197">
        <f>IFERROR(__xludf.DUMMYFUNCTION("""COMPUTED_VALUE"""),645.0)</f>
        <v>645</v>
      </c>
      <c r="Y33" s="41">
        <f>IFERROR(__xludf.DUMMYFUNCTION("""COMPUTED_VALUE"""),16911.0)</f>
        <v>16911</v>
      </c>
      <c r="Z33" s="197">
        <f>IFERROR(__xludf.DUMMYFUNCTION("""COMPUTED_VALUE"""),15964.0)</f>
        <v>15964</v>
      </c>
      <c r="AA33" s="197">
        <f>IFERROR(__xludf.DUMMYFUNCTION("""COMPUTED_VALUE"""),301.0)</f>
        <v>301</v>
      </c>
      <c r="AB33" s="197">
        <f>IFERROR(__xludf.DUMMYFUNCTION("""COMPUTED_VALUE"""),646.0)</f>
        <v>646</v>
      </c>
      <c r="AC33" s="41">
        <f>IFERROR(__xludf.DUMMYFUNCTION("""COMPUTED_VALUE"""),16920.0)</f>
        <v>16920</v>
      </c>
      <c r="AD33" s="197">
        <f>IFERROR(__xludf.DUMMYFUNCTION("""COMPUTED_VALUE"""),15961.0)</f>
        <v>15961</v>
      </c>
      <c r="AE33" s="197">
        <f>IFERROR(__xludf.DUMMYFUNCTION("""COMPUTED_VALUE"""),301.0)</f>
        <v>301</v>
      </c>
      <c r="AF33" s="197">
        <f>IFERROR(__xludf.DUMMYFUNCTION("""COMPUTED_VALUE"""),658.0)</f>
        <v>658</v>
      </c>
      <c r="AG33" s="41">
        <f>IFERROR(__xludf.DUMMYFUNCTION("""COMPUTED_VALUE"""),0.0)</f>
        <v>0</v>
      </c>
      <c r="AH33" s="197">
        <f>IFERROR(__xludf.DUMMYFUNCTION("""COMPUTED_VALUE"""),0.0)</f>
        <v>0</v>
      </c>
      <c r="AI33" s="197">
        <f>IFERROR(__xludf.DUMMYFUNCTION("""COMPUTED_VALUE"""),0.0)</f>
        <v>0</v>
      </c>
      <c r="AJ33" s="197">
        <f>IFERROR(__xludf.DUMMYFUNCTION("""COMPUTED_VALUE"""),0.0)</f>
        <v>0</v>
      </c>
      <c r="AK33" s="41">
        <f>IFERROR(__xludf.DUMMYFUNCTION("""COMPUTED_VALUE"""),0.0)</f>
        <v>0</v>
      </c>
      <c r="AL33" s="197">
        <f>IFERROR(__xludf.DUMMYFUNCTION("""COMPUTED_VALUE"""),0.0)</f>
        <v>0</v>
      </c>
      <c r="AM33" s="197">
        <f>IFERROR(__xludf.DUMMYFUNCTION("""COMPUTED_VALUE"""),0.0)</f>
        <v>0</v>
      </c>
      <c r="AN33" s="197">
        <f>IFERROR(__xludf.DUMMYFUNCTION("""COMPUTED_VALUE"""),0.0)</f>
        <v>0</v>
      </c>
      <c r="AO33" s="41">
        <f>IFERROR(__xludf.DUMMYFUNCTION("""COMPUTED_VALUE"""),0.0)</f>
        <v>0</v>
      </c>
      <c r="AP33" s="197">
        <f>IFERROR(__xludf.DUMMYFUNCTION("""COMPUTED_VALUE"""),0.0)</f>
        <v>0</v>
      </c>
      <c r="AQ33" s="197">
        <f>IFERROR(__xludf.DUMMYFUNCTION("""COMPUTED_VALUE"""),0.0)</f>
        <v>0</v>
      </c>
      <c r="AR33" s="197">
        <f>IFERROR(__xludf.DUMMYFUNCTION("""COMPUTED_VALUE"""),0.0)</f>
        <v>0</v>
      </c>
      <c r="AS33" s="41">
        <f>IFERROR(__xludf.DUMMYFUNCTION("""COMPUTED_VALUE"""),0.0)</f>
        <v>0</v>
      </c>
      <c r="AT33" s="197">
        <f>IFERROR(__xludf.DUMMYFUNCTION("""COMPUTED_VALUE"""),0.0)</f>
        <v>0</v>
      </c>
      <c r="AU33" s="197">
        <f>IFERROR(__xludf.DUMMYFUNCTION("""COMPUTED_VALUE"""),0.0)</f>
        <v>0</v>
      </c>
      <c r="AV33" s="197">
        <f>IFERROR(__xludf.DUMMYFUNCTION("""COMPUTED_VALUE"""),0.0)</f>
        <v>0</v>
      </c>
      <c r="AW33" s="41">
        <f>IFERROR(__xludf.DUMMYFUNCTION("""COMPUTED_VALUE"""),0.0)</f>
        <v>0</v>
      </c>
      <c r="AX33" s="197">
        <f>IFERROR(__xludf.DUMMYFUNCTION("""COMPUTED_VALUE"""),0.0)</f>
        <v>0</v>
      </c>
      <c r="AY33" s="197">
        <f>IFERROR(__xludf.DUMMYFUNCTION("""COMPUTED_VALUE"""),0.0)</f>
        <v>0</v>
      </c>
      <c r="AZ33" s="198">
        <f>IFERROR(__xludf.DUMMYFUNCTION("""COMPUTED_VALUE"""),0.0)</f>
        <v>0</v>
      </c>
      <c r="BA33" s="195"/>
    </row>
    <row r="34" ht="15.75" customHeight="1">
      <c r="A34" s="29"/>
      <c r="B34" s="67" t="str">
        <f>IFERROR(__xludf.DUMMYFUNCTION("""COMPUTED_VALUE""")," + Nữ dân tộc thiểu số")</f>
        <v> + Nữ dân tộc thiểu số</v>
      </c>
      <c r="C34" s="31"/>
      <c r="D34" s="31" t="str">
        <f>IFERROR(__xludf.DUMMYFUNCTION("""COMPUTED_VALUE"""),"""")</f>
        <v>"</v>
      </c>
      <c r="E34" s="41">
        <f>IFERROR(__xludf.DUMMYFUNCTION("""COMPUTED_VALUE"""),8054.0)</f>
        <v>8054</v>
      </c>
      <c r="F34" s="197">
        <f>IFERROR(__xludf.DUMMYFUNCTION("""COMPUTED_VALUE"""),7625.0)</f>
        <v>7625</v>
      </c>
      <c r="G34" s="197">
        <f>IFERROR(__xludf.DUMMYFUNCTION("""COMPUTED_VALUE"""),132.0)</f>
        <v>132</v>
      </c>
      <c r="H34" s="197">
        <f>IFERROR(__xludf.DUMMYFUNCTION("""COMPUTED_VALUE"""),297.0)</f>
        <v>297</v>
      </c>
      <c r="I34" s="41">
        <f>IFERROR(__xludf.DUMMYFUNCTION("""COMPUTED_VALUE"""),7259.0)</f>
        <v>7259</v>
      </c>
      <c r="J34" s="197">
        <f>IFERROR(__xludf.DUMMYFUNCTION("""COMPUTED_VALUE"""),6803.0)</f>
        <v>6803</v>
      </c>
      <c r="K34" s="197">
        <f>IFERROR(__xludf.DUMMYFUNCTION("""COMPUTED_VALUE"""),134.0)</f>
        <v>134</v>
      </c>
      <c r="L34" s="197">
        <f>IFERROR(__xludf.DUMMYFUNCTION("""COMPUTED_VALUE"""),322.0)</f>
        <v>322</v>
      </c>
      <c r="M34" s="41">
        <f>IFERROR(__xludf.DUMMYFUNCTION("""COMPUTED_VALUE"""),8199.0)</f>
        <v>8199</v>
      </c>
      <c r="N34" s="197">
        <f>IFERROR(__xludf.DUMMYFUNCTION("""COMPUTED_VALUE"""),7747.0)</f>
        <v>7747</v>
      </c>
      <c r="O34" s="197">
        <f>IFERROR(__xludf.DUMMYFUNCTION("""COMPUTED_VALUE"""),135.0)</f>
        <v>135</v>
      </c>
      <c r="P34" s="197">
        <f>IFERROR(__xludf.DUMMYFUNCTION("""COMPUTED_VALUE"""),317.0)</f>
        <v>317</v>
      </c>
      <c r="Q34" s="41">
        <f>IFERROR(__xludf.DUMMYFUNCTION("""COMPUTED_VALUE"""),8356.0)</f>
        <v>8356</v>
      </c>
      <c r="R34" s="197">
        <f>IFERROR(__xludf.DUMMYFUNCTION("""COMPUTED_VALUE"""),7737.0)</f>
        <v>7737</v>
      </c>
      <c r="S34" s="197">
        <f>IFERROR(__xludf.DUMMYFUNCTION("""COMPUTED_VALUE"""),135.0)</f>
        <v>135</v>
      </c>
      <c r="T34" s="197">
        <f>IFERROR(__xludf.DUMMYFUNCTION("""COMPUTED_VALUE"""),484.0)</f>
        <v>484</v>
      </c>
      <c r="U34" s="41">
        <f>IFERROR(__xludf.DUMMYFUNCTION("""COMPUTED_VALUE"""),8211.0)</f>
        <v>8211</v>
      </c>
      <c r="V34" s="197">
        <f>IFERROR(__xludf.DUMMYFUNCTION("""COMPUTED_VALUE"""),7765.0)</f>
        <v>7765</v>
      </c>
      <c r="W34" s="197">
        <f>IFERROR(__xludf.DUMMYFUNCTION("""COMPUTED_VALUE"""),135.0)</f>
        <v>135</v>
      </c>
      <c r="X34" s="197">
        <f>IFERROR(__xludf.DUMMYFUNCTION("""COMPUTED_VALUE"""),311.0)</f>
        <v>311</v>
      </c>
      <c r="Y34" s="41">
        <f>IFERROR(__xludf.DUMMYFUNCTION("""COMPUTED_VALUE"""),8048.0)</f>
        <v>8048</v>
      </c>
      <c r="Z34" s="197">
        <f>IFERROR(__xludf.DUMMYFUNCTION("""COMPUTED_VALUE"""),7591.0)</f>
        <v>7591</v>
      </c>
      <c r="AA34" s="197">
        <f>IFERROR(__xludf.DUMMYFUNCTION("""COMPUTED_VALUE"""),135.0)</f>
        <v>135</v>
      </c>
      <c r="AB34" s="197">
        <f>IFERROR(__xludf.DUMMYFUNCTION("""COMPUTED_VALUE"""),322.0)</f>
        <v>322</v>
      </c>
      <c r="AC34" s="41">
        <f>IFERROR(__xludf.DUMMYFUNCTION("""COMPUTED_VALUE"""),8148.0)</f>
        <v>8148</v>
      </c>
      <c r="AD34" s="197">
        <f>IFERROR(__xludf.DUMMYFUNCTION("""COMPUTED_VALUE"""),7688.0)</f>
        <v>7688</v>
      </c>
      <c r="AE34" s="197">
        <f>IFERROR(__xludf.DUMMYFUNCTION("""COMPUTED_VALUE"""),135.0)</f>
        <v>135</v>
      </c>
      <c r="AF34" s="197">
        <f>IFERROR(__xludf.DUMMYFUNCTION("""COMPUTED_VALUE"""),325.0)</f>
        <v>325</v>
      </c>
      <c r="AG34" s="41">
        <f>IFERROR(__xludf.DUMMYFUNCTION("""COMPUTED_VALUE"""),0.0)</f>
        <v>0</v>
      </c>
      <c r="AH34" s="197">
        <f>IFERROR(__xludf.DUMMYFUNCTION("""COMPUTED_VALUE"""),0.0)</f>
        <v>0</v>
      </c>
      <c r="AI34" s="197">
        <f>IFERROR(__xludf.DUMMYFUNCTION("""COMPUTED_VALUE"""),0.0)</f>
        <v>0</v>
      </c>
      <c r="AJ34" s="197">
        <f>IFERROR(__xludf.DUMMYFUNCTION("""COMPUTED_VALUE"""),0.0)</f>
        <v>0</v>
      </c>
      <c r="AK34" s="41">
        <f>IFERROR(__xludf.DUMMYFUNCTION("""COMPUTED_VALUE"""),0.0)</f>
        <v>0</v>
      </c>
      <c r="AL34" s="197">
        <f>IFERROR(__xludf.DUMMYFUNCTION("""COMPUTED_VALUE"""),0.0)</f>
        <v>0</v>
      </c>
      <c r="AM34" s="197">
        <f>IFERROR(__xludf.DUMMYFUNCTION("""COMPUTED_VALUE"""),0.0)</f>
        <v>0</v>
      </c>
      <c r="AN34" s="197">
        <f>IFERROR(__xludf.DUMMYFUNCTION("""COMPUTED_VALUE"""),0.0)</f>
        <v>0</v>
      </c>
      <c r="AO34" s="41">
        <f>IFERROR(__xludf.DUMMYFUNCTION("""COMPUTED_VALUE"""),0.0)</f>
        <v>0</v>
      </c>
      <c r="AP34" s="197">
        <f>IFERROR(__xludf.DUMMYFUNCTION("""COMPUTED_VALUE"""),0.0)</f>
        <v>0</v>
      </c>
      <c r="AQ34" s="197">
        <f>IFERROR(__xludf.DUMMYFUNCTION("""COMPUTED_VALUE"""),0.0)</f>
        <v>0</v>
      </c>
      <c r="AR34" s="197">
        <f>IFERROR(__xludf.DUMMYFUNCTION("""COMPUTED_VALUE"""),0.0)</f>
        <v>0</v>
      </c>
      <c r="AS34" s="41">
        <f>IFERROR(__xludf.DUMMYFUNCTION("""COMPUTED_VALUE"""),0.0)</f>
        <v>0</v>
      </c>
      <c r="AT34" s="197">
        <f>IFERROR(__xludf.DUMMYFUNCTION("""COMPUTED_VALUE"""),0.0)</f>
        <v>0</v>
      </c>
      <c r="AU34" s="197">
        <f>IFERROR(__xludf.DUMMYFUNCTION("""COMPUTED_VALUE"""),0.0)</f>
        <v>0</v>
      </c>
      <c r="AV34" s="197">
        <f>IFERROR(__xludf.DUMMYFUNCTION("""COMPUTED_VALUE"""),0.0)</f>
        <v>0</v>
      </c>
      <c r="AW34" s="41">
        <f>IFERROR(__xludf.DUMMYFUNCTION("""COMPUTED_VALUE"""),0.0)</f>
        <v>0</v>
      </c>
      <c r="AX34" s="197">
        <f>IFERROR(__xludf.DUMMYFUNCTION("""COMPUTED_VALUE"""),0.0)</f>
        <v>0</v>
      </c>
      <c r="AY34" s="197">
        <f>IFERROR(__xludf.DUMMYFUNCTION("""COMPUTED_VALUE"""),0.0)</f>
        <v>0</v>
      </c>
      <c r="AZ34" s="198">
        <f>IFERROR(__xludf.DUMMYFUNCTION("""COMPUTED_VALUE"""),0.0)</f>
        <v>0</v>
      </c>
      <c r="BA34" s="195"/>
    </row>
    <row r="35" ht="15.75" customHeight="1">
      <c r="A35" s="29"/>
      <c r="B35" s="67" t="str">
        <f>IFERROR(__xludf.DUMMYFUNCTION("""COMPUTED_VALUE""")," + Khuyết tật")</f>
        <v> + Khuyết tật</v>
      </c>
      <c r="C35" s="31"/>
      <c r="D35" s="31" t="str">
        <f>IFERROR(__xludf.DUMMYFUNCTION("""COMPUTED_VALUE"""),"""")</f>
        <v>"</v>
      </c>
      <c r="E35" s="41">
        <f>IFERROR(__xludf.DUMMYFUNCTION("""COMPUTED_VALUE"""),12.0)</f>
        <v>12</v>
      </c>
      <c r="F35" s="197">
        <f>IFERROR(__xludf.DUMMYFUNCTION("""COMPUTED_VALUE"""),11.0)</f>
        <v>11</v>
      </c>
      <c r="G35" s="197">
        <f>IFERROR(__xludf.DUMMYFUNCTION("""COMPUTED_VALUE"""),0.0)</f>
        <v>0</v>
      </c>
      <c r="H35" s="197">
        <f>IFERROR(__xludf.DUMMYFUNCTION("""COMPUTED_VALUE"""),1.0)</f>
        <v>1</v>
      </c>
      <c r="I35" s="41">
        <f>IFERROR(__xludf.DUMMYFUNCTION("""COMPUTED_VALUE"""),14.0)</f>
        <v>14</v>
      </c>
      <c r="J35" s="197">
        <f>IFERROR(__xludf.DUMMYFUNCTION("""COMPUTED_VALUE"""),13.0)</f>
        <v>13</v>
      </c>
      <c r="K35" s="197">
        <f>IFERROR(__xludf.DUMMYFUNCTION("""COMPUTED_VALUE"""),0.0)</f>
        <v>0</v>
      </c>
      <c r="L35" s="197">
        <f>IFERROR(__xludf.DUMMYFUNCTION("""COMPUTED_VALUE"""),1.0)</f>
        <v>1</v>
      </c>
      <c r="M35" s="41">
        <f>IFERROR(__xludf.DUMMYFUNCTION("""COMPUTED_VALUE"""),14.0)</f>
        <v>14</v>
      </c>
      <c r="N35" s="197">
        <f>IFERROR(__xludf.DUMMYFUNCTION("""COMPUTED_VALUE"""),13.0)</f>
        <v>13</v>
      </c>
      <c r="O35" s="197">
        <f>IFERROR(__xludf.DUMMYFUNCTION("""COMPUTED_VALUE"""),0.0)</f>
        <v>0</v>
      </c>
      <c r="P35" s="197">
        <f>IFERROR(__xludf.DUMMYFUNCTION("""COMPUTED_VALUE"""),1.0)</f>
        <v>1</v>
      </c>
      <c r="Q35" s="41">
        <f>IFERROR(__xludf.DUMMYFUNCTION("""COMPUTED_VALUE"""),14.0)</f>
        <v>14</v>
      </c>
      <c r="R35" s="197">
        <f>IFERROR(__xludf.DUMMYFUNCTION("""COMPUTED_VALUE"""),13.0)</f>
        <v>13</v>
      </c>
      <c r="S35" s="197">
        <f>IFERROR(__xludf.DUMMYFUNCTION("""COMPUTED_VALUE"""),0.0)</f>
        <v>0</v>
      </c>
      <c r="T35" s="197">
        <f>IFERROR(__xludf.DUMMYFUNCTION("""COMPUTED_VALUE"""),1.0)</f>
        <v>1</v>
      </c>
      <c r="U35" s="41">
        <f>IFERROR(__xludf.DUMMYFUNCTION("""COMPUTED_VALUE"""),14.0)</f>
        <v>14</v>
      </c>
      <c r="V35" s="197">
        <f>IFERROR(__xludf.DUMMYFUNCTION("""COMPUTED_VALUE"""),13.0)</f>
        <v>13</v>
      </c>
      <c r="W35" s="197">
        <f>IFERROR(__xludf.DUMMYFUNCTION("""COMPUTED_VALUE"""),0.0)</f>
        <v>0</v>
      </c>
      <c r="X35" s="197">
        <f>IFERROR(__xludf.DUMMYFUNCTION("""COMPUTED_VALUE"""),1.0)</f>
        <v>1</v>
      </c>
      <c r="Y35" s="41">
        <f>IFERROR(__xludf.DUMMYFUNCTION("""COMPUTED_VALUE"""),14.0)</f>
        <v>14</v>
      </c>
      <c r="Z35" s="197">
        <f>IFERROR(__xludf.DUMMYFUNCTION("""COMPUTED_VALUE"""),13.0)</f>
        <v>13</v>
      </c>
      <c r="AA35" s="197">
        <f>IFERROR(__xludf.DUMMYFUNCTION("""COMPUTED_VALUE"""),0.0)</f>
        <v>0</v>
      </c>
      <c r="AB35" s="197">
        <f>IFERROR(__xludf.DUMMYFUNCTION("""COMPUTED_VALUE"""),1.0)</f>
        <v>1</v>
      </c>
      <c r="AC35" s="41">
        <f>IFERROR(__xludf.DUMMYFUNCTION("""COMPUTED_VALUE"""),14.0)</f>
        <v>14</v>
      </c>
      <c r="AD35" s="197">
        <f>IFERROR(__xludf.DUMMYFUNCTION("""COMPUTED_VALUE"""),13.0)</f>
        <v>13</v>
      </c>
      <c r="AE35" s="197">
        <f>IFERROR(__xludf.DUMMYFUNCTION("""COMPUTED_VALUE"""),0.0)</f>
        <v>0</v>
      </c>
      <c r="AF35" s="197">
        <f>IFERROR(__xludf.DUMMYFUNCTION("""COMPUTED_VALUE"""),1.0)</f>
        <v>1</v>
      </c>
      <c r="AG35" s="41">
        <f>IFERROR(__xludf.DUMMYFUNCTION("""COMPUTED_VALUE"""),0.0)</f>
        <v>0</v>
      </c>
      <c r="AH35" s="197">
        <f>IFERROR(__xludf.DUMMYFUNCTION("""COMPUTED_VALUE"""),0.0)</f>
        <v>0</v>
      </c>
      <c r="AI35" s="197">
        <f>IFERROR(__xludf.DUMMYFUNCTION("""COMPUTED_VALUE"""),0.0)</f>
        <v>0</v>
      </c>
      <c r="AJ35" s="197">
        <f>IFERROR(__xludf.DUMMYFUNCTION("""COMPUTED_VALUE"""),0.0)</f>
        <v>0</v>
      </c>
      <c r="AK35" s="41">
        <f>IFERROR(__xludf.DUMMYFUNCTION("""COMPUTED_VALUE"""),0.0)</f>
        <v>0</v>
      </c>
      <c r="AL35" s="197">
        <f>IFERROR(__xludf.DUMMYFUNCTION("""COMPUTED_VALUE"""),0.0)</f>
        <v>0</v>
      </c>
      <c r="AM35" s="197">
        <f>IFERROR(__xludf.DUMMYFUNCTION("""COMPUTED_VALUE"""),0.0)</f>
        <v>0</v>
      </c>
      <c r="AN35" s="197">
        <f>IFERROR(__xludf.DUMMYFUNCTION("""COMPUTED_VALUE"""),0.0)</f>
        <v>0</v>
      </c>
      <c r="AO35" s="41">
        <f>IFERROR(__xludf.DUMMYFUNCTION("""COMPUTED_VALUE"""),0.0)</f>
        <v>0</v>
      </c>
      <c r="AP35" s="197">
        <f>IFERROR(__xludf.DUMMYFUNCTION("""COMPUTED_VALUE"""),0.0)</f>
        <v>0</v>
      </c>
      <c r="AQ35" s="197">
        <f>IFERROR(__xludf.DUMMYFUNCTION("""COMPUTED_VALUE"""),0.0)</f>
        <v>0</v>
      </c>
      <c r="AR35" s="197">
        <f>IFERROR(__xludf.DUMMYFUNCTION("""COMPUTED_VALUE"""),0.0)</f>
        <v>0</v>
      </c>
      <c r="AS35" s="41">
        <f>IFERROR(__xludf.DUMMYFUNCTION("""COMPUTED_VALUE"""),0.0)</f>
        <v>0</v>
      </c>
      <c r="AT35" s="197">
        <f>IFERROR(__xludf.DUMMYFUNCTION("""COMPUTED_VALUE"""),0.0)</f>
        <v>0</v>
      </c>
      <c r="AU35" s="197">
        <f>IFERROR(__xludf.DUMMYFUNCTION("""COMPUTED_VALUE"""),0.0)</f>
        <v>0</v>
      </c>
      <c r="AV35" s="197">
        <f>IFERROR(__xludf.DUMMYFUNCTION("""COMPUTED_VALUE"""),0.0)</f>
        <v>0</v>
      </c>
      <c r="AW35" s="41">
        <f>IFERROR(__xludf.DUMMYFUNCTION("""COMPUTED_VALUE"""),0.0)</f>
        <v>0</v>
      </c>
      <c r="AX35" s="197">
        <f>IFERROR(__xludf.DUMMYFUNCTION("""COMPUTED_VALUE"""),0.0)</f>
        <v>0</v>
      </c>
      <c r="AY35" s="197">
        <f>IFERROR(__xludf.DUMMYFUNCTION("""COMPUTED_VALUE"""),0.0)</f>
        <v>0</v>
      </c>
      <c r="AZ35" s="198">
        <f>IFERROR(__xludf.DUMMYFUNCTION("""COMPUTED_VALUE"""),0.0)</f>
        <v>0</v>
      </c>
      <c r="BA35" s="195"/>
    </row>
    <row r="36" ht="15.75" customHeight="1">
      <c r="A36" s="29"/>
      <c r="B36" s="67" t="str">
        <f>IFERROR(__xludf.DUMMYFUNCTION("""COMPUTED_VALUE""")," + Suy dinh dưỡng")</f>
        <v> + Suy dinh dưỡng</v>
      </c>
      <c r="C36" s="31"/>
      <c r="D36" s="31" t="str">
        <f>IFERROR(__xludf.DUMMYFUNCTION("""COMPUTED_VALUE"""),"""")</f>
        <v>"</v>
      </c>
      <c r="E36" s="41">
        <f>IFERROR(__xludf.DUMMYFUNCTION("""COMPUTED_VALUE"""),948.0)</f>
        <v>948</v>
      </c>
      <c r="F36" s="197">
        <f>IFERROR(__xludf.DUMMYFUNCTION("""COMPUTED_VALUE"""),920.0)</f>
        <v>920</v>
      </c>
      <c r="G36" s="197">
        <f>IFERROR(__xludf.DUMMYFUNCTION("""COMPUTED_VALUE"""),24.0)</f>
        <v>24</v>
      </c>
      <c r="H36" s="197">
        <f>IFERROR(__xludf.DUMMYFUNCTION("""COMPUTED_VALUE"""),4.0)</f>
        <v>4</v>
      </c>
      <c r="I36" s="41">
        <f>IFERROR(__xludf.DUMMYFUNCTION("""COMPUTED_VALUE"""),1626.0)</f>
        <v>1626</v>
      </c>
      <c r="J36" s="197">
        <f>IFERROR(__xludf.DUMMYFUNCTION("""COMPUTED_VALUE"""),1540.0)</f>
        <v>1540</v>
      </c>
      <c r="K36" s="197">
        <f>IFERROR(__xludf.DUMMYFUNCTION("""COMPUTED_VALUE"""),24.0)</f>
        <v>24</v>
      </c>
      <c r="L36" s="197">
        <f>IFERROR(__xludf.DUMMYFUNCTION("""COMPUTED_VALUE"""),62.0)</f>
        <v>62</v>
      </c>
      <c r="M36" s="41">
        <f>IFERROR(__xludf.DUMMYFUNCTION("""COMPUTED_VALUE"""),1353.0)</f>
        <v>1353</v>
      </c>
      <c r="N36" s="197">
        <f>IFERROR(__xludf.DUMMYFUNCTION("""COMPUTED_VALUE"""),1269.0)</f>
        <v>1269</v>
      </c>
      <c r="O36" s="197">
        <f>IFERROR(__xludf.DUMMYFUNCTION("""COMPUTED_VALUE"""),22.0)</f>
        <v>22</v>
      </c>
      <c r="P36" s="197">
        <f>IFERROR(__xludf.DUMMYFUNCTION("""COMPUTED_VALUE"""),62.0)</f>
        <v>62</v>
      </c>
      <c r="Q36" s="41">
        <f>IFERROR(__xludf.DUMMYFUNCTION("""COMPUTED_VALUE"""),1083.0)</f>
        <v>1083</v>
      </c>
      <c r="R36" s="197">
        <f>IFERROR(__xludf.DUMMYFUNCTION("""COMPUTED_VALUE"""),876.0)</f>
        <v>876</v>
      </c>
      <c r="S36" s="197">
        <f>IFERROR(__xludf.DUMMYFUNCTION("""COMPUTED_VALUE"""),17.0)</f>
        <v>17</v>
      </c>
      <c r="T36" s="197">
        <f>IFERROR(__xludf.DUMMYFUNCTION("""COMPUTED_VALUE"""),190.0)</f>
        <v>190</v>
      </c>
      <c r="U36" s="41">
        <f>IFERROR(__xludf.DUMMYFUNCTION("""COMPUTED_VALUE"""),832.0)</f>
        <v>832</v>
      </c>
      <c r="V36" s="197">
        <f>IFERROR(__xludf.DUMMYFUNCTION("""COMPUTED_VALUE"""),766.0)</f>
        <v>766</v>
      </c>
      <c r="W36" s="197">
        <f>IFERROR(__xludf.DUMMYFUNCTION("""COMPUTED_VALUE"""),17.0)</f>
        <v>17</v>
      </c>
      <c r="X36" s="197">
        <f>IFERROR(__xludf.DUMMYFUNCTION("""COMPUTED_VALUE"""),49.0)</f>
        <v>49</v>
      </c>
      <c r="Y36" s="41">
        <f>IFERROR(__xludf.DUMMYFUNCTION("""COMPUTED_VALUE"""),733.0)</f>
        <v>733</v>
      </c>
      <c r="Z36" s="197">
        <f>IFERROR(__xludf.DUMMYFUNCTION("""COMPUTED_VALUE"""),667.0)</f>
        <v>667</v>
      </c>
      <c r="AA36" s="197">
        <f>IFERROR(__xludf.DUMMYFUNCTION("""COMPUTED_VALUE"""),17.0)</f>
        <v>17</v>
      </c>
      <c r="AB36" s="197">
        <f>IFERROR(__xludf.DUMMYFUNCTION("""COMPUTED_VALUE"""),49.0)</f>
        <v>49</v>
      </c>
      <c r="AC36" s="41">
        <f>IFERROR(__xludf.DUMMYFUNCTION("""COMPUTED_VALUE"""),633.0)</f>
        <v>633</v>
      </c>
      <c r="AD36" s="197">
        <f>IFERROR(__xludf.DUMMYFUNCTION("""COMPUTED_VALUE"""),579.0)</f>
        <v>579</v>
      </c>
      <c r="AE36" s="197">
        <f>IFERROR(__xludf.DUMMYFUNCTION("""COMPUTED_VALUE"""),5.0)</f>
        <v>5</v>
      </c>
      <c r="AF36" s="197">
        <f>IFERROR(__xludf.DUMMYFUNCTION("""COMPUTED_VALUE"""),49.0)</f>
        <v>49</v>
      </c>
      <c r="AG36" s="41">
        <f>IFERROR(__xludf.DUMMYFUNCTION("""COMPUTED_VALUE"""),0.0)</f>
        <v>0</v>
      </c>
      <c r="AH36" s="197">
        <f>IFERROR(__xludf.DUMMYFUNCTION("""COMPUTED_VALUE"""),0.0)</f>
        <v>0</v>
      </c>
      <c r="AI36" s="197">
        <f>IFERROR(__xludf.DUMMYFUNCTION("""COMPUTED_VALUE"""),0.0)</f>
        <v>0</v>
      </c>
      <c r="AJ36" s="197">
        <f>IFERROR(__xludf.DUMMYFUNCTION("""COMPUTED_VALUE"""),0.0)</f>
        <v>0</v>
      </c>
      <c r="AK36" s="41">
        <f>IFERROR(__xludf.DUMMYFUNCTION("""COMPUTED_VALUE"""),0.0)</f>
        <v>0</v>
      </c>
      <c r="AL36" s="197">
        <f>IFERROR(__xludf.DUMMYFUNCTION("""COMPUTED_VALUE"""),0.0)</f>
        <v>0</v>
      </c>
      <c r="AM36" s="197">
        <f>IFERROR(__xludf.DUMMYFUNCTION("""COMPUTED_VALUE"""),0.0)</f>
        <v>0</v>
      </c>
      <c r="AN36" s="197">
        <f>IFERROR(__xludf.DUMMYFUNCTION("""COMPUTED_VALUE"""),0.0)</f>
        <v>0</v>
      </c>
      <c r="AO36" s="41">
        <f>IFERROR(__xludf.DUMMYFUNCTION("""COMPUTED_VALUE"""),0.0)</f>
        <v>0</v>
      </c>
      <c r="AP36" s="197">
        <f>IFERROR(__xludf.DUMMYFUNCTION("""COMPUTED_VALUE"""),0.0)</f>
        <v>0</v>
      </c>
      <c r="AQ36" s="197">
        <f>IFERROR(__xludf.DUMMYFUNCTION("""COMPUTED_VALUE"""),0.0)</f>
        <v>0</v>
      </c>
      <c r="AR36" s="197">
        <f>IFERROR(__xludf.DUMMYFUNCTION("""COMPUTED_VALUE"""),0.0)</f>
        <v>0</v>
      </c>
      <c r="AS36" s="41">
        <f>IFERROR(__xludf.DUMMYFUNCTION("""COMPUTED_VALUE"""),0.0)</f>
        <v>0</v>
      </c>
      <c r="AT36" s="197">
        <f>IFERROR(__xludf.DUMMYFUNCTION("""COMPUTED_VALUE"""),0.0)</f>
        <v>0</v>
      </c>
      <c r="AU36" s="197">
        <f>IFERROR(__xludf.DUMMYFUNCTION("""COMPUTED_VALUE"""),0.0)</f>
        <v>0</v>
      </c>
      <c r="AV36" s="197">
        <f>IFERROR(__xludf.DUMMYFUNCTION("""COMPUTED_VALUE"""),0.0)</f>
        <v>0</v>
      </c>
      <c r="AW36" s="41">
        <f>IFERROR(__xludf.DUMMYFUNCTION("""COMPUTED_VALUE"""),0.0)</f>
        <v>0</v>
      </c>
      <c r="AX36" s="197">
        <f>IFERROR(__xludf.DUMMYFUNCTION("""COMPUTED_VALUE"""),0.0)</f>
        <v>0</v>
      </c>
      <c r="AY36" s="197">
        <f>IFERROR(__xludf.DUMMYFUNCTION("""COMPUTED_VALUE"""),0.0)</f>
        <v>0</v>
      </c>
      <c r="AZ36" s="198">
        <f>IFERROR(__xludf.DUMMYFUNCTION("""COMPUTED_VALUE"""),0.0)</f>
        <v>0</v>
      </c>
      <c r="BA36" s="195"/>
    </row>
    <row r="37" ht="15.75" customHeight="1">
      <c r="A37" s="92"/>
      <c r="B37" s="93" t="str">
        <f>IFERROR(__xludf.DUMMYFUNCTION("""COMPUTED_VALUE"""),"3.2. Tổng số chia theo nhóm tuổi")</f>
        <v>3.2. Tổng số chia theo nhóm tuổi</v>
      </c>
      <c r="C37" s="94"/>
      <c r="D37" s="87" t="str">
        <f>IFERROR(__xludf.DUMMYFUNCTION("""COMPUTED_VALUE""")," ")</f>
        <v> </v>
      </c>
      <c r="E37" s="88">
        <f>IFERROR(__xludf.DUMMYFUNCTION("""COMPUTED_VALUE"""),44609.0)</f>
        <v>44609</v>
      </c>
      <c r="F37" s="88">
        <f>IFERROR(__xludf.DUMMYFUNCTION("""COMPUTED_VALUE"""),40224.0)</f>
        <v>40224</v>
      </c>
      <c r="G37" s="88">
        <f>IFERROR(__xludf.DUMMYFUNCTION("""COMPUTED_VALUE"""),754.0)</f>
        <v>754</v>
      </c>
      <c r="H37" s="88">
        <f>IFERROR(__xludf.DUMMYFUNCTION("""COMPUTED_VALUE"""),3631.0)</f>
        <v>3631</v>
      </c>
      <c r="I37" s="88">
        <f>IFERROR(__xludf.DUMMYFUNCTION("""COMPUTED_VALUE"""),45111.0)</f>
        <v>45111</v>
      </c>
      <c r="J37" s="88">
        <f>IFERROR(__xludf.DUMMYFUNCTION("""COMPUTED_VALUE"""),40631.0)</f>
        <v>40631</v>
      </c>
      <c r="K37" s="88">
        <f>IFERROR(__xludf.DUMMYFUNCTION("""COMPUTED_VALUE"""),756.0)</f>
        <v>756</v>
      </c>
      <c r="L37" s="88">
        <f>IFERROR(__xludf.DUMMYFUNCTION("""COMPUTED_VALUE"""),3724.0)</f>
        <v>3724</v>
      </c>
      <c r="M37" s="88">
        <f>IFERROR(__xludf.DUMMYFUNCTION("""COMPUTED_VALUE"""),45413.0)</f>
        <v>45413</v>
      </c>
      <c r="N37" s="88">
        <f>IFERROR(__xludf.DUMMYFUNCTION("""COMPUTED_VALUE"""),40804.0)</f>
        <v>40804</v>
      </c>
      <c r="O37" s="88">
        <f>IFERROR(__xludf.DUMMYFUNCTION("""COMPUTED_VALUE"""),756.0)</f>
        <v>756</v>
      </c>
      <c r="P37" s="88">
        <f>IFERROR(__xludf.DUMMYFUNCTION("""COMPUTED_VALUE"""),3853.0)</f>
        <v>3853</v>
      </c>
      <c r="Q37" s="88">
        <f>IFERROR(__xludf.DUMMYFUNCTION("""COMPUTED_VALUE"""),45632.0)</f>
        <v>45632</v>
      </c>
      <c r="R37" s="88">
        <f>IFERROR(__xludf.DUMMYFUNCTION("""COMPUTED_VALUE"""),41013.0)</f>
        <v>41013</v>
      </c>
      <c r="S37" s="88">
        <f>IFERROR(__xludf.DUMMYFUNCTION("""COMPUTED_VALUE"""),756.0)</f>
        <v>756</v>
      </c>
      <c r="T37" s="88">
        <f>IFERROR(__xludf.DUMMYFUNCTION("""COMPUTED_VALUE"""),3863.0)</f>
        <v>3863</v>
      </c>
      <c r="U37" s="88">
        <f>IFERROR(__xludf.DUMMYFUNCTION("""COMPUTED_VALUE"""),40927.739)</f>
        <v>40927.739</v>
      </c>
      <c r="V37" s="88">
        <f>IFERROR(__xludf.DUMMYFUNCTION("""COMPUTED_VALUE"""),38976.062)</f>
        <v>38976.062</v>
      </c>
      <c r="W37" s="88">
        <f>IFERROR(__xludf.DUMMYFUNCTION("""COMPUTED_VALUE"""),756.0)</f>
        <v>756</v>
      </c>
      <c r="X37" s="88">
        <f>IFERROR(__xludf.DUMMYFUNCTION("""COMPUTED_VALUE"""),1195.6770000000001)</f>
        <v>1195.677</v>
      </c>
      <c r="Y37" s="88">
        <f>IFERROR(__xludf.DUMMYFUNCTION("""COMPUTED_VALUE"""),41259.779)</f>
        <v>41259.779</v>
      </c>
      <c r="Z37" s="88">
        <f>IFERROR(__xludf.DUMMYFUNCTION("""COMPUTED_VALUE"""),39220.049)</f>
        <v>39220.049</v>
      </c>
      <c r="AA37" s="88">
        <f>IFERROR(__xludf.DUMMYFUNCTION("""COMPUTED_VALUE"""),742.0)</f>
        <v>742</v>
      </c>
      <c r="AB37" s="88">
        <f>IFERROR(__xludf.DUMMYFUNCTION("""COMPUTED_VALUE"""),1297.73)</f>
        <v>1297.73</v>
      </c>
      <c r="AC37" s="88">
        <f>IFERROR(__xludf.DUMMYFUNCTION("""COMPUTED_VALUE"""),41331.727)</f>
        <v>41331.727</v>
      </c>
      <c r="AD37" s="88">
        <f>IFERROR(__xludf.DUMMYFUNCTION("""COMPUTED_VALUE"""),39274.049)</f>
        <v>39274.049</v>
      </c>
      <c r="AE37" s="88">
        <f>IFERROR(__xludf.DUMMYFUNCTION("""COMPUTED_VALUE"""),742.0)</f>
        <v>742</v>
      </c>
      <c r="AF37" s="88">
        <f>IFERROR(__xludf.DUMMYFUNCTION("""COMPUTED_VALUE"""),1315.6779999999999)</f>
        <v>1315.678</v>
      </c>
      <c r="AG37" s="88">
        <f>IFERROR(__xludf.DUMMYFUNCTION("""COMPUTED_VALUE"""),0.0)</f>
        <v>0</v>
      </c>
      <c r="AH37" s="88">
        <f>IFERROR(__xludf.DUMMYFUNCTION("""COMPUTED_VALUE"""),0.0)</f>
        <v>0</v>
      </c>
      <c r="AI37" s="88">
        <f>IFERROR(__xludf.DUMMYFUNCTION("""COMPUTED_VALUE"""),0.0)</f>
        <v>0</v>
      </c>
      <c r="AJ37" s="88">
        <f>IFERROR(__xludf.DUMMYFUNCTION("""COMPUTED_VALUE"""),0.0)</f>
        <v>0</v>
      </c>
      <c r="AK37" s="88">
        <f>IFERROR(__xludf.DUMMYFUNCTION("""COMPUTED_VALUE"""),0.0)</f>
        <v>0</v>
      </c>
      <c r="AL37" s="88">
        <f>IFERROR(__xludf.DUMMYFUNCTION("""COMPUTED_VALUE"""),0.0)</f>
        <v>0</v>
      </c>
      <c r="AM37" s="88">
        <f>IFERROR(__xludf.DUMMYFUNCTION("""COMPUTED_VALUE"""),0.0)</f>
        <v>0</v>
      </c>
      <c r="AN37" s="88">
        <f>IFERROR(__xludf.DUMMYFUNCTION("""COMPUTED_VALUE"""),0.0)</f>
        <v>0</v>
      </c>
      <c r="AO37" s="88">
        <f>IFERROR(__xludf.DUMMYFUNCTION("""COMPUTED_VALUE"""),0.0)</f>
        <v>0</v>
      </c>
      <c r="AP37" s="88">
        <f>IFERROR(__xludf.DUMMYFUNCTION("""COMPUTED_VALUE"""),0.0)</f>
        <v>0</v>
      </c>
      <c r="AQ37" s="88">
        <f>IFERROR(__xludf.DUMMYFUNCTION("""COMPUTED_VALUE"""),0.0)</f>
        <v>0</v>
      </c>
      <c r="AR37" s="88">
        <f>IFERROR(__xludf.DUMMYFUNCTION("""COMPUTED_VALUE"""),0.0)</f>
        <v>0</v>
      </c>
      <c r="AS37" s="88">
        <f>IFERROR(__xludf.DUMMYFUNCTION("""COMPUTED_VALUE"""),0.0)</f>
        <v>0</v>
      </c>
      <c r="AT37" s="88">
        <f>IFERROR(__xludf.DUMMYFUNCTION("""COMPUTED_VALUE"""),0.0)</f>
        <v>0</v>
      </c>
      <c r="AU37" s="88">
        <f>IFERROR(__xludf.DUMMYFUNCTION("""COMPUTED_VALUE"""),0.0)</f>
        <v>0</v>
      </c>
      <c r="AV37" s="88">
        <f>IFERROR(__xludf.DUMMYFUNCTION("""COMPUTED_VALUE"""),0.0)</f>
        <v>0</v>
      </c>
      <c r="AW37" s="88">
        <f>IFERROR(__xludf.DUMMYFUNCTION("""COMPUTED_VALUE"""),0.0)</f>
        <v>0</v>
      </c>
      <c r="AX37" s="88">
        <f>IFERROR(__xludf.DUMMYFUNCTION("""COMPUTED_VALUE"""),0.0)</f>
        <v>0</v>
      </c>
      <c r="AY37" s="88">
        <f>IFERROR(__xludf.DUMMYFUNCTION("""COMPUTED_VALUE"""),0.0)</f>
        <v>0</v>
      </c>
      <c r="AZ37" s="95">
        <f>IFERROR(__xludf.DUMMYFUNCTION("""COMPUTED_VALUE"""),0.0)</f>
        <v>0</v>
      </c>
      <c r="BA37" s="195"/>
    </row>
    <row r="38" ht="15.75" customHeight="1">
      <c r="A38" s="29"/>
      <c r="B38" s="67" t="str">
        <f>IFERROR(__xludf.DUMMYFUNCTION("""COMPUTED_VALUE""")," - Dưới 3 tuổi")</f>
        <v> - Dưới 3 tuổi</v>
      </c>
      <c r="C38" s="31"/>
      <c r="D38" s="31" t="str">
        <f>IFERROR(__xludf.DUMMYFUNCTION("""COMPUTED_VALUE"""),"Người")</f>
        <v>Người</v>
      </c>
      <c r="E38" s="41">
        <f>IFERROR(__xludf.DUMMYFUNCTION("""COMPUTED_VALUE"""),2650.0)</f>
        <v>2650</v>
      </c>
      <c r="F38" s="197">
        <f>IFERROR(__xludf.DUMMYFUNCTION("""COMPUTED_VALUE"""),2056.0)</f>
        <v>2056</v>
      </c>
      <c r="G38" s="197">
        <f>IFERROR(__xludf.DUMMYFUNCTION("""COMPUTED_VALUE"""),51.0)</f>
        <v>51</v>
      </c>
      <c r="H38" s="197">
        <f>IFERROR(__xludf.DUMMYFUNCTION("""COMPUTED_VALUE"""),543.0)</f>
        <v>543</v>
      </c>
      <c r="I38" s="41">
        <f>IFERROR(__xludf.DUMMYFUNCTION("""COMPUTED_VALUE"""),2756.0)</f>
        <v>2756</v>
      </c>
      <c r="J38" s="197">
        <f>IFERROR(__xludf.DUMMYFUNCTION("""COMPUTED_VALUE"""),2155.0)</f>
        <v>2155</v>
      </c>
      <c r="K38" s="197">
        <f>IFERROR(__xludf.DUMMYFUNCTION("""COMPUTED_VALUE"""),51.0)</f>
        <v>51</v>
      </c>
      <c r="L38" s="197">
        <f>IFERROR(__xludf.DUMMYFUNCTION("""COMPUTED_VALUE"""),550.0)</f>
        <v>550</v>
      </c>
      <c r="M38" s="41">
        <f>IFERROR(__xludf.DUMMYFUNCTION("""COMPUTED_VALUE"""),2854.0)</f>
        <v>2854</v>
      </c>
      <c r="N38" s="197">
        <f>IFERROR(__xludf.DUMMYFUNCTION("""COMPUTED_VALUE"""),2240.0)</f>
        <v>2240</v>
      </c>
      <c r="O38" s="197">
        <f>IFERROR(__xludf.DUMMYFUNCTION("""COMPUTED_VALUE"""),51.0)</f>
        <v>51</v>
      </c>
      <c r="P38" s="197">
        <f>IFERROR(__xludf.DUMMYFUNCTION("""COMPUTED_VALUE"""),563.0)</f>
        <v>563</v>
      </c>
      <c r="Q38" s="41">
        <f>IFERROR(__xludf.DUMMYFUNCTION("""COMPUTED_VALUE"""),2903.0)</f>
        <v>2903</v>
      </c>
      <c r="R38" s="197">
        <f>IFERROR(__xludf.DUMMYFUNCTION("""COMPUTED_VALUE"""),2276.0)</f>
        <v>2276</v>
      </c>
      <c r="S38" s="197">
        <f>IFERROR(__xludf.DUMMYFUNCTION("""COMPUTED_VALUE"""),51.0)</f>
        <v>51</v>
      </c>
      <c r="T38" s="197">
        <f>IFERROR(__xludf.DUMMYFUNCTION("""COMPUTED_VALUE"""),576.0)</f>
        <v>576</v>
      </c>
      <c r="U38" s="41">
        <f>IFERROR(__xludf.DUMMYFUNCTION("""COMPUTED_VALUE"""),2914.0)</f>
        <v>2914</v>
      </c>
      <c r="V38" s="197">
        <f>IFERROR(__xludf.DUMMYFUNCTION("""COMPUTED_VALUE"""),2278.0)</f>
        <v>2278</v>
      </c>
      <c r="W38" s="197">
        <f>IFERROR(__xludf.DUMMYFUNCTION("""COMPUTED_VALUE"""),51.0)</f>
        <v>51</v>
      </c>
      <c r="X38" s="197">
        <f>IFERROR(__xludf.DUMMYFUNCTION("""COMPUTED_VALUE"""),585.0)</f>
        <v>585</v>
      </c>
      <c r="Y38" s="41">
        <f>IFERROR(__xludf.DUMMYFUNCTION("""COMPUTED_VALUE"""),3019.0)</f>
        <v>3019</v>
      </c>
      <c r="Z38" s="197">
        <f>IFERROR(__xludf.DUMMYFUNCTION("""COMPUTED_VALUE"""),2340.0)</f>
        <v>2340</v>
      </c>
      <c r="AA38" s="197">
        <f>IFERROR(__xludf.DUMMYFUNCTION("""COMPUTED_VALUE"""),44.0)</f>
        <v>44</v>
      </c>
      <c r="AB38" s="197">
        <f>IFERROR(__xludf.DUMMYFUNCTION("""COMPUTED_VALUE"""),635.0)</f>
        <v>635</v>
      </c>
      <c r="AC38" s="41">
        <f>IFERROR(__xludf.DUMMYFUNCTION("""COMPUTED_VALUE"""),3036.0)</f>
        <v>3036</v>
      </c>
      <c r="AD38" s="197">
        <f>IFERROR(__xludf.DUMMYFUNCTION("""COMPUTED_VALUE"""),2355.0)</f>
        <v>2355</v>
      </c>
      <c r="AE38" s="197">
        <f>IFERROR(__xludf.DUMMYFUNCTION("""COMPUTED_VALUE"""),44.0)</f>
        <v>44</v>
      </c>
      <c r="AF38" s="197">
        <f>IFERROR(__xludf.DUMMYFUNCTION("""COMPUTED_VALUE"""),637.0)</f>
        <v>637</v>
      </c>
      <c r="AG38" s="41">
        <f>IFERROR(__xludf.DUMMYFUNCTION("""COMPUTED_VALUE"""),0.0)</f>
        <v>0</v>
      </c>
      <c r="AH38" s="197">
        <f>IFERROR(__xludf.DUMMYFUNCTION("""COMPUTED_VALUE"""),0.0)</f>
        <v>0</v>
      </c>
      <c r="AI38" s="197">
        <f>IFERROR(__xludf.DUMMYFUNCTION("""COMPUTED_VALUE"""),0.0)</f>
        <v>0</v>
      </c>
      <c r="AJ38" s="197">
        <f>IFERROR(__xludf.DUMMYFUNCTION("""COMPUTED_VALUE"""),0.0)</f>
        <v>0</v>
      </c>
      <c r="AK38" s="41">
        <f>IFERROR(__xludf.DUMMYFUNCTION("""COMPUTED_VALUE"""),0.0)</f>
        <v>0</v>
      </c>
      <c r="AL38" s="197">
        <f>IFERROR(__xludf.DUMMYFUNCTION("""COMPUTED_VALUE"""),0.0)</f>
        <v>0</v>
      </c>
      <c r="AM38" s="197">
        <f>IFERROR(__xludf.DUMMYFUNCTION("""COMPUTED_VALUE"""),0.0)</f>
        <v>0</v>
      </c>
      <c r="AN38" s="197">
        <f>IFERROR(__xludf.DUMMYFUNCTION("""COMPUTED_VALUE"""),0.0)</f>
        <v>0</v>
      </c>
      <c r="AO38" s="41">
        <f>IFERROR(__xludf.DUMMYFUNCTION("""COMPUTED_VALUE"""),0.0)</f>
        <v>0</v>
      </c>
      <c r="AP38" s="197">
        <f>IFERROR(__xludf.DUMMYFUNCTION("""COMPUTED_VALUE"""),0.0)</f>
        <v>0</v>
      </c>
      <c r="AQ38" s="197">
        <f>IFERROR(__xludf.DUMMYFUNCTION("""COMPUTED_VALUE"""),0.0)</f>
        <v>0</v>
      </c>
      <c r="AR38" s="197">
        <f>IFERROR(__xludf.DUMMYFUNCTION("""COMPUTED_VALUE"""),0.0)</f>
        <v>0</v>
      </c>
      <c r="AS38" s="41">
        <f>IFERROR(__xludf.DUMMYFUNCTION("""COMPUTED_VALUE"""),0.0)</f>
        <v>0</v>
      </c>
      <c r="AT38" s="197">
        <f>IFERROR(__xludf.DUMMYFUNCTION("""COMPUTED_VALUE"""),0.0)</f>
        <v>0</v>
      </c>
      <c r="AU38" s="197">
        <f>IFERROR(__xludf.DUMMYFUNCTION("""COMPUTED_VALUE"""),0.0)</f>
        <v>0</v>
      </c>
      <c r="AV38" s="197">
        <f>IFERROR(__xludf.DUMMYFUNCTION("""COMPUTED_VALUE"""),0.0)</f>
        <v>0</v>
      </c>
      <c r="AW38" s="41">
        <f>IFERROR(__xludf.DUMMYFUNCTION("""COMPUTED_VALUE"""),0.0)</f>
        <v>0</v>
      </c>
      <c r="AX38" s="197">
        <f>IFERROR(__xludf.DUMMYFUNCTION("""COMPUTED_VALUE"""),0.0)</f>
        <v>0</v>
      </c>
      <c r="AY38" s="197">
        <f>IFERROR(__xludf.DUMMYFUNCTION("""COMPUTED_VALUE"""),0.0)</f>
        <v>0</v>
      </c>
      <c r="AZ38" s="198">
        <f>IFERROR(__xludf.DUMMYFUNCTION("""COMPUTED_VALUE"""),0.0)</f>
        <v>0</v>
      </c>
      <c r="BA38" s="195"/>
    </row>
    <row r="39" ht="15.75" customHeight="1">
      <c r="A39" s="29"/>
      <c r="B39" s="67" t="str">
        <f>IFERROR(__xludf.DUMMYFUNCTION("""COMPUTED_VALUE""")," - 3-5 tuổi")</f>
        <v> - 3-5 tuổi</v>
      </c>
      <c r="C39" s="31"/>
      <c r="D39" s="31" t="str">
        <f>IFERROR(__xludf.DUMMYFUNCTION("""COMPUTED_VALUE"""),"""")</f>
        <v>"</v>
      </c>
      <c r="E39" s="41">
        <f>IFERROR(__xludf.DUMMYFUNCTION("""COMPUTED_VALUE"""),37458.0)</f>
        <v>37458</v>
      </c>
      <c r="F39" s="197">
        <f>IFERROR(__xludf.DUMMYFUNCTION("""COMPUTED_VALUE"""),33785.0)</f>
        <v>33785</v>
      </c>
      <c r="G39" s="197">
        <f>IFERROR(__xludf.DUMMYFUNCTION("""COMPUTED_VALUE"""),640.0)</f>
        <v>640</v>
      </c>
      <c r="H39" s="197">
        <f>IFERROR(__xludf.DUMMYFUNCTION("""COMPUTED_VALUE"""),3033.0)</f>
        <v>3033</v>
      </c>
      <c r="I39" s="41">
        <f>IFERROR(__xludf.DUMMYFUNCTION("""COMPUTED_VALUE"""),38009.0)</f>
        <v>38009</v>
      </c>
      <c r="J39" s="197">
        <f>IFERROR(__xludf.DUMMYFUNCTION("""COMPUTED_VALUE"""),34250.0)</f>
        <v>34250</v>
      </c>
      <c r="K39" s="197">
        <f>IFERROR(__xludf.DUMMYFUNCTION("""COMPUTED_VALUE"""),642.0)</f>
        <v>642</v>
      </c>
      <c r="L39" s="197">
        <f>IFERROR(__xludf.DUMMYFUNCTION("""COMPUTED_VALUE"""),3117.0)</f>
        <v>3117</v>
      </c>
      <c r="M39" s="41">
        <f>IFERROR(__xludf.DUMMYFUNCTION("""COMPUTED_VALUE"""),35501.0)</f>
        <v>35501</v>
      </c>
      <c r="N39" s="197">
        <f>IFERROR(__xludf.DUMMYFUNCTION("""COMPUTED_VALUE"""),31842.0)</f>
        <v>31842</v>
      </c>
      <c r="O39" s="197">
        <f>IFERROR(__xludf.DUMMYFUNCTION("""COMPUTED_VALUE"""),440.0)</f>
        <v>440</v>
      </c>
      <c r="P39" s="197">
        <f>IFERROR(__xludf.DUMMYFUNCTION("""COMPUTED_VALUE"""),3219.0)</f>
        <v>3219</v>
      </c>
      <c r="Q39" s="41">
        <f>IFERROR(__xludf.DUMMYFUNCTION("""COMPUTED_VALUE"""),35639.0)</f>
        <v>35639</v>
      </c>
      <c r="R39" s="197">
        <f>IFERROR(__xludf.DUMMYFUNCTION("""COMPUTED_VALUE"""),31983.0)</f>
        <v>31983</v>
      </c>
      <c r="S39" s="197">
        <f>IFERROR(__xludf.DUMMYFUNCTION("""COMPUTED_VALUE"""),440.0)</f>
        <v>440</v>
      </c>
      <c r="T39" s="197">
        <f>IFERROR(__xludf.DUMMYFUNCTION("""COMPUTED_VALUE"""),3216.0)</f>
        <v>3216</v>
      </c>
      <c r="U39" s="41">
        <f>IFERROR(__xludf.DUMMYFUNCTION("""COMPUTED_VALUE"""),29921.737)</f>
        <v>29921.737</v>
      </c>
      <c r="V39" s="197">
        <f>IFERROR(__xludf.DUMMYFUNCTION("""COMPUTED_VALUE"""),28942.061)</f>
        <v>28942.061</v>
      </c>
      <c r="W39" s="197">
        <f>IFERROR(__xludf.DUMMYFUNCTION("""COMPUTED_VALUE"""),440.0)</f>
        <v>440</v>
      </c>
      <c r="X39" s="197">
        <f>IFERROR(__xludf.DUMMYFUNCTION("""COMPUTED_VALUE"""),539.6759999999999)</f>
        <v>539.676</v>
      </c>
      <c r="Y39" s="41">
        <f>IFERROR(__xludf.DUMMYFUNCTION("""COMPUTED_VALUE"""),31554.725)</f>
        <v>31554.725</v>
      </c>
      <c r="Z39" s="197">
        <f>IFERROR(__xludf.DUMMYFUNCTION("""COMPUTED_VALUE"""),30531.048)</f>
        <v>30531.048</v>
      </c>
      <c r="AA39" s="197">
        <f>IFERROR(__xludf.DUMMYFUNCTION("""COMPUTED_VALUE"""),433.0)</f>
        <v>433</v>
      </c>
      <c r="AB39" s="197">
        <f>IFERROR(__xludf.DUMMYFUNCTION("""COMPUTED_VALUE"""),590.677)</f>
        <v>590.677</v>
      </c>
      <c r="AC39" s="41">
        <f>IFERROR(__xludf.DUMMYFUNCTION("""COMPUTED_VALUE"""),31590.725)</f>
        <v>31590.725</v>
      </c>
      <c r="AD39" s="197">
        <f>IFERROR(__xludf.DUMMYFUNCTION("""COMPUTED_VALUE"""),30567.048)</f>
        <v>30567.048</v>
      </c>
      <c r="AE39" s="197">
        <f>IFERROR(__xludf.DUMMYFUNCTION("""COMPUTED_VALUE"""),433.0)</f>
        <v>433</v>
      </c>
      <c r="AF39" s="197">
        <f>IFERROR(__xludf.DUMMYFUNCTION("""COMPUTED_VALUE"""),590.677)</f>
        <v>590.677</v>
      </c>
      <c r="AG39" s="41">
        <f>IFERROR(__xludf.DUMMYFUNCTION("""COMPUTED_VALUE"""),0.0)</f>
        <v>0</v>
      </c>
      <c r="AH39" s="197">
        <f>IFERROR(__xludf.DUMMYFUNCTION("""COMPUTED_VALUE"""),0.0)</f>
        <v>0</v>
      </c>
      <c r="AI39" s="197">
        <f>IFERROR(__xludf.DUMMYFUNCTION("""COMPUTED_VALUE"""),0.0)</f>
        <v>0</v>
      </c>
      <c r="AJ39" s="197">
        <f>IFERROR(__xludf.DUMMYFUNCTION("""COMPUTED_VALUE"""),0.0)</f>
        <v>0</v>
      </c>
      <c r="AK39" s="41">
        <f>IFERROR(__xludf.DUMMYFUNCTION("""COMPUTED_VALUE"""),0.0)</f>
        <v>0</v>
      </c>
      <c r="AL39" s="197">
        <f>IFERROR(__xludf.DUMMYFUNCTION("""COMPUTED_VALUE"""),0.0)</f>
        <v>0</v>
      </c>
      <c r="AM39" s="197">
        <f>IFERROR(__xludf.DUMMYFUNCTION("""COMPUTED_VALUE"""),0.0)</f>
        <v>0</v>
      </c>
      <c r="AN39" s="197">
        <f>IFERROR(__xludf.DUMMYFUNCTION("""COMPUTED_VALUE"""),0.0)</f>
        <v>0</v>
      </c>
      <c r="AO39" s="41">
        <f>IFERROR(__xludf.DUMMYFUNCTION("""COMPUTED_VALUE"""),0.0)</f>
        <v>0</v>
      </c>
      <c r="AP39" s="197">
        <f>IFERROR(__xludf.DUMMYFUNCTION("""COMPUTED_VALUE"""),0.0)</f>
        <v>0</v>
      </c>
      <c r="AQ39" s="197">
        <f>IFERROR(__xludf.DUMMYFUNCTION("""COMPUTED_VALUE"""),0.0)</f>
        <v>0</v>
      </c>
      <c r="AR39" s="197">
        <f>IFERROR(__xludf.DUMMYFUNCTION("""COMPUTED_VALUE"""),0.0)</f>
        <v>0</v>
      </c>
      <c r="AS39" s="41">
        <f>IFERROR(__xludf.DUMMYFUNCTION("""COMPUTED_VALUE"""),0.0)</f>
        <v>0</v>
      </c>
      <c r="AT39" s="197">
        <f>IFERROR(__xludf.DUMMYFUNCTION("""COMPUTED_VALUE"""),0.0)</f>
        <v>0</v>
      </c>
      <c r="AU39" s="197">
        <f>IFERROR(__xludf.DUMMYFUNCTION("""COMPUTED_VALUE"""),0.0)</f>
        <v>0</v>
      </c>
      <c r="AV39" s="197">
        <f>IFERROR(__xludf.DUMMYFUNCTION("""COMPUTED_VALUE"""),0.0)</f>
        <v>0</v>
      </c>
      <c r="AW39" s="41">
        <f>IFERROR(__xludf.DUMMYFUNCTION("""COMPUTED_VALUE"""),0.0)</f>
        <v>0</v>
      </c>
      <c r="AX39" s="197">
        <f>IFERROR(__xludf.DUMMYFUNCTION("""COMPUTED_VALUE"""),0.0)</f>
        <v>0</v>
      </c>
      <c r="AY39" s="197">
        <f>IFERROR(__xludf.DUMMYFUNCTION("""COMPUTED_VALUE"""),0.0)</f>
        <v>0</v>
      </c>
      <c r="AZ39" s="198">
        <f>IFERROR(__xludf.DUMMYFUNCTION("""COMPUTED_VALUE"""),0.0)</f>
        <v>0</v>
      </c>
      <c r="BA39" s="195"/>
    </row>
    <row r="40" ht="15.75" customHeight="1">
      <c r="A40" s="29"/>
      <c r="B40" s="67" t="str">
        <f>IFERROR(__xludf.DUMMYFUNCTION("""COMPUTED_VALUE""")," - Trên 5 tuổi")</f>
        <v> - Trên 5 tuổi</v>
      </c>
      <c r="C40" s="31"/>
      <c r="D40" s="31" t="str">
        <f>IFERROR(__xludf.DUMMYFUNCTION("""COMPUTED_VALUE"""),"""")</f>
        <v>"</v>
      </c>
      <c r="E40" s="41">
        <f>IFERROR(__xludf.DUMMYFUNCTION("""COMPUTED_VALUE"""),7943.0)</f>
        <v>7943</v>
      </c>
      <c r="F40" s="197">
        <f>IFERROR(__xludf.DUMMYFUNCTION("""COMPUTED_VALUE"""),7803.0)</f>
        <v>7803</v>
      </c>
      <c r="G40" s="197">
        <f>IFERROR(__xludf.DUMMYFUNCTION("""COMPUTED_VALUE"""),102.0)</f>
        <v>102</v>
      </c>
      <c r="H40" s="197">
        <f>IFERROR(__xludf.DUMMYFUNCTION("""COMPUTED_VALUE"""),38.0)</f>
        <v>38</v>
      </c>
      <c r="I40" s="41">
        <f>IFERROR(__xludf.DUMMYFUNCTION("""COMPUTED_VALUE"""),4557.0)</f>
        <v>4557</v>
      </c>
      <c r="J40" s="197">
        <f>IFERROR(__xludf.DUMMYFUNCTION("""COMPUTED_VALUE"""),4442.0)</f>
        <v>4442</v>
      </c>
      <c r="K40" s="197">
        <f>IFERROR(__xludf.DUMMYFUNCTION("""COMPUTED_VALUE"""),102.0)</f>
        <v>102</v>
      </c>
      <c r="L40" s="197">
        <f>IFERROR(__xludf.DUMMYFUNCTION("""COMPUTED_VALUE"""),13.0)</f>
        <v>13</v>
      </c>
      <c r="M40" s="41">
        <f>IFERROR(__xludf.DUMMYFUNCTION("""COMPUTED_VALUE"""),6098.0)</f>
        <v>6098</v>
      </c>
      <c r="N40" s="197">
        <f>IFERROR(__xludf.DUMMYFUNCTION("""COMPUTED_VALUE"""),5769.0)</f>
        <v>5769</v>
      </c>
      <c r="O40" s="197">
        <f>IFERROR(__xludf.DUMMYFUNCTION("""COMPUTED_VALUE"""),302.0)</f>
        <v>302</v>
      </c>
      <c r="P40" s="197">
        <f>IFERROR(__xludf.DUMMYFUNCTION("""COMPUTED_VALUE"""),27.0)</f>
        <v>27</v>
      </c>
      <c r="Q40" s="41">
        <f>IFERROR(__xludf.DUMMYFUNCTION("""COMPUTED_VALUE"""),6155.0)</f>
        <v>6155</v>
      </c>
      <c r="R40" s="197">
        <f>IFERROR(__xludf.DUMMYFUNCTION("""COMPUTED_VALUE"""),5825.0)</f>
        <v>5825</v>
      </c>
      <c r="S40" s="197">
        <f>IFERROR(__xludf.DUMMYFUNCTION("""COMPUTED_VALUE"""),302.0)</f>
        <v>302</v>
      </c>
      <c r="T40" s="197">
        <f>IFERROR(__xludf.DUMMYFUNCTION("""COMPUTED_VALUE"""),28.0)</f>
        <v>28</v>
      </c>
      <c r="U40" s="41">
        <f>IFERROR(__xludf.DUMMYFUNCTION("""COMPUTED_VALUE"""),6156.0)</f>
        <v>6156</v>
      </c>
      <c r="V40" s="197">
        <f>IFERROR(__xludf.DUMMYFUNCTION("""COMPUTED_VALUE"""),5826.0)</f>
        <v>5826</v>
      </c>
      <c r="W40" s="197">
        <f>IFERROR(__xludf.DUMMYFUNCTION("""COMPUTED_VALUE"""),302.0)</f>
        <v>302</v>
      </c>
      <c r="X40" s="197">
        <f>IFERROR(__xludf.DUMMYFUNCTION("""COMPUTED_VALUE"""),28.0)</f>
        <v>28</v>
      </c>
      <c r="Y40" s="41">
        <f>IFERROR(__xludf.DUMMYFUNCTION("""COMPUTED_VALUE"""),7490.0)</f>
        <v>7490</v>
      </c>
      <c r="Z40" s="197">
        <f>IFERROR(__xludf.DUMMYFUNCTION("""COMPUTED_VALUE"""),7170.0)</f>
        <v>7170</v>
      </c>
      <c r="AA40" s="197">
        <f>IFERROR(__xludf.DUMMYFUNCTION("""COMPUTED_VALUE"""),293.0)</f>
        <v>293</v>
      </c>
      <c r="AB40" s="197">
        <f>IFERROR(__xludf.DUMMYFUNCTION("""COMPUTED_VALUE"""),27.0)</f>
        <v>27</v>
      </c>
      <c r="AC40" s="41">
        <f>IFERROR(__xludf.DUMMYFUNCTION("""COMPUTED_VALUE"""),7509.0)</f>
        <v>7509</v>
      </c>
      <c r="AD40" s="197">
        <f>IFERROR(__xludf.DUMMYFUNCTION("""COMPUTED_VALUE"""),7189.0)</f>
        <v>7189</v>
      </c>
      <c r="AE40" s="197">
        <f>IFERROR(__xludf.DUMMYFUNCTION("""COMPUTED_VALUE"""),293.0)</f>
        <v>293</v>
      </c>
      <c r="AF40" s="197">
        <f>IFERROR(__xludf.DUMMYFUNCTION("""COMPUTED_VALUE"""),27.0)</f>
        <v>27</v>
      </c>
      <c r="AG40" s="41">
        <f>IFERROR(__xludf.DUMMYFUNCTION("""COMPUTED_VALUE"""),0.0)</f>
        <v>0</v>
      </c>
      <c r="AH40" s="197">
        <f>IFERROR(__xludf.DUMMYFUNCTION("""COMPUTED_VALUE"""),0.0)</f>
        <v>0</v>
      </c>
      <c r="AI40" s="197">
        <f>IFERROR(__xludf.DUMMYFUNCTION("""COMPUTED_VALUE"""),0.0)</f>
        <v>0</v>
      </c>
      <c r="AJ40" s="197">
        <f>IFERROR(__xludf.DUMMYFUNCTION("""COMPUTED_VALUE"""),0.0)</f>
        <v>0</v>
      </c>
      <c r="AK40" s="41">
        <f>IFERROR(__xludf.DUMMYFUNCTION("""COMPUTED_VALUE"""),0.0)</f>
        <v>0</v>
      </c>
      <c r="AL40" s="197">
        <f>IFERROR(__xludf.DUMMYFUNCTION("""COMPUTED_VALUE"""),0.0)</f>
        <v>0</v>
      </c>
      <c r="AM40" s="197">
        <f>IFERROR(__xludf.DUMMYFUNCTION("""COMPUTED_VALUE"""),0.0)</f>
        <v>0</v>
      </c>
      <c r="AN40" s="197">
        <f>IFERROR(__xludf.DUMMYFUNCTION("""COMPUTED_VALUE"""),0.0)</f>
        <v>0</v>
      </c>
      <c r="AO40" s="41">
        <f>IFERROR(__xludf.DUMMYFUNCTION("""COMPUTED_VALUE"""),0.0)</f>
        <v>0</v>
      </c>
      <c r="AP40" s="197">
        <f>IFERROR(__xludf.DUMMYFUNCTION("""COMPUTED_VALUE"""),0.0)</f>
        <v>0</v>
      </c>
      <c r="AQ40" s="197">
        <f>IFERROR(__xludf.DUMMYFUNCTION("""COMPUTED_VALUE"""),0.0)</f>
        <v>0</v>
      </c>
      <c r="AR40" s="197">
        <f>IFERROR(__xludf.DUMMYFUNCTION("""COMPUTED_VALUE"""),0.0)</f>
        <v>0</v>
      </c>
      <c r="AS40" s="41">
        <f>IFERROR(__xludf.DUMMYFUNCTION("""COMPUTED_VALUE"""),0.0)</f>
        <v>0</v>
      </c>
      <c r="AT40" s="197">
        <f>IFERROR(__xludf.DUMMYFUNCTION("""COMPUTED_VALUE"""),0.0)</f>
        <v>0</v>
      </c>
      <c r="AU40" s="197">
        <f>IFERROR(__xludf.DUMMYFUNCTION("""COMPUTED_VALUE"""),0.0)</f>
        <v>0</v>
      </c>
      <c r="AV40" s="197">
        <f>IFERROR(__xludf.DUMMYFUNCTION("""COMPUTED_VALUE"""),0.0)</f>
        <v>0</v>
      </c>
      <c r="AW40" s="41">
        <f>IFERROR(__xludf.DUMMYFUNCTION("""COMPUTED_VALUE"""),0.0)</f>
        <v>0</v>
      </c>
      <c r="AX40" s="197">
        <f>IFERROR(__xludf.DUMMYFUNCTION("""COMPUTED_VALUE"""),0.0)</f>
        <v>0</v>
      </c>
      <c r="AY40" s="197">
        <f>IFERROR(__xludf.DUMMYFUNCTION("""COMPUTED_VALUE"""),0.0)</f>
        <v>0</v>
      </c>
      <c r="AZ40" s="198">
        <f>IFERROR(__xludf.DUMMYFUNCTION("""COMPUTED_VALUE"""),0.0)</f>
        <v>0</v>
      </c>
      <c r="BA40" s="195"/>
    </row>
    <row r="41" ht="15.75" customHeight="1">
      <c r="A41" s="29"/>
      <c r="B41" s="30" t="str">
        <f>IFERROR(__xludf.DUMMYFUNCTION("""COMPUTED_VALUE"""),"4. TỶ LỆ TRẺ EM ĐI HỌC")</f>
        <v>4. TỶ LỆ TRẺ EM ĐI HỌC</v>
      </c>
      <c r="C41" s="31" t="str">
        <f>IFERROR(__xludf.DUMMYFUNCTION("""COMPUTED_VALUE"""),"Tháng")</f>
        <v>Tháng</v>
      </c>
      <c r="D41" s="31"/>
      <c r="E41" s="200"/>
      <c r="F41" s="116" t="str">
        <f>IFERROR(__xludf.DUMMYFUNCTION("""COMPUTED_VALUE"""),"X")</f>
        <v>X</v>
      </c>
      <c r="G41" s="116" t="str">
        <f>IFERROR(__xludf.DUMMYFUNCTION("""COMPUTED_VALUE"""),"X")</f>
        <v>X</v>
      </c>
      <c r="H41" s="116" t="str">
        <f>IFERROR(__xludf.DUMMYFUNCTION("""COMPUTED_VALUE"""),"X")</f>
        <v>X</v>
      </c>
      <c r="I41" s="200"/>
      <c r="J41" s="116" t="str">
        <f>IFERROR(__xludf.DUMMYFUNCTION("""COMPUTED_VALUE"""),"X")</f>
        <v>X</v>
      </c>
      <c r="K41" s="116" t="str">
        <f>IFERROR(__xludf.DUMMYFUNCTION("""COMPUTED_VALUE"""),"X")</f>
        <v>X</v>
      </c>
      <c r="L41" s="116" t="str">
        <f>IFERROR(__xludf.DUMMYFUNCTION("""COMPUTED_VALUE"""),"X")</f>
        <v>X</v>
      </c>
      <c r="M41" s="200"/>
      <c r="N41" s="116" t="str">
        <f>IFERROR(__xludf.DUMMYFUNCTION("""COMPUTED_VALUE"""),"X")</f>
        <v>X</v>
      </c>
      <c r="O41" s="116" t="str">
        <f>IFERROR(__xludf.DUMMYFUNCTION("""COMPUTED_VALUE"""),"X")</f>
        <v>X</v>
      </c>
      <c r="P41" s="116" t="str">
        <f>IFERROR(__xludf.DUMMYFUNCTION("""COMPUTED_VALUE"""),"X")</f>
        <v>X</v>
      </c>
      <c r="Q41" s="200"/>
      <c r="R41" s="116" t="str">
        <f>IFERROR(__xludf.DUMMYFUNCTION("""COMPUTED_VALUE"""),"X")</f>
        <v>X</v>
      </c>
      <c r="S41" s="116" t="str">
        <f>IFERROR(__xludf.DUMMYFUNCTION("""COMPUTED_VALUE"""),"X")</f>
        <v>X</v>
      </c>
      <c r="T41" s="116" t="str">
        <f>IFERROR(__xludf.DUMMYFUNCTION("""COMPUTED_VALUE"""),"X")</f>
        <v>X</v>
      </c>
      <c r="U41" s="200"/>
      <c r="V41" s="116" t="str">
        <f>IFERROR(__xludf.DUMMYFUNCTION("""COMPUTED_VALUE"""),"X")</f>
        <v>X</v>
      </c>
      <c r="W41" s="116" t="str">
        <f>IFERROR(__xludf.DUMMYFUNCTION("""COMPUTED_VALUE"""),"X")</f>
        <v>X</v>
      </c>
      <c r="X41" s="116" t="str">
        <f>IFERROR(__xludf.DUMMYFUNCTION("""COMPUTED_VALUE"""),"X")</f>
        <v>X</v>
      </c>
      <c r="Y41" s="200"/>
      <c r="Z41" s="116" t="str">
        <f>IFERROR(__xludf.DUMMYFUNCTION("""COMPUTED_VALUE"""),"X")</f>
        <v>X</v>
      </c>
      <c r="AA41" s="116" t="str">
        <f>IFERROR(__xludf.DUMMYFUNCTION("""COMPUTED_VALUE"""),"X")</f>
        <v>X</v>
      </c>
      <c r="AB41" s="116" t="str">
        <f>IFERROR(__xludf.DUMMYFUNCTION("""COMPUTED_VALUE"""),"X")</f>
        <v>X</v>
      </c>
      <c r="AC41" s="200"/>
      <c r="AD41" s="116" t="str">
        <f>IFERROR(__xludf.DUMMYFUNCTION("""COMPUTED_VALUE"""),"X")</f>
        <v>X</v>
      </c>
      <c r="AE41" s="116" t="str">
        <f>IFERROR(__xludf.DUMMYFUNCTION("""COMPUTED_VALUE"""),"X")</f>
        <v>X</v>
      </c>
      <c r="AF41" s="116" t="str">
        <f>IFERROR(__xludf.DUMMYFUNCTION("""COMPUTED_VALUE"""),"X")</f>
        <v>X</v>
      </c>
      <c r="AG41" s="200"/>
      <c r="AH41" s="116" t="str">
        <f>IFERROR(__xludf.DUMMYFUNCTION("""COMPUTED_VALUE"""),"X")</f>
        <v>X</v>
      </c>
      <c r="AI41" s="116" t="str">
        <f>IFERROR(__xludf.DUMMYFUNCTION("""COMPUTED_VALUE"""),"X")</f>
        <v>X</v>
      </c>
      <c r="AJ41" s="116" t="str">
        <f>IFERROR(__xludf.DUMMYFUNCTION("""COMPUTED_VALUE"""),"X")</f>
        <v>X</v>
      </c>
      <c r="AK41" s="200"/>
      <c r="AL41" s="116" t="str">
        <f>IFERROR(__xludf.DUMMYFUNCTION("""COMPUTED_VALUE"""),"X")</f>
        <v>X</v>
      </c>
      <c r="AM41" s="116" t="str">
        <f>IFERROR(__xludf.DUMMYFUNCTION("""COMPUTED_VALUE"""),"X")</f>
        <v>X</v>
      </c>
      <c r="AN41" s="116" t="str">
        <f>IFERROR(__xludf.DUMMYFUNCTION("""COMPUTED_VALUE"""),"X")</f>
        <v>X</v>
      </c>
      <c r="AO41" s="200"/>
      <c r="AP41" s="116" t="str">
        <f>IFERROR(__xludf.DUMMYFUNCTION("""COMPUTED_VALUE"""),"X")</f>
        <v>X</v>
      </c>
      <c r="AQ41" s="116" t="str">
        <f>IFERROR(__xludf.DUMMYFUNCTION("""COMPUTED_VALUE"""),"X")</f>
        <v>X</v>
      </c>
      <c r="AR41" s="116" t="str">
        <f>IFERROR(__xludf.DUMMYFUNCTION("""COMPUTED_VALUE"""),"X")</f>
        <v>X</v>
      </c>
      <c r="AS41" s="200"/>
      <c r="AT41" s="116" t="str">
        <f>IFERROR(__xludf.DUMMYFUNCTION("""COMPUTED_VALUE"""),"X")</f>
        <v>X</v>
      </c>
      <c r="AU41" s="116" t="str">
        <f>IFERROR(__xludf.DUMMYFUNCTION("""COMPUTED_VALUE"""),"X")</f>
        <v>X</v>
      </c>
      <c r="AV41" s="116" t="str">
        <f>IFERROR(__xludf.DUMMYFUNCTION("""COMPUTED_VALUE"""),"X")</f>
        <v>X</v>
      </c>
      <c r="AW41" s="200"/>
      <c r="AX41" s="116" t="str">
        <f>IFERROR(__xludf.DUMMYFUNCTION("""COMPUTED_VALUE"""),"X")</f>
        <v>X</v>
      </c>
      <c r="AY41" s="116" t="str">
        <f>IFERROR(__xludf.DUMMYFUNCTION("""COMPUTED_VALUE"""),"X")</f>
        <v>X</v>
      </c>
      <c r="AZ41" s="117" t="str">
        <f>IFERROR(__xludf.DUMMYFUNCTION("""COMPUTED_VALUE"""),"X")</f>
        <v>X</v>
      </c>
      <c r="BA41" s="195"/>
    </row>
    <row r="42" ht="15.75" customHeight="1">
      <c r="A42" s="29"/>
      <c r="B42" s="67" t="str">
        <f>IFERROR(__xludf.DUMMYFUNCTION("""COMPUTED_VALUE"""),"4.1. Trẻ nhà trẻ")</f>
        <v>4.1. Trẻ nhà trẻ</v>
      </c>
      <c r="C42" s="31"/>
      <c r="D42" s="31" t="str">
        <f>IFERROR(__xludf.DUMMYFUNCTION("""COMPUTED_VALUE"""),"%")</f>
        <v>%</v>
      </c>
      <c r="E42" s="115">
        <f>IFERROR(__xludf.DUMMYFUNCTION("""COMPUTED_VALUE"""),3.5317501936054874)</f>
        <v>3.531750194</v>
      </c>
      <c r="F42" s="116" t="str">
        <f>IFERROR(__xludf.DUMMYFUNCTION("""COMPUTED_VALUE"""),"X")</f>
        <v>X</v>
      </c>
      <c r="G42" s="116" t="str">
        <f>IFERROR(__xludf.DUMMYFUNCTION("""COMPUTED_VALUE"""),"X")</f>
        <v>X</v>
      </c>
      <c r="H42" s="116" t="str">
        <f>IFERROR(__xludf.DUMMYFUNCTION("""COMPUTED_VALUE"""),"X")</f>
        <v>X</v>
      </c>
      <c r="I42" s="115">
        <f>IFERROR(__xludf.DUMMYFUNCTION("""COMPUTED_VALUE"""),349.14693311036785)</f>
        <v>349.1469331</v>
      </c>
      <c r="J42" s="116" t="str">
        <f>IFERROR(__xludf.DUMMYFUNCTION("""COMPUTED_VALUE"""),"X")</f>
        <v>X</v>
      </c>
      <c r="K42" s="116" t="str">
        <f>IFERROR(__xludf.DUMMYFUNCTION("""COMPUTED_VALUE"""),"X")</f>
        <v>X</v>
      </c>
      <c r="L42" s="116" t="str">
        <f>IFERROR(__xludf.DUMMYFUNCTION("""COMPUTED_VALUE"""),"X")</f>
        <v>X</v>
      </c>
      <c r="M42" s="115">
        <f>IFERROR(__xludf.DUMMYFUNCTION("""COMPUTED_VALUE"""),2.2114615384615384)</f>
        <v>2.211461538</v>
      </c>
      <c r="N42" s="116" t="str">
        <f>IFERROR(__xludf.DUMMYFUNCTION("""COMPUTED_VALUE"""),"X")</f>
        <v>X</v>
      </c>
      <c r="O42" s="116" t="str">
        <f>IFERROR(__xludf.DUMMYFUNCTION("""COMPUTED_VALUE"""),"X")</f>
        <v>X</v>
      </c>
      <c r="P42" s="116" t="str">
        <f>IFERROR(__xludf.DUMMYFUNCTION("""COMPUTED_VALUE"""),"X")</f>
        <v>X</v>
      </c>
      <c r="Q42" s="115">
        <f>IFERROR(__xludf.DUMMYFUNCTION("""COMPUTED_VALUE"""),2.2770334448160536)</f>
        <v>2.277033445</v>
      </c>
      <c r="R42" s="116" t="str">
        <f>IFERROR(__xludf.DUMMYFUNCTION("""COMPUTED_VALUE"""),"X")</f>
        <v>X</v>
      </c>
      <c r="S42" s="116" t="str">
        <f>IFERROR(__xludf.DUMMYFUNCTION("""COMPUTED_VALUE"""),"X")</f>
        <v>X</v>
      </c>
      <c r="T42" s="116" t="str">
        <f>IFERROR(__xludf.DUMMYFUNCTION("""COMPUTED_VALUE"""),"X")</f>
        <v>X</v>
      </c>
      <c r="U42" s="115">
        <f>IFERROR(__xludf.DUMMYFUNCTION("""COMPUTED_VALUE"""),1.587494983277592)</f>
        <v>1.587494983</v>
      </c>
      <c r="V42" s="116" t="str">
        <f>IFERROR(__xludf.DUMMYFUNCTION("""COMPUTED_VALUE"""),"X")</f>
        <v>X</v>
      </c>
      <c r="W42" s="116" t="str">
        <f>IFERROR(__xludf.DUMMYFUNCTION("""COMPUTED_VALUE"""),"X")</f>
        <v>X</v>
      </c>
      <c r="X42" s="116" t="str">
        <f>IFERROR(__xludf.DUMMYFUNCTION("""COMPUTED_VALUE"""),"X")</f>
        <v>X</v>
      </c>
      <c r="Y42" s="115">
        <f>IFERROR(__xludf.DUMMYFUNCTION("""COMPUTED_VALUE"""),1.6185986622073578)</f>
        <v>1.618598662</v>
      </c>
      <c r="Z42" s="116" t="str">
        <f>IFERROR(__xludf.DUMMYFUNCTION("""COMPUTED_VALUE"""),"X")</f>
        <v>X</v>
      </c>
      <c r="AA42" s="116" t="str">
        <f>IFERROR(__xludf.DUMMYFUNCTION("""COMPUTED_VALUE"""),"X")</f>
        <v>X</v>
      </c>
      <c r="AB42" s="116" t="str">
        <f>IFERROR(__xludf.DUMMYFUNCTION("""COMPUTED_VALUE"""),"X")</f>
        <v>X</v>
      </c>
      <c r="AC42" s="115">
        <f>IFERROR(__xludf.DUMMYFUNCTION("""COMPUTED_VALUE"""),1.6319765886287625)</f>
        <v>1.631976589</v>
      </c>
      <c r="AD42" s="116" t="str">
        <f>IFERROR(__xludf.DUMMYFUNCTION("""COMPUTED_VALUE"""),"X")</f>
        <v>X</v>
      </c>
      <c r="AE42" s="116" t="str">
        <f>IFERROR(__xludf.DUMMYFUNCTION("""COMPUTED_VALUE"""),"X")</f>
        <v>X</v>
      </c>
      <c r="AF42" s="116" t="str">
        <f>IFERROR(__xludf.DUMMYFUNCTION("""COMPUTED_VALUE"""),"X")</f>
        <v>X</v>
      </c>
      <c r="AG42" s="115" t="str">
        <f>IFERROR(__xludf.DUMMYFUNCTION("""COMPUTED_VALUE"""),"#DIV/0!")</f>
        <v>#DIV/0!</v>
      </c>
      <c r="AH42" s="116" t="str">
        <f>IFERROR(__xludf.DUMMYFUNCTION("""COMPUTED_VALUE"""),"X")</f>
        <v>X</v>
      </c>
      <c r="AI42" s="116" t="str">
        <f>IFERROR(__xludf.DUMMYFUNCTION("""COMPUTED_VALUE"""),"X")</f>
        <v>X</v>
      </c>
      <c r="AJ42" s="116" t="str">
        <f>IFERROR(__xludf.DUMMYFUNCTION("""COMPUTED_VALUE"""),"X")</f>
        <v>X</v>
      </c>
      <c r="AK42" s="115" t="str">
        <f>IFERROR(__xludf.DUMMYFUNCTION("""COMPUTED_VALUE"""),"#DIV/0!")</f>
        <v>#DIV/0!</v>
      </c>
      <c r="AL42" s="116" t="str">
        <f>IFERROR(__xludf.DUMMYFUNCTION("""COMPUTED_VALUE"""),"X")</f>
        <v>X</v>
      </c>
      <c r="AM42" s="116" t="str">
        <f>IFERROR(__xludf.DUMMYFUNCTION("""COMPUTED_VALUE"""),"X")</f>
        <v>X</v>
      </c>
      <c r="AN42" s="116" t="str">
        <f>IFERROR(__xludf.DUMMYFUNCTION("""COMPUTED_VALUE"""),"X")</f>
        <v>X</v>
      </c>
      <c r="AO42" s="115" t="str">
        <f>IFERROR(__xludf.DUMMYFUNCTION("""COMPUTED_VALUE"""),"#DIV/0!")</f>
        <v>#DIV/0!</v>
      </c>
      <c r="AP42" s="116" t="str">
        <f>IFERROR(__xludf.DUMMYFUNCTION("""COMPUTED_VALUE"""),"X")</f>
        <v>X</v>
      </c>
      <c r="AQ42" s="116" t="str">
        <f>IFERROR(__xludf.DUMMYFUNCTION("""COMPUTED_VALUE"""),"X")</f>
        <v>X</v>
      </c>
      <c r="AR42" s="116" t="str">
        <f>IFERROR(__xludf.DUMMYFUNCTION("""COMPUTED_VALUE"""),"X")</f>
        <v>X</v>
      </c>
      <c r="AS42" s="115" t="str">
        <f>IFERROR(__xludf.DUMMYFUNCTION("""COMPUTED_VALUE"""),"#DIV/0!")</f>
        <v>#DIV/0!</v>
      </c>
      <c r="AT42" s="116" t="str">
        <f>IFERROR(__xludf.DUMMYFUNCTION("""COMPUTED_VALUE"""),"X")</f>
        <v>X</v>
      </c>
      <c r="AU42" s="116" t="str">
        <f>IFERROR(__xludf.DUMMYFUNCTION("""COMPUTED_VALUE"""),"X")</f>
        <v>X</v>
      </c>
      <c r="AV42" s="116" t="str">
        <f>IFERROR(__xludf.DUMMYFUNCTION("""COMPUTED_VALUE"""),"X")</f>
        <v>X</v>
      </c>
      <c r="AW42" s="115" t="str">
        <f>IFERROR(__xludf.DUMMYFUNCTION("""COMPUTED_VALUE"""),"#DIV/0!")</f>
        <v>#DIV/0!</v>
      </c>
      <c r="AX42" s="116" t="str">
        <f>IFERROR(__xludf.DUMMYFUNCTION("""COMPUTED_VALUE"""),"X")</f>
        <v>X</v>
      </c>
      <c r="AY42" s="116" t="str">
        <f>IFERROR(__xludf.DUMMYFUNCTION("""COMPUTED_VALUE"""),"X")</f>
        <v>X</v>
      </c>
      <c r="AZ42" s="117" t="str">
        <f>IFERROR(__xludf.DUMMYFUNCTION("""COMPUTED_VALUE"""),"X")</f>
        <v>X</v>
      </c>
      <c r="BA42" s="195"/>
    </row>
    <row r="43" ht="15.75" customHeight="1">
      <c r="A43" s="29"/>
      <c r="B43" s="67" t="str">
        <f>IFERROR(__xludf.DUMMYFUNCTION("""COMPUTED_VALUE"""),"4.2. Trẻ mẫu giáo")</f>
        <v>4.2. Trẻ mẫu giáo</v>
      </c>
      <c r="C43" s="31"/>
      <c r="D43" s="31" t="str">
        <f>IFERROR(__xludf.DUMMYFUNCTION("""COMPUTED_VALUE"""),"%")</f>
        <v>%</v>
      </c>
      <c r="E43" s="115">
        <f>IFERROR(__xludf.DUMMYFUNCTION("""COMPUTED_VALUE"""),4.704179104477611)</f>
        <v>4.704179104</v>
      </c>
      <c r="F43" s="116" t="str">
        <f>IFERROR(__xludf.DUMMYFUNCTION("""COMPUTED_VALUE"""),"X")</f>
        <v>X</v>
      </c>
      <c r="G43" s="116" t="str">
        <f>IFERROR(__xludf.DUMMYFUNCTION("""COMPUTED_VALUE"""),"X")</f>
        <v>X</v>
      </c>
      <c r="H43" s="116" t="str">
        <f>IFERROR(__xludf.DUMMYFUNCTION("""COMPUTED_VALUE"""),"X")</f>
        <v>X</v>
      </c>
      <c r="I43" s="115">
        <f>IFERROR(__xludf.DUMMYFUNCTION("""COMPUTED_VALUE"""),350.2428160535117)</f>
        <v>350.2428161</v>
      </c>
      <c r="J43" s="116" t="str">
        <f>IFERROR(__xludf.DUMMYFUNCTION("""COMPUTED_VALUE"""),"X")</f>
        <v>X</v>
      </c>
      <c r="K43" s="116" t="str">
        <f>IFERROR(__xludf.DUMMYFUNCTION("""COMPUTED_VALUE"""),"X")</f>
        <v>X</v>
      </c>
      <c r="L43" s="116" t="str">
        <f>IFERROR(__xludf.DUMMYFUNCTION("""COMPUTED_VALUE"""),"X")</f>
        <v>X</v>
      </c>
      <c r="M43" s="115">
        <f>IFERROR(__xludf.DUMMYFUNCTION("""COMPUTED_VALUE"""),3.0297157190635455)</f>
        <v>3.029715719</v>
      </c>
      <c r="N43" s="116" t="str">
        <f>IFERROR(__xludf.DUMMYFUNCTION("""COMPUTED_VALUE"""),"X")</f>
        <v>X</v>
      </c>
      <c r="O43" s="116" t="str">
        <f>IFERROR(__xludf.DUMMYFUNCTION("""COMPUTED_VALUE"""),"X")</f>
        <v>X</v>
      </c>
      <c r="P43" s="116" t="str">
        <f>IFERROR(__xludf.DUMMYFUNCTION("""COMPUTED_VALUE"""),"X")</f>
        <v>X</v>
      </c>
      <c r="Q43" s="115">
        <f>IFERROR(__xludf.DUMMYFUNCTION("""COMPUTED_VALUE"""),3.042290969899666)</f>
        <v>3.04229097</v>
      </c>
      <c r="R43" s="116" t="str">
        <f>IFERROR(__xludf.DUMMYFUNCTION("""COMPUTED_VALUE"""),"X")</f>
        <v>X</v>
      </c>
      <c r="S43" s="116" t="str">
        <f>IFERROR(__xludf.DUMMYFUNCTION("""COMPUTED_VALUE"""),"X")</f>
        <v>X</v>
      </c>
      <c r="T43" s="116" t="str">
        <f>IFERROR(__xludf.DUMMYFUNCTION("""COMPUTED_VALUE"""),"X")</f>
        <v>X</v>
      </c>
      <c r="U43" s="115">
        <f>IFERROR(__xludf.DUMMYFUNCTION("""COMPUTED_VALUE"""),2.2381371237458194)</f>
        <v>2.238137124</v>
      </c>
      <c r="V43" s="116" t="str">
        <f>IFERROR(__xludf.DUMMYFUNCTION("""COMPUTED_VALUE"""),"X")</f>
        <v>X</v>
      </c>
      <c r="W43" s="116" t="str">
        <f>IFERROR(__xludf.DUMMYFUNCTION("""COMPUTED_VALUE"""),"X")</f>
        <v>X</v>
      </c>
      <c r="X43" s="116" t="str">
        <f>IFERROR(__xludf.DUMMYFUNCTION("""COMPUTED_VALUE"""),"X")</f>
        <v>X</v>
      </c>
      <c r="Y43" s="115">
        <f>IFERROR(__xludf.DUMMYFUNCTION("""COMPUTED_VALUE"""),2.245260869565217)</f>
        <v>2.24526087</v>
      </c>
      <c r="Z43" s="116" t="str">
        <f>IFERROR(__xludf.DUMMYFUNCTION("""COMPUTED_VALUE"""),"X")</f>
        <v>X</v>
      </c>
      <c r="AA43" s="116" t="str">
        <f>IFERROR(__xludf.DUMMYFUNCTION("""COMPUTED_VALUE"""),"X")</f>
        <v>X</v>
      </c>
      <c r="AB43" s="116" t="str">
        <f>IFERROR(__xludf.DUMMYFUNCTION("""COMPUTED_VALUE"""),"X")</f>
        <v>X</v>
      </c>
      <c r="AC43" s="115">
        <f>IFERROR(__xludf.DUMMYFUNCTION("""COMPUTED_VALUE"""),2.2459297658862876)</f>
        <v>2.245929766</v>
      </c>
      <c r="AD43" s="116" t="str">
        <f>IFERROR(__xludf.DUMMYFUNCTION("""COMPUTED_VALUE"""),"X")</f>
        <v>X</v>
      </c>
      <c r="AE43" s="116" t="str">
        <f>IFERROR(__xludf.DUMMYFUNCTION("""COMPUTED_VALUE"""),"X")</f>
        <v>X</v>
      </c>
      <c r="AF43" s="116" t="str">
        <f>IFERROR(__xludf.DUMMYFUNCTION("""COMPUTED_VALUE"""),"X")</f>
        <v>X</v>
      </c>
      <c r="AG43" s="115" t="str">
        <f>IFERROR(__xludf.DUMMYFUNCTION("""COMPUTED_VALUE"""),"#DIV/0!")</f>
        <v>#DIV/0!</v>
      </c>
      <c r="AH43" s="116" t="str">
        <f>IFERROR(__xludf.DUMMYFUNCTION("""COMPUTED_VALUE"""),"X")</f>
        <v>X</v>
      </c>
      <c r="AI43" s="116" t="str">
        <f>IFERROR(__xludf.DUMMYFUNCTION("""COMPUTED_VALUE"""),"X")</f>
        <v>X</v>
      </c>
      <c r="AJ43" s="116" t="str">
        <f>IFERROR(__xludf.DUMMYFUNCTION("""COMPUTED_VALUE"""),"X")</f>
        <v>X</v>
      </c>
      <c r="AK43" s="115" t="str">
        <f>IFERROR(__xludf.DUMMYFUNCTION("""COMPUTED_VALUE"""),"#DIV/0!")</f>
        <v>#DIV/0!</v>
      </c>
      <c r="AL43" s="116" t="str">
        <f>IFERROR(__xludf.DUMMYFUNCTION("""COMPUTED_VALUE"""),"X")</f>
        <v>X</v>
      </c>
      <c r="AM43" s="116" t="str">
        <f>IFERROR(__xludf.DUMMYFUNCTION("""COMPUTED_VALUE"""),"X")</f>
        <v>X</v>
      </c>
      <c r="AN43" s="116" t="str">
        <f>IFERROR(__xludf.DUMMYFUNCTION("""COMPUTED_VALUE"""),"X")</f>
        <v>X</v>
      </c>
      <c r="AO43" s="115" t="str">
        <f>IFERROR(__xludf.DUMMYFUNCTION("""COMPUTED_VALUE"""),"#DIV/0!")</f>
        <v>#DIV/0!</v>
      </c>
      <c r="AP43" s="116" t="str">
        <f>IFERROR(__xludf.DUMMYFUNCTION("""COMPUTED_VALUE"""),"X")</f>
        <v>X</v>
      </c>
      <c r="AQ43" s="116" t="str">
        <f>IFERROR(__xludf.DUMMYFUNCTION("""COMPUTED_VALUE"""),"X")</f>
        <v>X</v>
      </c>
      <c r="AR43" s="116" t="str">
        <f>IFERROR(__xludf.DUMMYFUNCTION("""COMPUTED_VALUE"""),"X")</f>
        <v>X</v>
      </c>
      <c r="AS43" s="115" t="str">
        <f>IFERROR(__xludf.DUMMYFUNCTION("""COMPUTED_VALUE"""),"#DIV/0!")</f>
        <v>#DIV/0!</v>
      </c>
      <c r="AT43" s="116" t="str">
        <f>IFERROR(__xludf.DUMMYFUNCTION("""COMPUTED_VALUE"""),"X")</f>
        <v>X</v>
      </c>
      <c r="AU43" s="116" t="str">
        <f>IFERROR(__xludf.DUMMYFUNCTION("""COMPUTED_VALUE"""),"X")</f>
        <v>X</v>
      </c>
      <c r="AV43" s="116" t="str">
        <f>IFERROR(__xludf.DUMMYFUNCTION("""COMPUTED_VALUE"""),"X")</f>
        <v>X</v>
      </c>
      <c r="AW43" s="115" t="str">
        <f>IFERROR(__xludf.DUMMYFUNCTION("""COMPUTED_VALUE"""),"#DIV/0!")</f>
        <v>#DIV/0!</v>
      </c>
      <c r="AX43" s="116" t="str">
        <f>IFERROR(__xludf.DUMMYFUNCTION("""COMPUTED_VALUE"""),"X")</f>
        <v>X</v>
      </c>
      <c r="AY43" s="116" t="str">
        <f>IFERROR(__xludf.DUMMYFUNCTION("""COMPUTED_VALUE"""),"X")</f>
        <v>X</v>
      </c>
      <c r="AZ43" s="117" t="str">
        <f>IFERROR(__xludf.DUMMYFUNCTION("""COMPUTED_VALUE"""),"X")</f>
        <v>X</v>
      </c>
      <c r="BA43" s="195"/>
    </row>
    <row r="44" ht="15.75" customHeight="1">
      <c r="A44" s="29"/>
      <c r="B44" s="30" t="str">
        <f>IFERROR(__xludf.DUMMYFUNCTION("""COMPUTED_VALUE"""),"5. ĐỘI NGŨ")</f>
        <v>5. ĐỘI NGŨ</v>
      </c>
      <c r="C44" s="31" t="str">
        <f>IFERROR(__xludf.DUMMYFUNCTION("""COMPUTED_VALUE"""),"Quí")</f>
        <v>Quí</v>
      </c>
      <c r="D44" s="31" t="str">
        <f>IFERROR(__xludf.DUMMYFUNCTION("""COMPUTED_VALUE"""),"Người")</f>
        <v>Người</v>
      </c>
      <c r="E44" s="32">
        <f>IFERROR(__xludf.DUMMYFUNCTION("""COMPUTED_VALUE"""),4638.0)</f>
        <v>4638</v>
      </c>
      <c r="F44" s="32">
        <f>IFERROR(__xludf.DUMMYFUNCTION("""COMPUTED_VALUE"""),3821.0)</f>
        <v>3821</v>
      </c>
      <c r="G44" s="32">
        <f>IFERROR(__xludf.DUMMYFUNCTION("""COMPUTED_VALUE"""),58.0)</f>
        <v>58</v>
      </c>
      <c r="H44" s="32">
        <f>IFERROR(__xludf.DUMMYFUNCTION("""COMPUTED_VALUE"""),759.0)</f>
        <v>759</v>
      </c>
      <c r="I44" s="32">
        <f>IFERROR(__xludf.DUMMYFUNCTION("""COMPUTED_VALUE"""),4551.0)</f>
        <v>4551</v>
      </c>
      <c r="J44" s="32">
        <f>IFERROR(__xludf.DUMMYFUNCTION("""COMPUTED_VALUE"""),4005.0)</f>
        <v>4005</v>
      </c>
      <c r="K44" s="32">
        <f>IFERROR(__xludf.DUMMYFUNCTION("""COMPUTED_VALUE"""),57.0)</f>
        <v>57</v>
      </c>
      <c r="L44" s="32">
        <f>IFERROR(__xludf.DUMMYFUNCTION("""COMPUTED_VALUE"""),489.0)</f>
        <v>489</v>
      </c>
      <c r="M44" s="32">
        <f>IFERROR(__xludf.DUMMYFUNCTION("""COMPUTED_VALUE"""),4459.0)</f>
        <v>4459</v>
      </c>
      <c r="N44" s="32">
        <f>IFERROR(__xludf.DUMMYFUNCTION("""COMPUTED_VALUE"""),3918.0)</f>
        <v>3918</v>
      </c>
      <c r="O44" s="32">
        <f>IFERROR(__xludf.DUMMYFUNCTION("""COMPUTED_VALUE"""),57.0)</f>
        <v>57</v>
      </c>
      <c r="P44" s="32">
        <f>IFERROR(__xludf.DUMMYFUNCTION("""COMPUTED_VALUE"""),484.0)</f>
        <v>484</v>
      </c>
      <c r="Q44" s="32">
        <f>IFERROR(__xludf.DUMMYFUNCTION("""COMPUTED_VALUE"""),4488.0)</f>
        <v>4488</v>
      </c>
      <c r="R44" s="32">
        <f>IFERROR(__xludf.DUMMYFUNCTION("""COMPUTED_VALUE"""),3952.0)</f>
        <v>3952</v>
      </c>
      <c r="S44" s="32">
        <f>IFERROR(__xludf.DUMMYFUNCTION("""COMPUTED_VALUE"""),57.0)</f>
        <v>57</v>
      </c>
      <c r="T44" s="32">
        <f>IFERROR(__xludf.DUMMYFUNCTION("""COMPUTED_VALUE"""),479.0)</f>
        <v>479</v>
      </c>
      <c r="U44" s="32">
        <f>IFERROR(__xludf.DUMMYFUNCTION("""COMPUTED_VALUE"""),4492.0)</f>
        <v>4492</v>
      </c>
      <c r="V44" s="32">
        <f>IFERROR(__xludf.DUMMYFUNCTION("""COMPUTED_VALUE"""),3956.0)</f>
        <v>3956</v>
      </c>
      <c r="W44" s="32">
        <f>IFERROR(__xludf.DUMMYFUNCTION("""COMPUTED_VALUE"""),57.0)</f>
        <v>57</v>
      </c>
      <c r="X44" s="32">
        <f>IFERROR(__xludf.DUMMYFUNCTION("""COMPUTED_VALUE"""),479.0)</f>
        <v>479</v>
      </c>
      <c r="Y44" s="32">
        <f>IFERROR(__xludf.DUMMYFUNCTION("""COMPUTED_VALUE"""),4581.0)</f>
        <v>4581</v>
      </c>
      <c r="Z44" s="32">
        <f>IFERROR(__xludf.DUMMYFUNCTION("""COMPUTED_VALUE"""),4034.0)</f>
        <v>4034</v>
      </c>
      <c r="AA44" s="32">
        <f>IFERROR(__xludf.DUMMYFUNCTION("""COMPUTED_VALUE"""),57.0)</f>
        <v>57</v>
      </c>
      <c r="AB44" s="32">
        <f>IFERROR(__xludf.DUMMYFUNCTION("""COMPUTED_VALUE"""),490.0)</f>
        <v>490</v>
      </c>
      <c r="AC44" s="32">
        <f>IFERROR(__xludf.DUMMYFUNCTION("""COMPUTED_VALUE"""),4570.0)</f>
        <v>4570</v>
      </c>
      <c r="AD44" s="32">
        <f>IFERROR(__xludf.DUMMYFUNCTION("""COMPUTED_VALUE"""),4028.0)</f>
        <v>4028</v>
      </c>
      <c r="AE44" s="32">
        <f>IFERROR(__xludf.DUMMYFUNCTION("""COMPUTED_VALUE"""),57.0)</f>
        <v>57</v>
      </c>
      <c r="AF44" s="32">
        <f>IFERROR(__xludf.DUMMYFUNCTION("""COMPUTED_VALUE"""),485.0)</f>
        <v>485</v>
      </c>
      <c r="AG44" s="32">
        <f>IFERROR(__xludf.DUMMYFUNCTION("""COMPUTED_VALUE"""),0.0)</f>
        <v>0</v>
      </c>
      <c r="AH44" s="32">
        <f>IFERROR(__xludf.DUMMYFUNCTION("""COMPUTED_VALUE"""),0.0)</f>
        <v>0</v>
      </c>
      <c r="AI44" s="32">
        <f>IFERROR(__xludf.DUMMYFUNCTION("""COMPUTED_VALUE"""),0.0)</f>
        <v>0</v>
      </c>
      <c r="AJ44" s="32">
        <f>IFERROR(__xludf.DUMMYFUNCTION("""COMPUTED_VALUE"""),0.0)</f>
        <v>0</v>
      </c>
      <c r="AK44" s="32">
        <f>IFERROR(__xludf.DUMMYFUNCTION("""COMPUTED_VALUE"""),0.0)</f>
        <v>0</v>
      </c>
      <c r="AL44" s="32">
        <f>IFERROR(__xludf.DUMMYFUNCTION("""COMPUTED_VALUE"""),0.0)</f>
        <v>0</v>
      </c>
      <c r="AM44" s="32">
        <f>IFERROR(__xludf.DUMMYFUNCTION("""COMPUTED_VALUE"""),0.0)</f>
        <v>0</v>
      </c>
      <c r="AN44" s="32">
        <f>IFERROR(__xludf.DUMMYFUNCTION("""COMPUTED_VALUE"""),0.0)</f>
        <v>0</v>
      </c>
      <c r="AO44" s="32">
        <f>IFERROR(__xludf.DUMMYFUNCTION("""COMPUTED_VALUE"""),0.0)</f>
        <v>0</v>
      </c>
      <c r="AP44" s="32">
        <f>IFERROR(__xludf.DUMMYFUNCTION("""COMPUTED_VALUE"""),0.0)</f>
        <v>0</v>
      </c>
      <c r="AQ44" s="32">
        <f>IFERROR(__xludf.DUMMYFUNCTION("""COMPUTED_VALUE"""),0.0)</f>
        <v>0</v>
      </c>
      <c r="AR44" s="32">
        <f>IFERROR(__xludf.DUMMYFUNCTION("""COMPUTED_VALUE"""),0.0)</f>
        <v>0</v>
      </c>
      <c r="AS44" s="32">
        <f>IFERROR(__xludf.DUMMYFUNCTION("""COMPUTED_VALUE"""),0.0)</f>
        <v>0</v>
      </c>
      <c r="AT44" s="32">
        <f>IFERROR(__xludf.DUMMYFUNCTION("""COMPUTED_VALUE"""),0.0)</f>
        <v>0</v>
      </c>
      <c r="AU44" s="32">
        <f>IFERROR(__xludf.DUMMYFUNCTION("""COMPUTED_VALUE"""),0.0)</f>
        <v>0</v>
      </c>
      <c r="AV44" s="32">
        <f>IFERROR(__xludf.DUMMYFUNCTION("""COMPUTED_VALUE"""),0.0)</f>
        <v>0</v>
      </c>
      <c r="AW44" s="32">
        <f>IFERROR(__xludf.DUMMYFUNCTION("""COMPUTED_VALUE"""),0.0)</f>
        <v>0</v>
      </c>
      <c r="AX44" s="32">
        <f>IFERROR(__xludf.DUMMYFUNCTION("""COMPUTED_VALUE"""),0.0)</f>
        <v>0</v>
      </c>
      <c r="AY44" s="32">
        <f>IFERROR(__xludf.DUMMYFUNCTION("""COMPUTED_VALUE"""),0.0)</f>
        <v>0</v>
      </c>
      <c r="AZ44" s="33">
        <f>IFERROR(__xludf.DUMMYFUNCTION("""COMPUTED_VALUE"""),0.0)</f>
        <v>0</v>
      </c>
      <c r="BA44" s="195"/>
    </row>
    <row r="45" ht="15.75" customHeight="1">
      <c r="A45" s="29"/>
      <c r="B45" s="196" t="str">
        <f>IFERROR(__xludf.DUMMYFUNCTION("""COMPUTED_VALUE"""),"5.1. Tổng số cán bộ quản lí (C.chức+V.chức)")</f>
        <v>5.1. Tổng số cán bộ quản lí (C.chức+V.chức)</v>
      </c>
      <c r="C45" s="57"/>
      <c r="D45" s="57" t="str">
        <f>IFERROR(__xludf.DUMMYFUNCTION("""COMPUTED_VALUE""")," Người")</f>
        <v> Người</v>
      </c>
      <c r="E45" s="125">
        <f>IFERROR(__xludf.DUMMYFUNCTION("""COMPUTED_VALUE"""),329.0)</f>
        <v>329</v>
      </c>
      <c r="F45" s="201">
        <f>IFERROR(__xludf.DUMMYFUNCTION("""COMPUTED_VALUE"""),311.0)</f>
        <v>311</v>
      </c>
      <c r="G45" s="201">
        <f>IFERROR(__xludf.DUMMYFUNCTION("""COMPUTED_VALUE"""),1.0)</f>
        <v>1</v>
      </c>
      <c r="H45" s="201">
        <f>IFERROR(__xludf.DUMMYFUNCTION("""COMPUTED_VALUE"""),17.0)</f>
        <v>17</v>
      </c>
      <c r="I45" s="125">
        <f>IFERROR(__xludf.DUMMYFUNCTION("""COMPUTED_VALUE"""),330.0)</f>
        <v>330</v>
      </c>
      <c r="J45" s="201">
        <f>IFERROR(__xludf.DUMMYFUNCTION("""COMPUTED_VALUE"""),311.0)</f>
        <v>311</v>
      </c>
      <c r="K45" s="201">
        <f>IFERROR(__xludf.DUMMYFUNCTION("""COMPUTED_VALUE"""),1.0)</f>
        <v>1</v>
      </c>
      <c r="L45" s="201">
        <f>IFERROR(__xludf.DUMMYFUNCTION("""COMPUTED_VALUE"""),18.0)</f>
        <v>18</v>
      </c>
      <c r="M45" s="125">
        <f>IFERROR(__xludf.DUMMYFUNCTION("""COMPUTED_VALUE"""),329.0)</f>
        <v>329</v>
      </c>
      <c r="N45" s="201">
        <f>IFERROR(__xludf.DUMMYFUNCTION("""COMPUTED_VALUE"""),311.0)</f>
        <v>311</v>
      </c>
      <c r="O45" s="201">
        <f>IFERROR(__xludf.DUMMYFUNCTION("""COMPUTED_VALUE"""),1.0)</f>
        <v>1</v>
      </c>
      <c r="P45" s="201">
        <f>IFERROR(__xludf.DUMMYFUNCTION("""COMPUTED_VALUE"""),17.0)</f>
        <v>17</v>
      </c>
      <c r="Q45" s="125">
        <f>IFERROR(__xludf.DUMMYFUNCTION("""COMPUTED_VALUE"""),329.0)</f>
        <v>329</v>
      </c>
      <c r="R45" s="201">
        <f>IFERROR(__xludf.DUMMYFUNCTION("""COMPUTED_VALUE"""),312.0)</f>
        <v>312</v>
      </c>
      <c r="S45" s="201">
        <f>IFERROR(__xludf.DUMMYFUNCTION("""COMPUTED_VALUE"""),1.0)</f>
        <v>1</v>
      </c>
      <c r="T45" s="201">
        <f>IFERROR(__xludf.DUMMYFUNCTION("""COMPUTED_VALUE"""),16.0)</f>
        <v>16</v>
      </c>
      <c r="U45" s="125">
        <f>IFERROR(__xludf.DUMMYFUNCTION("""COMPUTED_VALUE"""),330.0)</f>
        <v>330</v>
      </c>
      <c r="V45" s="201">
        <f>IFERROR(__xludf.DUMMYFUNCTION("""COMPUTED_VALUE"""),313.0)</f>
        <v>313</v>
      </c>
      <c r="W45" s="201">
        <f>IFERROR(__xludf.DUMMYFUNCTION("""COMPUTED_VALUE"""),1.0)</f>
        <v>1</v>
      </c>
      <c r="X45" s="201">
        <f>IFERROR(__xludf.DUMMYFUNCTION("""COMPUTED_VALUE"""),16.0)</f>
        <v>16</v>
      </c>
      <c r="Y45" s="125">
        <f>IFERROR(__xludf.DUMMYFUNCTION("""COMPUTED_VALUE"""),361.0)</f>
        <v>361</v>
      </c>
      <c r="Z45" s="201">
        <f>IFERROR(__xludf.DUMMYFUNCTION("""COMPUTED_VALUE"""),344.0)</f>
        <v>344</v>
      </c>
      <c r="AA45" s="201">
        <f>IFERROR(__xludf.DUMMYFUNCTION("""COMPUTED_VALUE"""),1.0)</f>
        <v>1</v>
      </c>
      <c r="AB45" s="201">
        <f>IFERROR(__xludf.DUMMYFUNCTION("""COMPUTED_VALUE"""),16.0)</f>
        <v>16</v>
      </c>
      <c r="AC45" s="125">
        <f>IFERROR(__xludf.DUMMYFUNCTION("""COMPUTED_VALUE"""),360.0)</f>
        <v>360</v>
      </c>
      <c r="AD45" s="201">
        <f>IFERROR(__xludf.DUMMYFUNCTION("""COMPUTED_VALUE"""),343.0)</f>
        <v>343</v>
      </c>
      <c r="AE45" s="201">
        <f>IFERROR(__xludf.DUMMYFUNCTION("""COMPUTED_VALUE"""),1.0)</f>
        <v>1</v>
      </c>
      <c r="AF45" s="201">
        <f>IFERROR(__xludf.DUMMYFUNCTION("""COMPUTED_VALUE"""),16.0)</f>
        <v>16</v>
      </c>
      <c r="AG45" s="125">
        <f>IFERROR(__xludf.DUMMYFUNCTION("""COMPUTED_VALUE"""),0.0)</f>
        <v>0</v>
      </c>
      <c r="AH45" s="201">
        <f>IFERROR(__xludf.DUMMYFUNCTION("""COMPUTED_VALUE"""),0.0)</f>
        <v>0</v>
      </c>
      <c r="AI45" s="201">
        <f>IFERROR(__xludf.DUMMYFUNCTION("""COMPUTED_VALUE"""),0.0)</f>
        <v>0</v>
      </c>
      <c r="AJ45" s="201">
        <f>IFERROR(__xludf.DUMMYFUNCTION("""COMPUTED_VALUE"""),0.0)</f>
        <v>0</v>
      </c>
      <c r="AK45" s="125">
        <f>IFERROR(__xludf.DUMMYFUNCTION("""COMPUTED_VALUE"""),0.0)</f>
        <v>0</v>
      </c>
      <c r="AL45" s="201">
        <f>IFERROR(__xludf.DUMMYFUNCTION("""COMPUTED_VALUE"""),0.0)</f>
        <v>0</v>
      </c>
      <c r="AM45" s="201">
        <f>IFERROR(__xludf.DUMMYFUNCTION("""COMPUTED_VALUE"""),0.0)</f>
        <v>0</v>
      </c>
      <c r="AN45" s="201">
        <f>IFERROR(__xludf.DUMMYFUNCTION("""COMPUTED_VALUE"""),0.0)</f>
        <v>0</v>
      </c>
      <c r="AO45" s="125">
        <f>IFERROR(__xludf.DUMMYFUNCTION("""COMPUTED_VALUE"""),0.0)</f>
        <v>0</v>
      </c>
      <c r="AP45" s="201">
        <f>IFERROR(__xludf.DUMMYFUNCTION("""COMPUTED_VALUE"""),0.0)</f>
        <v>0</v>
      </c>
      <c r="AQ45" s="201">
        <f>IFERROR(__xludf.DUMMYFUNCTION("""COMPUTED_VALUE"""),0.0)</f>
        <v>0</v>
      </c>
      <c r="AR45" s="201">
        <f>IFERROR(__xludf.DUMMYFUNCTION("""COMPUTED_VALUE"""),0.0)</f>
        <v>0</v>
      </c>
      <c r="AS45" s="125">
        <f>IFERROR(__xludf.DUMMYFUNCTION("""COMPUTED_VALUE"""),0.0)</f>
        <v>0</v>
      </c>
      <c r="AT45" s="201">
        <f>IFERROR(__xludf.DUMMYFUNCTION("""COMPUTED_VALUE"""),0.0)</f>
        <v>0</v>
      </c>
      <c r="AU45" s="201">
        <f>IFERROR(__xludf.DUMMYFUNCTION("""COMPUTED_VALUE"""),0.0)</f>
        <v>0</v>
      </c>
      <c r="AV45" s="201">
        <f>IFERROR(__xludf.DUMMYFUNCTION("""COMPUTED_VALUE"""),0.0)</f>
        <v>0</v>
      </c>
      <c r="AW45" s="125">
        <f>IFERROR(__xludf.DUMMYFUNCTION("""COMPUTED_VALUE"""),0.0)</f>
        <v>0</v>
      </c>
      <c r="AX45" s="201">
        <f>IFERROR(__xludf.DUMMYFUNCTION("""COMPUTED_VALUE"""),0.0)</f>
        <v>0</v>
      </c>
      <c r="AY45" s="201">
        <f>IFERROR(__xludf.DUMMYFUNCTION("""COMPUTED_VALUE"""),0.0)</f>
        <v>0</v>
      </c>
      <c r="AZ45" s="202">
        <f>IFERROR(__xludf.DUMMYFUNCTION("""COMPUTED_VALUE"""),0.0)</f>
        <v>0</v>
      </c>
      <c r="BA45" s="195"/>
    </row>
    <row r="46" ht="15.75" customHeight="1">
      <c r="A46" s="29"/>
      <c r="B46" s="196" t="str">
        <f>IFERROR(__xludf.DUMMYFUNCTION("""COMPUTED_VALUE"""),"5.2. Tổng số giáo viên biên chế")</f>
        <v>5.2. Tổng số giáo viên biên chế</v>
      </c>
      <c r="C46" s="57"/>
      <c r="D46" s="57" t="str">
        <f>IFERROR(__xludf.DUMMYFUNCTION("""COMPUTED_VALUE""")," Người")</f>
        <v> Người</v>
      </c>
      <c r="E46" s="125">
        <f>IFERROR(__xludf.DUMMYFUNCTION("""COMPUTED_VALUE"""),2976.0)</f>
        <v>2976</v>
      </c>
      <c r="F46" s="201">
        <f>IFERROR(__xludf.DUMMYFUNCTION("""COMPUTED_VALUE"""),2689.0)</f>
        <v>2689</v>
      </c>
      <c r="G46" s="201">
        <f>IFERROR(__xludf.DUMMYFUNCTION("""COMPUTED_VALUE"""),0.0)</f>
        <v>0</v>
      </c>
      <c r="H46" s="201">
        <f>IFERROR(__xludf.DUMMYFUNCTION("""COMPUTED_VALUE"""),287.0)</f>
        <v>287</v>
      </c>
      <c r="I46" s="125">
        <f>IFERROR(__xludf.DUMMYFUNCTION("""COMPUTED_VALUE"""),2862.0)</f>
        <v>2862</v>
      </c>
      <c r="J46" s="201">
        <f>IFERROR(__xludf.DUMMYFUNCTION("""COMPUTED_VALUE"""),2849.0)</f>
        <v>2849</v>
      </c>
      <c r="K46" s="201">
        <f>IFERROR(__xludf.DUMMYFUNCTION("""COMPUTED_VALUE"""),0.0)</f>
        <v>0</v>
      </c>
      <c r="L46" s="201">
        <f>IFERROR(__xludf.DUMMYFUNCTION("""COMPUTED_VALUE"""),13.0)</f>
        <v>13</v>
      </c>
      <c r="M46" s="125">
        <f>IFERROR(__xludf.DUMMYFUNCTION("""COMPUTED_VALUE"""),2798.0)</f>
        <v>2798</v>
      </c>
      <c r="N46" s="201">
        <f>IFERROR(__xludf.DUMMYFUNCTION("""COMPUTED_VALUE"""),2793.0)</f>
        <v>2793</v>
      </c>
      <c r="O46" s="201">
        <f>IFERROR(__xludf.DUMMYFUNCTION("""COMPUTED_VALUE"""),0.0)</f>
        <v>0</v>
      </c>
      <c r="P46" s="201">
        <f>IFERROR(__xludf.DUMMYFUNCTION("""COMPUTED_VALUE"""),5.0)</f>
        <v>5</v>
      </c>
      <c r="Q46" s="125">
        <f>IFERROR(__xludf.DUMMYFUNCTION("""COMPUTED_VALUE"""),2829.0)</f>
        <v>2829</v>
      </c>
      <c r="R46" s="201">
        <f>IFERROR(__xludf.DUMMYFUNCTION("""COMPUTED_VALUE"""),2824.0)</f>
        <v>2824</v>
      </c>
      <c r="S46" s="201">
        <f>IFERROR(__xludf.DUMMYFUNCTION("""COMPUTED_VALUE"""),0.0)</f>
        <v>0</v>
      </c>
      <c r="T46" s="201">
        <f>IFERROR(__xludf.DUMMYFUNCTION("""COMPUTED_VALUE"""),5.0)</f>
        <v>5</v>
      </c>
      <c r="U46" s="125">
        <f>IFERROR(__xludf.DUMMYFUNCTION("""COMPUTED_VALUE"""),2832.0)</f>
        <v>2832</v>
      </c>
      <c r="V46" s="201">
        <f>IFERROR(__xludf.DUMMYFUNCTION("""COMPUTED_VALUE"""),2827.0)</f>
        <v>2827</v>
      </c>
      <c r="W46" s="201">
        <f>IFERROR(__xludf.DUMMYFUNCTION("""COMPUTED_VALUE"""),0.0)</f>
        <v>0</v>
      </c>
      <c r="X46" s="201">
        <f>IFERROR(__xludf.DUMMYFUNCTION("""COMPUTED_VALUE"""),5.0)</f>
        <v>5</v>
      </c>
      <c r="Y46" s="125">
        <f>IFERROR(__xludf.DUMMYFUNCTION("""COMPUTED_VALUE"""),2866.0)</f>
        <v>2866</v>
      </c>
      <c r="Z46" s="201">
        <f>IFERROR(__xludf.DUMMYFUNCTION("""COMPUTED_VALUE"""),2858.0)</f>
        <v>2858</v>
      </c>
      <c r="AA46" s="201">
        <f>IFERROR(__xludf.DUMMYFUNCTION("""COMPUTED_VALUE"""),0.0)</f>
        <v>0</v>
      </c>
      <c r="AB46" s="201">
        <f>IFERROR(__xludf.DUMMYFUNCTION("""COMPUTED_VALUE"""),8.0)</f>
        <v>8</v>
      </c>
      <c r="AC46" s="125">
        <f>IFERROR(__xludf.DUMMYFUNCTION("""COMPUTED_VALUE"""),2856.0)</f>
        <v>2856</v>
      </c>
      <c r="AD46" s="201">
        <f>IFERROR(__xludf.DUMMYFUNCTION("""COMPUTED_VALUE"""),2853.0)</f>
        <v>2853</v>
      </c>
      <c r="AE46" s="201">
        <f>IFERROR(__xludf.DUMMYFUNCTION("""COMPUTED_VALUE"""),0.0)</f>
        <v>0</v>
      </c>
      <c r="AF46" s="201">
        <f>IFERROR(__xludf.DUMMYFUNCTION("""COMPUTED_VALUE"""),3.0)</f>
        <v>3</v>
      </c>
      <c r="AG46" s="125">
        <f>IFERROR(__xludf.DUMMYFUNCTION("""COMPUTED_VALUE"""),0.0)</f>
        <v>0</v>
      </c>
      <c r="AH46" s="201">
        <f>IFERROR(__xludf.DUMMYFUNCTION("""COMPUTED_VALUE"""),0.0)</f>
        <v>0</v>
      </c>
      <c r="AI46" s="201">
        <f>IFERROR(__xludf.DUMMYFUNCTION("""COMPUTED_VALUE"""),0.0)</f>
        <v>0</v>
      </c>
      <c r="AJ46" s="201">
        <f>IFERROR(__xludf.DUMMYFUNCTION("""COMPUTED_VALUE"""),0.0)</f>
        <v>0</v>
      </c>
      <c r="AK46" s="125">
        <f>IFERROR(__xludf.DUMMYFUNCTION("""COMPUTED_VALUE"""),0.0)</f>
        <v>0</v>
      </c>
      <c r="AL46" s="201">
        <f>IFERROR(__xludf.DUMMYFUNCTION("""COMPUTED_VALUE"""),0.0)</f>
        <v>0</v>
      </c>
      <c r="AM46" s="201">
        <f>IFERROR(__xludf.DUMMYFUNCTION("""COMPUTED_VALUE"""),0.0)</f>
        <v>0</v>
      </c>
      <c r="AN46" s="201">
        <f>IFERROR(__xludf.DUMMYFUNCTION("""COMPUTED_VALUE"""),0.0)</f>
        <v>0</v>
      </c>
      <c r="AO46" s="125">
        <f>IFERROR(__xludf.DUMMYFUNCTION("""COMPUTED_VALUE"""),0.0)</f>
        <v>0</v>
      </c>
      <c r="AP46" s="201">
        <f>IFERROR(__xludf.DUMMYFUNCTION("""COMPUTED_VALUE"""),0.0)</f>
        <v>0</v>
      </c>
      <c r="AQ46" s="201">
        <f>IFERROR(__xludf.DUMMYFUNCTION("""COMPUTED_VALUE"""),0.0)</f>
        <v>0</v>
      </c>
      <c r="AR46" s="201">
        <f>IFERROR(__xludf.DUMMYFUNCTION("""COMPUTED_VALUE"""),0.0)</f>
        <v>0</v>
      </c>
      <c r="AS46" s="125">
        <f>IFERROR(__xludf.DUMMYFUNCTION("""COMPUTED_VALUE"""),0.0)</f>
        <v>0</v>
      </c>
      <c r="AT46" s="201">
        <f>IFERROR(__xludf.DUMMYFUNCTION("""COMPUTED_VALUE"""),0.0)</f>
        <v>0</v>
      </c>
      <c r="AU46" s="201">
        <f>IFERROR(__xludf.DUMMYFUNCTION("""COMPUTED_VALUE"""),0.0)</f>
        <v>0</v>
      </c>
      <c r="AV46" s="201">
        <f>IFERROR(__xludf.DUMMYFUNCTION("""COMPUTED_VALUE"""),0.0)</f>
        <v>0</v>
      </c>
      <c r="AW46" s="125">
        <f>IFERROR(__xludf.DUMMYFUNCTION("""COMPUTED_VALUE"""),0.0)</f>
        <v>0</v>
      </c>
      <c r="AX46" s="201">
        <f>IFERROR(__xludf.DUMMYFUNCTION("""COMPUTED_VALUE"""),0.0)</f>
        <v>0</v>
      </c>
      <c r="AY46" s="201">
        <f>IFERROR(__xludf.DUMMYFUNCTION("""COMPUTED_VALUE"""),0.0)</f>
        <v>0</v>
      </c>
      <c r="AZ46" s="202">
        <f>IFERROR(__xludf.DUMMYFUNCTION("""COMPUTED_VALUE"""),0.0)</f>
        <v>0</v>
      </c>
      <c r="BA46" s="195"/>
    </row>
    <row r="47" ht="15.75" customHeight="1">
      <c r="A47" s="29"/>
      <c r="B47" s="48" t="str">
        <f>IFERROR(__xludf.DUMMYFUNCTION("""COMPUTED_VALUE"""),"Chia ra:")</f>
        <v>Chia ra:</v>
      </c>
      <c r="C47" s="49"/>
      <c r="D47" s="3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50"/>
      <c r="BA47" s="195"/>
    </row>
    <row r="48" ht="15.75" customHeight="1">
      <c r="A48" s="29"/>
      <c r="B48" s="67" t="str">
        <f>IFERROR(__xludf.DUMMYFUNCTION("""COMPUTED_VALUE""")," + Chưa đạt chuẩn")</f>
        <v> + Chưa đạt chuẩn</v>
      </c>
      <c r="C48" s="31"/>
      <c r="D48" s="31" t="str">
        <f>IFERROR(__xludf.DUMMYFUNCTION("""COMPUTED_VALUE""")," Người")</f>
        <v> Người</v>
      </c>
      <c r="E48" s="41">
        <f>IFERROR(__xludf.DUMMYFUNCTION("""COMPUTED_VALUE"""),150.0)</f>
        <v>150</v>
      </c>
      <c r="F48" s="197">
        <f>IFERROR(__xludf.DUMMYFUNCTION("""COMPUTED_VALUE"""),73.0)</f>
        <v>73</v>
      </c>
      <c r="G48" s="197">
        <f>IFERROR(__xludf.DUMMYFUNCTION("""COMPUTED_VALUE"""),0.0)</f>
        <v>0</v>
      </c>
      <c r="H48" s="197">
        <f>IFERROR(__xludf.DUMMYFUNCTION("""COMPUTED_VALUE"""),77.0)</f>
        <v>77</v>
      </c>
      <c r="I48" s="41">
        <f>IFERROR(__xludf.DUMMYFUNCTION("""COMPUTED_VALUE"""),82.0)</f>
        <v>82</v>
      </c>
      <c r="J48" s="197">
        <f>IFERROR(__xludf.DUMMYFUNCTION("""COMPUTED_VALUE"""),72.0)</f>
        <v>72</v>
      </c>
      <c r="K48" s="197">
        <f>IFERROR(__xludf.DUMMYFUNCTION("""COMPUTED_VALUE"""),0.0)</f>
        <v>0</v>
      </c>
      <c r="L48" s="197">
        <f>IFERROR(__xludf.DUMMYFUNCTION("""COMPUTED_VALUE"""),10.0)</f>
        <v>10</v>
      </c>
      <c r="M48" s="41">
        <f>IFERROR(__xludf.DUMMYFUNCTION("""COMPUTED_VALUE"""),66.0)</f>
        <v>66</v>
      </c>
      <c r="N48" s="197">
        <f>IFERROR(__xludf.DUMMYFUNCTION("""COMPUTED_VALUE"""),62.0)</f>
        <v>62</v>
      </c>
      <c r="O48" s="197">
        <f>IFERROR(__xludf.DUMMYFUNCTION("""COMPUTED_VALUE"""),0.0)</f>
        <v>0</v>
      </c>
      <c r="P48" s="197">
        <f>IFERROR(__xludf.DUMMYFUNCTION("""COMPUTED_VALUE"""),4.0)</f>
        <v>4</v>
      </c>
      <c r="Q48" s="41">
        <f>IFERROR(__xludf.DUMMYFUNCTION("""COMPUTED_VALUE"""),44.0)</f>
        <v>44</v>
      </c>
      <c r="R48" s="197">
        <f>IFERROR(__xludf.DUMMYFUNCTION("""COMPUTED_VALUE"""),41.0)</f>
        <v>41</v>
      </c>
      <c r="S48" s="197">
        <f>IFERROR(__xludf.DUMMYFUNCTION("""COMPUTED_VALUE"""),0.0)</f>
        <v>0</v>
      </c>
      <c r="T48" s="197">
        <f>IFERROR(__xludf.DUMMYFUNCTION("""COMPUTED_VALUE"""),3.0)</f>
        <v>3</v>
      </c>
      <c r="U48" s="41">
        <f>IFERROR(__xludf.DUMMYFUNCTION("""COMPUTED_VALUE"""),44.0)</f>
        <v>44</v>
      </c>
      <c r="V48" s="197">
        <f>IFERROR(__xludf.DUMMYFUNCTION("""COMPUTED_VALUE"""),41.0)</f>
        <v>41</v>
      </c>
      <c r="W48" s="197">
        <f>IFERROR(__xludf.DUMMYFUNCTION("""COMPUTED_VALUE"""),0.0)</f>
        <v>0</v>
      </c>
      <c r="X48" s="197">
        <f>IFERROR(__xludf.DUMMYFUNCTION("""COMPUTED_VALUE"""),3.0)</f>
        <v>3</v>
      </c>
      <c r="Y48" s="41">
        <f>IFERROR(__xludf.DUMMYFUNCTION("""COMPUTED_VALUE"""),40.0)</f>
        <v>40</v>
      </c>
      <c r="Z48" s="197">
        <f>IFERROR(__xludf.DUMMYFUNCTION("""COMPUTED_VALUE"""),39.0)</f>
        <v>39</v>
      </c>
      <c r="AA48" s="197">
        <f>IFERROR(__xludf.DUMMYFUNCTION("""COMPUTED_VALUE"""),0.0)</f>
        <v>0</v>
      </c>
      <c r="AB48" s="197">
        <f>IFERROR(__xludf.DUMMYFUNCTION("""COMPUTED_VALUE"""),1.0)</f>
        <v>1</v>
      </c>
      <c r="AC48" s="41">
        <f>IFERROR(__xludf.DUMMYFUNCTION("""COMPUTED_VALUE"""),36.0)</f>
        <v>36</v>
      </c>
      <c r="AD48" s="197">
        <f>IFERROR(__xludf.DUMMYFUNCTION("""COMPUTED_VALUE"""),35.0)</f>
        <v>35</v>
      </c>
      <c r="AE48" s="197">
        <f>IFERROR(__xludf.DUMMYFUNCTION("""COMPUTED_VALUE"""),0.0)</f>
        <v>0</v>
      </c>
      <c r="AF48" s="197">
        <f>IFERROR(__xludf.DUMMYFUNCTION("""COMPUTED_VALUE"""),1.0)</f>
        <v>1</v>
      </c>
      <c r="AG48" s="41">
        <f>IFERROR(__xludf.DUMMYFUNCTION("""COMPUTED_VALUE"""),0.0)</f>
        <v>0</v>
      </c>
      <c r="AH48" s="197">
        <f>IFERROR(__xludf.DUMMYFUNCTION("""COMPUTED_VALUE"""),0.0)</f>
        <v>0</v>
      </c>
      <c r="AI48" s="197">
        <f>IFERROR(__xludf.DUMMYFUNCTION("""COMPUTED_VALUE"""),0.0)</f>
        <v>0</v>
      </c>
      <c r="AJ48" s="197">
        <f>IFERROR(__xludf.DUMMYFUNCTION("""COMPUTED_VALUE"""),0.0)</f>
        <v>0</v>
      </c>
      <c r="AK48" s="41">
        <f>IFERROR(__xludf.DUMMYFUNCTION("""COMPUTED_VALUE"""),0.0)</f>
        <v>0</v>
      </c>
      <c r="AL48" s="197">
        <f>IFERROR(__xludf.DUMMYFUNCTION("""COMPUTED_VALUE"""),0.0)</f>
        <v>0</v>
      </c>
      <c r="AM48" s="197">
        <f>IFERROR(__xludf.DUMMYFUNCTION("""COMPUTED_VALUE"""),0.0)</f>
        <v>0</v>
      </c>
      <c r="AN48" s="197">
        <f>IFERROR(__xludf.DUMMYFUNCTION("""COMPUTED_VALUE"""),0.0)</f>
        <v>0</v>
      </c>
      <c r="AO48" s="41">
        <f>IFERROR(__xludf.DUMMYFUNCTION("""COMPUTED_VALUE"""),0.0)</f>
        <v>0</v>
      </c>
      <c r="AP48" s="197">
        <f>IFERROR(__xludf.DUMMYFUNCTION("""COMPUTED_VALUE"""),0.0)</f>
        <v>0</v>
      </c>
      <c r="AQ48" s="197">
        <f>IFERROR(__xludf.DUMMYFUNCTION("""COMPUTED_VALUE"""),0.0)</f>
        <v>0</v>
      </c>
      <c r="AR48" s="197">
        <f>IFERROR(__xludf.DUMMYFUNCTION("""COMPUTED_VALUE"""),0.0)</f>
        <v>0</v>
      </c>
      <c r="AS48" s="41">
        <f>IFERROR(__xludf.DUMMYFUNCTION("""COMPUTED_VALUE"""),0.0)</f>
        <v>0</v>
      </c>
      <c r="AT48" s="197">
        <f>IFERROR(__xludf.DUMMYFUNCTION("""COMPUTED_VALUE"""),0.0)</f>
        <v>0</v>
      </c>
      <c r="AU48" s="197">
        <f>IFERROR(__xludf.DUMMYFUNCTION("""COMPUTED_VALUE"""),0.0)</f>
        <v>0</v>
      </c>
      <c r="AV48" s="197">
        <f>IFERROR(__xludf.DUMMYFUNCTION("""COMPUTED_VALUE"""),0.0)</f>
        <v>0</v>
      </c>
      <c r="AW48" s="41">
        <f>IFERROR(__xludf.DUMMYFUNCTION("""COMPUTED_VALUE"""),0.0)</f>
        <v>0</v>
      </c>
      <c r="AX48" s="197">
        <f>IFERROR(__xludf.DUMMYFUNCTION("""COMPUTED_VALUE"""),0.0)</f>
        <v>0</v>
      </c>
      <c r="AY48" s="197">
        <f>IFERROR(__xludf.DUMMYFUNCTION("""COMPUTED_VALUE"""),0.0)</f>
        <v>0</v>
      </c>
      <c r="AZ48" s="198">
        <f>IFERROR(__xludf.DUMMYFUNCTION("""COMPUTED_VALUE"""),0.0)</f>
        <v>0</v>
      </c>
      <c r="BA48" s="195"/>
    </row>
    <row r="49" ht="15.75" customHeight="1">
      <c r="A49" s="29"/>
      <c r="B49" s="67" t="str">
        <f>IFERROR(__xludf.DUMMYFUNCTION("""COMPUTED_VALUE""")," + Đạt chuẩn")</f>
        <v> + Đạt chuẩn</v>
      </c>
      <c r="C49" s="31"/>
      <c r="D49" s="31" t="str">
        <f>IFERROR(__xludf.DUMMYFUNCTION("""COMPUTED_VALUE"""),"""")</f>
        <v>"</v>
      </c>
      <c r="E49" s="41">
        <f>IFERROR(__xludf.DUMMYFUNCTION("""COMPUTED_VALUE"""),1107.0)</f>
        <v>1107</v>
      </c>
      <c r="F49" s="197">
        <f>IFERROR(__xludf.DUMMYFUNCTION("""COMPUTED_VALUE"""),924.0)</f>
        <v>924</v>
      </c>
      <c r="G49" s="197">
        <f>IFERROR(__xludf.DUMMYFUNCTION("""COMPUTED_VALUE"""),0.0)</f>
        <v>0</v>
      </c>
      <c r="H49" s="197">
        <f>IFERROR(__xludf.DUMMYFUNCTION("""COMPUTED_VALUE"""),183.0)</f>
        <v>183</v>
      </c>
      <c r="I49" s="41">
        <f>IFERROR(__xludf.DUMMYFUNCTION("""COMPUTED_VALUE"""),1084.0)</f>
        <v>1084</v>
      </c>
      <c r="J49" s="197">
        <f>IFERROR(__xludf.DUMMYFUNCTION("""COMPUTED_VALUE"""),1082.0)</f>
        <v>1082</v>
      </c>
      <c r="K49" s="197">
        <f>IFERROR(__xludf.DUMMYFUNCTION("""COMPUTED_VALUE"""),0.0)</f>
        <v>0</v>
      </c>
      <c r="L49" s="197">
        <f>IFERROR(__xludf.DUMMYFUNCTION("""COMPUTED_VALUE"""),2.0)</f>
        <v>2</v>
      </c>
      <c r="M49" s="41">
        <f>IFERROR(__xludf.DUMMYFUNCTION("""COMPUTED_VALUE"""),1017.0)</f>
        <v>1017</v>
      </c>
      <c r="N49" s="197">
        <f>IFERROR(__xludf.DUMMYFUNCTION("""COMPUTED_VALUE"""),1016.0)</f>
        <v>1016</v>
      </c>
      <c r="O49" s="197">
        <f>IFERROR(__xludf.DUMMYFUNCTION("""COMPUTED_VALUE"""),0.0)</f>
        <v>0</v>
      </c>
      <c r="P49" s="197">
        <f>IFERROR(__xludf.DUMMYFUNCTION("""COMPUTED_VALUE"""),1.0)</f>
        <v>1</v>
      </c>
      <c r="Q49" s="41">
        <f>IFERROR(__xludf.DUMMYFUNCTION("""COMPUTED_VALUE"""),999.0)</f>
        <v>999</v>
      </c>
      <c r="R49" s="197">
        <f>IFERROR(__xludf.DUMMYFUNCTION("""COMPUTED_VALUE"""),998.0)</f>
        <v>998</v>
      </c>
      <c r="S49" s="197">
        <f>IFERROR(__xludf.DUMMYFUNCTION("""COMPUTED_VALUE"""),0.0)</f>
        <v>0</v>
      </c>
      <c r="T49" s="197">
        <f>IFERROR(__xludf.DUMMYFUNCTION("""COMPUTED_VALUE"""),1.0)</f>
        <v>1</v>
      </c>
      <c r="U49" s="41">
        <f>IFERROR(__xludf.DUMMYFUNCTION("""COMPUTED_VALUE"""),1001.0)</f>
        <v>1001</v>
      </c>
      <c r="V49" s="197">
        <f>IFERROR(__xludf.DUMMYFUNCTION("""COMPUTED_VALUE"""),1000.0)</f>
        <v>1000</v>
      </c>
      <c r="W49" s="197">
        <f>IFERROR(__xludf.DUMMYFUNCTION("""COMPUTED_VALUE"""),0.0)</f>
        <v>0</v>
      </c>
      <c r="X49" s="197">
        <f>IFERROR(__xludf.DUMMYFUNCTION("""COMPUTED_VALUE"""),1.0)</f>
        <v>1</v>
      </c>
      <c r="Y49" s="41">
        <f>IFERROR(__xludf.DUMMYFUNCTION("""COMPUTED_VALUE"""),1014.0)</f>
        <v>1014</v>
      </c>
      <c r="Z49" s="197">
        <f>IFERROR(__xludf.DUMMYFUNCTION("""COMPUTED_VALUE"""),1008.0)</f>
        <v>1008</v>
      </c>
      <c r="AA49" s="197">
        <f>IFERROR(__xludf.DUMMYFUNCTION("""COMPUTED_VALUE"""),0.0)</f>
        <v>0</v>
      </c>
      <c r="AB49" s="197">
        <f>IFERROR(__xludf.DUMMYFUNCTION("""COMPUTED_VALUE"""),6.0)</f>
        <v>6</v>
      </c>
      <c r="AC49" s="41">
        <f>IFERROR(__xludf.DUMMYFUNCTION("""COMPUTED_VALUE"""),1009.0)</f>
        <v>1009</v>
      </c>
      <c r="AD49" s="197">
        <f>IFERROR(__xludf.DUMMYFUNCTION("""COMPUTED_VALUE"""),1008.0)</f>
        <v>1008</v>
      </c>
      <c r="AE49" s="197">
        <f>IFERROR(__xludf.DUMMYFUNCTION("""COMPUTED_VALUE"""),0.0)</f>
        <v>0</v>
      </c>
      <c r="AF49" s="197">
        <f>IFERROR(__xludf.DUMMYFUNCTION("""COMPUTED_VALUE"""),1.0)</f>
        <v>1</v>
      </c>
      <c r="AG49" s="41">
        <f>IFERROR(__xludf.DUMMYFUNCTION("""COMPUTED_VALUE"""),0.0)</f>
        <v>0</v>
      </c>
      <c r="AH49" s="197">
        <f>IFERROR(__xludf.DUMMYFUNCTION("""COMPUTED_VALUE"""),0.0)</f>
        <v>0</v>
      </c>
      <c r="AI49" s="197">
        <f>IFERROR(__xludf.DUMMYFUNCTION("""COMPUTED_VALUE"""),0.0)</f>
        <v>0</v>
      </c>
      <c r="AJ49" s="197">
        <f>IFERROR(__xludf.DUMMYFUNCTION("""COMPUTED_VALUE"""),0.0)</f>
        <v>0</v>
      </c>
      <c r="AK49" s="41">
        <f>IFERROR(__xludf.DUMMYFUNCTION("""COMPUTED_VALUE"""),0.0)</f>
        <v>0</v>
      </c>
      <c r="AL49" s="197">
        <f>IFERROR(__xludf.DUMMYFUNCTION("""COMPUTED_VALUE"""),0.0)</f>
        <v>0</v>
      </c>
      <c r="AM49" s="197">
        <f>IFERROR(__xludf.DUMMYFUNCTION("""COMPUTED_VALUE"""),0.0)</f>
        <v>0</v>
      </c>
      <c r="AN49" s="197">
        <f>IFERROR(__xludf.DUMMYFUNCTION("""COMPUTED_VALUE"""),0.0)</f>
        <v>0</v>
      </c>
      <c r="AO49" s="41">
        <f>IFERROR(__xludf.DUMMYFUNCTION("""COMPUTED_VALUE"""),0.0)</f>
        <v>0</v>
      </c>
      <c r="AP49" s="197">
        <f>IFERROR(__xludf.DUMMYFUNCTION("""COMPUTED_VALUE"""),0.0)</f>
        <v>0</v>
      </c>
      <c r="AQ49" s="197">
        <f>IFERROR(__xludf.DUMMYFUNCTION("""COMPUTED_VALUE"""),0.0)</f>
        <v>0</v>
      </c>
      <c r="AR49" s="197">
        <f>IFERROR(__xludf.DUMMYFUNCTION("""COMPUTED_VALUE"""),0.0)</f>
        <v>0</v>
      </c>
      <c r="AS49" s="41">
        <f>IFERROR(__xludf.DUMMYFUNCTION("""COMPUTED_VALUE"""),0.0)</f>
        <v>0</v>
      </c>
      <c r="AT49" s="197">
        <f>IFERROR(__xludf.DUMMYFUNCTION("""COMPUTED_VALUE"""),0.0)</f>
        <v>0</v>
      </c>
      <c r="AU49" s="197">
        <f>IFERROR(__xludf.DUMMYFUNCTION("""COMPUTED_VALUE"""),0.0)</f>
        <v>0</v>
      </c>
      <c r="AV49" s="197">
        <f>IFERROR(__xludf.DUMMYFUNCTION("""COMPUTED_VALUE"""),0.0)</f>
        <v>0</v>
      </c>
      <c r="AW49" s="41">
        <f>IFERROR(__xludf.DUMMYFUNCTION("""COMPUTED_VALUE"""),0.0)</f>
        <v>0</v>
      </c>
      <c r="AX49" s="197">
        <f>IFERROR(__xludf.DUMMYFUNCTION("""COMPUTED_VALUE"""),0.0)</f>
        <v>0</v>
      </c>
      <c r="AY49" s="197">
        <f>IFERROR(__xludf.DUMMYFUNCTION("""COMPUTED_VALUE"""),0.0)</f>
        <v>0</v>
      </c>
      <c r="AZ49" s="198">
        <f>IFERROR(__xludf.DUMMYFUNCTION("""COMPUTED_VALUE"""),0.0)</f>
        <v>0</v>
      </c>
      <c r="BA49" s="195"/>
    </row>
    <row r="50" ht="15.75" customHeight="1">
      <c r="A50" s="29"/>
      <c r="B50" s="67" t="str">
        <f>IFERROR(__xludf.DUMMYFUNCTION("""COMPUTED_VALUE""")," + Trên chuẩn")</f>
        <v> + Trên chuẩn</v>
      </c>
      <c r="C50" s="31"/>
      <c r="D50" s="31" t="str">
        <f>IFERROR(__xludf.DUMMYFUNCTION("""COMPUTED_VALUE"""),"""")</f>
        <v>"</v>
      </c>
      <c r="E50" s="41">
        <f>IFERROR(__xludf.DUMMYFUNCTION("""COMPUTED_VALUE"""),1719.0)</f>
        <v>1719</v>
      </c>
      <c r="F50" s="197">
        <f>IFERROR(__xludf.DUMMYFUNCTION("""COMPUTED_VALUE"""),1692.0)</f>
        <v>1692</v>
      </c>
      <c r="G50" s="197">
        <f>IFERROR(__xludf.DUMMYFUNCTION("""COMPUTED_VALUE"""),0.0)</f>
        <v>0</v>
      </c>
      <c r="H50" s="197">
        <f>IFERROR(__xludf.DUMMYFUNCTION("""COMPUTED_VALUE"""),27.0)</f>
        <v>27</v>
      </c>
      <c r="I50" s="41">
        <f>IFERROR(__xludf.DUMMYFUNCTION("""COMPUTED_VALUE"""),1696.0)</f>
        <v>1696</v>
      </c>
      <c r="J50" s="197">
        <f>IFERROR(__xludf.DUMMYFUNCTION("""COMPUTED_VALUE"""),1695.0)</f>
        <v>1695</v>
      </c>
      <c r="K50" s="197">
        <f>IFERROR(__xludf.DUMMYFUNCTION("""COMPUTED_VALUE"""),0.0)</f>
        <v>0</v>
      </c>
      <c r="L50" s="197">
        <f>IFERROR(__xludf.DUMMYFUNCTION("""COMPUTED_VALUE"""),1.0)</f>
        <v>1</v>
      </c>
      <c r="M50" s="41">
        <f>IFERROR(__xludf.DUMMYFUNCTION("""COMPUTED_VALUE"""),1715.0)</f>
        <v>1715</v>
      </c>
      <c r="N50" s="197">
        <f>IFERROR(__xludf.DUMMYFUNCTION("""COMPUTED_VALUE"""),1715.0)</f>
        <v>1715</v>
      </c>
      <c r="O50" s="197">
        <f>IFERROR(__xludf.DUMMYFUNCTION("""COMPUTED_VALUE"""),0.0)</f>
        <v>0</v>
      </c>
      <c r="P50" s="197">
        <f>IFERROR(__xludf.DUMMYFUNCTION("""COMPUTED_VALUE"""),0.0)</f>
        <v>0</v>
      </c>
      <c r="Q50" s="41">
        <f>IFERROR(__xludf.DUMMYFUNCTION("""COMPUTED_VALUE"""),1786.0)</f>
        <v>1786</v>
      </c>
      <c r="R50" s="197">
        <f>IFERROR(__xludf.DUMMYFUNCTION("""COMPUTED_VALUE"""),1785.0)</f>
        <v>1785</v>
      </c>
      <c r="S50" s="197">
        <f>IFERROR(__xludf.DUMMYFUNCTION("""COMPUTED_VALUE"""),0.0)</f>
        <v>0</v>
      </c>
      <c r="T50" s="197">
        <f>IFERROR(__xludf.DUMMYFUNCTION("""COMPUTED_VALUE"""),1.0)</f>
        <v>1</v>
      </c>
      <c r="U50" s="41">
        <f>IFERROR(__xludf.DUMMYFUNCTION("""COMPUTED_VALUE"""),1787.0)</f>
        <v>1787</v>
      </c>
      <c r="V50" s="197">
        <f>IFERROR(__xludf.DUMMYFUNCTION("""COMPUTED_VALUE"""),1786.0)</f>
        <v>1786</v>
      </c>
      <c r="W50" s="197">
        <f>IFERROR(__xludf.DUMMYFUNCTION("""COMPUTED_VALUE"""),0.0)</f>
        <v>0</v>
      </c>
      <c r="X50" s="197">
        <f>IFERROR(__xludf.DUMMYFUNCTION("""COMPUTED_VALUE"""),1.0)</f>
        <v>1</v>
      </c>
      <c r="Y50" s="41">
        <f>IFERROR(__xludf.DUMMYFUNCTION("""COMPUTED_VALUE"""),1812.0)</f>
        <v>1812</v>
      </c>
      <c r="Z50" s="197">
        <f>IFERROR(__xludf.DUMMYFUNCTION("""COMPUTED_VALUE"""),1811.0)</f>
        <v>1811</v>
      </c>
      <c r="AA50" s="197">
        <f>IFERROR(__xludf.DUMMYFUNCTION("""COMPUTED_VALUE"""),0.0)</f>
        <v>0</v>
      </c>
      <c r="AB50" s="197">
        <f>IFERROR(__xludf.DUMMYFUNCTION("""COMPUTED_VALUE"""),1.0)</f>
        <v>1</v>
      </c>
      <c r="AC50" s="41">
        <f>IFERROR(__xludf.DUMMYFUNCTION("""COMPUTED_VALUE"""),1811.0)</f>
        <v>1811</v>
      </c>
      <c r="AD50" s="197">
        <f>IFERROR(__xludf.DUMMYFUNCTION("""COMPUTED_VALUE"""),1810.0)</f>
        <v>1810</v>
      </c>
      <c r="AE50" s="197">
        <f>IFERROR(__xludf.DUMMYFUNCTION("""COMPUTED_VALUE"""),0.0)</f>
        <v>0</v>
      </c>
      <c r="AF50" s="197">
        <f>IFERROR(__xludf.DUMMYFUNCTION("""COMPUTED_VALUE"""),1.0)</f>
        <v>1</v>
      </c>
      <c r="AG50" s="41">
        <f>IFERROR(__xludf.DUMMYFUNCTION("""COMPUTED_VALUE"""),0.0)</f>
        <v>0</v>
      </c>
      <c r="AH50" s="197">
        <f>IFERROR(__xludf.DUMMYFUNCTION("""COMPUTED_VALUE"""),0.0)</f>
        <v>0</v>
      </c>
      <c r="AI50" s="197">
        <f>IFERROR(__xludf.DUMMYFUNCTION("""COMPUTED_VALUE"""),0.0)</f>
        <v>0</v>
      </c>
      <c r="AJ50" s="197">
        <f>IFERROR(__xludf.DUMMYFUNCTION("""COMPUTED_VALUE"""),0.0)</f>
        <v>0</v>
      </c>
      <c r="AK50" s="41">
        <f>IFERROR(__xludf.DUMMYFUNCTION("""COMPUTED_VALUE"""),0.0)</f>
        <v>0</v>
      </c>
      <c r="AL50" s="197">
        <f>IFERROR(__xludf.DUMMYFUNCTION("""COMPUTED_VALUE"""),0.0)</f>
        <v>0</v>
      </c>
      <c r="AM50" s="197">
        <f>IFERROR(__xludf.DUMMYFUNCTION("""COMPUTED_VALUE"""),0.0)</f>
        <v>0</v>
      </c>
      <c r="AN50" s="197">
        <f>IFERROR(__xludf.DUMMYFUNCTION("""COMPUTED_VALUE"""),0.0)</f>
        <v>0</v>
      </c>
      <c r="AO50" s="41">
        <f>IFERROR(__xludf.DUMMYFUNCTION("""COMPUTED_VALUE"""),0.0)</f>
        <v>0</v>
      </c>
      <c r="AP50" s="197">
        <f>IFERROR(__xludf.DUMMYFUNCTION("""COMPUTED_VALUE"""),0.0)</f>
        <v>0</v>
      </c>
      <c r="AQ50" s="197">
        <f>IFERROR(__xludf.DUMMYFUNCTION("""COMPUTED_VALUE"""),0.0)</f>
        <v>0</v>
      </c>
      <c r="AR50" s="197">
        <f>IFERROR(__xludf.DUMMYFUNCTION("""COMPUTED_VALUE"""),0.0)</f>
        <v>0</v>
      </c>
      <c r="AS50" s="41">
        <f>IFERROR(__xludf.DUMMYFUNCTION("""COMPUTED_VALUE"""),0.0)</f>
        <v>0</v>
      </c>
      <c r="AT50" s="197">
        <f>IFERROR(__xludf.DUMMYFUNCTION("""COMPUTED_VALUE"""),0.0)</f>
        <v>0</v>
      </c>
      <c r="AU50" s="197">
        <f>IFERROR(__xludf.DUMMYFUNCTION("""COMPUTED_VALUE"""),0.0)</f>
        <v>0</v>
      </c>
      <c r="AV50" s="197">
        <f>IFERROR(__xludf.DUMMYFUNCTION("""COMPUTED_VALUE"""),0.0)</f>
        <v>0</v>
      </c>
      <c r="AW50" s="41">
        <f>IFERROR(__xludf.DUMMYFUNCTION("""COMPUTED_VALUE"""),0.0)</f>
        <v>0</v>
      </c>
      <c r="AX50" s="197">
        <f>IFERROR(__xludf.DUMMYFUNCTION("""COMPUTED_VALUE"""),0.0)</f>
        <v>0</v>
      </c>
      <c r="AY50" s="197">
        <f>IFERROR(__xludf.DUMMYFUNCTION("""COMPUTED_VALUE"""),0.0)</f>
        <v>0</v>
      </c>
      <c r="AZ50" s="198">
        <f>IFERROR(__xludf.DUMMYFUNCTION("""COMPUTED_VALUE"""),0.0)</f>
        <v>0</v>
      </c>
      <c r="BA50" s="195"/>
    </row>
    <row r="51" ht="15.75" customHeight="1">
      <c r="A51" s="29"/>
      <c r="B51" s="196" t="str">
        <f>IFERROR(__xludf.DUMMYFUNCTION("""COMPUTED_VALUE"""),"5.3. Tổng số giáo viên hợp đồng")</f>
        <v>5.3. Tổng số giáo viên hợp đồng</v>
      </c>
      <c r="C51" s="57"/>
      <c r="D51" s="57" t="str">
        <f>IFERROR(__xludf.DUMMYFUNCTION("""COMPUTED_VALUE""")," Người")</f>
        <v> Người</v>
      </c>
      <c r="E51" s="125">
        <f>IFERROR(__xludf.DUMMYFUNCTION("""COMPUTED_VALUE"""),496.0)</f>
        <v>496</v>
      </c>
      <c r="F51" s="201">
        <f>IFERROR(__xludf.DUMMYFUNCTION("""COMPUTED_VALUE"""),141.0)</f>
        <v>141</v>
      </c>
      <c r="G51" s="201">
        <f>IFERROR(__xludf.DUMMYFUNCTION("""COMPUTED_VALUE"""),37.0)</f>
        <v>37</v>
      </c>
      <c r="H51" s="201">
        <f>IFERROR(__xludf.DUMMYFUNCTION("""COMPUTED_VALUE"""),318.0)</f>
        <v>318</v>
      </c>
      <c r="I51" s="125">
        <f>IFERROR(__xludf.DUMMYFUNCTION("""COMPUTED_VALUE"""),514.0)</f>
        <v>514</v>
      </c>
      <c r="J51" s="201">
        <f>IFERROR(__xludf.DUMMYFUNCTION("""COMPUTED_VALUE"""),153.0)</f>
        <v>153</v>
      </c>
      <c r="K51" s="201">
        <f>IFERROR(__xludf.DUMMYFUNCTION("""COMPUTED_VALUE"""),37.0)</f>
        <v>37</v>
      </c>
      <c r="L51" s="201">
        <f>IFERROR(__xludf.DUMMYFUNCTION("""COMPUTED_VALUE"""),324.0)</f>
        <v>324</v>
      </c>
      <c r="M51" s="125">
        <f>IFERROR(__xludf.DUMMYFUNCTION("""COMPUTED_VALUE"""),479.0)</f>
        <v>479</v>
      </c>
      <c r="N51" s="201">
        <f>IFERROR(__xludf.DUMMYFUNCTION("""COMPUTED_VALUE"""),123.0)</f>
        <v>123</v>
      </c>
      <c r="O51" s="201">
        <f>IFERROR(__xludf.DUMMYFUNCTION("""COMPUTED_VALUE"""),37.0)</f>
        <v>37</v>
      </c>
      <c r="P51" s="201">
        <f>IFERROR(__xludf.DUMMYFUNCTION("""COMPUTED_VALUE"""),319.0)</f>
        <v>319</v>
      </c>
      <c r="Q51" s="125">
        <f>IFERROR(__xludf.DUMMYFUNCTION("""COMPUTED_VALUE"""),478.0)</f>
        <v>478</v>
      </c>
      <c r="R51" s="201">
        <f>IFERROR(__xludf.DUMMYFUNCTION("""COMPUTED_VALUE"""),125.0)</f>
        <v>125</v>
      </c>
      <c r="S51" s="201">
        <f>IFERROR(__xludf.DUMMYFUNCTION("""COMPUTED_VALUE"""),37.0)</f>
        <v>37</v>
      </c>
      <c r="T51" s="201">
        <f>IFERROR(__xludf.DUMMYFUNCTION("""COMPUTED_VALUE"""),316.0)</f>
        <v>316</v>
      </c>
      <c r="U51" s="125">
        <f>IFERROR(__xludf.DUMMYFUNCTION("""COMPUTED_VALUE"""),478.0)</f>
        <v>478</v>
      </c>
      <c r="V51" s="201">
        <f>IFERROR(__xludf.DUMMYFUNCTION("""COMPUTED_VALUE"""),125.0)</f>
        <v>125</v>
      </c>
      <c r="W51" s="201">
        <f>IFERROR(__xludf.DUMMYFUNCTION("""COMPUTED_VALUE"""),37.0)</f>
        <v>37</v>
      </c>
      <c r="X51" s="201">
        <f>IFERROR(__xludf.DUMMYFUNCTION("""COMPUTED_VALUE"""),316.0)</f>
        <v>316</v>
      </c>
      <c r="Y51" s="125">
        <f>IFERROR(__xludf.DUMMYFUNCTION("""COMPUTED_VALUE"""),493.0)</f>
        <v>493</v>
      </c>
      <c r="Z51" s="201">
        <f>IFERROR(__xludf.DUMMYFUNCTION("""COMPUTED_VALUE"""),134.0)</f>
        <v>134</v>
      </c>
      <c r="AA51" s="201">
        <f>IFERROR(__xludf.DUMMYFUNCTION("""COMPUTED_VALUE"""),37.0)</f>
        <v>37</v>
      </c>
      <c r="AB51" s="201">
        <f>IFERROR(__xludf.DUMMYFUNCTION("""COMPUTED_VALUE"""),322.0)</f>
        <v>322</v>
      </c>
      <c r="AC51" s="125">
        <f>IFERROR(__xludf.DUMMYFUNCTION("""COMPUTED_VALUE"""),493.0)</f>
        <v>493</v>
      </c>
      <c r="AD51" s="201">
        <f>IFERROR(__xludf.DUMMYFUNCTION("""COMPUTED_VALUE"""),134.0)</f>
        <v>134</v>
      </c>
      <c r="AE51" s="201">
        <f>IFERROR(__xludf.DUMMYFUNCTION("""COMPUTED_VALUE"""),37.0)</f>
        <v>37</v>
      </c>
      <c r="AF51" s="201">
        <f>IFERROR(__xludf.DUMMYFUNCTION("""COMPUTED_VALUE"""),322.0)</f>
        <v>322</v>
      </c>
      <c r="AG51" s="125">
        <f>IFERROR(__xludf.DUMMYFUNCTION("""COMPUTED_VALUE"""),0.0)</f>
        <v>0</v>
      </c>
      <c r="AH51" s="201">
        <f>IFERROR(__xludf.DUMMYFUNCTION("""COMPUTED_VALUE"""),0.0)</f>
        <v>0</v>
      </c>
      <c r="AI51" s="201">
        <f>IFERROR(__xludf.DUMMYFUNCTION("""COMPUTED_VALUE"""),0.0)</f>
        <v>0</v>
      </c>
      <c r="AJ51" s="201">
        <f>IFERROR(__xludf.DUMMYFUNCTION("""COMPUTED_VALUE"""),0.0)</f>
        <v>0</v>
      </c>
      <c r="AK51" s="125">
        <f>IFERROR(__xludf.DUMMYFUNCTION("""COMPUTED_VALUE"""),0.0)</f>
        <v>0</v>
      </c>
      <c r="AL51" s="201">
        <f>IFERROR(__xludf.DUMMYFUNCTION("""COMPUTED_VALUE"""),0.0)</f>
        <v>0</v>
      </c>
      <c r="AM51" s="201">
        <f>IFERROR(__xludf.DUMMYFUNCTION("""COMPUTED_VALUE"""),0.0)</f>
        <v>0</v>
      </c>
      <c r="AN51" s="201">
        <f>IFERROR(__xludf.DUMMYFUNCTION("""COMPUTED_VALUE"""),0.0)</f>
        <v>0</v>
      </c>
      <c r="AO51" s="125">
        <f>IFERROR(__xludf.DUMMYFUNCTION("""COMPUTED_VALUE"""),0.0)</f>
        <v>0</v>
      </c>
      <c r="AP51" s="201">
        <f>IFERROR(__xludf.DUMMYFUNCTION("""COMPUTED_VALUE"""),0.0)</f>
        <v>0</v>
      </c>
      <c r="AQ51" s="201">
        <f>IFERROR(__xludf.DUMMYFUNCTION("""COMPUTED_VALUE"""),0.0)</f>
        <v>0</v>
      </c>
      <c r="AR51" s="201">
        <f>IFERROR(__xludf.DUMMYFUNCTION("""COMPUTED_VALUE"""),0.0)</f>
        <v>0</v>
      </c>
      <c r="AS51" s="125">
        <f>IFERROR(__xludf.DUMMYFUNCTION("""COMPUTED_VALUE"""),0.0)</f>
        <v>0</v>
      </c>
      <c r="AT51" s="201">
        <f>IFERROR(__xludf.DUMMYFUNCTION("""COMPUTED_VALUE"""),0.0)</f>
        <v>0</v>
      </c>
      <c r="AU51" s="201">
        <f>IFERROR(__xludf.DUMMYFUNCTION("""COMPUTED_VALUE"""),0.0)</f>
        <v>0</v>
      </c>
      <c r="AV51" s="201">
        <f>IFERROR(__xludf.DUMMYFUNCTION("""COMPUTED_VALUE"""),0.0)</f>
        <v>0</v>
      </c>
      <c r="AW51" s="125">
        <f>IFERROR(__xludf.DUMMYFUNCTION("""COMPUTED_VALUE"""),0.0)</f>
        <v>0</v>
      </c>
      <c r="AX51" s="201">
        <f>IFERROR(__xludf.DUMMYFUNCTION("""COMPUTED_VALUE"""),0.0)</f>
        <v>0</v>
      </c>
      <c r="AY51" s="201">
        <f>IFERROR(__xludf.DUMMYFUNCTION("""COMPUTED_VALUE"""),0.0)</f>
        <v>0</v>
      </c>
      <c r="AZ51" s="202">
        <f>IFERROR(__xludf.DUMMYFUNCTION("""COMPUTED_VALUE"""),0.0)</f>
        <v>0</v>
      </c>
      <c r="BA51" s="195"/>
    </row>
    <row r="52" ht="15.75" customHeight="1">
      <c r="A52" s="29"/>
      <c r="B52" s="196" t="str">
        <f>IFERROR(__xludf.DUMMYFUNCTION("""COMPUTED_VALUE"""),"5.4. Tổng số nhân viên")</f>
        <v>5.4. Tổng số nhân viên</v>
      </c>
      <c r="C52" s="57"/>
      <c r="D52" s="57" t="str">
        <f>IFERROR(__xludf.DUMMYFUNCTION("""COMPUTED_VALUE""")," Người")</f>
        <v> Người</v>
      </c>
      <c r="E52" s="125">
        <f>IFERROR(__xludf.DUMMYFUNCTION("""COMPUTED_VALUE"""),837.0)</f>
        <v>837</v>
      </c>
      <c r="F52" s="201">
        <f>IFERROR(__xludf.DUMMYFUNCTION("""COMPUTED_VALUE"""),680.0)</f>
        <v>680</v>
      </c>
      <c r="G52" s="201">
        <f>IFERROR(__xludf.DUMMYFUNCTION("""COMPUTED_VALUE"""),20.0)</f>
        <v>20</v>
      </c>
      <c r="H52" s="201">
        <f>IFERROR(__xludf.DUMMYFUNCTION("""COMPUTED_VALUE"""),137.0)</f>
        <v>137</v>
      </c>
      <c r="I52" s="125">
        <f>IFERROR(__xludf.DUMMYFUNCTION("""COMPUTED_VALUE"""),845.0)</f>
        <v>845</v>
      </c>
      <c r="J52" s="201">
        <f>IFERROR(__xludf.DUMMYFUNCTION("""COMPUTED_VALUE"""),692.0)</f>
        <v>692</v>
      </c>
      <c r="K52" s="201">
        <f>IFERROR(__xludf.DUMMYFUNCTION("""COMPUTED_VALUE"""),19.0)</f>
        <v>19</v>
      </c>
      <c r="L52" s="201">
        <f>IFERROR(__xludf.DUMMYFUNCTION("""COMPUTED_VALUE"""),134.0)</f>
        <v>134</v>
      </c>
      <c r="M52" s="125">
        <f>IFERROR(__xludf.DUMMYFUNCTION("""COMPUTED_VALUE"""),853.0)</f>
        <v>853</v>
      </c>
      <c r="N52" s="201">
        <f>IFERROR(__xludf.DUMMYFUNCTION("""COMPUTED_VALUE"""),691.0)</f>
        <v>691</v>
      </c>
      <c r="O52" s="201">
        <f>IFERROR(__xludf.DUMMYFUNCTION("""COMPUTED_VALUE"""),19.0)</f>
        <v>19</v>
      </c>
      <c r="P52" s="201">
        <f>IFERROR(__xludf.DUMMYFUNCTION("""COMPUTED_VALUE"""),143.0)</f>
        <v>143</v>
      </c>
      <c r="Q52" s="125">
        <f>IFERROR(__xludf.DUMMYFUNCTION("""COMPUTED_VALUE"""),852.0)</f>
        <v>852</v>
      </c>
      <c r="R52" s="201">
        <f>IFERROR(__xludf.DUMMYFUNCTION("""COMPUTED_VALUE"""),691.0)</f>
        <v>691</v>
      </c>
      <c r="S52" s="201">
        <f>IFERROR(__xludf.DUMMYFUNCTION("""COMPUTED_VALUE"""),19.0)</f>
        <v>19</v>
      </c>
      <c r="T52" s="201">
        <f>IFERROR(__xludf.DUMMYFUNCTION("""COMPUTED_VALUE"""),142.0)</f>
        <v>142</v>
      </c>
      <c r="U52" s="125">
        <f>IFERROR(__xludf.DUMMYFUNCTION("""COMPUTED_VALUE"""),852.0)</f>
        <v>852</v>
      </c>
      <c r="V52" s="201">
        <f>IFERROR(__xludf.DUMMYFUNCTION("""COMPUTED_VALUE"""),691.0)</f>
        <v>691</v>
      </c>
      <c r="W52" s="201">
        <f>IFERROR(__xludf.DUMMYFUNCTION("""COMPUTED_VALUE"""),19.0)</f>
        <v>19</v>
      </c>
      <c r="X52" s="201">
        <f>IFERROR(__xludf.DUMMYFUNCTION("""COMPUTED_VALUE"""),142.0)</f>
        <v>142</v>
      </c>
      <c r="Y52" s="125">
        <f>IFERROR(__xludf.DUMMYFUNCTION("""COMPUTED_VALUE"""),861.0)</f>
        <v>861</v>
      </c>
      <c r="Z52" s="201">
        <f>IFERROR(__xludf.DUMMYFUNCTION("""COMPUTED_VALUE"""),698.0)</f>
        <v>698</v>
      </c>
      <c r="AA52" s="201">
        <f>IFERROR(__xludf.DUMMYFUNCTION("""COMPUTED_VALUE"""),19.0)</f>
        <v>19</v>
      </c>
      <c r="AB52" s="201">
        <f>IFERROR(__xludf.DUMMYFUNCTION("""COMPUTED_VALUE"""),144.0)</f>
        <v>144</v>
      </c>
      <c r="AC52" s="125">
        <f>IFERROR(__xludf.DUMMYFUNCTION("""COMPUTED_VALUE"""),861.0)</f>
        <v>861</v>
      </c>
      <c r="AD52" s="201">
        <f>IFERROR(__xludf.DUMMYFUNCTION("""COMPUTED_VALUE"""),698.0)</f>
        <v>698</v>
      </c>
      <c r="AE52" s="201">
        <f>IFERROR(__xludf.DUMMYFUNCTION("""COMPUTED_VALUE"""),19.0)</f>
        <v>19</v>
      </c>
      <c r="AF52" s="201">
        <f>IFERROR(__xludf.DUMMYFUNCTION("""COMPUTED_VALUE"""),144.0)</f>
        <v>144</v>
      </c>
      <c r="AG52" s="125">
        <f>IFERROR(__xludf.DUMMYFUNCTION("""COMPUTED_VALUE"""),0.0)</f>
        <v>0</v>
      </c>
      <c r="AH52" s="201">
        <f>IFERROR(__xludf.DUMMYFUNCTION("""COMPUTED_VALUE"""),0.0)</f>
        <v>0</v>
      </c>
      <c r="AI52" s="201">
        <f>IFERROR(__xludf.DUMMYFUNCTION("""COMPUTED_VALUE"""),0.0)</f>
        <v>0</v>
      </c>
      <c r="AJ52" s="201">
        <f>IFERROR(__xludf.DUMMYFUNCTION("""COMPUTED_VALUE"""),0.0)</f>
        <v>0</v>
      </c>
      <c r="AK52" s="125">
        <f>IFERROR(__xludf.DUMMYFUNCTION("""COMPUTED_VALUE"""),0.0)</f>
        <v>0</v>
      </c>
      <c r="AL52" s="201">
        <f>IFERROR(__xludf.DUMMYFUNCTION("""COMPUTED_VALUE"""),0.0)</f>
        <v>0</v>
      </c>
      <c r="AM52" s="201">
        <f>IFERROR(__xludf.DUMMYFUNCTION("""COMPUTED_VALUE"""),0.0)</f>
        <v>0</v>
      </c>
      <c r="AN52" s="201">
        <f>IFERROR(__xludf.DUMMYFUNCTION("""COMPUTED_VALUE"""),0.0)</f>
        <v>0</v>
      </c>
      <c r="AO52" s="125">
        <f>IFERROR(__xludf.DUMMYFUNCTION("""COMPUTED_VALUE"""),0.0)</f>
        <v>0</v>
      </c>
      <c r="AP52" s="201">
        <f>IFERROR(__xludf.DUMMYFUNCTION("""COMPUTED_VALUE"""),0.0)</f>
        <v>0</v>
      </c>
      <c r="AQ52" s="201">
        <f>IFERROR(__xludf.DUMMYFUNCTION("""COMPUTED_VALUE"""),0.0)</f>
        <v>0</v>
      </c>
      <c r="AR52" s="201">
        <f>IFERROR(__xludf.DUMMYFUNCTION("""COMPUTED_VALUE"""),0.0)</f>
        <v>0</v>
      </c>
      <c r="AS52" s="125">
        <f>IFERROR(__xludf.DUMMYFUNCTION("""COMPUTED_VALUE"""),0.0)</f>
        <v>0</v>
      </c>
      <c r="AT52" s="201">
        <f>IFERROR(__xludf.DUMMYFUNCTION("""COMPUTED_VALUE"""),0.0)</f>
        <v>0</v>
      </c>
      <c r="AU52" s="201">
        <f>IFERROR(__xludf.DUMMYFUNCTION("""COMPUTED_VALUE"""),0.0)</f>
        <v>0</v>
      </c>
      <c r="AV52" s="201">
        <f>IFERROR(__xludf.DUMMYFUNCTION("""COMPUTED_VALUE"""),0.0)</f>
        <v>0</v>
      </c>
      <c r="AW52" s="125">
        <f>IFERROR(__xludf.DUMMYFUNCTION("""COMPUTED_VALUE"""),0.0)</f>
        <v>0</v>
      </c>
      <c r="AX52" s="201">
        <f>IFERROR(__xludf.DUMMYFUNCTION("""COMPUTED_VALUE"""),0.0)</f>
        <v>0</v>
      </c>
      <c r="AY52" s="201">
        <f>IFERROR(__xludf.DUMMYFUNCTION("""COMPUTED_VALUE"""),0.0)</f>
        <v>0</v>
      </c>
      <c r="AZ52" s="202">
        <f>IFERROR(__xludf.DUMMYFUNCTION("""COMPUTED_VALUE"""),0.0)</f>
        <v>0</v>
      </c>
      <c r="BA52" s="195"/>
    </row>
    <row r="53" ht="15.75" customHeight="1">
      <c r="A53" s="29"/>
      <c r="B53" s="30" t="str">
        <f>IFERROR(__xludf.DUMMYFUNCTION("""COMPUTED_VALUE"""),"6. PHÒNG HỌC")</f>
        <v>6. PHÒNG HỌC</v>
      </c>
      <c r="C53" s="31" t="str">
        <f>IFERROR(__xludf.DUMMYFUNCTION("""COMPUTED_VALUE"""),"Quí")</f>
        <v>Quí</v>
      </c>
      <c r="D53" s="31" t="str">
        <f>IFERROR(__xludf.DUMMYFUNCTION("""COMPUTED_VALUE"""),"Phòng")</f>
        <v>Phòng</v>
      </c>
      <c r="E53" s="32">
        <f>IFERROR(__xludf.DUMMYFUNCTION("""COMPUTED_VALUE"""),1771.0)</f>
        <v>1771</v>
      </c>
      <c r="F53" s="32">
        <f>IFERROR(__xludf.DUMMYFUNCTION("""COMPUTED_VALUE"""),1657.0)</f>
        <v>1657</v>
      </c>
      <c r="G53" s="32">
        <f>IFERROR(__xludf.DUMMYFUNCTION("""COMPUTED_VALUE"""),25.0)</f>
        <v>25</v>
      </c>
      <c r="H53" s="32">
        <f>IFERROR(__xludf.DUMMYFUNCTION("""COMPUTED_VALUE"""),89.0)</f>
        <v>89</v>
      </c>
      <c r="I53" s="32">
        <f>IFERROR(__xludf.DUMMYFUNCTION("""COMPUTED_VALUE"""),1862.0)</f>
        <v>1862</v>
      </c>
      <c r="J53" s="32">
        <f>IFERROR(__xludf.DUMMYFUNCTION("""COMPUTED_VALUE"""),1656.0)</f>
        <v>1656</v>
      </c>
      <c r="K53" s="32">
        <f>IFERROR(__xludf.DUMMYFUNCTION("""COMPUTED_VALUE"""),25.0)</f>
        <v>25</v>
      </c>
      <c r="L53" s="32">
        <f>IFERROR(__xludf.DUMMYFUNCTION("""COMPUTED_VALUE"""),181.0)</f>
        <v>181</v>
      </c>
      <c r="M53" s="32">
        <f>IFERROR(__xludf.DUMMYFUNCTION("""COMPUTED_VALUE"""),1862.0)</f>
        <v>1862</v>
      </c>
      <c r="N53" s="32">
        <f>IFERROR(__xludf.DUMMYFUNCTION("""COMPUTED_VALUE"""),1656.0)</f>
        <v>1656</v>
      </c>
      <c r="O53" s="32">
        <f>IFERROR(__xludf.DUMMYFUNCTION("""COMPUTED_VALUE"""),25.0)</f>
        <v>25</v>
      </c>
      <c r="P53" s="32">
        <f>IFERROR(__xludf.DUMMYFUNCTION("""COMPUTED_VALUE"""),181.0)</f>
        <v>181</v>
      </c>
      <c r="Q53" s="32">
        <f>IFERROR(__xludf.DUMMYFUNCTION("""COMPUTED_VALUE"""),1853.0)</f>
        <v>1853</v>
      </c>
      <c r="R53" s="32">
        <f>IFERROR(__xludf.DUMMYFUNCTION("""COMPUTED_VALUE"""),1647.0)</f>
        <v>1647</v>
      </c>
      <c r="S53" s="32">
        <f>IFERROR(__xludf.DUMMYFUNCTION("""COMPUTED_VALUE"""),25.0)</f>
        <v>25</v>
      </c>
      <c r="T53" s="32">
        <f>IFERROR(__xludf.DUMMYFUNCTION("""COMPUTED_VALUE"""),181.0)</f>
        <v>181</v>
      </c>
      <c r="U53" s="32">
        <f>IFERROR(__xludf.DUMMYFUNCTION("""COMPUTED_VALUE"""),1853.0)</f>
        <v>1853</v>
      </c>
      <c r="V53" s="32">
        <f>IFERROR(__xludf.DUMMYFUNCTION("""COMPUTED_VALUE"""),1647.0)</f>
        <v>1647</v>
      </c>
      <c r="W53" s="32">
        <f>IFERROR(__xludf.DUMMYFUNCTION("""COMPUTED_VALUE"""),25.0)</f>
        <v>25</v>
      </c>
      <c r="X53" s="32">
        <f>IFERROR(__xludf.DUMMYFUNCTION("""COMPUTED_VALUE"""),181.0)</f>
        <v>181</v>
      </c>
      <c r="Y53" s="32">
        <f>IFERROR(__xludf.DUMMYFUNCTION("""COMPUTED_VALUE"""),1860.0)</f>
        <v>1860</v>
      </c>
      <c r="Z53" s="32">
        <f>IFERROR(__xludf.DUMMYFUNCTION("""COMPUTED_VALUE"""),1654.0)</f>
        <v>1654</v>
      </c>
      <c r="AA53" s="32">
        <f>IFERROR(__xludf.DUMMYFUNCTION("""COMPUTED_VALUE"""),25.0)</f>
        <v>25</v>
      </c>
      <c r="AB53" s="32">
        <f>IFERROR(__xludf.DUMMYFUNCTION("""COMPUTED_VALUE"""),181.0)</f>
        <v>181</v>
      </c>
      <c r="AC53" s="32">
        <f>IFERROR(__xludf.DUMMYFUNCTION("""COMPUTED_VALUE"""),1858.0)</f>
        <v>1858</v>
      </c>
      <c r="AD53" s="32">
        <f>IFERROR(__xludf.DUMMYFUNCTION("""COMPUTED_VALUE"""),1654.0)</f>
        <v>1654</v>
      </c>
      <c r="AE53" s="32">
        <f>IFERROR(__xludf.DUMMYFUNCTION("""COMPUTED_VALUE"""),23.0)</f>
        <v>23</v>
      </c>
      <c r="AF53" s="32">
        <f>IFERROR(__xludf.DUMMYFUNCTION("""COMPUTED_VALUE"""),181.0)</f>
        <v>181</v>
      </c>
      <c r="AG53" s="32">
        <f>IFERROR(__xludf.DUMMYFUNCTION("""COMPUTED_VALUE"""),0.0)</f>
        <v>0</v>
      </c>
      <c r="AH53" s="32">
        <f>IFERROR(__xludf.DUMMYFUNCTION("""COMPUTED_VALUE"""),0.0)</f>
        <v>0</v>
      </c>
      <c r="AI53" s="32">
        <f>IFERROR(__xludf.DUMMYFUNCTION("""COMPUTED_VALUE"""),0.0)</f>
        <v>0</v>
      </c>
      <c r="AJ53" s="32">
        <f>IFERROR(__xludf.DUMMYFUNCTION("""COMPUTED_VALUE"""),0.0)</f>
        <v>0</v>
      </c>
      <c r="AK53" s="32">
        <f>IFERROR(__xludf.DUMMYFUNCTION("""COMPUTED_VALUE"""),0.0)</f>
        <v>0</v>
      </c>
      <c r="AL53" s="32">
        <f>IFERROR(__xludf.DUMMYFUNCTION("""COMPUTED_VALUE"""),0.0)</f>
        <v>0</v>
      </c>
      <c r="AM53" s="32">
        <f>IFERROR(__xludf.DUMMYFUNCTION("""COMPUTED_VALUE"""),0.0)</f>
        <v>0</v>
      </c>
      <c r="AN53" s="32">
        <f>IFERROR(__xludf.DUMMYFUNCTION("""COMPUTED_VALUE"""),0.0)</f>
        <v>0</v>
      </c>
      <c r="AO53" s="32">
        <f>IFERROR(__xludf.DUMMYFUNCTION("""COMPUTED_VALUE"""),0.0)</f>
        <v>0</v>
      </c>
      <c r="AP53" s="32">
        <f>IFERROR(__xludf.DUMMYFUNCTION("""COMPUTED_VALUE"""),0.0)</f>
        <v>0</v>
      </c>
      <c r="AQ53" s="32">
        <f>IFERROR(__xludf.DUMMYFUNCTION("""COMPUTED_VALUE"""),0.0)</f>
        <v>0</v>
      </c>
      <c r="AR53" s="32">
        <f>IFERROR(__xludf.DUMMYFUNCTION("""COMPUTED_VALUE"""),0.0)</f>
        <v>0</v>
      </c>
      <c r="AS53" s="32">
        <f>IFERROR(__xludf.DUMMYFUNCTION("""COMPUTED_VALUE"""),0.0)</f>
        <v>0</v>
      </c>
      <c r="AT53" s="32">
        <f>IFERROR(__xludf.DUMMYFUNCTION("""COMPUTED_VALUE"""),0.0)</f>
        <v>0</v>
      </c>
      <c r="AU53" s="32">
        <f>IFERROR(__xludf.DUMMYFUNCTION("""COMPUTED_VALUE"""),0.0)</f>
        <v>0</v>
      </c>
      <c r="AV53" s="32">
        <f>IFERROR(__xludf.DUMMYFUNCTION("""COMPUTED_VALUE"""),0.0)</f>
        <v>0</v>
      </c>
      <c r="AW53" s="32">
        <f>IFERROR(__xludf.DUMMYFUNCTION("""COMPUTED_VALUE"""),0.0)</f>
        <v>0</v>
      </c>
      <c r="AX53" s="32">
        <f>IFERROR(__xludf.DUMMYFUNCTION("""COMPUTED_VALUE"""),0.0)</f>
        <v>0</v>
      </c>
      <c r="AY53" s="32">
        <f>IFERROR(__xludf.DUMMYFUNCTION("""COMPUTED_VALUE"""),0.0)</f>
        <v>0</v>
      </c>
      <c r="AZ53" s="33">
        <f>IFERROR(__xludf.DUMMYFUNCTION("""COMPUTED_VALUE"""),0.0)</f>
        <v>0</v>
      </c>
      <c r="BA53" s="195"/>
    </row>
    <row r="54" ht="15.75" customHeight="1">
      <c r="A54" s="29"/>
      <c r="B54" s="196" t="str">
        <f>IFERROR(__xludf.DUMMYFUNCTION("""COMPUTED_VALUE"""),"6.1. Phòng nuôi dưỡng, chăm sóc, giáo dục trẻ em")</f>
        <v>6.1. Phòng nuôi dưỡng, chăm sóc, giáo dục trẻ em</v>
      </c>
      <c r="C54" s="57"/>
      <c r="D54" s="57" t="str">
        <f>IFERROR(__xludf.DUMMYFUNCTION("""COMPUTED_VALUE"""),"Phòng")</f>
        <v>Phòng</v>
      </c>
      <c r="E54" s="125">
        <f>IFERROR(__xludf.DUMMYFUNCTION("""COMPUTED_VALUE"""),1530.0)</f>
        <v>1530</v>
      </c>
      <c r="F54" s="125">
        <f>IFERROR(__xludf.DUMMYFUNCTION("""COMPUTED_VALUE"""),1424.0)</f>
        <v>1424</v>
      </c>
      <c r="G54" s="125">
        <f>IFERROR(__xludf.DUMMYFUNCTION("""COMPUTED_VALUE"""),25.0)</f>
        <v>25</v>
      </c>
      <c r="H54" s="125">
        <f>IFERROR(__xludf.DUMMYFUNCTION("""COMPUTED_VALUE"""),81.0)</f>
        <v>81</v>
      </c>
      <c r="I54" s="125">
        <f>IFERROR(__xludf.DUMMYFUNCTION("""COMPUTED_VALUE"""),1621.0)</f>
        <v>1621</v>
      </c>
      <c r="J54" s="125">
        <f>IFERROR(__xludf.DUMMYFUNCTION("""COMPUTED_VALUE"""),1423.0)</f>
        <v>1423</v>
      </c>
      <c r="K54" s="125">
        <f>IFERROR(__xludf.DUMMYFUNCTION("""COMPUTED_VALUE"""),25.0)</f>
        <v>25</v>
      </c>
      <c r="L54" s="125">
        <f>IFERROR(__xludf.DUMMYFUNCTION("""COMPUTED_VALUE"""),173.0)</f>
        <v>173</v>
      </c>
      <c r="M54" s="125">
        <f>IFERROR(__xludf.DUMMYFUNCTION("""COMPUTED_VALUE"""),1621.0)</f>
        <v>1621</v>
      </c>
      <c r="N54" s="125">
        <f>IFERROR(__xludf.DUMMYFUNCTION("""COMPUTED_VALUE"""),1423.0)</f>
        <v>1423</v>
      </c>
      <c r="O54" s="125">
        <f>IFERROR(__xludf.DUMMYFUNCTION("""COMPUTED_VALUE"""),25.0)</f>
        <v>25</v>
      </c>
      <c r="P54" s="125">
        <f>IFERROR(__xludf.DUMMYFUNCTION("""COMPUTED_VALUE"""),173.0)</f>
        <v>173</v>
      </c>
      <c r="Q54" s="125">
        <f>IFERROR(__xludf.DUMMYFUNCTION("""COMPUTED_VALUE"""),1611.0)</f>
        <v>1611</v>
      </c>
      <c r="R54" s="125">
        <f>IFERROR(__xludf.DUMMYFUNCTION("""COMPUTED_VALUE"""),1413.0)</f>
        <v>1413</v>
      </c>
      <c r="S54" s="125">
        <f>IFERROR(__xludf.DUMMYFUNCTION("""COMPUTED_VALUE"""),25.0)</f>
        <v>25</v>
      </c>
      <c r="T54" s="125">
        <f>IFERROR(__xludf.DUMMYFUNCTION("""COMPUTED_VALUE"""),173.0)</f>
        <v>173</v>
      </c>
      <c r="U54" s="125">
        <f>IFERROR(__xludf.DUMMYFUNCTION("""COMPUTED_VALUE"""),1611.0)</f>
        <v>1611</v>
      </c>
      <c r="V54" s="125">
        <f>IFERROR(__xludf.DUMMYFUNCTION("""COMPUTED_VALUE"""),1413.0)</f>
        <v>1413</v>
      </c>
      <c r="W54" s="125">
        <f>IFERROR(__xludf.DUMMYFUNCTION("""COMPUTED_VALUE"""),25.0)</f>
        <v>25</v>
      </c>
      <c r="X54" s="125">
        <f>IFERROR(__xludf.DUMMYFUNCTION("""COMPUTED_VALUE"""),173.0)</f>
        <v>173</v>
      </c>
      <c r="Y54" s="125">
        <f>IFERROR(__xludf.DUMMYFUNCTION("""COMPUTED_VALUE"""),1616.0)</f>
        <v>1616</v>
      </c>
      <c r="Z54" s="125">
        <f>IFERROR(__xludf.DUMMYFUNCTION("""COMPUTED_VALUE"""),1418.0)</f>
        <v>1418</v>
      </c>
      <c r="AA54" s="125">
        <f>IFERROR(__xludf.DUMMYFUNCTION("""COMPUTED_VALUE"""),25.0)</f>
        <v>25</v>
      </c>
      <c r="AB54" s="125">
        <f>IFERROR(__xludf.DUMMYFUNCTION("""COMPUTED_VALUE"""),173.0)</f>
        <v>173</v>
      </c>
      <c r="AC54" s="125">
        <f>IFERROR(__xludf.DUMMYFUNCTION("""COMPUTED_VALUE"""),1614.0)</f>
        <v>1614</v>
      </c>
      <c r="AD54" s="125">
        <f>IFERROR(__xludf.DUMMYFUNCTION("""COMPUTED_VALUE"""),1418.0)</f>
        <v>1418</v>
      </c>
      <c r="AE54" s="125">
        <f>IFERROR(__xludf.DUMMYFUNCTION("""COMPUTED_VALUE"""),23.0)</f>
        <v>23</v>
      </c>
      <c r="AF54" s="125">
        <f>IFERROR(__xludf.DUMMYFUNCTION("""COMPUTED_VALUE"""),173.0)</f>
        <v>173</v>
      </c>
      <c r="AG54" s="125">
        <f>IFERROR(__xludf.DUMMYFUNCTION("""COMPUTED_VALUE"""),0.0)</f>
        <v>0</v>
      </c>
      <c r="AH54" s="125">
        <f>IFERROR(__xludf.DUMMYFUNCTION("""COMPUTED_VALUE"""),0.0)</f>
        <v>0</v>
      </c>
      <c r="AI54" s="125">
        <f>IFERROR(__xludf.DUMMYFUNCTION("""COMPUTED_VALUE"""),0.0)</f>
        <v>0</v>
      </c>
      <c r="AJ54" s="125">
        <f>IFERROR(__xludf.DUMMYFUNCTION("""COMPUTED_VALUE"""),0.0)</f>
        <v>0</v>
      </c>
      <c r="AK54" s="125">
        <f>IFERROR(__xludf.DUMMYFUNCTION("""COMPUTED_VALUE"""),0.0)</f>
        <v>0</v>
      </c>
      <c r="AL54" s="125">
        <f>IFERROR(__xludf.DUMMYFUNCTION("""COMPUTED_VALUE"""),0.0)</f>
        <v>0</v>
      </c>
      <c r="AM54" s="125">
        <f>IFERROR(__xludf.DUMMYFUNCTION("""COMPUTED_VALUE"""),0.0)</f>
        <v>0</v>
      </c>
      <c r="AN54" s="125">
        <f>IFERROR(__xludf.DUMMYFUNCTION("""COMPUTED_VALUE"""),0.0)</f>
        <v>0</v>
      </c>
      <c r="AO54" s="125">
        <f>IFERROR(__xludf.DUMMYFUNCTION("""COMPUTED_VALUE"""),0.0)</f>
        <v>0</v>
      </c>
      <c r="AP54" s="125">
        <f>IFERROR(__xludf.DUMMYFUNCTION("""COMPUTED_VALUE"""),0.0)</f>
        <v>0</v>
      </c>
      <c r="AQ54" s="125">
        <f>IFERROR(__xludf.DUMMYFUNCTION("""COMPUTED_VALUE"""),0.0)</f>
        <v>0</v>
      </c>
      <c r="AR54" s="125">
        <f>IFERROR(__xludf.DUMMYFUNCTION("""COMPUTED_VALUE"""),0.0)</f>
        <v>0</v>
      </c>
      <c r="AS54" s="125">
        <f>IFERROR(__xludf.DUMMYFUNCTION("""COMPUTED_VALUE"""),0.0)</f>
        <v>0</v>
      </c>
      <c r="AT54" s="125">
        <f>IFERROR(__xludf.DUMMYFUNCTION("""COMPUTED_VALUE"""),0.0)</f>
        <v>0</v>
      </c>
      <c r="AU54" s="125">
        <f>IFERROR(__xludf.DUMMYFUNCTION("""COMPUTED_VALUE"""),0.0)</f>
        <v>0</v>
      </c>
      <c r="AV54" s="125">
        <f>IFERROR(__xludf.DUMMYFUNCTION("""COMPUTED_VALUE"""),0.0)</f>
        <v>0</v>
      </c>
      <c r="AW54" s="125">
        <f>IFERROR(__xludf.DUMMYFUNCTION("""COMPUTED_VALUE"""),0.0)</f>
        <v>0</v>
      </c>
      <c r="AX54" s="125">
        <f>IFERROR(__xludf.DUMMYFUNCTION("""COMPUTED_VALUE"""),0.0)</f>
        <v>0</v>
      </c>
      <c r="AY54" s="125">
        <f>IFERROR(__xludf.DUMMYFUNCTION("""COMPUTED_VALUE"""),0.0)</f>
        <v>0</v>
      </c>
      <c r="AZ54" s="127">
        <f>IFERROR(__xludf.DUMMYFUNCTION("""COMPUTED_VALUE"""),0.0)</f>
        <v>0</v>
      </c>
      <c r="BA54" s="195"/>
    </row>
    <row r="55" ht="15.75" customHeight="1">
      <c r="A55" s="29"/>
      <c r="B55" s="48" t="str">
        <f>IFERROR(__xludf.DUMMYFUNCTION("""COMPUTED_VALUE"""),"Chia ra:")</f>
        <v>Chia ra:</v>
      </c>
      <c r="C55" s="49"/>
      <c r="D55" s="3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50"/>
      <c r="BA55" s="195"/>
    </row>
    <row r="56" ht="15.75" customHeight="1">
      <c r="A56" s="29"/>
      <c r="B56" s="67" t="str">
        <f>IFERROR(__xludf.DUMMYFUNCTION("""COMPUTED_VALUE""")," + Kiên cố")</f>
        <v> + Kiên cố</v>
      </c>
      <c r="C56" s="31"/>
      <c r="D56" s="31" t="str">
        <f>IFERROR(__xludf.DUMMYFUNCTION("""COMPUTED_VALUE"""),"""")</f>
        <v>"</v>
      </c>
      <c r="E56" s="41">
        <f>IFERROR(__xludf.DUMMYFUNCTION("""COMPUTED_VALUE"""),855.0)</f>
        <v>855</v>
      </c>
      <c r="F56" s="197">
        <f>IFERROR(__xludf.DUMMYFUNCTION("""COMPUTED_VALUE"""),831.0)</f>
        <v>831</v>
      </c>
      <c r="G56" s="197">
        <f>IFERROR(__xludf.DUMMYFUNCTION("""COMPUTED_VALUE"""),2.0)</f>
        <v>2</v>
      </c>
      <c r="H56" s="197">
        <f>IFERROR(__xludf.DUMMYFUNCTION("""COMPUTED_VALUE"""),22.0)</f>
        <v>22</v>
      </c>
      <c r="I56" s="41">
        <f>IFERROR(__xludf.DUMMYFUNCTION("""COMPUTED_VALUE"""),959.0)</f>
        <v>959</v>
      </c>
      <c r="J56" s="197">
        <f>IFERROR(__xludf.DUMMYFUNCTION("""COMPUTED_VALUE"""),830.0)</f>
        <v>830</v>
      </c>
      <c r="K56" s="197">
        <f>IFERROR(__xludf.DUMMYFUNCTION("""COMPUTED_VALUE"""),2.0)</f>
        <v>2</v>
      </c>
      <c r="L56" s="197">
        <f>IFERROR(__xludf.DUMMYFUNCTION("""COMPUTED_VALUE"""),127.0)</f>
        <v>127</v>
      </c>
      <c r="M56" s="41">
        <f>IFERROR(__xludf.DUMMYFUNCTION("""COMPUTED_VALUE"""),959.0)</f>
        <v>959</v>
      </c>
      <c r="N56" s="197">
        <f>IFERROR(__xludf.DUMMYFUNCTION("""COMPUTED_VALUE"""),830.0)</f>
        <v>830</v>
      </c>
      <c r="O56" s="197">
        <f>IFERROR(__xludf.DUMMYFUNCTION("""COMPUTED_VALUE"""),2.0)</f>
        <v>2</v>
      </c>
      <c r="P56" s="197">
        <f>IFERROR(__xludf.DUMMYFUNCTION("""COMPUTED_VALUE"""),127.0)</f>
        <v>127</v>
      </c>
      <c r="Q56" s="41">
        <f>IFERROR(__xludf.DUMMYFUNCTION("""COMPUTED_VALUE"""),953.0)</f>
        <v>953</v>
      </c>
      <c r="R56" s="197">
        <f>IFERROR(__xludf.DUMMYFUNCTION("""COMPUTED_VALUE"""),824.0)</f>
        <v>824</v>
      </c>
      <c r="S56" s="197">
        <f>IFERROR(__xludf.DUMMYFUNCTION("""COMPUTED_VALUE"""),2.0)</f>
        <v>2</v>
      </c>
      <c r="T56" s="197">
        <f>IFERROR(__xludf.DUMMYFUNCTION("""COMPUTED_VALUE"""),127.0)</f>
        <v>127</v>
      </c>
      <c r="U56" s="41">
        <f>IFERROR(__xludf.DUMMYFUNCTION("""COMPUTED_VALUE"""),953.0)</f>
        <v>953</v>
      </c>
      <c r="V56" s="197">
        <f>IFERROR(__xludf.DUMMYFUNCTION("""COMPUTED_VALUE"""),824.0)</f>
        <v>824</v>
      </c>
      <c r="W56" s="197">
        <f>IFERROR(__xludf.DUMMYFUNCTION("""COMPUTED_VALUE"""),2.0)</f>
        <v>2</v>
      </c>
      <c r="X56" s="197">
        <f>IFERROR(__xludf.DUMMYFUNCTION("""COMPUTED_VALUE"""),127.0)</f>
        <v>127</v>
      </c>
      <c r="Y56" s="41">
        <f>IFERROR(__xludf.DUMMYFUNCTION("""COMPUTED_VALUE"""),964.0)</f>
        <v>964</v>
      </c>
      <c r="Z56" s="197">
        <f>IFERROR(__xludf.DUMMYFUNCTION("""COMPUTED_VALUE"""),835.0)</f>
        <v>835</v>
      </c>
      <c r="AA56" s="197">
        <f>IFERROR(__xludf.DUMMYFUNCTION("""COMPUTED_VALUE"""),2.0)</f>
        <v>2</v>
      </c>
      <c r="AB56" s="197">
        <f>IFERROR(__xludf.DUMMYFUNCTION("""COMPUTED_VALUE"""),127.0)</f>
        <v>127</v>
      </c>
      <c r="AC56" s="41">
        <f>IFERROR(__xludf.DUMMYFUNCTION("""COMPUTED_VALUE"""),964.0)</f>
        <v>964</v>
      </c>
      <c r="AD56" s="197">
        <f>IFERROR(__xludf.DUMMYFUNCTION("""COMPUTED_VALUE"""),835.0)</f>
        <v>835</v>
      </c>
      <c r="AE56" s="197">
        <f>IFERROR(__xludf.DUMMYFUNCTION("""COMPUTED_VALUE"""),2.0)</f>
        <v>2</v>
      </c>
      <c r="AF56" s="197">
        <f>IFERROR(__xludf.DUMMYFUNCTION("""COMPUTED_VALUE"""),127.0)</f>
        <v>127</v>
      </c>
      <c r="AG56" s="41">
        <f>IFERROR(__xludf.DUMMYFUNCTION("""COMPUTED_VALUE"""),0.0)</f>
        <v>0</v>
      </c>
      <c r="AH56" s="197">
        <f>IFERROR(__xludf.DUMMYFUNCTION("""COMPUTED_VALUE"""),0.0)</f>
        <v>0</v>
      </c>
      <c r="AI56" s="197">
        <f>IFERROR(__xludf.DUMMYFUNCTION("""COMPUTED_VALUE"""),0.0)</f>
        <v>0</v>
      </c>
      <c r="AJ56" s="197">
        <f>IFERROR(__xludf.DUMMYFUNCTION("""COMPUTED_VALUE"""),0.0)</f>
        <v>0</v>
      </c>
      <c r="AK56" s="41">
        <f>IFERROR(__xludf.DUMMYFUNCTION("""COMPUTED_VALUE"""),0.0)</f>
        <v>0</v>
      </c>
      <c r="AL56" s="197">
        <f>IFERROR(__xludf.DUMMYFUNCTION("""COMPUTED_VALUE"""),0.0)</f>
        <v>0</v>
      </c>
      <c r="AM56" s="197">
        <f>IFERROR(__xludf.DUMMYFUNCTION("""COMPUTED_VALUE"""),0.0)</f>
        <v>0</v>
      </c>
      <c r="AN56" s="197">
        <f>IFERROR(__xludf.DUMMYFUNCTION("""COMPUTED_VALUE"""),0.0)</f>
        <v>0</v>
      </c>
      <c r="AO56" s="41">
        <f>IFERROR(__xludf.DUMMYFUNCTION("""COMPUTED_VALUE"""),0.0)</f>
        <v>0</v>
      </c>
      <c r="AP56" s="197">
        <f>IFERROR(__xludf.DUMMYFUNCTION("""COMPUTED_VALUE"""),0.0)</f>
        <v>0</v>
      </c>
      <c r="AQ56" s="197">
        <f>IFERROR(__xludf.DUMMYFUNCTION("""COMPUTED_VALUE"""),0.0)</f>
        <v>0</v>
      </c>
      <c r="AR56" s="197">
        <f>IFERROR(__xludf.DUMMYFUNCTION("""COMPUTED_VALUE"""),0.0)</f>
        <v>0</v>
      </c>
      <c r="AS56" s="41">
        <f>IFERROR(__xludf.DUMMYFUNCTION("""COMPUTED_VALUE"""),0.0)</f>
        <v>0</v>
      </c>
      <c r="AT56" s="197">
        <f>IFERROR(__xludf.DUMMYFUNCTION("""COMPUTED_VALUE"""),0.0)</f>
        <v>0</v>
      </c>
      <c r="AU56" s="197">
        <f>IFERROR(__xludf.DUMMYFUNCTION("""COMPUTED_VALUE"""),0.0)</f>
        <v>0</v>
      </c>
      <c r="AV56" s="197">
        <f>IFERROR(__xludf.DUMMYFUNCTION("""COMPUTED_VALUE"""),0.0)</f>
        <v>0</v>
      </c>
      <c r="AW56" s="41">
        <f>IFERROR(__xludf.DUMMYFUNCTION("""COMPUTED_VALUE"""),0.0)</f>
        <v>0</v>
      </c>
      <c r="AX56" s="197">
        <f>IFERROR(__xludf.DUMMYFUNCTION("""COMPUTED_VALUE"""),0.0)</f>
        <v>0</v>
      </c>
      <c r="AY56" s="197">
        <f>IFERROR(__xludf.DUMMYFUNCTION("""COMPUTED_VALUE"""),0.0)</f>
        <v>0</v>
      </c>
      <c r="AZ56" s="198">
        <f>IFERROR(__xludf.DUMMYFUNCTION("""COMPUTED_VALUE"""),0.0)</f>
        <v>0</v>
      </c>
      <c r="BA56" s="195"/>
    </row>
    <row r="57" ht="15.75" customHeight="1">
      <c r="A57" s="29"/>
      <c r="B57" s="67" t="str">
        <f>IFERROR(__xludf.DUMMYFUNCTION("""COMPUTED_VALUE""")," + Bán kiên cố")</f>
        <v> + Bán kiên cố</v>
      </c>
      <c r="C57" s="31"/>
      <c r="D57" s="31" t="str">
        <f>IFERROR(__xludf.DUMMYFUNCTION("""COMPUTED_VALUE"""),"""")</f>
        <v>"</v>
      </c>
      <c r="E57" s="41">
        <f>IFERROR(__xludf.DUMMYFUNCTION("""COMPUTED_VALUE"""),664.0)</f>
        <v>664</v>
      </c>
      <c r="F57" s="197">
        <f>IFERROR(__xludf.DUMMYFUNCTION("""COMPUTED_VALUE"""),588.0)</f>
        <v>588</v>
      </c>
      <c r="G57" s="197">
        <f>IFERROR(__xludf.DUMMYFUNCTION("""COMPUTED_VALUE"""),23.0)</f>
        <v>23</v>
      </c>
      <c r="H57" s="197">
        <f>IFERROR(__xludf.DUMMYFUNCTION("""COMPUTED_VALUE"""),53.0)</f>
        <v>53</v>
      </c>
      <c r="I57" s="41">
        <f>IFERROR(__xludf.DUMMYFUNCTION("""COMPUTED_VALUE"""),651.0)</f>
        <v>651</v>
      </c>
      <c r="J57" s="197">
        <f>IFERROR(__xludf.DUMMYFUNCTION("""COMPUTED_VALUE"""),588.0)</f>
        <v>588</v>
      </c>
      <c r="K57" s="197">
        <f>IFERROR(__xludf.DUMMYFUNCTION("""COMPUTED_VALUE"""),23.0)</f>
        <v>23</v>
      </c>
      <c r="L57" s="197">
        <f>IFERROR(__xludf.DUMMYFUNCTION("""COMPUTED_VALUE"""),40.0)</f>
        <v>40</v>
      </c>
      <c r="M57" s="41">
        <f>IFERROR(__xludf.DUMMYFUNCTION("""COMPUTED_VALUE"""),651.0)</f>
        <v>651</v>
      </c>
      <c r="N57" s="197">
        <f>IFERROR(__xludf.DUMMYFUNCTION("""COMPUTED_VALUE"""),588.0)</f>
        <v>588</v>
      </c>
      <c r="O57" s="197">
        <f>IFERROR(__xludf.DUMMYFUNCTION("""COMPUTED_VALUE"""),23.0)</f>
        <v>23</v>
      </c>
      <c r="P57" s="197">
        <f>IFERROR(__xludf.DUMMYFUNCTION("""COMPUTED_VALUE"""),40.0)</f>
        <v>40</v>
      </c>
      <c r="Q57" s="41">
        <f>IFERROR(__xludf.DUMMYFUNCTION("""COMPUTED_VALUE"""),647.0)</f>
        <v>647</v>
      </c>
      <c r="R57" s="197">
        <f>IFERROR(__xludf.DUMMYFUNCTION("""COMPUTED_VALUE"""),584.0)</f>
        <v>584</v>
      </c>
      <c r="S57" s="197">
        <f>IFERROR(__xludf.DUMMYFUNCTION("""COMPUTED_VALUE"""),23.0)</f>
        <v>23</v>
      </c>
      <c r="T57" s="197">
        <f>IFERROR(__xludf.DUMMYFUNCTION("""COMPUTED_VALUE"""),40.0)</f>
        <v>40</v>
      </c>
      <c r="U57" s="41">
        <f>IFERROR(__xludf.DUMMYFUNCTION("""COMPUTED_VALUE"""),647.0)</f>
        <v>647</v>
      </c>
      <c r="V57" s="197">
        <f>IFERROR(__xludf.DUMMYFUNCTION("""COMPUTED_VALUE"""),584.0)</f>
        <v>584</v>
      </c>
      <c r="W57" s="197">
        <f>IFERROR(__xludf.DUMMYFUNCTION("""COMPUTED_VALUE"""),23.0)</f>
        <v>23</v>
      </c>
      <c r="X57" s="197">
        <f>IFERROR(__xludf.DUMMYFUNCTION("""COMPUTED_VALUE"""),40.0)</f>
        <v>40</v>
      </c>
      <c r="Y57" s="41">
        <f>IFERROR(__xludf.DUMMYFUNCTION("""COMPUTED_VALUE"""),644.0)</f>
        <v>644</v>
      </c>
      <c r="Z57" s="197">
        <f>IFERROR(__xludf.DUMMYFUNCTION("""COMPUTED_VALUE"""),581.0)</f>
        <v>581</v>
      </c>
      <c r="AA57" s="197">
        <f>IFERROR(__xludf.DUMMYFUNCTION("""COMPUTED_VALUE"""),23.0)</f>
        <v>23</v>
      </c>
      <c r="AB57" s="197">
        <f>IFERROR(__xludf.DUMMYFUNCTION("""COMPUTED_VALUE"""),40.0)</f>
        <v>40</v>
      </c>
      <c r="AC57" s="41">
        <f>IFERROR(__xludf.DUMMYFUNCTION("""COMPUTED_VALUE"""),642.0)</f>
        <v>642</v>
      </c>
      <c r="AD57" s="197">
        <f>IFERROR(__xludf.DUMMYFUNCTION("""COMPUTED_VALUE"""),581.0)</f>
        <v>581</v>
      </c>
      <c r="AE57" s="197">
        <f>IFERROR(__xludf.DUMMYFUNCTION("""COMPUTED_VALUE"""),21.0)</f>
        <v>21</v>
      </c>
      <c r="AF57" s="197">
        <f>IFERROR(__xludf.DUMMYFUNCTION("""COMPUTED_VALUE"""),40.0)</f>
        <v>40</v>
      </c>
      <c r="AG57" s="41">
        <f>IFERROR(__xludf.DUMMYFUNCTION("""COMPUTED_VALUE"""),0.0)</f>
        <v>0</v>
      </c>
      <c r="AH57" s="197">
        <f>IFERROR(__xludf.DUMMYFUNCTION("""COMPUTED_VALUE"""),0.0)</f>
        <v>0</v>
      </c>
      <c r="AI57" s="197">
        <f>IFERROR(__xludf.DUMMYFUNCTION("""COMPUTED_VALUE"""),0.0)</f>
        <v>0</v>
      </c>
      <c r="AJ57" s="197">
        <f>IFERROR(__xludf.DUMMYFUNCTION("""COMPUTED_VALUE"""),0.0)</f>
        <v>0</v>
      </c>
      <c r="AK57" s="41">
        <f>IFERROR(__xludf.DUMMYFUNCTION("""COMPUTED_VALUE"""),0.0)</f>
        <v>0</v>
      </c>
      <c r="AL57" s="197">
        <f>IFERROR(__xludf.DUMMYFUNCTION("""COMPUTED_VALUE"""),0.0)</f>
        <v>0</v>
      </c>
      <c r="AM57" s="197">
        <f>IFERROR(__xludf.DUMMYFUNCTION("""COMPUTED_VALUE"""),0.0)</f>
        <v>0</v>
      </c>
      <c r="AN57" s="197">
        <f>IFERROR(__xludf.DUMMYFUNCTION("""COMPUTED_VALUE"""),0.0)</f>
        <v>0</v>
      </c>
      <c r="AO57" s="41">
        <f>IFERROR(__xludf.DUMMYFUNCTION("""COMPUTED_VALUE"""),0.0)</f>
        <v>0</v>
      </c>
      <c r="AP57" s="197">
        <f>IFERROR(__xludf.DUMMYFUNCTION("""COMPUTED_VALUE"""),0.0)</f>
        <v>0</v>
      </c>
      <c r="AQ57" s="197">
        <f>IFERROR(__xludf.DUMMYFUNCTION("""COMPUTED_VALUE"""),0.0)</f>
        <v>0</v>
      </c>
      <c r="AR57" s="197">
        <f>IFERROR(__xludf.DUMMYFUNCTION("""COMPUTED_VALUE"""),0.0)</f>
        <v>0</v>
      </c>
      <c r="AS57" s="41">
        <f>IFERROR(__xludf.DUMMYFUNCTION("""COMPUTED_VALUE"""),0.0)</f>
        <v>0</v>
      </c>
      <c r="AT57" s="197">
        <f>IFERROR(__xludf.DUMMYFUNCTION("""COMPUTED_VALUE"""),0.0)</f>
        <v>0</v>
      </c>
      <c r="AU57" s="197">
        <f>IFERROR(__xludf.DUMMYFUNCTION("""COMPUTED_VALUE"""),0.0)</f>
        <v>0</v>
      </c>
      <c r="AV57" s="197">
        <f>IFERROR(__xludf.DUMMYFUNCTION("""COMPUTED_VALUE"""),0.0)</f>
        <v>0</v>
      </c>
      <c r="AW57" s="41">
        <f>IFERROR(__xludf.DUMMYFUNCTION("""COMPUTED_VALUE"""),0.0)</f>
        <v>0</v>
      </c>
      <c r="AX57" s="197">
        <f>IFERROR(__xludf.DUMMYFUNCTION("""COMPUTED_VALUE"""),0.0)</f>
        <v>0</v>
      </c>
      <c r="AY57" s="197">
        <f>IFERROR(__xludf.DUMMYFUNCTION("""COMPUTED_VALUE"""),0.0)</f>
        <v>0</v>
      </c>
      <c r="AZ57" s="198">
        <f>IFERROR(__xludf.DUMMYFUNCTION("""COMPUTED_VALUE"""),0.0)</f>
        <v>0</v>
      </c>
      <c r="BA57" s="195"/>
    </row>
    <row r="58" ht="15.75" customHeight="1">
      <c r="A58" s="29"/>
      <c r="B58" s="67" t="str">
        <f>IFERROR(__xludf.DUMMYFUNCTION("""COMPUTED_VALUE""")," + Tạm")</f>
        <v> + Tạm</v>
      </c>
      <c r="C58" s="31"/>
      <c r="D58" s="31" t="str">
        <f>IFERROR(__xludf.DUMMYFUNCTION("""COMPUTED_VALUE"""),"""")</f>
        <v>"</v>
      </c>
      <c r="E58" s="41">
        <f>IFERROR(__xludf.DUMMYFUNCTION("""COMPUTED_VALUE"""),11.0)</f>
        <v>11</v>
      </c>
      <c r="F58" s="197">
        <f>IFERROR(__xludf.DUMMYFUNCTION("""COMPUTED_VALUE"""),5.0)</f>
        <v>5</v>
      </c>
      <c r="G58" s="197">
        <f>IFERROR(__xludf.DUMMYFUNCTION("""COMPUTED_VALUE"""),0.0)</f>
        <v>0</v>
      </c>
      <c r="H58" s="197">
        <f>IFERROR(__xludf.DUMMYFUNCTION("""COMPUTED_VALUE"""),6.0)</f>
        <v>6</v>
      </c>
      <c r="I58" s="41">
        <f>IFERROR(__xludf.DUMMYFUNCTION("""COMPUTED_VALUE"""),11.0)</f>
        <v>11</v>
      </c>
      <c r="J58" s="197">
        <f>IFERROR(__xludf.DUMMYFUNCTION("""COMPUTED_VALUE"""),5.0)</f>
        <v>5</v>
      </c>
      <c r="K58" s="197">
        <f>IFERROR(__xludf.DUMMYFUNCTION("""COMPUTED_VALUE"""),0.0)</f>
        <v>0</v>
      </c>
      <c r="L58" s="197">
        <f>IFERROR(__xludf.DUMMYFUNCTION("""COMPUTED_VALUE"""),6.0)</f>
        <v>6</v>
      </c>
      <c r="M58" s="41">
        <f>IFERROR(__xludf.DUMMYFUNCTION("""COMPUTED_VALUE"""),11.0)</f>
        <v>11</v>
      </c>
      <c r="N58" s="197">
        <f>IFERROR(__xludf.DUMMYFUNCTION("""COMPUTED_VALUE"""),5.0)</f>
        <v>5</v>
      </c>
      <c r="O58" s="197">
        <f>IFERROR(__xludf.DUMMYFUNCTION("""COMPUTED_VALUE"""),0.0)</f>
        <v>0</v>
      </c>
      <c r="P58" s="197">
        <f>IFERROR(__xludf.DUMMYFUNCTION("""COMPUTED_VALUE"""),6.0)</f>
        <v>6</v>
      </c>
      <c r="Q58" s="41">
        <f>IFERROR(__xludf.DUMMYFUNCTION("""COMPUTED_VALUE"""),11.0)</f>
        <v>11</v>
      </c>
      <c r="R58" s="197">
        <f>IFERROR(__xludf.DUMMYFUNCTION("""COMPUTED_VALUE"""),5.0)</f>
        <v>5</v>
      </c>
      <c r="S58" s="197">
        <f>IFERROR(__xludf.DUMMYFUNCTION("""COMPUTED_VALUE"""),0.0)</f>
        <v>0</v>
      </c>
      <c r="T58" s="197">
        <f>IFERROR(__xludf.DUMMYFUNCTION("""COMPUTED_VALUE"""),6.0)</f>
        <v>6</v>
      </c>
      <c r="U58" s="41">
        <f>IFERROR(__xludf.DUMMYFUNCTION("""COMPUTED_VALUE"""),11.0)</f>
        <v>11</v>
      </c>
      <c r="V58" s="197">
        <f>IFERROR(__xludf.DUMMYFUNCTION("""COMPUTED_VALUE"""),5.0)</f>
        <v>5</v>
      </c>
      <c r="W58" s="197">
        <f>IFERROR(__xludf.DUMMYFUNCTION("""COMPUTED_VALUE"""),0.0)</f>
        <v>0</v>
      </c>
      <c r="X58" s="197">
        <f>IFERROR(__xludf.DUMMYFUNCTION("""COMPUTED_VALUE"""),6.0)</f>
        <v>6</v>
      </c>
      <c r="Y58" s="41">
        <f>IFERROR(__xludf.DUMMYFUNCTION("""COMPUTED_VALUE"""),8.0)</f>
        <v>8</v>
      </c>
      <c r="Z58" s="197">
        <f>IFERROR(__xludf.DUMMYFUNCTION("""COMPUTED_VALUE"""),2.0)</f>
        <v>2</v>
      </c>
      <c r="AA58" s="197">
        <f>IFERROR(__xludf.DUMMYFUNCTION("""COMPUTED_VALUE"""),0.0)</f>
        <v>0</v>
      </c>
      <c r="AB58" s="197">
        <f>IFERROR(__xludf.DUMMYFUNCTION("""COMPUTED_VALUE"""),6.0)</f>
        <v>6</v>
      </c>
      <c r="AC58" s="41">
        <f>IFERROR(__xludf.DUMMYFUNCTION("""COMPUTED_VALUE"""),8.0)</f>
        <v>8</v>
      </c>
      <c r="AD58" s="197">
        <f>IFERROR(__xludf.DUMMYFUNCTION("""COMPUTED_VALUE"""),2.0)</f>
        <v>2</v>
      </c>
      <c r="AE58" s="197">
        <f>IFERROR(__xludf.DUMMYFUNCTION("""COMPUTED_VALUE"""),0.0)</f>
        <v>0</v>
      </c>
      <c r="AF58" s="197">
        <f>IFERROR(__xludf.DUMMYFUNCTION("""COMPUTED_VALUE"""),6.0)</f>
        <v>6</v>
      </c>
      <c r="AG58" s="41">
        <f>IFERROR(__xludf.DUMMYFUNCTION("""COMPUTED_VALUE"""),0.0)</f>
        <v>0</v>
      </c>
      <c r="AH58" s="197">
        <f>IFERROR(__xludf.DUMMYFUNCTION("""COMPUTED_VALUE"""),0.0)</f>
        <v>0</v>
      </c>
      <c r="AI58" s="197">
        <f>IFERROR(__xludf.DUMMYFUNCTION("""COMPUTED_VALUE"""),0.0)</f>
        <v>0</v>
      </c>
      <c r="AJ58" s="197">
        <f>IFERROR(__xludf.DUMMYFUNCTION("""COMPUTED_VALUE"""),0.0)</f>
        <v>0</v>
      </c>
      <c r="AK58" s="41">
        <f>IFERROR(__xludf.DUMMYFUNCTION("""COMPUTED_VALUE"""),0.0)</f>
        <v>0</v>
      </c>
      <c r="AL58" s="197">
        <f>IFERROR(__xludf.DUMMYFUNCTION("""COMPUTED_VALUE"""),0.0)</f>
        <v>0</v>
      </c>
      <c r="AM58" s="197">
        <f>IFERROR(__xludf.DUMMYFUNCTION("""COMPUTED_VALUE"""),0.0)</f>
        <v>0</v>
      </c>
      <c r="AN58" s="197">
        <f>IFERROR(__xludf.DUMMYFUNCTION("""COMPUTED_VALUE"""),0.0)</f>
        <v>0</v>
      </c>
      <c r="AO58" s="41">
        <f>IFERROR(__xludf.DUMMYFUNCTION("""COMPUTED_VALUE"""),0.0)</f>
        <v>0</v>
      </c>
      <c r="AP58" s="197">
        <f>IFERROR(__xludf.DUMMYFUNCTION("""COMPUTED_VALUE"""),0.0)</f>
        <v>0</v>
      </c>
      <c r="AQ58" s="197">
        <f>IFERROR(__xludf.DUMMYFUNCTION("""COMPUTED_VALUE"""),0.0)</f>
        <v>0</v>
      </c>
      <c r="AR58" s="197">
        <f>IFERROR(__xludf.DUMMYFUNCTION("""COMPUTED_VALUE"""),0.0)</f>
        <v>0</v>
      </c>
      <c r="AS58" s="41">
        <f>IFERROR(__xludf.DUMMYFUNCTION("""COMPUTED_VALUE"""),0.0)</f>
        <v>0</v>
      </c>
      <c r="AT58" s="197">
        <f>IFERROR(__xludf.DUMMYFUNCTION("""COMPUTED_VALUE"""),0.0)</f>
        <v>0</v>
      </c>
      <c r="AU58" s="197">
        <f>IFERROR(__xludf.DUMMYFUNCTION("""COMPUTED_VALUE"""),0.0)</f>
        <v>0</v>
      </c>
      <c r="AV58" s="197">
        <f>IFERROR(__xludf.DUMMYFUNCTION("""COMPUTED_VALUE"""),0.0)</f>
        <v>0</v>
      </c>
      <c r="AW58" s="41">
        <f>IFERROR(__xludf.DUMMYFUNCTION("""COMPUTED_VALUE"""),0.0)</f>
        <v>0</v>
      </c>
      <c r="AX58" s="197">
        <f>IFERROR(__xludf.DUMMYFUNCTION("""COMPUTED_VALUE"""),0.0)</f>
        <v>0</v>
      </c>
      <c r="AY58" s="197">
        <f>IFERROR(__xludf.DUMMYFUNCTION("""COMPUTED_VALUE"""),0.0)</f>
        <v>0</v>
      </c>
      <c r="AZ58" s="198">
        <f>IFERROR(__xludf.DUMMYFUNCTION("""COMPUTED_VALUE"""),0.0)</f>
        <v>0</v>
      </c>
      <c r="BA58" s="195"/>
    </row>
    <row r="59" ht="15.75" customHeight="1">
      <c r="A59" s="29"/>
      <c r="B59" s="196" t="str">
        <f>IFERROR(__xludf.DUMMYFUNCTION("""COMPUTED_VALUE"""),"6.2. Phòng giáo dục thể chất, nghệ thuật, tin học")</f>
        <v>6.2. Phòng giáo dục thể chất, nghệ thuật, tin học</v>
      </c>
      <c r="C59" s="57"/>
      <c r="D59" s="57" t="str">
        <f>IFERROR(__xludf.DUMMYFUNCTION("""COMPUTED_VALUE"""),"Phòng")</f>
        <v>Phòng</v>
      </c>
      <c r="E59" s="125">
        <f>IFERROR(__xludf.DUMMYFUNCTION("""COMPUTED_VALUE"""),227.0)</f>
        <v>227</v>
      </c>
      <c r="F59" s="125">
        <f>IFERROR(__xludf.DUMMYFUNCTION("""COMPUTED_VALUE"""),221.0)</f>
        <v>221</v>
      </c>
      <c r="G59" s="125">
        <f>IFERROR(__xludf.DUMMYFUNCTION("""COMPUTED_VALUE"""),0.0)</f>
        <v>0</v>
      </c>
      <c r="H59" s="125">
        <f>IFERROR(__xludf.DUMMYFUNCTION("""COMPUTED_VALUE"""),6.0)</f>
        <v>6</v>
      </c>
      <c r="I59" s="125">
        <f>IFERROR(__xludf.DUMMYFUNCTION("""COMPUTED_VALUE"""),226.0)</f>
        <v>226</v>
      </c>
      <c r="J59" s="125">
        <f>IFERROR(__xludf.DUMMYFUNCTION("""COMPUTED_VALUE"""),220.0)</f>
        <v>220</v>
      </c>
      <c r="K59" s="125">
        <f>IFERROR(__xludf.DUMMYFUNCTION("""COMPUTED_VALUE"""),0.0)</f>
        <v>0</v>
      </c>
      <c r="L59" s="125">
        <f>IFERROR(__xludf.DUMMYFUNCTION("""COMPUTED_VALUE"""),6.0)</f>
        <v>6</v>
      </c>
      <c r="M59" s="125">
        <f>IFERROR(__xludf.DUMMYFUNCTION("""COMPUTED_VALUE"""),226.0)</f>
        <v>226</v>
      </c>
      <c r="N59" s="125">
        <f>IFERROR(__xludf.DUMMYFUNCTION("""COMPUTED_VALUE"""),220.0)</f>
        <v>220</v>
      </c>
      <c r="O59" s="125">
        <f>IFERROR(__xludf.DUMMYFUNCTION("""COMPUTED_VALUE"""),0.0)</f>
        <v>0</v>
      </c>
      <c r="P59" s="125">
        <f>IFERROR(__xludf.DUMMYFUNCTION("""COMPUTED_VALUE"""),6.0)</f>
        <v>6</v>
      </c>
      <c r="Q59" s="125">
        <f>IFERROR(__xludf.DUMMYFUNCTION("""COMPUTED_VALUE"""),225.0)</f>
        <v>225</v>
      </c>
      <c r="R59" s="125">
        <f>IFERROR(__xludf.DUMMYFUNCTION("""COMPUTED_VALUE"""),219.0)</f>
        <v>219</v>
      </c>
      <c r="S59" s="125">
        <f>IFERROR(__xludf.DUMMYFUNCTION("""COMPUTED_VALUE"""),0.0)</f>
        <v>0</v>
      </c>
      <c r="T59" s="125">
        <f>IFERROR(__xludf.DUMMYFUNCTION("""COMPUTED_VALUE"""),6.0)</f>
        <v>6</v>
      </c>
      <c r="U59" s="125">
        <f>IFERROR(__xludf.DUMMYFUNCTION("""COMPUTED_VALUE"""),225.0)</f>
        <v>225</v>
      </c>
      <c r="V59" s="125">
        <f>IFERROR(__xludf.DUMMYFUNCTION("""COMPUTED_VALUE"""),219.0)</f>
        <v>219</v>
      </c>
      <c r="W59" s="125">
        <f>IFERROR(__xludf.DUMMYFUNCTION("""COMPUTED_VALUE"""),0.0)</f>
        <v>0</v>
      </c>
      <c r="X59" s="125">
        <f>IFERROR(__xludf.DUMMYFUNCTION("""COMPUTED_VALUE"""),6.0)</f>
        <v>6</v>
      </c>
      <c r="Y59" s="125">
        <f>IFERROR(__xludf.DUMMYFUNCTION("""COMPUTED_VALUE"""),226.0)</f>
        <v>226</v>
      </c>
      <c r="Z59" s="125">
        <f>IFERROR(__xludf.DUMMYFUNCTION("""COMPUTED_VALUE"""),219.0)</f>
        <v>219</v>
      </c>
      <c r="AA59" s="125">
        <f>IFERROR(__xludf.DUMMYFUNCTION("""COMPUTED_VALUE"""),0.0)</f>
        <v>0</v>
      </c>
      <c r="AB59" s="125">
        <f>IFERROR(__xludf.DUMMYFUNCTION("""COMPUTED_VALUE"""),7.0)</f>
        <v>7</v>
      </c>
      <c r="AC59" s="125">
        <f>IFERROR(__xludf.DUMMYFUNCTION("""COMPUTED_VALUE"""),226.0)</f>
        <v>226</v>
      </c>
      <c r="AD59" s="125">
        <f>IFERROR(__xludf.DUMMYFUNCTION("""COMPUTED_VALUE"""),219.0)</f>
        <v>219</v>
      </c>
      <c r="AE59" s="125">
        <f>IFERROR(__xludf.DUMMYFUNCTION("""COMPUTED_VALUE"""),0.0)</f>
        <v>0</v>
      </c>
      <c r="AF59" s="125">
        <f>IFERROR(__xludf.DUMMYFUNCTION("""COMPUTED_VALUE"""),7.0)</f>
        <v>7</v>
      </c>
      <c r="AG59" s="125">
        <f>IFERROR(__xludf.DUMMYFUNCTION("""COMPUTED_VALUE"""),0.0)</f>
        <v>0</v>
      </c>
      <c r="AH59" s="125">
        <f>IFERROR(__xludf.DUMMYFUNCTION("""COMPUTED_VALUE"""),0.0)</f>
        <v>0</v>
      </c>
      <c r="AI59" s="125">
        <f>IFERROR(__xludf.DUMMYFUNCTION("""COMPUTED_VALUE"""),0.0)</f>
        <v>0</v>
      </c>
      <c r="AJ59" s="125">
        <f>IFERROR(__xludf.DUMMYFUNCTION("""COMPUTED_VALUE"""),0.0)</f>
        <v>0</v>
      </c>
      <c r="AK59" s="125">
        <f>IFERROR(__xludf.DUMMYFUNCTION("""COMPUTED_VALUE"""),0.0)</f>
        <v>0</v>
      </c>
      <c r="AL59" s="125">
        <f>IFERROR(__xludf.DUMMYFUNCTION("""COMPUTED_VALUE"""),0.0)</f>
        <v>0</v>
      </c>
      <c r="AM59" s="125">
        <f>IFERROR(__xludf.DUMMYFUNCTION("""COMPUTED_VALUE"""),0.0)</f>
        <v>0</v>
      </c>
      <c r="AN59" s="125">
        <f>IFERROR(__xludf.DUMMYFUNCTION("""COMPUTED_VALUE"""),0.0)</f>
        <v>0</v>
      </c>
      <c r="AO59" s="125">
        <f>IFERROR(__xludf.DUMMYFUNCTION("""COMPUTED_VALUE"""),0.0)</f>
        <v>0</v>
      </c>
      <c r="AP59" s="125">
        <f>IFERROR(__xludf.DUMMYFUNCTION("""COMPUTED_VALUE"""),0.0)</f>
        <v>0</v>
      </c>
      <c r="AQ59" s="125">
        <f>IFERROR(__xludf.DUMMYFUNCTION("""COMPUTED_VALUE"""),0.0)</f>
        <v>0</v>
      </c>
      <c r="AR59" s="125">
        <f>IFERROR(__xludf.DUMMYFUNCTION("""COMPUTED_VALUE"""),0.0)</f>
        <v>0</v>
      </c>
      <c r="AS59" s="125">
        <f>IFERROR(__xludf.DUMMYFUNCTION("""COMPUTED_VALUE"""),0.0)</f>
        <v>0</v>
      </c>
      <c r="AT59" s="125">
        <f>IFERROR(__xludf.DUMMYFUNCTION("""COMPUTED_VALUE"""),0.0)</f>
        <v>0</v>
      </c>
      <c r="AU59" s="125">
        <f>IFERROR(__xludf.DUMMYFUNCTION("""COMPUTED_VALUE"""),0.0)</f>
        <v>0</v>
      </c>
      <c r="AV59" s="125">
        <f>IFERROR(__xludf.DUMMYFUNCTION("""COMPUTED_VALUE"""),0.0)</f>
        <v>0</v>
      </c>
      <c r="AW59" s="125">
        <f>IFERROR(__xludf.DUMMYFUNCTION("""COMPUTED_VALUE"""),0.0)</f>
        <v>0</v>
      </c>
      <c r="AX59" s="125">
        <f>IFERROR(__xludf.DUMMYFUNCTION("""COMPUTED_VALUE"""),0.0)</f>
        <v>0</v>
      </c>
      <c r="AY59" s="125">
        <f>IFERROR(__xludf.DUMMYFUNCTION("""COMPUTED_VALUE"""),0.0)</f>
        <v>0</v>
      </c>
      <c r="AZ59" s="127">
        <f>IFERROR(__xludf.DUMMYFUNCTION("""COMPUTED_VALUE"""),0.0)</f>
        <v>0</v>
      </c>
      <c r="BA59" s="195"/>
    </row>
    <row r="60" ht="15.75" customHeight="1">
      <c r="A60" s="29"/>
      <c r="B60" s="48" t="str">
        <f>IFERROR(__xludf.DUMMYFUNCTION("""COMPUTED_VALUE"""),"Chia ra:")</f>
        <v>Chia ra:</v>
      </c>
      <c r="C60" s="49"/>
      <c r="D60" s="3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50"/>
      <c r="BA60" s="195"/>
    </row>
    <row r="61" ht="15.75" customHeight="1">
      <c r="A61" s="29"/>
      <c r="B61" s="67" t="str">
        <f>IFERROR(__xludf.DUMMYFUNCTION("""COMPUTED_VALUE""")," + Kiên cố")</f>
        <v> + Kiên cố</v>
      </c>
      <c r="C61" s="31"/>
      <c r="D61" s="31" t="str">
        <f>IFERROR(__xludf.DUMMYFUNCTION("""COMPUTED_VALUE"""),"""")</f>
        <v>"</v>
      </c>
      <c r="E61" s="41">
        <f>IFERROR(__xludf.DUMMYFUNCTION("""COMPUTED_VALUE"""),178.0)</f>
        <v>178</v>
      </c>
      <c r="F61" s="197">
        <f>IFERROR(__xludf.DUMMYFUNCTION("""COMPUTED_VALUE"""),173.0)</f>
        <v>173</v>
      </c>
      <c r="G61" s="197">
        <f>IFERROR(__xludf.DUMMYFUNCTION("""COMPUTED_VALUE"""),0.0)</f>
        <v>0</v>
      </c>
      <c r="H61" s="197">
        <f>IFERROR(__xludf.DUMMYFUNCTION("""COMPUTED_VALUE"""),5.0)</f>
        <v>5</v>
      </c>
      <c r="I61" s="41">
        <f>IFERROR(__xludf.DUMMYFUNCTION("""COMPUTED_VALUE"""),178.0)</f>
        <v>178</v>
      </c>
      <c r="J61" s="197">
        <f>IFERROR(__xludf.DUMMYFUNCTION("""COMPUTED_VALUE"""),173.0)</f>
        <v>173</v>
      </c>
      <c r="K61" s="197">
        <f>IFERROR(__xludf.DUMMYFUNCTION("""COMPUTED_VALUE"""),0.0)</f>
        <v>0</v>
      </c>
      <c r="L61" s="197">
        <f>IFERROR(__xludf.DUMMYFUNCTION("""COMPUTED_VALUE"""),5.0)</f>
        <v>5</v>
      </c>
      <c r="M61" s="41">
        <f>IFERROR(__xludf.DUMMYFUNCTION("""COMPUTED_VALUE"""),178.0)</f>
        <v>178</v>
      </c>
      <c r="N61" s="197">
        <f>IFERROR(__xludf.DUMMYFUNCTION("""COMPUTED_VALUE"""),173.0)</f>
        <v>173</v>
      </c>
      <c r="O61" s="197">
        <f>IFERROR(__xludf.DUMMYFUNCTION("""COMPUTED_VALUE"""),0.0)</f>
        <v>0</v>
      </c>
      <c r="P61" s="197">
        <f>IFERROR(__xludf.DUMMYFUNCTION("""COMPUTED_VALUE"""),5.0)</f>
        <v>5</v>
      </c>
      <c r="Q61" s="41">
        <f>IFERROR(__xludf.DUMMYFUNCTION("""COMPUTED_VALUE"""),177.0)</f>
        <v>177</v>
      </c>
      <c r="R61" s="197">
        <f>IFERROR(__xludf.DUMMYFUNCTION("""COMPUTED_VALUE"""),172.0)</f>
        <v>172</v>
      </c>
      <c r="S61" s="197">
        <f>IFERROR(__xludf.DUMMYFUNCTION("""COMPUTED_VALUE"""),0.0)</f>
        <v>0</v>
      </c>
      <c r="T61" s="197">
        <f>IFERROR(__xludf.DUMMYFUNCTION("""COMPUTED_VALUE"""),5.0)</f>
        <v>5</v>
      </c>
      <c r="U61" s="41">
        <f>IFERROR(__xludf.DUMMYFUNCTION("""COMPUTED_VALUE"""),177.0)</f>
        <v>177</v>
      </c>
      <c r="V61" s="197">
        <f>IFERROR(__xludf.DUMMYFUNCTION("""COMPUTED_VALUE"""),172.0)</f>
        <v>172</v>
      </c>
      <c r="W61" s="197">
        <f>IFERROR(__xludf.DUMMYFUNCTION("""COMPUTED_VALUE"""),0.0)</f>
        <v>0</v>
      </c>
      <c r="X61" s="197">
        <f>IFERROR(__xludf.DUMMYFUNCTION("""COMPUTED_VALUE"""),5.0)</f>
        <v>5</v>
      </c>
      <c r="Y61" s="41">
        <f>IFERROR(__xludf.DUMMYFUNCTION("""COMPUTED_VALUE"""),178.0)</f>
        <v>178</v>
      </c>
      <c r="Z61" s="197">
        <f>IFERROR(__xludf.DUMMYFUNCTION("""COMPUTED_VALUE"""),173.0)</f>
        <v>173</v>
      </c>
      <c r="AA61" s="197">
        <f>IFERROR(__xludf.DUMMYFUNCTION("""COMPUTED_VALUE"""),0.0)</f>
        <v>0</v>
      </c>
      <c r="AB61" s="197">
        <f>IFERROR(__xludf.DUMMYFUNCTION("""COMPUTED_VALUE"""),5.0)</f>
        <v>5</v>
      </c>
      <c r="AC61" s="41">
        <f>IFERROR(__xludf.DUMMYFUNCTION("""COMPUTED_VALUE"""),178.0)</f>
        <v>178</v>
      </c>
      <c r="AD61" s="197">
        <f>IFERROR(__xludf.DUMMYFUNCTION("""COMPUTED_VALUE"""),173.0)</f>
        <v>173</v>
      </c>
      <c r="AE61" s="197">
        <f>IFERROR(__xludf.DUMMYFUNCTION("""COMPUTED_VALUE"""),0.0)</f>
        <v>0</v>
      </c>
      <c r="AF61" s="197">
        <f>IFERROR(__xludf.DUMMYFUNCTION("""COMPUTED_VALUE"""),5.0)</f>
        <v>5</v>
      </c>
      <c r="AG61" s="41">
        <f>IFERROR(__xludf.DUMMYFUNCTION("""COMPUTED_VALUE"""),0.0)</f>
        <v>0</v>
      </c>
      <c r="AH61" s="197">
        <f>IFERROR(__xludf.DUMMYFUNCTION("""COMPUTED_VALUE"""),0.0)</f>
        <v>0</v>
      </c>
      <c r="AI61" s="197">
        <f>IFERROR(__xludf.DUMMYFUNCTION("""COMPUTED_VALUE"""),0.0)</f>
        <v>0</v>
      </c>
      <c r="AJ61" s="197">
        <f>IFERROR(__xludf.DUMMYFUNCTION("""COMPUTED_VALUE"""),0.0)</f>
        <v>0</v>
      </c>
      <c r="AK61" s="41">
        <f>IFERROR(__xludf.DUMMYFUNCTION("""COMPUTED_VALUE"""),0.0)</f>
        <v>0</v>
      </c>
      <c r="AL61" s="197">
        <f>IFERROR(__xludf.DUMMYFUNCTION("""COMPUTED_VALUE"""),0.0)</f>
        <v>0</v>
      </c>
      <c r="AM61" s="197">
        <f>IFERROR(__xludf.DUMMYFUNCTION("""COMPUTED_VALUE"""),0.0)</f>
        <v>0</v>
      </c>
      <c r="AN61" s="197">
        <f>IFERROR(__xludf.DUMMYFUNCTION("""COMPUTED_VALUE"""),0.0)</f>
        <v>0</v>
      </c>
      <c r="AO61" s="41">
        <f>IFERROR(__xludf.DUMMYFUNCTION("""COMPUTED_VALUE"""),0.0)</f>
        <v>0</v>
      </c>
      <c r="AP61" s="197">
        <f>IFERROR(__xludf.DUMMYFUNCTION("""COMPUTED_VALUE"""),0.0)</f>
        <v>0</v>
      </c>
      <c r="AQ61" s="197">
        <f>IFERROR(__xludf.DUMMYFUNCTION("""COMPUTED_VALUE"""),0.0)</f>
        <v>0</v>
      </c>
      <c r="AR61" s="197">
        <f>IFERROR(__xludf.DUMMYFUNCTION("""COMPUTED_VALUE"""),0.0)</f>
        <v>0</v>
      </c>
      <c r="AS61" s="41">
        <f>IFERROR(__xludf.DUMMYFUNCTION("""COMPUTED_VALUE"""),0.0)</f>
        <v>0</v>
      </c>
      <c r="AT61" s="197">
        <f>IFERROR(__xludf.DUMMYFUNCTION("""COMPUTED_VALUE"""),0.0)</f>
        <v>0</v>
      </c>
      <c r="AU61" s="197">
        <f>IFERROR(__xludf.DUMMYFUNCTION("""COMPUTED_VALUE"""),0.0)</f>
        <v>0</v>
      </c>
      <c r="AV61" s="197">
        <f>IFERROR(__xludf.DUMMYFUNCTION("""COMPUTED_VALUE"""),0.0)</f>
        <v>0</v>
      </c>
      <c r="AW61" s="41">
        <f>IFERROR(__xludf.DUMMYFUNCTION("""COMPUTED_VALUE"""),0.0)</f>
        <v>0</v>
      </c>
      <c r="AX61" s="197">
        <f>IFERROR(__xludf.DUMMYFUNCTION("""COMPUTED_VALUE"""),0.0)</f>
        <v>0</v>
      </c>
      <c r="AY61" s="197">
        <f>IFERROR(__xludf.DUMMYFUNCTION("""COMPUTED_VALUE"""),0.0)</f>
        <v>0</v>
      </c>
      <c r="AZ61" s="198">
        <f>IFERROR(__xludf.DUMMYFUNCTION("""COMPUTED_VALUE"""),0.0)</f>
        <v>0</v>
      </c>
      <c r="BA61" s="195"/>
    </row>
    <row r="62" ht="15.75" customHeight="1">
      <c r="A62" s="29"/>
      <c r="B62" s="67" t="str">
        <f>IFERROR(__xludf.DUMMYFUNCTION("""COMPUTED_VALUE""")," + Bán kiên cố")</f>
        <v> + Bán kiên cố</v>
      </c>
      <c r="C62" s="31"/>
      <c r="D62" s="31" t="str">
        <f>IFERROR(__xludf.DUMMYFUNCTION("""COMPUTED_VALUE"""),"""")</f>
        <v>"</v>
      </c>
      <c r="E62" s="41">
        <f>IFERROR(__xludf.DUMMYFUNCTION("""COMPUTED_VALUE"""),47.0)</f>
        <v>47</v>
      </c>
      <c r="F62" s="197">
        <f>IFERROR(__xludf.DUMMYFUNCTION("""COMPUTED_VALUE"""),46.0)</f>
        <v>46</v>
      </c>
      <c r="G62" s="197">
        <f>IFERROR(__xludf.DUMMYFUNCTION("""COMPUTED_VALUE"""),0.0)</f>
        <v>0</v>
      </c>
      <c r="H62" s="197">
        <f>IFERROR(__xludf.DUMMYFUNCTION("""COMPUTED_VALUE"""),1.0)</f>
        <v>1</v>
      </c>
      <c r="I62" s="41">
        <f>IFERROR(__xludf.DUMMYFUNCTION("""COMPUTED_VALUE"""),48.0)</f>
        <v>48</v>
      </c>
      <c r="J62" s="197">
        <f>IFERROR(__xludf.DUMMYFUNCTION("""COMPUTED_VALUE"""),47.0)</f>
        <v>47</v>
      </c>
      <c r="K62" s="197">
        <f>IFERROR(__xludf.DUMMYFUNCTION("""COMPUTED_VALUE"""),0.0)</f>
        <v>0</v>
      </c>
      <c r="L62" s="197">
        <f>IFERROR(__xludf.DUMMYFUNCTION("""COMPUTED_VALUE"""),1.0)</f>
        <v>1</v>
      </c>
      <c r="M62" s="41">
        <f>IFERROR(__xludf.DUMMYFUNCTION("""COMPUTED_VALUE"""),48.0)</f>
        <v>48</v>
      </c>
      <c r="N62" s="197">
        <f>IFERROR(__xludf.DUMMYFUNCTION("""COMPUTED_VALUE"""),47.0)</f>
        <v>47</v>
      </c>
      <c r="O62" s="197">
        <f>IFERROR(__xludf.DUMMYFUNCTION("""COMPUTED_VALUE"""),0.0)</f>
        <v>0</v>
      </c>
      <c r="P62" s="197">
        <f>IFERROR(__xludf.DUMMYFUNCTION("""COMPUTED_VALUE"""),1.0)</f>
        <v>1</v>
      </c>
      <c r="Q62" s="41">
        <f>IFERROR(__xludf.DUMMYFUNCTION("""COMPUTED_VALUE"""),48.0)</f>
        <v>48</v>
      </c>
      <c r="R62" s="197">
        <f>IFERROR(__xludf.DUMMYFUNCTION("""COMPUTED_VALUE"""),47.0)</f>
        <v>47</v>
      </c>
      <c r="S62" s="197">
        <f>IFERROR(__xludf.DUMMYFUNCTION("""COMPUTED_VALUE"""),0.0)</f>
        <v>0</v>
      </c>
      <c r="T62" s="197">
        <f>IFERROR(__xludf.DUMMYFUNCTION("""COMPUTED_VALUE"""),1.0)</f>
        <v>1</v>
      </c>
      <c r="U62" s="41">
        <f>IFERROR(__xludf.DUMMYFUNCTION("""COMPUTED_VALUE"""),48.0)</f>
        <v>48</v>
      </c>
      <c r="V62" s="197">
        <f>IFERROR(__xludf.DUMMYFUNCTION("""COMPUTED_VALUE"""),47.0)</f>
        <v>47</v>
      </c>
      <c r="W62" s="197">
        <f>IFERROR(__xludf.DUMMYFUNCTION("""COMPUTED_VALUE"""),0.0)</f>
        <v>0</v>
      </c>
      <c r="X62" s="197">
        <f>IFERROR(__xludf.DUMMYFUNCTION("""COMPUTED_VALUE"""),1.0)</f>
        <v>1</v>
      </c>
      <c r="Y62" s="41">
        <f>IFERROR(__xludf.DUMMYFUNCTION("""COMPUTED_VALUE"""),48.0)</f>
        <v>48</v>
      </c>
      <c r="Z62" s="197">
        <f>IFERROR(__xludf.DUMMYFUNCTION("""COMPUTED_VALUE"""),46.0)</f>
        <v>46</v>
      </c>
      <c r="AA62" s="197">
        <f>IFERROR(__xludf.DUMMYFUNCTION("""COMPUTED_VALUE"""),0.0)</f>
        <v>0</v>
      </c>
      <c r="AB62" s="197">
        <f>IFERROR(__xludf.DUMMYFUNCTION("""COMPUTED_VALUE"""),2.0)</f>
        <v>2</v>
      </c>
      <c r="AC62" s="41">
        <f>IFERROR(__xludf.DUMMYFUNCTION("""COMPUTED_VALUE"""),48.0)</f>
        <v>48</v>
      </c>
      <c r="AD62" s="197">
        <f>IFERROR(__xludf.DUMMYFUNCTION("""COMPUTED_VALUE"""),46.0)</f>
        <v>46</v>
      </c>
      <c r="AE62" s="197">
        <f>IFERROR(__xludf.DUMMYFUNCTION("""COMPUTED_VALUE"""),0.0)</f>
        <v>0</v>
      </c>
      <c r="AF62" s="197">
        <f>IFERROR(__xludf.DUMMYFUNCTION("""COMPUTED_VALUE"""),2.0)</f>
        <v>2</v>
      </c>
      <c r="AG62" s="41">
        <f>IFERROR(__xludf.DUMMYFUNCTION("""COMPUTED_VALUE"""),0.0)</f>
        <v>0</v>
      </c>
      <c r="AH62" s="197">
        <f>IFERROR(__xludf.DUMMYFUNCTION("""COMPUTED_VALUE"""),0.0)</f>
        <v>0</v>
      </c>
      <c r="AI62" s="197">
        <f>IFERROR(__xludf.DUMMYFUNCTION("""COMPUTED_VALUE"""),0.0)</f>
        <v>0</v>
      </c>
      <c r="AJ62" s="197">
        <f>IFERROR(__xludf.DUMMYFUNCTION("""COMPUTED_VALUE"""),0.0)</f>
        <v>0</v>
      </c>
      <c r="AK62" s="41">
        <f>IFERROR(__xludf.DUMMYFUNCTION("""COMPUTED_VALUE"""),0.0)</f>
        <v>0</v>
      </c>
      <c r="AL62" s="197">
        <f>IFERROR(__xludf.DUMMYFUNCTION("""COMPUTED_VALUE"""),0.0)</f>
        <v>0</v>
      </c>
      <c r="AM62" s="197">
        <f>IFERROR(__xludf.DUMMYFUNCTION("""COMPUTED_VALUE"""),0.0)</f>
        <v>0</v>
      </c>
      <c r="AN62" s="197">
        <f>IFERROR(__xludf.DUMMYFUNCTION("""COMPUTED_VALUE"""),0.0)</f>
        <v>0</v>
      </c>
      <c r="AO62" s="41">
        <f>IFERROR(__xludf.DUMMYFUNCTION("""COMPUTED_VALUE"""),0.0)</f>
        <v>0</v>
      </c>
      <c r="AP62" s="197">
        <f>IFERROR(__xludf.DUMMYFUNCTION("""COMPUTED_VALUE"""),0.0)</f>
        <v>0</v>
      </c>
      <c r="AQ62" s="197">
        <f>IFERROR(__xludf.DUMMYFUNCTION("""COMPUTED_VALUE"""),0.0)</f>
        <v>0</v>
      </c>
      <c r="AR62" s="197">
        <f>IFERROR(__xludf.DUMMYFUNCTION("""COMPUTED_VALUE"""),0.0)</f>
        <v>0</v>
      </c>
      <c r="AS62" s="41">
        <f>IFERROR(__xludf.DUMMYFUNCTION("""COMPUTED_VALUE"""),0.0)</f>
        <v>0</v>
      </c>
      <c r="AT62" s="197">
        <f>IFERROR(__xludf.DUMMYFUNCTION("""COMPUTED_VALUE"""),0.0)</f>
        <v>0</v>
      </c>
      <c r="AU62" s="197">
        <f>IFERROR(__xludf.DUMMYFUNCTION("""COMPUTED_VALUE"""),0.0)</f>
        <v>0</v>
      </c>
      <c r="AV62" s="197">
        <f>IFERROR(__xludf.DUMMYFUNCTION("""COMPUTED_VALUE"""),0.0)</f>
        <v>0</v>
      </c>
      <c r="AW62" s="41">
        <f>IFERROR(__xludf.DUMMYFUNCTION("""COMPUTED_VALUE"""),0.0)</f>
        <v>0</v>
      </c>
      <c r="AX62" s="197">
        <f>IFERROR(__xludf.DUMMYFUNCTION("""COMPUTED_VALUE"""),0.0)</f>
        <v>0</v>
      </c>
      <c r="AY62" s="197">
        <f>IFERROR(__xludf.DUMMYFUNCTION("""COMPUTED_VALUE"""),0.0)</f>
        <v>0</v>
      </c>
      <c r="AZ62" s="198">
        <f>IFERROR(__xludf.DUMMYFUNCTION("""COMPUTED_VALUE"""),0.0)</f>
        <v>0</v>
      </c>
      <c r="BA62" s="195"/>
    </row>
    <row r="63" ht="15.75" customHeight="1">
      <c r="A63" s="29"/>
      <c r="B63" s="67" t="str">
        <f>IFERROR(__xludf.DUMMYFUNCTION("""COMPUTED_VALUE""")," + Tạm")</f>
        <v> + Tạm</v>
      </c>
      <c r="C63" s="31"/>
      <c r="D63" s="31" t="str">
        <f>IFERROR(__xludf.DUMMYFUNCTION("""COMPUTED_VALUE"""),"""")</f>
        <v>"</v>
      </c>
      <c r="E63" s="41">
        <f>IFERROR(__xludf.DUMMYFUNCTION("""COMPUTED_VALUE"""),2.0)</f>
        <v>2</v>
      </c>
      <c r="F63" s="197">
        <f>IFERROR(__xludf.DUMMYFUNCTION("""COMPUTED_VALUE"""),2.0)</f>
        <v>2</v>
      </c>
      <c r="G63" s="197">
        <f>IFERROR(__xludf.DUMMYFUNCTION("""COMPUTED_VALUE"""),0.0)</f>
        <v>0</v>
      </c>
      <c r="H63" s="197">
        <f>IFERROR(__xludf.DUMMYFUNCTION("""COMPUTED_VALUE"""),0.0)</f>
        <v>0</v>
      </c>
      <c r="I63" s="41">
        <f>IFERROR(__xludf.DUMMYFUNCTION("""COMPUTED_VALUE"""),0.0)</f>
        <v>0</v>
      </c>
      <c r="J63" s="197">
        <f>IFERROR(__xludf.DUMMYFUNCTION("""COMPUTED_VALUE"""),0.0)</f>
        <v>0</v>
      </c>
      <c r="K63" s="197">
        <f>IFERROR(__xludf.DUMMYFUNCTION("""COMPUTED_VALUE"""),0.0)</f>
        <v>0</v>
      </c>
      <c r="L63" s="197">
        <f>IFERROR(__xludf.DUMMYFUNCTION("""COMPUTED_VALUE"""),0.0)</f>
        <v>0</v>
      </c>
      <c r="M63" s="41">
        <f>IFERROR(__xludf.DUMMYFUNCTION("""COMPUTED_VALUE"""),0.0)</f>
        <v>0</v>
      </c>
      <c r="N63" s="197">
        <f>IFERROR(__xludf.DUMMYFUNCTION("""COMPUTED_VALUE"""),0.0)</f>
        <v>0</v>
      </c>
      <c r="O63" s="197">
        <f>IFERROR(__xludf.DUMMYFUNCTION("""COMPUTED_VALUE"""),0.0)</f>
        <v>0</v>
      </c>
      <c r="P63" s="197">
        <f>IFERROR(__xludf.DUMMYFUNCTION("""COMPUTED_VALUE"""),0.0)</f>
        <v>0</v>
      </c>
      <c r="Q63" s="41">
        <f>IFERROR(__xludf.DUMMYFUNCTION("""COMPUTED_VALUE"""),0.0)</f>
        <v>0</v>
      </c>
      <c r="R63" s="197">
        <f>IFERROR(__xludf.DUMMYFUNCTION("""COMPUTED_VALUE"""),0.0)</f>
        <v>0</v>
      </c>
      <c r="S63" s="197">
        <f>IFERROR(__xludf.DUMMYFUNCTION("""COMPUTED_VALUE"""),0.0)</f>
        <v>0</v>
      </c>
      <c r="T63" s="197">
        <f>IFERROR(__xludf.DUMMYFUNCTION("""COMPUTED_VALUE"""),0.0)</f>
        <v>0</v>
      </c>
      <c r="U63" s="41">
        <f>IFERROR(__xludf.DUMMYFUNCTION("""COMPUTED_VALUE"""),0.0)</f>
        <v>0</v>
      </c>
      <c r="V63" s="197">
        <f>IFERROR(__xludf.DUMMYFUNCTION("""COMPUTED_VALUE"""),0.0)</f>
        <v>0</v>
      </c>
      <c r="W63" s="197">
        <f>IFERROR(__xludf.DUMMYFUNCTION("""COMPUTED_VALUE"""),0.0)</f>
        <v>0</v>
      </c>
      <c r="X63" s="197">
        <f>IFERROR(__xludf.DUMMYFUNCTION("""COMPUTED_VALUE"""),0.0)</f>
        <v>0</v>
      </c>
      <c r="Y63" s="41">
        <f>IFERROR(__xludf.DUMMYFUNCTION("""COMPUTED_VALUE"""),0.0)</f>
        <v>0</v>
      </c>
      <c r="Z63" s="197">
        <f>IFERROR(__xludf.DUMMYFUNCTION("""COMPUTED_VALUE"""),0.0)</f>
        <v>0</v>
      </c>
      <c r="AA63" s="197">
        <f>IFERROR(__xludf.DUMMYFUNCTION("""COMPUTED_VALUE"""),0.0)</f>
        <v>0</v>
      </c>
      <c r="AB63" s="197">
        <f>IFERROR(__xludf.DUMMYFUNCTION("""COMPUTED_VALUE"""),0.0)</f>
        <v>0</v>
      </c>
      <c r="AC63" s="41">
        <f>IFERROR(__xludf.DUMMYFUNCTION("""COMPUTED_VALUE"""),0.0)</f>
        <v>0</v>
      </c>
      <c r="AD63" s="197">
        <f>IFERROR(__xludf.DUMMYFUNCTION("""COMPUTED_VALUE"""),0.0)</f>
        <v>0</v>
      </c>
      <c r="AE63" s="197">
        <f>IFERROR(__xludf.DUMMYFUNCTION("""COMPUTED_VALUE"""),0.0)</f>
        <v>0</v>
      </c>
      <c r="AF63" s="197">
        <f>IFERROR(__xludf.DUMMYFUNCTION("""COMPUTED_VALUE"""),0.0)</f>
        <v>0</v>
      </c>
      <c r="AG63" s="41">
        <f>IFERROR(__xludf.DUMMYFUNCTION("""COMPUTED_VALUE"""),0.0)</f>
        <v>0</v>
      </c>
      <c r="AH63" s="197">
        <f>IFERROR(__xludf.DUMMYFUNCTION("""COMPUTED_VALUE"""),0.0)</f>
        <v>0</v>
      </c>
      <c r="AI63" s="197">
        <f>IFERROR(__xludf.DUMMYFUNCTION("""COMPUTED_VALUE"""),0.0)</f>
        <v>0</v>
      </c>
      <c r="AJ63" s="197">
        <f>IFERROR(__xludf.DUMMYFUNCTION("""COMPUTED_VALUE"""),0.0)</f>
        <v>0</v>
      </c>
      <c r="AK63" s="41">
        <f>IFERROR(__xludf.DUMMYFUNCTION("""COMPUTED_VALUE"""),0.0)</f>
        <v>0</v>
      </c>
      <c r="AL63" s="197">
        <f>IFERROR(__xludf.DUMMYFUNCTION("""COMPUTED_VALUE"""),0.0)</f>
        <v>0</v>
      </c>
      <c r="AM63" s="197">
        <f>IFERROR(__xludf.DUMMYFUNCTION("""COMPUTED_VALUE"""),0.0)</f>
        <v>0</v>
      </c>
      <c r="AN63" s="197">
        <f>IFERROR(__xludf.DUMMYFUNCTION("""COMPUTED_VALUE"""),0.0)</f>
        <v>0</v>
      </c>
      <c r="AO63" s="41">
        <f>IFERROR(__xludf.DUMMYFUNCTION("""COMPUTED_VALUE"""),0.0)</f>
        <v>0</v>
      </c>
      <c r="AP63" s="197">
        <f>IFERROR(__xludf.DUMMYFUNCTION("""COMPUTED_VALUE"""),0.0)</f>
        <v>0</v>
      </c>
      <c r="AQ63" s="197">
        <f>IFERROR(__xludf.DUMMYFUNCTION("""COMPUTED_VALUE"""),0.0)</f>
        <v>0</v>
      </c>
      <c r="AR63" s="197">
        <f>IFERROR(__xludf.DUMMYFUNCTION("""COMPUTED_VALUE"""),0.0)</f>
        <v>0</v>
      </c>
      <c r="AS63" s="41">
        <f>IFERROR(__xludf.DUMMYFUNCTION("""COMPUTED_VALUE"""),0.0)</f>
        <v>0</v>
      </c>
      <c r="AT63" s="197">
        <f>IFERROR(__xludf.DUMMYFUNCTION("""COMPUTED_VALUE"""),0.0)</f>
        <v>0</v>
      </c>
      <c r="AU63" s="197">
        <f>IFERROR(__xludf.DUMMYFUNCTION("""COMPUTED_VALUE"""),0.0)</f>
        <v>0</v>
      </c>
      <c r="AV63" s="197">
        <f>IFERROR(__xludf.DUMMYFUNCTION("""COMPUTED_VALUE"""),0.0)</f>
        <v>0</v>
      </c>
      <c r="AW63" s="41">
        <f>IFERROR(__xludf.DUMMYFUNCTION("""COMPUTED_VALUE"""),0.0)</f>
        <v>0</v>
      </c>
      <c r="AX63" s="197">
        <f>IFERROR(__xludf.DUMMYFUNCTION("""COMPUTED_VALUE"""),0.0)</f>
        <v>0</v>
      </c>
      <c r="AY63" s="197">
        <f>IFERROR(__xludf.DUMMYFUNCTION("""COMPUTED_VALUE"""),0.0)</f>
        <v>0</v>
      </c>
      <c r="AZ63" s="198">
        <f>IFERROR(__xludf.DUMMYFUNCTION("""COMPUTED_VALUE"""),0.0)</f>
        <v>0</v>
      </c>
      <c r="BA63" s="195"/>
    </row>
    <row r="64" ht="15.75" customHeight="1">
      <c r="A64" s="29"/>
      <c r="B64" s="196" t="str">
        <f>IFERROR(__xludf.DUMMYFUNCTION("""COMPUTED_VALUE"""),"6.3. Phòng đa chức năng")</f>
        <v>6.3. Phòng đa chức năng</v>
      </c>
      <c r="C64" s="57"/>
      <c r="D64" s="57" t="str">
        <f>IFERROR(__xludf.DUMMYFUNCTION("""COMPUTED_VALUE"""),"Phòng")</f>
        <v>Phòng</v>
      </c>
      <c r="E64" s="125">
        <f>IFERROR(__xludf.DUMMYFUNCTION("""COMPUTED_VALUE"""),14.0)</f>
        <v>14</v>
      </c>
      <c r="F64" s="125">
        <f>IFERROR(__xludf.DUMMYFUNCTION("""COMPUTED_VALUE"""),12.0)</f>
        <v>12</v>
      </c>
      <c r="G64" s="125">
        <f>IFERROR(__xludf.DUMMYFUNCTION("""COMPUTED_VALUE"""),0.0)</f>
        <v>0</v>
      </c>
      <c r="H64" s="125">
        <f>IFERROR(__xludf.DUMMYFUNCTION("""COMPUTED_VALUE"""),2.0)</f>
        <v>2</v>
      </c>
      <c r="I64" s="125">
        <f>IFERROR(__xludf.DUMMYFUNCTION("""COMPUTED_VALUE"""),15.0)</f>
        <v>15</v>
      </c>
      <c r="J64" s="125">
        <f>IFERROR(__xludf.DUMMYFUNCTION("""COMPUTED_VALUE"""),13.0)</f>
        <v>13</v>
      </c>
      <c r="K64" s="125">
        <f>IFERROR(__xludf.DUMMYFUNCTION("""COMPUTED_VALUE"""),0.0)</f>
        <v>0</v>
      </c>
      <c r="L64" s="125">
        <f>IFERROR(__xludf.DUMMYFUNCTION("""COMPUTED_VALUE"""),2.0)</f>
        <v>2</v>
      </c>
      <c r="M64" s="125">
        <f>IFERROR(__xludf.DUMMYFUNCTION("""COMPUTED_VALUE"""),15.0)</f>
        <v>15</v>
      </c>
      <c r="N64" s="125">
        <f>IFERROR(__xludf.DUMMYFUNCTION("""COMPUTED_VALUE"""),13.0)</f>
        <v>13</v>
      </c>
      <c r="O64" s="125">
        <f>IFERROR(__xludf.DUMMYFUNCTION("""COMPUTED_VALUE"""),0.0)</f>
        <v>0</v>
      </c>
      <c r="P64" s="125">
        <f>IFERROR(__xludf.DUMMYFUNCTION("""COMPUTED_VALUE"""),2.0)</f>
        <v>2</v>
      </c>
      <c r="Q64" s="125">
        <f>IFERROR(__xludf.DUMMYFUNCTION("""COMPUTED_VALUE"""),17.0)</f>
        <v>17</v>
      </c>
      <c r="R64" s="125">
        <f>IFERROR(__xludf.DUMMYFUNCTION("""COMPUTED_VALUE"""),15.0)</f>
        <v>15</v>
      </c>
      <c r="S64" s="125">
        <f>IFERROR(__xludf.DUMMYFUNCTION("""COMPUTED_VALUE"""),0.0)</f>
        <v>0</v>
      </c>
      <c r="T64" s="125">
        <f>IFERROR(__xludf.DUMMYFUNCTION("""COMPUTED_VALUE"""),2.0)</f>
        <v>2</v>
      </c>
      <c r="U64" s="125">
        <f>IFERROR(__xludf.DUMMYFUNCTION("""COMPUTED_VALUE"""),17.0)</f>
        <v>17</v>
      </c>
      <c r="V64" s="125">
        <f>IFERROR(__xludf.DUMMYFUNCTION("""COMPUTED_VALUE"""),15.0)</f>
        <v>15</v>
      </c>
      <c r="W64" s="125">
        <f>IFERROR(__xludf.DUMMYFUNCTION("""COMPUTED_VALUE"""),0.0)</f>
        <v>0</v>
      </c>
      <c r="X64" s="125">
        <f>IFERROR(__xludf.DUMMYFUNCTION("""COMPUTED_VALUE"""),2.0)</f>
        <v>2</v>
      </c>
      <c r="Y64" s="125">
        <f>IFERROR(__xludf.DUMMYFUNCTION("""COMPUTED_VALUE"""),18.0)</f>
        <v>18</v>
      </c>
      <c r="Z64" s="125">
        <f>IFERROR(__xludf.DUMMYFUNCTION("""COMPUTED_VALUE"""),17.0)</f>
        <v>17</v>
      </c>
      <c r="AA64" s="125">
        <f>IFERROR(__xludf.DUMMYFUNCTION("""COMPUTED_VALUE"""),0.0)</f>
        <v>0</v>
      </c>
      <c r="AB64" s="125">
        <f>IFERROR(__xludf.DUMMYFUNCTION("""COMPUTED_VALUE"""),1.0)</f>
        <v>1</v>
      </c>
      <c r="AC64" s="125">
        <f>IFERROR(__xludf.DUMMYFUNCTION("""COMPUTED_VALUE"""),18.0)</f>
        <v>18</v>
      </c>
      <c r="AD64" s="125">
        <f>IFERROR(__xludf.DUMMYFUNCTION("""COMPUTED_VALUE"""),17.0)</f>
        <v>17</v>
      </c>
      <c r="AE64" s="125">
        <f>IFERROR(__xludf.DUMMYFUNCTION("""COMPUTED_VALUE"""),0.0)</f>
        <v>0</v>
      </c>
      <c r="AF64" s="125">
        <f>IFERROR(__xludf.DUMMYFUNCTION("""COMPUTED_VALUE"""),1.0)</f>
        <v>1</v>
      </c>
      <c r="AG64" s="125">
        <f>IFERROR(__xludf.DUMMYFUNCTION("""COMPUTED_VALUE"""),0.0)</f>
        <v>0</v>
      </c>
      <c r="AH64" s="125">
        <f>IFERROR(__xludf.DUMMYFUNCTION("""COMPUTED_VALUE"""),0.0)</f>
        <v>0</v>
      </c>
      <c r="AI64" s="125">
        <f>IFERROR(__xludf.DUMMYFUNCTION("""COMPUTED_VALUE"""),0.0)</f>
        <v>0</v>
      </c>
      <c r="AJ64" s="125">
        <f>IFERROR(__xludf.DUMMYFUNCTION("""COMPUTED_VALUE"""),0.0)</f>
        <v>0</v>
      </c>
      <c r="AK64" s="125">
        <f>IFERROR(__xludf.DUMMYFUNCTION("""COMPUTED_VALUE"""),0.0)</f>
        <v>0</v>
      </c>
      <c r="AL64" s="125">
        <f>IFERROR(__xludf.DUMMYFUNCTION("""COMPUTED_VALUE"""),0.0)</f>
        <v>0</v>
      </c>
      <c r="AM64" s="125">
        <f>IFERROR(__xludf.DUMMYFUNCTION("""COMPUTED_VALUE"""),0.0)</f>
        <v>0</v>
      </c>
      <c r="AN64" s="125">
        <f>IFERROR(__xludf.DUMMYFUNCTION("""COMPUTED_VALUE"""),0.0)</f>
        <v>0</v>
      </c>
      <c r="AO64" s="125">
        <f>IFERROR(__xludf.DUMMYFUNCTION("""COMPUTED_VALUE"""),0.0)</f>
        <v>0</v>
      </c>
      <c r="AP64" s="125">
        <f>IFERROR(__xludf.DUMMYFUNCTION("""COMPUTED_VALUE"""),0.0)</f>
        <v>0</v>
      </c>
      <c r="AQ64" s="125">
        <f>IFERROR(__xludf.DUMMYFUNCTION("""COMPUTED_VALUE"""),0.0)</f>
        <v>0</v>
      </c>
      <c r="AR64" s="125">
        <f>IFERROR(__xludf.DUMMYFUNCTION("""COMPUTED_VALUE"""),0.0)</f>
        <v>0</v>
      </c>
      <c r="AS64" s="125">
        <f>IFERROR(__xludf.DUMMYFUNCTION("""COMPUTED_VALUE"""),0.0)</f>
        <v>0</v>
      </c>
      <c r="AT64" s="125">
        <f>IFERROR(__xludf.DUMMYFUNCTION("""COMPUTED_VALUE"""),0.0)</f>
        <v>0</v>
      </c>
      <c r="AU64" s="125">
        <f>IFERROR(__xludf.DUMMYFUNCTION("""COMPUTED_VALUE"""),0.0)</f>
        <v>0</v>
      </c>
      <c r="AV64" s="125">
        <f>IFERROR(__xludf.DUMMYFUNCTION("""COMPUTED_VALUE"""),0.0)</f>
        <v>0</v>
      </c>
      <c r="AW64" s="125">
        <f>IFERROR(__xludf.DUMMYFUNCTION("""COMPUTED_VALUE"""),0.0)</f>
        <v>0</v>
      </c>
      <c r="AX64" s="125">
        <f>IFERROR(__xludf.DUMMYFUNCTION("""COMPUTED_VALUE"""),0.0)</f>
        <v>0</v>
      </c>
      <c r="AY64" s="125">
        <f>IFERROR(__xludf.DUMMYFUNCTION("""COMPUTED_VALUE"""),0.0)</f>
        <v>0</v>
      </c>
      <c r="AZ64" s="127">
        <f>IFERROR(__xludf.DUMMYFUNCTION("""COMPUTED_VALUE"""),0.0)</f>
        <v>0</v>
      </c>
      <c r="BA64" s="195"/>
    </row>
    <row r="65" ht="15.75" customHeight="1">
      <c r="A65" s="29"/>
      <c r="B65" s="48" t="str">
        <f>IFERROR(__xludf.DUMMYFUNCTION("""COMPUTED_VALUE"""),"Chia ra:")</f>
        <v>Chia ra:</v>
      </c>
      <c r="C65" s="57"/>
      <c r="D65" s="57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50"/>
      <c r="BA65" s="195"/>
    </row>
    <row r="66" ht="15.75" customHeight="1">
      <c r="A66" s="29"/>
      <c r="B66" s="67" t="str">
        <f>IFERROR(__xludf.DUMMYFUNCTION("""COMPUTED_VALUE""")," + Kiên cố")</f>
        <v> + Kiên cố</v>
      </c>
      <c r="C66" s="31"/>
      <c r="D66" s="31" t="str">
        <f>IFERROR(__xludf.DUMMYFUNCTION("""COMPUTED_VALUE"""),"""")</f>
        <v>"</v>
      </c>
      <c r="E66" s="41">
        <f>IFERROR(__xludf.DUMMYFUNCTION("""COMPUTED_VALUE"""),11.0)</f>
        <v>11</v>
      </c>
      <c r="F66" s="197">
        <f>IFERROR(__xludf.DUMMYFUNCTION("""COMPUTED_VALUE"""),9.0)</f>
        <v>9</v>
      </c>
      <c r="G66" s="197">
        <f>IFERROR(__xludf.DUMMYFUNCTION("""COMPUTED_VALUE"""),0.0)</f>
        <v>0</v>
      </c>
      <c r="H66" s="197">
        <f>IFERROR(__xludf.DUMMYFUNCTION("""COMPUTED_VALUE"""),2.0)</f>
        <v>2</v>
      </c>
      <c r="I66" s="41">
        <f>IFERROR(__xludf.DUMMYFUNCTION("""COMPUTED_VALUE"""),11.0)</f>
        <v>11</v>
      </c>
      <c r="J66" s="197">
        <f>IFERROR(__xludf.DUMMYFUNCTION("""COMPUTED_VALUE"""),9.0)</f>
        <v>9</v>
      </c>
      <c r="K66" s="197">
        <f>IFERROR(__xludf.DUMMYFUNCTION("""COMPUTED_VALUE"""),0.0)</f>
        <v>0</v>
      </c>
      <c r="L66" s="197">
        <f>IFERROR(__xludf.DUMMYFUNCTION("""COMPUTED_VALUE"""),2.0)</f>
        <v>2</v>
      </c>
      <c r="M66" s="41">
        <f>IFERROR(__xludf.DUMMYFUNCTION("""COMPUTED_VALUE"""),11.0)</f>
        <v>11</v>
      </c>
      <c r="N66" s="197">
        <f>IFERROR(__xludf.DUMMYFUNCTION("""COMPUTED_VALUE"""),9.0)</f>
        <v>9</v>
      </c>
      <c r="O66" s="197">
        <f>IFERROR(__xludf.DUMMYFUNCTION("""COMPUTED_VALUE"""),0.0)</f>
        <v>0</v>
      </c>
      <c r="P66" s="197">
        <f>IFERROR(__xludf.DUMMYFUNCTION("""COMPUTED_VALUE"""),2.0)</f>
        <v>2</v>
      </c>
      <c r="Q66" s="41">
        <f>IFERROR(__xludf.DUMMYFUNCTION("""COMPUTED_VALUE"""),12.0)</f>
        <v>12</v>
      </c>
      <c r="R66" s="197">
        <f>IFERROR(__xludf.DUMMYFUNCTION("""COMPUTED_VALUE"""),10.0)</f>
        <v>10</v>
      </c>
      <c r="S66" s="197">
        <f>IFERROR(__xludf.DUMMYFUNCTION("""COMPUTED_VALUE"""),0.0)</f>
        <v>0</v>
      </c>
      <c r="T66" s="197">
        <f>IFERROR(__xludf.DUMMYFUNCTION("""COMPUTED_VALUE"""),2.0)</f>
        <v>2</v>
      </c>
      <c r="U66" s="41">
        <f>IFERROR(__xludf.DUMMYFUNCTION("""COMPUTED_VALUE"""),12.0)</f>
        <v>12</v>
      </c>
      <c r="V66" s="197">
        <f>IFERROR(__xludf.DUMMYFUNCTION("""COMPUTED_VALUE"""),10.0)</f>
        <v>10</v>
      </c>
      <c r="W66" s="197">
        <f>IFERROR(__xludf.DUMMYFUNCTION("""COMPUTED_VALUE"""),0.0)</f>
        <v>0</v>
      </c>
      <c r="X66" s="197">
        <f>IFERROR(__xludf.DUMMYFUNCTION("""COMPUTED_VALUE"""),2.0)</f>
        <v>2</v>
      </c>
      <c r="Y66" s="41">
        <f>IFERROR(__xludf.DUMMYFUNCTION("""COMPUTED_VALUE"""),11.0)</f>
        <v>11</v>
      </c>
      <c r="Z66" s="197">
        <f>IFERROR(__xludf.DUMMYFUNCTION("""COMPUTED_VALUE"""),10.0)</f>
        <v>10</v>
      </c>
      <c r="AA66" s="197">
        <f>IFERROR(__xludf.DUMMYFUNCTION("""COMPUTED_VALUE"""),0.0)</f>
        <v>0</v>
      </c>
      <c r="AB66" s="197">
        <f>IFERROR(__xludf.DUMMYFUNCTION("""COMPUTED_VALUE"""),1.0)</f>
        <v>1</v>
      </c>
      <c r="AC66" s="41">
        <f>IFERROR(__xludf.DUMMYFUNCTION("""COMPUTED_VALUE"""),11.0)</f>
        <v>11</v>
      </c>
      <c r="AD66" s="197">
        <f>IFERROR(__xludf.DUMMYFUNCTION("""COMPUTED_VALUE"""),10.0)</f>
        <v>10</v>
      </c>
      <c r="AE66" s="197">
        <f>IFERROR(__xludf.DUMMYFUNCTION("""COMPUTED_VALUE"""),0.0)</f>
        <v>0</v>
      </c>
      <c r="AF66" s="197">
        <f>IFERROR(__xludf.DUMMYFUNCTION("""COMPUTED_VALUE"""),1.0)</f>
        <v>1</v>
      </c>
      <c r="AG66" s="41">
        <f>IFERROR(__xludf.DUMMYFUNCTION("""COMPUTED_VALUE"""),0.0)</f>
        <v>0</v>
      </c>
      <c r="AH66" s="197">
        <f>IFERROR(__xludf.DUMMYFUNCTION("""COMPUTED_VALUE"""),0.0)</f>
        <v>0</v>
      </c>
      <c r="AI66" s="197">
        <f>IFERROR(__xludf.DUMMYFUNCTION("""COMPUTED_VALUE"""),0.0)</f>
        <v>0</v>
      </c>
      <c r="AJ66" s="197">
        <f>IFERROR(__xludf.DUMMYFUNCTION("""COMPUTED_VALUE"""),0.0)</f>
        <v>0</v>
      </c>
      <c r="AK66" s="41">
        <f>IFERROR(__xludf.DUMMYFUNCTION("""COMPUTED_VALUE"""),0.0)</f>
        <v>0</v>
      </c>
      <c r="AL66" s="197">
        <f>IFERROR(__xludf.DUMMYFUNCTION("""COMPUTED_VALUE"""),0.0)</f>
        <v>0</v>
      </c>
      <c r="AM66" s="197">
        <f>IFERROR(__xludf.DUMMYFUNCTION("""COMPUTED_VALUE"""),0.0)</f>
        <v>0</v>
      </c>
      <c r="AN66" s="197">
        <f>IFERROR(__xludf.DUMMYFUNCTION("""COMPUTED_VALUE"""),0.0)</f>
        <v>0</v>
      </c>
      <c r="AO66" s="41">
        <f>IFERROR(__xludf.DUMMYFUNCTION("""COMPUTED_VALUE"""),0.0)</f>
        <v>0</v>
      </c>
      <c r="AP66" s="197">
        <f>IFERROR(__xludf.DUMMYFUNCTION("""COMPUTED_VALUE"""),0.0)</f>
        <v>0</v>
      </c>
      <c r="AQ66" s="197">
        <f>IFERROR(__xludf.DUMMYFUNCTION("""COMPUTED_VALUE"""),0.0)</f>
        <v>0</v>
      </c>
      <c r="AR66" s="197">
        <f>IFERROR(__xludf.DUMMYFUNCTION("""COMPUTED_VALUE"""),0.0)</f>
        <v>0</v>
      </c>
      <c r="AS66" s="41">
        <f>IFERROR(__xludf.DUMMYFUNCTION("""COMPUTED_VALUE"""),0.0)</f>
        <v>0</v>
      </c>
      <c r="AT66" s="197">
        <f>IFERROR(__xludf.DUMMYFUNCTION("""COMPUTED_VALUE"""),0.0)</f>
        <v>0</v>
      </c>
      <c r="AU66" s="197">
        <f>IFERROR(__xludf.DUMMYFUNCTION("""COMPUTED_VALUE"""),0.0)</f>
        <v>0</v>
      </c>
      <c r="AV66" s="197">
        <f>IFERROR(__xludf.DUMMYFUNCTION("""COMPUTED_VALUE"""),0.0)</f>
        <v>0</v>
      </c>
      <c r="AW66" s="41">
        <f>IFERROR(__xludf.DUMMYFUNCTION("""COMPUTED_VALUE"""),0.0)</f>
        <v>0</v>
      </c>
      <c r="AX66" s="197">
        <f>IFERROR(__xludf.DUMMYFUNCTION("""COMPUTED_VALUE"""),0.0)</f>
        <v>0</v>
      </c>
      <c r="AY66" s="197">
        <f>IFERROR(__xludf.DUMMYFUNCTION("""COMPUTED_VALUE"""),0.0)</f>
        <v>0</v>
      </c>
      <c r="AZ66" s="198">
        <f>IFERROR(__xludf.DUMMYFUNCTION("""COMPUTED_VALUE"""),0.0)</f>
        <v>0</v>
      </c>
      <c r="BA66" s="195"/>
    </row>
    <row r="67" ht="15.75" customHeight="1">
      <c r="A67" s="29"/>
      <c r="B67" s="67" t="str">
        <f>IFERROR(__xludf.DUMMYFUNCTION("""COMPUTED_VALUE""")," + Bán kiên cố")</f>
        <v> + Bán kiên cố</v>
      </c>
      <c r="C67" s="31"/>
      <c r="D67" s="31" t="str">
        <f>IFERROR(__xludf.DUMMYFUNCTION("""COMPUTED_VALUE"""),"""")</f>
        <v>"</v>
      </c>
      <c r="E67" s="41">
        <f>IFERROR(__xludf.DUMMYFUNCTION("""COMPUTED_VALUE"""),3.0)</f>
        <v>3</v>
      </c>
      <c r="F67" s="197">
        <f>IFERROR(__xludf.DUMMYFUNCTION("""COMPUTED_VALUE"""),3.0)</f>
        <v>3</v>
      </c>
      <c r="G67" s="197">
        <f>IFERROR(__xludf.DUMMYFUNCTION("""COMPUTED_VALUE"""),0.0)</f>
        <v>0</v>
      </c>
      <c r="H67" s="197">
        <f>IFERROR(__xludf.DUMMYFUNCTION("""COMPUTED_VALUE"""),0.0)</f>
        <v>0</v>
      </c>
      <c r="I67" s="41">
        <f>IFERROR(__xludf.DUMMYFUNCTION("""COMPUTED_VALUE"""),4.0)</f>
        <v>4</v>
      </c>
      <c r="J67" s="197">
        <f>IFERROR(__xludf.DUMMYFUNCTION("""COMPUTED_VALUE"""),4.0)</f>
        <v>4</v>
      </c>
      <c r="K67" s="197">
        <f>IFERROR(__xludf.DUMMYFUNCTION("""COMPUTED_VALUE"""),0.0)</f>
        <v>0</v>
      </c>
      <c r="L67" s="197">
        <f>IFERROR(__xludf.DUMMYFUNCTION("""COMPUTED_VALUE"""),0.0)</f>
        <v>0</v>
      </c>
      <c r="M67" s="41">
        <f>IFERROR(__xludf.DUMMYFUNCTION("""COMPUTED_VALUE"""),4.0)</f>
        <v>4</v>
      </c>
      <c r="N67" s="197">
        <f>IFERROR(__xludf.DUMMYFUNCTION("""COMPUTED_VALUE"""),4.0)</f>
        <v>4</v>
      </c>
      <c r="O67" s="197">
        <f>IFERROR(__xludf.DUMMYFUNCTION("""COMPUTED_VALUE"""),0.0)</f>
        <v>0</v>
      </c>
      <c r="P67" s="197">
        <f>IFERROR(__xludf.DUMMYFUNCTION("""COMPUTED_VALUE"""),0.0)</f>
        <v>0</v>
      </c>
      <c r="Q67" s="41">
        <f>IFERROR(__xludf.DUMMYFUNCTION("""COMPUTED_VALUE"""),5.0)</f>
        <v>5</v>
      </c>
      <c r="R67" s="197">
        <f>IFERROR(__xludf.DUMMYFUNCTION("""COMPUTED_VALUE"""),5.0)</f>
        <v>5</v>
      </c>
      <c r="S67" s="197">
        <f>IFERROR(__xludf.DUMMYFUNCTION("""COMPUTED_VALUE"""),0.0)</f>
        <v>0</v>
      </c>
      <c r="T67" s="197">
        <f>IFERROR(__xludf.DUMMYFUNCTION("""COMPUTED_VALUE"""),0.0)</f>
        <v>0</v>
      </c>
      <c r="U67" s="41">
        <f>IFERROR(__xludf.DUMMYFUNCTION("""COMPUTED_VALUE"""),5.0)</f>
        <v>5</v>
      </c>
      <c r="V67" s="197">
        <f>IFERROR(__xludf.DUMMYFUNCTION("""COMPUTED_VALUE"""),5.0)</f>
        <v>5</v>
      </c>
      <c r="W67" s="197">
        <f>IFERROR(__xludf.DUMMYFUNCTION("""COMPUTED_VALUE"""),0.0)</f>
        <v>0</v>
      </c>
      <c r="X67" s="197">
        <f>IFERROR(__xludf.DUMMYFUNCTION("""COMPUTED_VALUE"""),0.0)</f>
        <v>0</v>
      </c>
      <c r="Y67" s="41">
        <f>IFERROR(__xludf.DUMMYFUNCTION("""COMPUTED_VALUE"""),7.0)</f>
        <v>7</v>
      </c>
      <c r="Z67" s="197">
        <f>IFERROR(__xludf.DUMMYFUNCTION("""COMPUTED_VALUE"""),7.0)</f>
        <v>7</v>
      </c>
      <c r="AA67" s="197">
        <f>IFERROR(__xludf.DUMMYFUNCTION("""COMPUTED_VALUE"""),0.0)</f>
        <v>0</v>
      </c>
      <c r="AB67" s="197">
        <f>IFERROR(__xludf.DUMMYFUNCTION("""COMPUTED_VALUE"""),0.0)</f>
        <v>0</v>
      </c>
      <c r="AC67" s="41">
        <f>IFERROR(__xludf.DUMMYFUNCTION("""COMPUTED_VALUE"""),7.0)</f>
        <v>7</v>
      </c>
      <c r="AD67" s="197">
        <f>IFERROR(__xludf.DUMMYFUNCTION("""COMPUTED_VALUE"""),7.0)</f>
        <v>7</v>
      </c>
      <c r="AE67" s="197">
        <f>IFERROR(__xludf.DUMMYFUNCTION("""COMPUTED_VALUE"""),0.0)</f>
        <v>0</v>
      </c>
      <c r="AF67" s="197">
        <f>IFERROR(__xludf.DUMMYFUNCTION("""COMPUTED_VALUE"""),0.0)</f>
        <v>0</v>
      </c>
      <c r="AG67" s="41">
        <f>IFERROR(__xludf.DUMMYFUNCTION("""COMPUTED_VALUE"""),0.0)</f>
        <v>0</v>
      </c>
      <c r="AH67" s="197">
        <f>IFERROR(__xludf.DUMMYFUNCTION("""COMPUTED_VALUE"""),0.0)</f>
        <v>0</v>
      </c>
      <c r="AI67" s="197">
        <f>IFERROR(__xludf.DUMMYFUNCTION("""COMPUTED_VALUE"""),0.0)</f>
        <v>0</v>
      </c>
      <c r="AJ67" s="197">
        <f>IFERROR(__xludf.DUMMYFUNCTION("""COMPUTED_VALUE"""),0.0)</f>
        <v>0</v>
      </c>
      <c r="AK67" s="41">
        <f>IFERROR(__xludf.DUMMYFUNCTION("""COMPUTED_VALUE"""),0.0)</f>
        <v>0</v>
      </c>
      <c r="AL67" s="197">
        <f>IFERROR(__xludf.DUMMYFUNCTION("""COMPUTED_VALUE"""),0.0)</f>
        <v>0</v>
      </c>
      <c r="AM67" s="197">
        <f>IFERROR(__xludf.DUMMYFUNCTION("""COMPUTED_VALUE"""),0.0)</f>
        <v>0</v>
      </c>
      <c r="AN67" s="197">
        <f>IFERROR(__xludf.DUMMYFUNCTION("""COMPUTED_VALUE"""),0.0)</f>
        <v>0</v>
      </c>
      <c r="AO67" s="41">
        <f>IFERROR(__xludf.DUMMYFUNCTION("""COMPUTED_VALUE"""),0.0)</f>
        <v>0</v>
      </c>
      <c r="AP67" s="197">
        <f>IFERROR(__xludf.DUMMYFUNCTION("""COMPUTED_VALUE"""),0.0)</f>
        <v>0</v>
      </c>
      <c r="AQ67" s="197">
        <f>IFERROR(__xludf.DUMMYFUNCTION("""COMPUTED_VALUE"""),0.0)</f>
        <v>0</v>
      </c>
      <c r="AR67" s="197">
        <f>IFERROR(__xludf.DUMMYFUNCTION("""COMPUTED_VALUE"""),0.0)</f>
        <v>0</v>
      </c>
      <c r="AS67" s="41">
        <f>IFERROR(__xludf.DUMMYFUNCTION("""COMPUTED_VALUE"""),0.0)</f>
        <v>0</v>
      </c>
      <c r="AT67" s="197">
        <f>IFERROR(__xludf.DUMMYFUNCTION("""COMPUTED_VALUE"""),0.0)</f>
        <v>0</v>
      </c>
      <c r="AU67" s="197">
        <f>IFERROR(__xludf.DUMMYFUNCTION("""COMPUTED_VALUE"""),0.0)</f>
        <v>0</v>
      </c>
      <c r="AV67" s="197">
        <f>IFERROR(__xludf.DUMMYFUNCTION("""COMPUTED_VALUE"""),0.0)</f>
        <v>0</v>
      </c>
      <c r="AW67" s="41">
        <f>IFERROR(__xludf.DUMMYFUNCTION("""COMPUTED_VALUE"""),0.0)</f>
        <v>0</v>
      </c>
      <c r="AX67" s="197">
        <f>IFERROR(__xludf.DUMMYFUNCTION("""COMPUTED_VALUE"""),0.0)</f>
        <v>0</v>
      </c>
      <c r="AY67" s="197">
        <f>IFERROR(__xludf.DUMMYFUNCTION("""COMPUTED_VALUE"""),0.0)</f>
        <v>0</v>
      </c>
      <c r="AZ67" s="198">
        <f>IFERROR(__xludf.DUMMYFUNCTION("""COMPUTED_VALUE"""),0.0)</f>
        <v>0</v>
      </c>
      <c r="BA67" s="195"/>
    </row>
    <row r="68" ht="15.75" customHeight="1">
      <c r="A68" s="29"/>
      <c r="B68" s="67" t="str">
        <f>IFERROR(__xludf.DUMMYFUNCTION("""COMPUTED_VALUE""")," + Tạm")</f>
        <v> + Tạm</v>
      </c>
      <c r="C68" s="31"/>
      <c r="D68" s="31" t="str">
        <f>IFERROR(__xludf.DUMMYFUNCTION("""COMPUTED_VALUE"""),"""")</f>
        <v>"</v>
      </c>
      <c r="E68" s="41">
        <f>IFERROR(__xludf.DUMMYFUNCTION("""COMPUTED_VALUE"""),0.0)</f>
        <v>0</v>
      </c>
      <c r="F68" s="197">
        <f>IFERROR(__xludf.DUMMYFUNCTION("""COMPUTED_VALUE"""),0.0)</f>
        <v>0</v>
      </c>
      <c r="G68" s="197">
        <f>IFERROR(__xludf.DUMMYFUNCTION("""COMPUTED_VALUE"""),0.0)</f>
        <v>0</v>
      </c>
      <c r="H68" s="197">
        <f>IFERROR(__xludf.DUMMYFUNCTION("""COMPUTED_VALUE"""),0.0)</f>
        <v>0</v>
      </c>
      <c r="I68" s="41">
        <f>IFERROR(__xludf.DUMMYFUNCTION("""COMPUTED_VALUE"""),0.0)</f>
        <v>0</v>
      </c>
      <c r="J68" s="197">
        <f>IFERROR(__xludf.DUMMYFUNCTION("""COMPUTED_VALUE"""),0.0)</f>
        <v>0</v>
      </c>
      <c r="K68" s="197">
        <f>IFERROR(__xludf.DUMMYFUNCTION("""COMPUTED_VALUE"""),0.0)</f>
        <v>0</v>
      </c>
      <c r="L68" s="197">
        <f>IFERROR(__xludf.DUMMYFUNCTION("""COMPUTED_VALUE"""),0.0)</f>
        <v>0</v>
      </c>
      <c r="M68" s="41">
        <f>IFERROR(__xludf.DUMMYFUNCTION("""COMPUTED_VALUE"""),0.0)</f>
        <v>0</v>
      </c>
      <c r="N68" s="197">
        <f>IFERROR(__xludf.DUMMYFUNCTION("""COMPUTED_VALUE"""),0.0)</f>
        <v>0</v>
      </c>
      <c r="O68" s="197">
        <f>IFERROR(__xludf.DUMMYFUNCTION("""COMPUTED_VALUE"""),0.0)</f>
        <v>0</v>
      </c>
      <c r="P68" s="197">
        <f>IFERROR(__xludf.DUMMYFUNCTION("""COMPUTED_VALUE"""),0.0)</f>
        <v>0</v>
      </c>
      <c r="Q68" s="41">
        <f>IFERROR(__xludf.DUMMYFUNCTION("""COMPUTED_VALUE"""),0.0)</f>
        <v>0</v>
      </c>
      <c r="R68" s="197">
        <f>IFERROR(__xludf.DUMMYFUNCTION("""COMPUTED_VALUE"""),0.0)</f>
        <v>0</v>
      </c>
      <c r="S68" s="197">
        <f>IFERROR(__xludf.DUMMYFUNCTION("""COMPUTED_VALUE"""),0.0)</f>
        <v>0</v>
      </c>
      <c r="T68" s="197">
        <f>IFERROR(__xludf.DUMMYFUNCTION("""COMPUTED_VALUE"""),0.0)</f>
        <v>0</v>
      </c>
      <c r="U68" s="41">
        <f>IFERROR(__xludf.DUMMYFUNCTION("""COMPUTED_VALUE"""),0.0)</f>
        <v>0</v>
      </c>
      <c r="V68" s="197">
        <f>IFERROR(__xludf.DUMMYFUNCTION("""COMPUTED_VALUE"""),0.0)</f>
        <v>0</v>
      </c>
      <c r="W68" s="197">
        <f>IFERROR(__xludf.DUMMYFUNCTION("""COMPUTED_VALUE"""),0.0)</f>
        <v>0</v>
      </c>
      <c r="X68" s="197">
        <f>IFERROR(__xludf.DUMMYFUNCTION("""COMPUTED_VALUE"""),0.0)</f>
        <v>0</v>
      </c>
      <c r="Y68" s="41">
        <f>IFERROR(__xludf.DUMMYFUNCTION("""COMPUTED_VALUE"""),0.0)</f>
        <v>0</v>
      </c>
      <c r="Z68" s="197">
        <f>IFERROR(__xludf.DUMMYFUNCTION("""COMPUTED_VALUE"""),0.0)</f>
        <v>0</v>
      </c>
      <c r="AA68" s="197">
        <f>IFERROR(__xludf.DUMMYFUNCTION("""COMPUTED_VALUE"""),0.0)</f>
        <v>0</v>
      </c>
      <c r="AB68" s="197">
        <f>IFERROR(__xludf.DUMMYFUNCTION("""COMPUTED_VALUE"""),0.0)</f>
        <v>0</v>
      </c>
      <c r="AC68" s="41">
        <f>IFERROR(__xludf.DUMMYFUNCTION("""COMPUTED_VALUE"""),0.0)</f>
        <v>0</v>
      </c>
      <c r="AD68" s="197">
        <f>IFERROR(__xludf.DUMMYFUNCTION("""COMPUTED_VALUE"""),0.0)</f>
        <v>0</v>
      </c>
      <c r="AE68" s="197">
        <f>IFERROR(__xludf.DUMMYFUNCTION("""COMPUTED_VALUE"""),0.0)</f>
        <v>0</v>
      </c>
      <c r="AF68" s="197">
        <f>IFERROR(__xludf.DUMMYFUNCTION("""COMPUTED_VALUE"""),0.0)</f>
        <v>0</v>
      </c>
      <c r="AG68" s="41">
        <f>IFERROR(__xludf.DUMMYFUNCTION("""COMPUTED_VALUE"""),0.0)</f>
        <v>0</v>
      </c>
      <c r="AH68" s="197">
        <f>IFERROR(__xludf.DUMMYFUNCTION("""COMPUTED_VALUE"""),0.0)</f>
        <v>0</v>
      </c>
      <c r="AI68" s="197">
        <f>IFERROR(__xludf.DUMMYFUNCTION("""COMPUTED_VALUE"""),0.0)</f>
        <v>0</v>
      </c>
      <c r="AJ68" s="197">
        <f>IFERROR(__xludf.DUMMYFUNCTION("""COMPUTED_VALUE"""),0.0)</f>
        <v>0</v>
      </c>
      <c r="AK68" s="41">
        <f>IFERROR(__xludf.DUMMYFUNCTION("""COMPUTED_VALUE"""),0.0)</f>
        <v>0</v>
      </c>
      <c r="AL68" s="197">
        <f>IFERROR(__xludf.DUMMYFUNCTION("""COMPUTED_VALUE"""),0.0)</f>
        <v>0</v>
      </c>
      <c r="AM68" s="197">
        <f>IFERROR(__xludf.DUMMYFUNCTION("""COMPUTED_VALUE"""),0.0)</f>
        <v>0</v>
      </c>
      <c r="AN68" s="197">
        <f>IFERROR(__xludf.DUMMYFUNCTION("""COMPUTED_VALUE"""),0.0)</f>
        <v>0</v>
      </c>
      <c r="AO68" s="41">
        <f>IFERROR(__xludf.DUMMYFUNCTION("""COMPUTED_VALUE"""),0.0)</f>
        <v>0</v>
      </c>
      <c r="AP68" s="197">
        <f>IFERROR(__xludf.DUMMYFUNCTION("""COMPUTED_VALUE"""),0.0)</f>
        <v>0</v>
      </c>
      <c r="AQ68" s="197">
        <f>IFERROR(__xludf.DUMMYFUNCTION("""COMPUTED_VALUE"""),0.0)</f>
        <v>0</v>
      </c>
      <c r="AR68" s="197">
        <f>IFERROR(__xludf.DUMMYFUNCTION("""COMPUTED_VALUE"""),0.0)</f>
        <v>0</v>
      </c>
      <c r="AS68" s="41">
        <f>IFERROR(__xludf.DUMMYFUNCTION("""COMPUTED_VALUE"""),0.0)</f>
        <v>0</v>
      </c>
      <c r="AT68" s="197">
        <f>IFERROR(__xludf.DUMMYFUNCTION("""COMPUTED_VALUE"""),0.0)</f>
        <v>0</v>
      </c>
      <c r="AU68" s="197">
        <f>IFERROR(__xludf.DUMMYFUNCTION("""COMPUTED_VALUE"""),0.0)</f>
        <v>0</v>
      </c>
      <c r="AV68" s="197">
        <f>IFERROR(__xludf.DUMMYFUNCTION("""COMPUTED_VALUE"""),0.0)</f>
        <v>0</v>
      </c>
      <c r="AW68" s="41">
        <f>IFERROR(__xludf.DUMMYFUNCTION("""COMPUTED_VALUE"""),0.0)</f>
        <v>0</v>
      </c>
      <c r="AX68" s="197">
        <f>IFERROR(__xludf.DUMMYFUNCTION("""COMPUTED_VALUE"""),0.0)</f>
        <v>0</v>
      </c>
      <c r="AY68" s="197">
        <f>IFERROR(__xludf.DUMMYFUNCTION("""COMPUTED_VALUE"""),0.0)</f>
        <v>0</v>
      </c>
      <c r="AZ68" s="198">
        <f>IFERROR(__xludf.DUMMYFUNCTION("""COMPUTED_VALUE"""),0.0)</f>
        <v>0</v>
      </c>
      <c r="BA68" s="195"/>
    </row>
    <row r="69" ht="15.75" customHeight="1">
      <c r="A69" s="29"/>
      <c r="B69" s="30" t="str">
        <f>IFERROR(__xludf.DUMMYFUNCTION("""COMPUTED_VALUE"""),"7. KHỐI PHÒNG HỖ TRỢ HỌC TẬP")</f>
        <v>7. KHỐI PHÒNG HỖ TRỢ HỌC TẬP</v>
      </c>
      <c r="C69" s="31"/>
      <c r="D69" s="31"/>
      <c r="E69" s="32">
        <f>IFERROR(__xludf.DUMMYFUNCTION("""COMPUTED_VALUE"""),137.0)</f>
        <v>137</v>
      </c>
      <c r="F69" s="32">
        <f>IFERROR(__xludf.DUMMYFUNCTION("""COMPUTED_VALUE"""),133.0)</f>
        <v>133</v>
      </c>
      <c r="G69" s="32">
        <f>IFERROR(__xludf.DUMMYFUNCTION("""COMPUTED_VALUE"""),0.0)</f>
        <v>0</v>
      </c>
      <c r="H69" s="32">
        <f>IFERROR(__xludf.DUMMYFUNCTION("""COMPUTED_VALUE"""),4.0)</f>
        <v>4</v>
      </c>
      <c r="I69" s="32">
        <f>IFERROR(__xludf.DUMMYFUNCTION("""COMPUTED_VALUE"""),137.0)</f>
        <v>137</v>
      </c>
      <c r="J69" s="32">
        <f>IFERROR(__xludf.DUMMYFUNCTION("""COMPUTED_VALUE"""),133.0)</f>
        <v>133</v>
      </c>
      <c r="K69" s="32">
        <f>IFERROR(__xludf.DUMMYFUNCTION("""COMPUTED_VALUE"""),0.0)</f>
        <v>0</v>
      </c>
      <c r="L69" s="32">
        <f>IFERROR(__xludf.DUMMYFUNCTION("""COMPUTED_VALUE"""),4.0)</f>
        <v>4</v>
      </c>
      <c r="M69" s="32">
        <f>IFERROR(__xludf.DUMMYFUNCTION("""COMPUTED_VALUE"""),137.0)</f>
        <v>137</v>
      </c>
      <c r="N69" s="32">
        <f>IFERROR(__xludf.DUMMYFUNCTION("""COMPUTED_VALUE"""),133.0)</f>
        <v>133</v>
      </c>
      <c r="O69" s="32">
        <f>IFERROR(__xludf.DUMMYFUNCTION("""COMPUTED_VALUE"""),0.0)</f>
        <v>0</v>
      </c>
      <c r="P69" s="32">
        <f>IFERROR(__xludf.DUMMYFUNCTION("""COMPUTED_VALUE"""),4.0)</f>
        <v>4</v>
      </c>
      <c r="Q69" s="32">
        <f>IFERROR(__xludf.DUMMYFUNCTION("""COMPUTED_VALUE"""),134.0)</f>
        <v>134</v>
      </c>
      <c r="R69" s="32">
        <f>IFERROR(__xludf.DUMMYFUNCTION("""COMPUTED_VALUE"""),130.0)</f>
        <v>130</v>
      </c>
      <c r="S69" s="32">
        <f>IFERROR(__xludf.DUMMYFUNCTION("""COMPUTED_VALUE"""),0.0)</f>
        <v>0</v>
      </c>
      <c r="T69" s="32">
        <f>IFERROR(__xludf.DUMMYFUNCTION("""COMPUTED_VALUE"""),4.0)</f>
        <v>4</v>
      </c>
      <c r="U69" s="32">
        <f>IFERROR(__xludf.DUMMYFUNCTION("""COMPUTED_VALUE"""),134.0)</f>
        <v>134</v>
      </c>
      <c r="V69" s="32">
        <f>IFERROR(__xludf.DUMMYFUNCTION("""COMPUTED_VALUE"""),130.0)</f>
        <v>130</v>
      </c>
      <c r="W69" s="32">
        <f>IFERROR(__xludf.DUMMYFUNCTION("""COMPUTED_VALUE"""),0.0)</f>
        <v>0</v>
      </c>
      <c r="X69" s="32">
        <f>IFERROR(__xludf.DUMMYFUNCTION("""COMPUTED_VALUE"""),4.0)</f>
        <v>4</v>
      </c>
      <c r="Y69" s="32">
        <f>IFERROR(__xludf.DUMMYFUNCTION("""COMPUTED_VALUE"""),143.0)</f>
        <v>143</v>
      </c>
      <c r="Z69" s="32">
        <f>IFERROR(__xludf.DUMMYFUNCTION("""COMPUTED_VALUE"""),143.0)</f>
        <v>143</v>
      </c>
      <c r="AA69" s="32">
        <f>IFERROR(__xludf.DUMMYFUNCTION("""COMPUTED_VALUE"""),0.0)</f>
        <v>0</v>
      </c>
      <c r="AB69" s="32">
        <f>IFERROR(__xludf.DUMMYFUNCTION("""COMPUTED_VALUE"""),0.0)</f>
        <v>0</v>
      </c>
      <c r="AC69" s="32">
        <f>IFERROR(__xludf.DUMMYFUNCTION("""COMPUTED_VALUE"""),157.0)</f>
        <v>157</v>
      </c>
      <c r="AD69" s="32">
        <f>IFERROR(__xludf.DUMMYFUNCTION("""COMPUTED_VALUE"""),153.0)</f>
        <v>153</v>
      </c>
      <c r="AE69" s="32">
        <f>IFERROR(__xludf.DUMMYFUNCTION("""COMPUTED_VALUE"""),0.0)</f>
        <v>0</v>
      </c>
      <c r="AF69" s="32">
        <f>IFERROR(__xludf.DUMMYFUNCTION("""COMPUTED_VALUE"""),4.0)</f>
        <v>4</v>
      </c>
      <c r="AG69" s="32">
        <f>IFERROR(__xludf.DUMMYFUNCTION("""COMPUTED_VALUE"""),0.0)</f>
        <v>0</v>
      </c>
      <c r="AH69" s="32">
        <f>IFERROR(__xludf.DUMMYFUNCTION("""COMPUTED_VALUE"""),0.0)</f>
        <v>0</v>
      </c>
      <c r="AI69" s="32">
        <f>IFERROR(__xludf.DUMMYFUNCTION("""COMPUTED_VALUE"""),0.0)</f>
        <v>0</v>
      </c>
      <c r="AJ69" s="32">
        <f>IFERROR(__xludf.DUMMYFUNCTION("""COMPUTED_VALUE"""),0.0)</f>
        <v>0</v>
      </c>
      <c r="AK69" s="32">
        <f>IFERROR(__xludf.DUMMYFUNCTION("""COMPUTED_VALUE"""),0.0)</f>
        <v>0</v>
      </c>
      <c r="AL69" s="32">
        <f>IFERROR(__xludf.DUMMYFUNCTION("""COMPUTED_VALUE"""),0.0)</f>
        <v>0</v>
      </c>
      <c r="AM69" s="32">
        <f>IFERROR(__xludf.DUMMYFUNCTION("""COMPUTED_VALUE"""),0.0)</f>
        <v>0</v>
      </c>
      <c r="AN69" s="32">
        <f>IFERROR(__xludf.DUMMYFUNCTION("""COMPUTED_VALUE"""),0.0)</f>
        <v>0</v>
      </c>
      <c r="AO69" s="32">
        <f>IFERROR(__xludf.DUMMYFUNCTION("""COMPUTED_VALUE"""),0.0)</f>
        <v>0</v>
      </c>
      <c r="AP69" s="32">
        <f>IFERROR(__xludf.DUMMYFUNCTION("""COMPUTED_VALUE"""),0.0)</f>
        <v>0</v>
      </c>
      <c r="AQ69" s="32">
        <f>IFERROR(__xludf.DUMMYFUNCTION("""COMPUTED_VALUE"""),0.0)</f>
        <v>0</v>
      </c>
      <c r="AR69" s="32">
        <f>IFERROR(__xludf.DUMMYFUNCTION("""COMPUTED_VALUE"""),0.0)</f>
        <v>0</v>
      </c>
      <c r="AS69" s="32">
        <f>IFERROR(__xludf.DUMMYFUNCTION("""COMPUTED_VALUE"""),0.0)</f>
        <v>0</v>
      </c>
      <c r="AT69" s="32">
        <f>IFERROR(__xludf.DUMMYFUNCTION("""COMPUTED_VALUE"""),0.0)</f>
        <v>0</v>
      </c>
      <c r="AU69" s="32">
        <f>IFERROR(__xludf.DUMMYFUNCTION("""COMPUTED_VALUE"""),0.0)</f>
        <v>0</v>
      </c>
      <c r="AV69" s="32">
        <f>IFERROR(__xludf.DUMMYFUNCTION("""COMPUTED_VALUE"""),0.0)</f>
        <v>0</v>
      </c>
      <c r="AW69" s="32">
        <f>IFERROR(__xludf.DUMMYFUNCTION("""COMPUTED_VALUE"""),0.0)</f>
        <v>0</v>
      </c>
      <c r="AX69" s="32">
        <f>IFERROR(__xludf.DUMMYFUNCTION("""COMPUTED_VALUE"""),0.0)</f>
        <v>0</v>
      </c>
      <c r="AY69" s="32">
        <f>IFERROR(__xludf.DUMMYFUNCTION("""COMPUTED_VALUE"""),0.0)</f>
        <v>0</v>
      </c>
      <c r="AZ69" s="33">
        <f>IFERROR(__xludf.DUMMYFUNCTION("""COMPUTED_VALUE"""),0.0)</f>
        <v>0</v>
      </c>
      <c r="BA69" s="195"/>
    </row>
    <row r="70" ht="15.75" customHeight="1">
      <c r="A70" s="29"/>
      <c r="B70" s="196" t="str">
        <f>IFERROR(__xludf.DUMMYFUNCTION("""COMPUTED_VALUE"""),"7.1. Tổng số thư viện")</f>
        <v>7.1. Tổng số thư viện</v>
      </c>
      <c r="C70" s="57"/>
      <c r="D70" s="57" t="str">
        <f>IFERROR(__xludf.DUMMYFUNCTION("""COMPUTED_VALUE"""),"Phòng")</f>
        <v>Phòng</v>
      </c>
      <c r="E70" s="125">
        <f>IFERROR(__xludf.DUMMYFUNCTION("""COMPUTED_VALUE"""),18.0)</f>
        <v>18</v>
      </c>
      <c r="F70" s="125">
        <f>IFERROR(__xludf.DUMMYFUNCTION("""COMPUTED_VALUE"""),18.0)</f>
        <v>18</v>
      </c>
      <c r="G70" s="125">
        <f>IFERROR(__xludf.DUMMYFUNCTION("""COMPUTED_VALUE"""),0.0)</f>
        <v>0</v>
      </c>
      <c r="H70" s="125">
        <f>IFERROR(__xludf.DUMMYFUNCTION("""COMPUTED_VALUE"""),0.0)</f>
        <v>0</v>
      </c>
      <c r="I70" s="125">
        <f>IFERROR(__xludf.DUMMYFUNCTION("""COMPUTED_VALUE"""),18.0)</f>
        <v>18</v>
      </c>
      <c r="J70" s="125">
        <f>IFERROR(__xludf.DUMMYFUNCTION("""COMPUTED_VALUE"""),18.0)</f>
        <v>18</v>
      </c>
      <c r="K70" s="125">
        <f>IFERROR(__xludf.DUMMYFUNCTION("""COMPUTED_VALUE"""),0.0)</f>
        <v>0</v>
      </c>
      <c r="L70" s="125">
        <f>IFERROR(__xludf.DUMMYFUNCTION("""COMPUTED_VALUE"""),0.0)</f>
        <v>0</v>
      </c>
      <c r="M70" s="125">
        <f>IFERROR(__xludf.DUMMYFUNCTION("""COMPUTED_VALUE"""),18.0)</f>
        <v>18</v>
      </c>
      <c r="N70" s="125">
        <f>IFERROR(__xludf.DUMMYFUNCTION("""COMPUTED_VALUE"""),18.0)</f>
        <v>18</v>
      </c>
      <c r="O70" s="125">
        <f>IFERROR(__xludf.DUMMYFUNCTION("""COMPUTED_VALUE"""),0.0)</f>
        <v>0</v>
      </c>
      <c r="P70" s="125">
        <f>IFERROR(__xludf.DUMMYFUNCTION("""COMPUTED_VALUE"""),0.0)</f>
        <v>0</v>
      </c>
      <c r="Q70" s="125">
        <f>IFERROR(__xludf.DUMMYFUNCTION("""COMPUTED_VALUE"""),16.0)</f>
        <v>16</v>
      </c>
      <c r="R70" s="125">
        <f>IFERROR(__xludf.DUMMYFUNCTION("""COMPUTED_VALUE"""),16.0)</f>
        <v>16</v>
      </c>
      <c r="S70" s="125">
        <f>IFERROR(__xludf.DUMMYFUNCTION("""COMPUTED_VALUE"""),0.0)</f>
        <v>0</v>
      </c>
      <c r="T70" s="125">
        <f>IFERROR(__xludf.DUMMYFUNCTION("""COMPUTED_VALUE"""),0.0)</f>
        <v>0</v>
      </c>
      <c r="U70" s="125">
        <f>IFERROR(__xludf.DUMMYFUNCTION("""COMPUTED_VALUE"""),16.0)</f>
        <v>16</v>
      </c>
      <c r="V70" s="125">
        <f>IFERROR(__xludf.DUMMYFUNCTION("""COMPUTED_VALUE"""),16.0)</f>
        <v>16</v>
      </c>
      <c r="W70" s="125">
        <f>IFERROR(__xludf.DUMMYFUNCTION("""COMPUTED_VALUE"""),0.0)</f>
        <v>0</v>
      </c>
      <c r="X70" s="125">
        <f>IFERROR(__xludf.DUMMYFUNCTION("""COMPUTED_VALUE"""),0.0)</f>
        <v>0</v>
      </c>
      <c r="Y70" s="125">
        <f>IFERROR(__xludf.DUMMYFUNCTION("""COMPUTED_VALUE"""),12.0)</f>
        <v>12</v>
      </c>
      <c r="Z70" s="125">
        <f>IFERROR(__xludf.DUMMYFUNCTION("""COMPUTED_VALUE"""),12.0)</f>
        <v>12</v>
      </c>
      <c r="AA70" s="125">
        <f>IFERROR(__xludf.DUMMYFUNCTION("""COMPUTED_VALUE"""),0.0)</f>
        <v>0</v>
      </c>
      <c r="AB70" s="125">
        <f>IFERROR(__xludf.DUMMYFUNCTION("""COMPUTED_VALUE"""),0.0)</f>
        <v>0</v>
      </c>
      <c r="AC70" s="125">
        <f>IFERROR(__xludf.DUMMYFUNCTION("""COMPUTED_VALUE"""),12.0)</f>
        <v>12</v>
      </c>
      <c r="AD70" s="125">
        <f>IFERROR(__xludf.DUMMYFUNCTION("""COMPUTED_VALUE"""),12.0)</f>
        <v>12</v>
      </c>
      <c r="AE70" s="125">
        <f>IFERROR(__xludf.DUMMYFUNCTION("""COMPUTED_VALUE"""),0.0)</f>
        <v>0</v>
      </c>
      <c r="AF70" s="125">
        <f>IFERROR(__xludf.DUMMYFUNCTION("""COMPUTED_VALUE"""),0.0)</f>
        <v>0</v>
      </c>
      <c r="AG70" s="125">
        <f>IFERROR(__xludf.DUMMYFUNCTION("""COMPUTED_VALUE"""),0.0)</f>
        <v>0</v>
      </c>
      <c r="AH70" s="125">
        <f>IFERROR(__xludf.DUMMYFUNCTION("""COMPUTED_VALUE"""),0.0)</f>
        <v>0</v>
      </c>
      <c r="AI70" s="125">
        <f>IFERROR(__xludf.DUMMYFUNCTION("""COMPUTED_VALUE"""),0.0)</f>
        <v>0</v>
      </c>
      <c r="AJ70" s="125">
        <f>IFERROR(__xludf.DUMMYFUNCTION("""COMPUTED_VALUE"""),0.0)</f>
        <v>0</v>
      </c>
      <c r="AK70" s="125">
        <f>IFERROR(__xludf.DUMMYFUNCTION("""COMPUTED_VALUE"""),0.0)</f>
        <v>0</v>
      </c>
      <c r="AL70" s="125">
        <f>IFERROR(__xludf.DUMMYFUNCTION("""COMPUTED_VALUE"""),0.0)</f>
        <v>0</v>
      </c>
      <c r="AM70" s="125">
        <f>IFERROR(__xludf.DUMMYFUNCTION("""COMPUTED_VALUE"""),0.0)</f>
        <v>0</v>
      </c>
      <c r="AN70" s="125">
        <f>IFERROR(__xludf.DUMMYFUNCTION("""COMPUTED_VALUE"""),0.0)</f>
        <v>0</v>
      </c>
      <c r="AO70" s="125">
        <f>IFERROR(__xludf.DUMMYFUNCTION("""COMPUTED_VALUE"""),0.0)</f>
        <v>0</v>
      </c>
      <c r="AP70" s="125">
        <f>IFERROR(__xludf.DUMMYFUNCTION("""COMPUTED_VALUE"""),0.0)</f>
        <v>0</v>
      </c>
      <c r="AQ70" s="125">
        <f>IFERROR(__xludf.DUMMYFUNCTION("""COMPUTED_VALUE"""),0.0)</f>
        <v>0</v>
      </c>
      <c r="AR70" s="125">
        <f>IFERROR(__xludf.DUMMYFUNCTION("""COMPUTED_VALUE"""),0.0)</f>
        <v>0</v>
      </c>
      <c r="AS70" s="125">
        <f>IFERROR(__xludf.DUMMYFUNCTION("""COMPUTED_VALUE"""),0.0)</f>
        <v>0</v>
      </c>
      <c r="AT70" s="125">
        <f>IFERROR(__xludf.DUMMYFUNCTION("""COMPUTED_VALUE"""),0.0)</f>
        <v>0</v>
      </c>
      <c r="AU70" s="125">
        <f>IFERROR(__xludf.DUMMYFUNCTION("""COMPUTED_VALUE"""),0.0)</f>
        <v>0</v>
      </c>
      <c r="AV70" s="125">
        <f>IFERROR(__xludf.DUMMYFUNCTION("""COMPUTED_VALUE"""),0.0)</f>
        <v>0</v>
      </c>
      <c r="AW70" s="125">
        <f>IFERROR(__xludf.DUMMYFUNCTION("""COMPUTED_VALUE"""),0.0)</f>
        <v>0</v>
      </c>
      <c r="AX70" s="125">
        <f>IFERROR(__xludf.DUMMYFUNCTION("""COMPUTED_VALUE"""),0.0)</f>
        <v>0</v>
      </c>
      <c r="AY70" s="125">
        <f>IFERROR(__xludf.DUMMYFUNCTION("""COMPUTED_VALUE"""),0.0)</f>
        <v>0</v>
      </c>
      <c r="AZ70" s="127">
        <f>IFERROR(__xludf.DUMMYFUNCTION("""COMPUTED_VALUE"""),0.0)</f>
        <v>0</v>
      </c>
      <c r="BA70" s="195"/>
    </row>
    <row r="71" ht="15.75" customHeight="1">
      <c r="A71" s="29"/>
      <c r="B71" s="48" t="str">
        <f>IFERROR(__xludf.DUMMYFUNCTION("""COMPUTED_VALUE"""),"Chia ra:")</f>
        <v>Chia ra:</v>
      </c>
      <c r="C71" s="57"/>
      <c r="D71" s="57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50"/>
      <c r="BA71" s="195"/>
    </row>
    <row r="72" ht="15.75" customHeight="1">
      <c r="A72" s="29"/>
      <c r="B72" s="67" t="str">
        <f>IFERROR(__xludf.DUMMYFUNCTION("""COMPUTED_VALUE""")," + Kiên cố")</f>
        <v> + Kiên cố</v>
      </c>
      <c r="C72" s="31"/>
      <c r="D72" s="31" t="str">
        <f>IFERROR(__xludf.DUMMYFUNCTION("""COMPUTED_VALUE"""),"""")</f>
        <v>"</v>
      </c>
      <c r="E72" s="41">
        <f>IFERROR(__xludf.DUMMYFUNCTION("""COMPUTED_VALUE"""),6.0)</f>
        <v>6</v>
      </c>
      <c r="F72" s="197">
        <f>IFERROR(__xludf.DUMMYFUNCTION("""COMPUTED_VALUE"""),6.0)</f>
        <v>6</v>
      </c>
      <c r="G72" s="197">
        <f>IFERROR(__xludf.DUMMYFUNCTION("""COMPUTED_VALUE"""),0.0)</f>
        <v>0</v>
      </c>
      <c r="H72" s="197">
        <f>IFERROR(__xludf.DUMMYFUNCTION("""COMPUTED_VALUE"""),0.0)</f>
        <v>0</v>
      </c>
      <c r="I72" s="41">
        <f>IFERROR(__xludf.DUMMYFUNCTION("""COMPUTED_VALUE"""),6.0)</f>
        <v>6</v>
      </c>
      <c r="J72" s="197">
        <f>IFERROR(__xludf.DUMMYFUNCTION("""COMPUTED_VALUE"""),6.0)</f>
        <v>6</v>
      </c>
      <c r="K72" s="197">
        <f>IFERROR(__xludf.DUMMYFUNCTION("""COMPUTED_VALUE"""),0.0)</f>
        <v>0</v>
      </c>
      <c r="L72" s="197">
        <f>IFERROR(__xludf.DUMMYFUNCTION("""COMPUTED_VALUE"""),0.0)</f>
        <v>0</v>
      </c>
      <c r="M72" s="41">
        <f>IFERROR(__xludf.DUMMYFUNCTION("""COMPUTED_VALUE"""),6.0)</f>
        <v>6</v>
      </c>
      <c r="N72" s="197">
        <f>IFERROR(__xludf.DUMMYFUNCTION("""COMPUTED_VALUE"""),6.0)</f>
        <v>6</v>
      </c>
      <c r="O72" s="197">
        <f>IFERROR(__xludf.DUMMYFUNCTION("""COMPUTED_VALUE"""),0.0)</f>
        <v>0</v>
      </c>
      <c r="P72" s="197">
        <f>IFERROR(__xludf.DUMMYFUNCTION("""COMPUTED_VALUE"""),0.0)</f>
        <v>0</v>
      </c>
      <c r="Q72" s="41">
        <f>IFERROR(__xludf.DUMMYFUNCTION("""COMPUTED_VALUE"""),6.0)</f>
        <v>6</v>
      </c>
      <c r="R72" s="197">
        <f>IFERROR(__xludf.DUMMYFUNCTION("""COMPUTED_VALUE"""),6.0)</f>
        <v>6</v>
      </c>
      <c r="S72" s="197">
        <f>IFERROR(__xludf.DUMMYFUNCTION("""COMPUTED_VALUE"""),0.0)</f>
        <v>0</v>
      </c>
      <c r="T72" s="197">
        <f>IFERROR(__xludf.DUMMYFUNCTION("""COMPUTED_VALUE"""),0.0)</f>
        <v>0</v>
      </c>
      <c r="U72" s="41">
        <f>IFERROR(__xludf.DUMMYFUNCTION("""COMPUTED_VALUE"""),6.0)</f>
        <v>6</v>
      </c>
      <c r="V72" s="197">
        <f>IFERROR(__xludf.DUMMYFUNCTION("""COMPUTED_VALUE"""),6.0)</f>
        <v>6</v>
      </c>
      <c r="W72" s="197">
        <f>IFERROR(__xludf.DUMMYFUNCTION("""COMPUTED_VALUE"""),0.0)</f>
        <v>0</v>
      </c>
      <c r="X72" s="197">
        <f>IFERROR(__xludf.DUMMYFUNCTION("""COMPUTED_VALUE"""),0.0)</f>
        <v>0</v>
      </c>
      <c r="Y72" s="41">
        <f>IFERROR(__xludf.DUMMYFUNCTION("""COMPUTED_VALUE"""),5.0)</f>
        <v>5</v>
      </c>
      <c r="Z72" s="197">
        <f>IFERROR(__xludf.DUMMYFUNCTION("""COMPUTED_VALUE"""),5.0)</f>
        <v>5</v>
      </c>
      <c r="AA72" s="197">
        <f>IFERROR(__xludf.DUMMYFUNCTION("""COMPUTED_VALUE"""),0.0)</f>
        <v>0</v>
      </c>
      <c r="AB72" s="197">
        <f>IFERROR(__xludf.DUMMYFUNCTION("""COMPUTED_VALUE"""),0.0)</f>
        <v>0</v>
      </c>
      <c r="AC72" s="41">
        <f>IFERROR(__xludf.DUMMYFUNCTION("""COMPUTED_VALUE"""),5.0)</f>
        <v>5</v>
      </c>
      <c r="AD72" s="197">
        <f>IFERROR(__xludf.DUMMYFUNCTION("""COMPUTED_VALUE"""),5.0)</f>
        <v>5</v>
      </c>
      <c r="AE72" s="197">
        <f>IFERROR(__xludf.DUMMYFUNCTION("""COMPUTED_VALUE"""),0.0)</f>
        <v>0</v>
      </c>
      <c r="AF72" s="197">
        <f>IFERROR(__xludf.DUMMYFUNCTION("""COMPUTED_VALUE"""),0.0)</f>
        <v>0</v>
      </c>
      <c r="AG72" s="41">
        <f>IFERROR(__xludf.DUMMYFUNCTION("""COMPUTED_VALUE"""),0.0)</f>
        <v>0</v>
      </c>
      <c r="AH72" s="197">
        <f>IFERROR(__xludf.DUMMYFUNCTION("""COMPUTED_VALUE"""),0.0)</f>
        <v>0</v>
      </c>
      <c r="AI72" s="197">
        <f>IFERROR(__xludf.DUMMYFUNCTION("""COMPUTED_VALUE"""),0.0)</f>
        <v>0</v>
      </c>
      <c r="AJ72" s="197">
        <f>IFERROR(__xludf.DUMMYFUNCTION("""COMPUTED_VALUE"""),0.0)</f>
        <v>0</v>
      </c>
      <c r="AK72" s="41">
        <f>IFERROR(__xludf.DUMMYFUNCTION("""COMPUTED_VALUE"""),0.0)</f>
        <v>0</v>
      </c>
      <c r="AL72" s="197">
        <f>IFERROR(__xludf.DUMMYFUNCTION("""COMPUTED_VALUE"""),0.0)</f>
        <v>0</v>
      </c>
      <c r="AM72" s="197">
        <f>IFERROR(__xludf.DUMMYFUNCTION("""COMPUTED_VALUE"""),0.0)</f>
        <v>0</v>
      </c>
      <c r="AN72" s="197">
        <f>IFERROR(__xludf.DUMMYFUNCTION("""COMPUTED_VALUE"""),0.0)</f>
        <v>0</v>
      </c>
      <c r="AO72" s="41">
        <f>IFERROR(__xludf.DUMMYFUNCTION("""COMPUTED_VALUE"""),0.0)</f>
        <v>0</v>
      </c>
      <c r="AP72" s="197">
        <f>IFERROR(__xludf.DUMMYFUNCTION("""COMPUTED_VALUE"""),0.0)</f>
        <v>0</v>
      </c>
      <c r="AQ72" s="197">
        <f>IFERROR(__xludf.DUMMYFUNCTION("""COMPUTED_VALUE"""),0.0)</f>
        <v>0</v>
      </c>
      <c r="AR72" s="197">
        <f>IFERROR(__xludf.DUMMYFUNCTION("""COMPUTED_VALUE"""),0.0)</f>
        <v>0</v>
      </c>
      <c r="AS72" s="41">
        <f>IFERROR(__xludf.DUMMYFUNCTION("""COMPUTED_VALUE"""),0.0)</f>
        <v>0</v>
      </c>
      <c r="AT72" s="197">
        <f>IFERROR(__xludf.DUMMYFUNCTION("""COMPUTED_VALUE"""),0.0)</f>
        <v>0</v>
      </c>
      <c r="AU72" s="197">
        <f>IFERROR(__xludf.DUMMYFUNCTION("""COMPUTED_VALUE"""),0.0)</f>
        <v>0</v>
      </c>
      <c r="AV72" s="197">
        <f>IFERROR(__xludf.DUMMYFUNCTION("""COMPUTED_VALUE"""),0.0)</f>
        <v>0</v>
      </c>
      <c r="AW72" s="41">
        <f>IFERROR(__xludf.DUMMYFUNCTION("""COMPUTED_VALUE"""),0.0)</f>
        <v>0</v>
      </c>
      <c r="AX72" s="197">
        <f>IFERROR(__xludf.DUMMYFUNCTION("""COMPUTED_VALUE"""),0.0)</f>
        <v>0</v>
      </c>
      <c r="AY72" s="197">
        <f>IFERROR(__xludf.DUMMYFUNCTION("""COMPUTED_VALUE"""),0.0)</f>
        <v>0</v>
      </c>
      <c r="AZ72" s="198">
        <f>IFERROR(__xludf.DUMMYFUNCTION("""COMPUTED_VALUE"""),0.0)</f>
        <v>0</v>
      </c>
      <c r="BA72" s="195"/>
    </row>
    <row r="73" ht="15.75" customHeight="1">
      <c r="A73" s="29"/>
      <c r="B73" s="67" t="str">
        <f>IFERROR(__xludf.DUMMYFUNCTION("""COMPUTED_VALUE""")," + Bán kiên cố")</f>
        <v> + Bán kiên cố</v>
      </c>
      <c r="C73" s="31"/>
      <c r="D73" s="31" t="str">
        <f>IFERROR(__xludf.DUMMYFUNCTION("""COMPUTED_VALUE"""),"""")</f>
        <v>"</v>
      </c>
      <c r="E73" s="41">
        <f>IFERROR(__xludf.DUMMYFUNCTION("""COMPUTED_VALUE"""),5.0)</f>
        <v>5</v>
      </c>
      <c r="F73" s="197">
        <f>IFERROR(__xludf.DUMMYFUNCTION("""COMPUTED_VALUE"""),5.0)</f>
        <v>5</v>
      </c>
      <c r="G73" s="197">
        <f>IFERROR(__xludf.DUMMYFUNCTION("""COMPUTED_VALUE"""),0.0)</f>
        <v>0</v>
      </c>
      <c r="H73" s="197">
        <f>IFERROR(__xludf.DUMMYFUNCTION("""COMPUTED_VALUE"""),0.0)</f>
        <v>0</v>
      </c>
      <c r="I73" s="41">
        <f>IFERROR(__xludf.DUMMYFUNCTION("""COMPUTED_VALUE"""),5.0)</f>
        <v>5</v>
      </c>
      <c r="J73" s="197">
        <f>IFERROR(__xludf.DUMMYFUNCTION("""COMPUTED_VALUE"""),5.0)</f>
        <v>5</v>
      </c>
      <c r="K73" s="197">
        <f>IFERROR(__xludf.DUMMYFUNCTION("""COMPUTED_VALUE"""),0.0)</f>
        <v>0</v>
      </c>
      <c r="L73" s="197">
        <f>IFERROR(__xludf.DUMMYFUNCTION("""COMPUTED_VALUE"""),0.0)</f>
        <v>0</v>
      </c>
      <c r="M73" s="41">
        <f>IFERROR(__xludf.DUMMYFUNCTION("""COMPUTED_VALUE"""),5.0)</f>
        <v>5</v>
      </c>
      <c r="N73" s="197">
        <f>IFERROR(__xludf.DUMMYFUNCTION("""COMPUTED_VALUE"""),5.0)</f>
        <v>5</v>
      </c>
      <c r="O73" s="197">
        <f>IFERROR(__xludf.DUMMYFUNCTION("""COMPUTED_VALUE"""),0.0)</f>
        <v>0</v>
      </c>
      <c r="P73" s="197">
        <f>IFERROR(__xludf.DUMMYFUNCTION("""COMPUTED_VALUE"""),0.0)</f>
        <v>0</v>
      </c>
      <c r="Q73" s="41">
        <f>IFERROR(__xludf.DUMMYFUNCTION("""COMPUTED_VALUE"""),4.0)</f>
        <v>4</v>
      </c>
      <c r="R73" s="197">
        <f>IFERROR(__xludf.DUMMYFUNCTION("""COMPUTED_VALUE"""),4.0)</f>
        <v>4</v>
      </c>
      <c r="S73" s="197">
        <f>IFERROR(__xludf.DUMMYFUNCTION("""COMPUTED_VALUE"""),0.0)</f>
        <v>0</v>
      </c>
      <c r="T73" s="197">
        <f>IFERROR(__xludf.DUMMYFUNCTION("""COMPUTED_VALUE"""),0.0)</f>
        <v>0</v>
      </c>
      <c r="U73" s="41">
        <f>IFERROR(__xludf.DUMMYFUNCTION("""COMPUTED_VALUE"""),4.0)</f>
        <v>4</v>
      </c>
      <c r="V73" s="197">
        <f>IFERROR(__xludf.DUMMYFUNCTION("""COMPUTED_VALUE"""),4.0)</f>
        <v>4</v>
      </c>
      <c r="W73" s="197">
        <f>IFERROR(__xludf.DUMMYFUNCTION("""COMPUTED_VALUE"""),0.0)</f>
        <v>0</v>
      </c>
      <c r="X73" s="197">
        <f>IFERROR(__xludf.DUMMYFUNCTION("""COMPUTED_VALUE"""),0.0)</f>
        <v>0</v>
      </c>
      <c r="Y73" s="41">
        <f>IFERROR(__xludf.DUMMYFUNCTION("""COMPUTED_VALUE"""),5.0)</f>
        <v>5</v>
      </c>
      <c r="Z73" s="197">
        <f>IFERROR(__xludf.DUMMYFUNCTION("""COMPUTED_VALUE"""),5.0)</f>
        <v>5</v>
      </c>
      <c r="AA73" s="197">
        <f>IFERROR(__xludf.DUMMYFUNCTION("""COMPUTED_VALUE"""),0.0)</f>
        <v>0</v>
      </c>
      <c r="AB73" s="197">
        <f>IFERROR(__xludf.DUMMYFUNCTION("""COMPUTED_VALUE"""),0.0)</f>
        <v>0</v>
      </c>
      <c r="AC73" s="41">
        <f>IFERROR(__xludf.DUMMYFUNCTION("""COMPUTED_VALUE"""),5.0)</f>
        <v>5</v>
      </c>
      <c r="AD73" s="197">
        <f>IFERROR(__xludf.DUMMYFUNCTION("""COMPUTED_VALUE"""),5.0)</f>
        <v>5</v>
      </c>
      <c r="AE73" s="197">
        <f>IFERROR(__xludf.DUMMYFUNCTION("""COMPUTED_VALUE"""),0.0)</f>
        <v>0</v>
      </c>
      <c r="AF73" s="197">
        <f>IFERROR(__xludf.DUMMYFUNCTION("""COMPUTED_VALUE"""),0.0)</f>
        <v>0</v>
      </c>
      <c r="AG73" s="41">
        <f>IFERROR(__xludf.DUMMYFUNCTION("""COMPUTED_VALUE"""),0.0)</f>
        <v>0</v>
      </c>
      <c r="AH73" s="197">
        <f>IFERROR(__xludf.DUMMYFUNCTION("""COMPUTED_VALUE"""),0.0)</f>
        <v>0</v>
      </c>
      <c r="AI73" s="197">
        <f>IFERROR(__xludf.DUMMYFUNCTION("""COMPUTED_VALUE"""),0.0)</f>
        <v>0</v>
      </c>
      <c r="AJ73" s="197">
        <f>IFERROR(__xludf.DUMMYFUNCTION("""COMPUTED_VALUE"""),0.0)</f>
        <v>0</v>
      </c>
      <c r="AK73" s="41">
        <f>IFERROR(__xludf.DUMMYFUNCTION("""COMPUTED_VALUE"""),0.0)</f>
        <v>0</v>
      </c>
      <c r="AL73" s="197">
        <f>IFERROR(__xludf.DUMMYFUNCTION("""COMPUTED_VALUE"""),0.0)</f>
        <v>0</v>
      </c>
      <c r="AM73" s="197">
        <f>IFERROR(__xludf.DUMMYFUNCTION("""COMPUTED_VALUE"""),0.0)</f>
        <v>0</v>
      </c>
      <c r="AN73" s="197">
        <f>IFERROR(__xludf.DUMMYFUNCTION("""COMPUTED_VALUE"""),0.0)</f>
        <v>0</v>
      </c>
      <c r="AO73" s="41">
        <f>IFERROR(__xludf.DUMMYFUNCTION("""COMPUTED_VALUE"""),0.0)</f>
        <v>0</v>
      </c>
      <c r="AP73" s="197">
        <f>IFERROR(__xludf.DUMMYFUNCTION("""COMPUTED_VALUE"""),0.0)</f>
        <v>0</v>
      </c>
      <c r="AQ73" s="197">
        <f>IFERROR(__xludf.DUMMYFUNCTION("""COMPUTED_VALUE"""),0.0)</f>
        <v>0</v>
      </c>
      <c r="AR73" s="197">
        <f>IFERROR(__xludf.DUMMYFUNCTION("""COMPUTED_VALUE"""),0.0)</f>
        <v>0</v>
      </c>
      <c r="AS73" s="41">
        <f>IFERROR(__xludf.DUMMYFUNCTION("""COMPUTED_VALUE"""),0.0)</f>
        <v>0</v>
      </c>
      <c r="AT73" s="197">
        <f>IFERROR(__xludf.DUMMYFUNCTION("""COMPUTED_VALUE"""),0.0)</f>
        <v>0</v>
      </c>
      <c r="AU73" s="197">
        <f>IFERROR(__xludf.DUMMYFUNCTION("""COMPUTED_VALUE"""),0.0)</f>
        <v>0</v>
      </c>
      <c r="AV73" s="197">
        <f>IFERROR(__xludf.DUMMYFUNCTION("""COMPUTED_VALUE"""),0.0)</f>
        <v>0</v>
      </c>
      <c r="AW73" s="41">
        <f>IFERROR(__xludf.DUMMYFUNCTION("""COMPUTED_VALUE"""),0.0)</f>
        <v>0</v>
      </c>
      <c r="AX73" s="197">
        <f>IFERROR(__xludf.DUMMYFUNCTION("""COMPUTED_VALUE"""),0.0)</f>
        <v>0</v>
      </c>
      <c r="AY73" s="197">
        <f>IFERROR(__xludf.DUMMYFUNCTION("""COMPUTED_VALUE"""),0.0)</f>
        <v>0</v>
      </c>
      <c r="AZ73" s="198">
        <f>IFERROR(__xludf.DUMMYFUNCTION("""COMPUTED_VALUE"""),0.0)</f>
        <v>0</v>
      </c>
      <c r="BA73" s="195"/>
    </row>
    <row r="74" ht="15.75" customHeight="1">
      <c r="A74" s="29"/>
      <c r="B74" s="67" t="str">
        <f>IFERROR(__xludf.DUMMYFUNCTION("""COMPUTED_VALUE""")," + Tạm")</f>
        <v> + Tạm</v>
      </c>
      <c r="C74" s="31"/>
      <c r="D74" s="31" t="str">
        <f>IFERROR(__xludf.DUMMYFUNCTION("""COMPUTED_VALUE"""),"""")</f>
        <v>"</v>
      </c>
      <c r="E74" s="41">
        <f>IFERROR(__xludf.DUMMYFUNCTION("""COMPUTED_VALUE"""),7.0)</f>
        <v>7</v>
      </c>
      <c r="F74" s="197">
        <f>IFERROR(__xludf.DUMMYFUNCTION("""COMPUTED_VALUE"""),7.0)</f>
        <v>7</v>
      </c>
      <c r="G74" s="197">
        <f>IFERROR(__xludf.DUMMYFUNCTION("""COMPUTED_VALUE"""),0.0)</f>
        <v>0</v>
      </c>
      <c r="H74" s="197">
        <f>IFERROR(__xludf.DUMMYFUNCTION("""COMPUTED_VALUE"""),0.0)</f>
        <v>0</v>
      </c>
      <c r="I74" s="41">
        <f>IFERROR(__xludf.DUMMYFUNCTION("""COMPUTED_VALUE"""),7.0)</f>
        <v>7</v>
      </c>
      <c r="J74" s="197">
        <f>IFERROR(__xludf.DUMMYFUNCTION("""COMPUTED_VALUE"""),7.0)</f>
        <v>7</v>
      </c>
      <c r="K74" s="197">
        <f>IFERROR(__xludf.DUMMYFUNCTION("""COMPUTED_VALUE"""),0.0)</f>
        <v>0</v>
      </c>
      <c r="L74" s="197">
        <f>IFERROR(__xludf.DUMMYFUNCTION("""COMPUTED_VALUE"""),0.0)</f>
        <v>0</v>
      </c>
      <c r="M74" s="41">
        <f>IFERROR(__xludf.DUMMYFUNCTION("""COMPUTED_VALUE"""),7.0)</f>
        <v>7</v>
      </c>
      <c r="N74" s="197">
        <f>IFERROR(__xludf.DUMMYFUNCTION("""COMPUTED_VALUE"""),7.0)</f>
        <v>7</v>
      </c>
      <c r="O74" s="197">
        <f>IFERROR(__xludf.DUMMYFUNCTION("""COMPUTED_VALUE"""),0.0)</f>
        <v>0</v>
      </c>
      <c r="P74" s="197">
        <f>IFERROR(__xludf.DUMMYFUNCTION("""COMPUTED_VALUE"""),0.0)</f>
        <v>0</v>
      </c>
      <c r="Q74" s="41">
        <f>IFERROR(__xludf.DUMMYFUNCTION("""COMPUTED_VALUE"""),6.0)</f>
        <v>6</v>
      </c>
      <c r="R74" s="197">
        <f>IFERROR(__xludf.DUMMYFUNCTION("""COMPUTED_VALUE"""),6.0)</f>
        <v>6</v>
      </c>
      <c r="S74" s="197">
        <f>IFERROR(__xludf.DUMMYFUNCTION("""COMPUTED_VALUE"""),0.0)</f>
        <v>0</v>
      </c>
      <c r="T74" s="197">
        <f>IFERROR(__xludf.DUMMYFUNCTION("""COMPUTED_VALUE"""),0.0)</f>
        <v>0</v>
      </c>
      <c r="U74" s="41">
        <f>IFERROR(__xludf.DUMMYFUNCTION("""COMPUTED_VALUE"""),6.0)</f>
        <v>6</v>
      </c>
      <c r="V74" s="197">
        <f>IFERROR(__xludf.DUMMYFUNCTION("""COMPUTED_VALUE"""),6.0)</f>
        <v>6</v>
      </c>
      <c r="W74" s="197">
        <f>IFERROR(__xludf.DUMMYFUNCTION("""COMPUTED_VALUE"""),0.0)</f>
        <v>0</v>
      </c>
      <c r="X74" s="197">
        <f>IFERROR(__xludf.DUMMYFUNCTION("""COMPUTED_VALUE"""),0.0)</f>
        <v>0</v>
      </c>
      <c r="Y74" s="41">
        <f>IFERROR(__xludf.DUMMYFUNCTION("""COMPUTED_VALUE"""),2.0)</f>
        <v>2</v>
      </c>
      <c r="Z74" s="197">
        <f>IFERROR(__xludf.DUMMYFUNCTION("""COMPUTED_VALUE"""),2.0)</f>
        <v>2</v>
      </c>
      <c r="AA74" s="197">
        <f>IFERROR(__xludf.DUMMYFUNCTION("""COMPUTED_VALUE"""),0.0)</f>
        <v>0</v>
      </c>
      <c r="AB74" s="197">
        <f>IFERROR(__xludf.DUMMYFUNCTION("""COMPUTED_VALUE"""),0.0)</f>
        <v>0</v>
      </c>
      <c r="AC74" s="41">
        <f>IFERROR(__xludf.DUMMYFUNCTION("""COMPUTED_VALUE"""),2.0)</f>
        <v>2</v>
      </c>
      <c r="AD74" s="197">
        <f>IFERROR(__xludf.DUMMYFUNCTION("""COMPUTED_VALUE"""),2.0)</f>
        <v>2</v>
      </c>
      <c r="AE74" s="197">
        <f>IFERROR(__xludf.DUMMYFUNCTION("""COMPUTED_VALUE"""),0.0)</f>
        <v>0</v>
      </c>
      <c r="AF74" s="197">
        <f>IFERROR(__xludf.DUMMYFUNCTION("""COMPUTED_VALUE"""),0.0)</f>
        <v>0</v>
      </c>
      <c r="AG74" s="41">
        <f>IFERROR(__xludf.DUMMYFUNCTION("""COMPUTED_VALUE"""),0.0)</f>
        <v>0</v>
      </c>
      <c r="AH74" s="197">
        <f>IFERROR(__xludf.DUMMYFUNCTION("""COMPUTED_VALUE"""),0.0)</f>
        <v>0</v>
      </c>
      <c r="AI74" s="197">
        <f>IFERROR(__xludf.DUMMYFUNCTION("""COMPUTED_VALUE"""),0.0)</f>
        <v>0</v>
      </c>
      <c r="AJ74" s="197">
        <f>IFERROR(__xludf.DUMMYFUNCTION("""COMPUTED_VALUE"""),0.0)</f>
        <v>0</v>
      </c>
      <c r="AK74" s="41">
        <f>IFERROR(__xludf.DUMMYFUNCTION("""COMPUTED_VALUE"""),0.0)</f>
        <v>0</v>
      </c>
      <c r="AL74" s="197">
        <f>IFERROR(__xludf.DUMMYFUNCTION("""COMPUTED_VALUE"""),0.0)</f>
        <v>0</v>
      </c>
      <c r="AM74" s="197">
        <f>IFERROR(__xludf.DUMMYFUNCTION("""COMPUTED_VALUE"""),0.0)</f>
        <v>0</v>
      </c>
      <c r="AN74" s="197">
        <f>IFERROR(__xludf.DUMMYFUNCTION("""COMPUTED_VALUE"""),0.0)</f>
        <v>0</v>
      </c>
      <c r="AO74" s="41">
        <f>IFERROR(__xludf.DUMMYFUNCTION("""COMPUTED_VALUE"""),0.0)</f>
        <v>0</v>
      </c>
      <c r="AP74" s="197">
        <f>IFERROR(__xludf.DUMMYFUNCTION("""COMPUTED_VALUE"""),0.0)</f>
        <v>0</v>
      </c>
      <c r="AQ74" s="197">
        <f>IFERROR(__xludf.DUMMYFUNCTION("""COMPUTED_VALUE"""),0.0)</f>
        <v>0</v>
      </c>
      <c r="AR74" s="197">
        <f>IFERROR(__xludf.DUMMYFUNCTION("""COMPUTED_VALUE"""),0.0)</f>
        <v>0</v>
      </c>
      <c r="AS74" s="41">
        <f>IFERROR(__xludf.DUMMYFUNCTION("""COMPUTED_VALUE"""),0.0)</f>
        <v>0</v>
      </c>
      <c r="AT74" s="197">
        <f>IFERROR(__xludf.DUMMYFUNCTION("""COMPUTED_VALUE"""),0.0)</f>
        <v>0</v>
      </c>
      <c r="AU74" s="197">
        <f>IFERROR(__xludf.DUMMYFUNCTION("""COMPUTED_VALUE"""),0.0)</f>
        <v>0</v>
      </c>
      <c r="AV74" s="197">
        <f>IFERROR(__xludf.DUMMYFUNCTION("""COMPUTED_VALUE"""),0.0)</f>
        <v>0</v>
      </c>
      <c r="AW74" s="41">
        <f>IFERROR(__xludf.DUMMYFUNCTION("""COMPUTED_VALUE"""),0.0)</f>
        <v>0</v>
      </c>
      <c r="AX74" s="197">
        <f>IFERROR(__xludf.DUMMYFUNCTION("""COMPUTED_VALUE"""),0.0)</f>
        <v>0</v>
      </c>
      <c r="AY74" s="197">
        <f>IFERROR(__xludf.DUMMYFUNCTION("""COMPUTED_VALUE"""),0.0)</f>
        <v>0</v>
      </c>
      <c r="AZ74" s="198">
        <f>IFERROR(__xludf.DUMMYFUNCTION("""COMPUTED_VALUE"""),0.0)</f>
        <v>0</v>
      </c>
      <c r="BA74" s="195"/>
    </row>
    <row r="75" ht="15.75" customHeight="1">
      <c r="A75" s="29"/>
      <c r="B75" s="196" t="str">
        <f>IFERROR(__xludf.DUMMYFUNCTION("""COMPUTED_VALUE"""),"7.2. Tổng số phòng y tế")</f>
        <v>7.2. Tổng số phòng y tế</v>
      </c>
      <c r="C75" s="57"/>
      <c r="D75" s="57" t="str">
        <f>IFERROR(__xludf.DUMMYFUNCTION("""COMPUTED_VALUE"""),"Phòng")</f>
        <v>Phòng</v>
      </c>
      <c r="E75" s="125">
        <f>IFERROR(__xludf.DUMMYFUNCTION("""COMPUTED_VALUE"""),119.0)</f>
        <v>119</v>
      </c>
      <c r="F75" s="125">
        <f>IFERROR(__xludf.DUMMYFUNCTION("""COMPUTED_VALUE"""),115.0)</f>
        <v>115</v>
      </c>
      <c r="G75" s="125">
        <f>IFERROR(__xludf.DUMMYFUNCTION("""COMPUTED_VALUE"""),0.0)</f>
        <v>0</v>
      </c>
      <c r="H75" s="125">
        <f>IFERROR(__xludf.DUMMYFUNCTION("""COMPUTED_VALUE"""),4.0)</f>
        <v>4</v>
      </c>
      <c r="I75" s="125">
        <f>IFERROR(__xludf.DUMMYFUNCTION("""COMPUTED_VALUE"""),119.0)</f>
        <v>119</v>
      </c>
      <c r="J75" s="125">
        <f>IFERROR(__xludf.DUMMYFUNCTION("""COMPUTED_VALUE"""),115.0)</f>
        <v>115</v>
      </c>
      <c r="K75" s="125">
        <f>IFERROR(__xludf.DUMMYFUNCTION("""COMPUTED_VALUE"""),0.0)</f>
        <v>0</v>
      </c>
      <c r="L75" s="125">
        <f>IFERROR(__xludf.DUMMYFUNCTION("""COMPUTED_VALUE"""),4.0)</f>
        <v>4</v>
      </c>
      <c r="M75" s="125">
        <f>IFERROR(__xludf.DUMMYFUNCTION("""COMPUTED_VALUE"""),119.0)</f>
        <v>119</v>
      </c>
      <c r="N75" s="125">
        <f>IFERROR(__xludf.DUMMYFUNCTION("""COMPUTED_VALUE"""),115.0)</f>
        <v>115</v>
      </c>
      <c r="O75" s="125">
        <f>IFERROR(__xludf.DUMMYFUNCTION("""COMPUTED_VALUE"""),0.0)</f>
        <v>0</v>
      </c>
      <c r="P75" s="125">
        <f>IFERROR(__xludf.DUMMYFUNCTION("""COMPUTED_VALUE"""),4.0)</f>
        <v>4</v>
      </c>
      <c r="Q75" s="125">
        <f>IFERROR(__xludf.DUMMYFUNCTION("""COMPUTED_VALUE"""),118.0)</f>
        <v>118</v>
      </c>
      <c r="R75" s="125">
        <f>IFERROR(__xludf.DUMMYFUNCTION("""COMPUTED_VALUE"""),114.0)</f>
        <v>114</v>
      </c>
      <c r="S75" s="125">
        <f>IFERROR(__xludf.DUMMYFUNCTION("""COMPUTED_VALUE"""),0.0)</f>
        <v>0</v>
      </c>
      <c r="T75" s="125">
        <f>IFERROR(__xludf.DUMMYFUNCTION("""COMPUTED_VALUE"""),4.0)</f>
        <v>4</v>
      </c>
      <c r="U75" s="125">
        <f>IFERROR(__xludf.DUMMYFUNCTION("""COMPUTED_VALUE"""),118.0)</f>
        <v>118</v>
      </c>
      <c r="V75" s="125">
        <f>IFERROR(__xludf.DUMMYFUNCTION("""COMPUTED_VALUE"""),114.0)</f>
        <v>114</v>
      </c>
      <c r="W75" s="125">
        <f>IFERROR(__xludf.DUMMYFUNCTION("""COMPUTED_VALUE"""),0.0)</f>
        <v>0</v>
      </c>
      <c r="X75" s="125">
        <f>IFERROR(__xludf.DUMMYFUNCTION("""COMPUTED_VALUE"""),4.0)</f>
        <v>4</v>
      </c>
      <c r="Y75" s="125">
        <f>IFERROR(__xludf.DUMMYFUNCTION("""COMPUTED_VALUE"""),131.0)</f>
        <v>131</v>
      </c>
      <c r="Z75" s="125">
        <f>IFERROR(__xludf.DUMMYFUNCTION("""COMPUTED_VALUE"""),131.0)</f>
        <v>131</v>
      </c>
      <c r="AA75" s="125">
        <f>IFERROR(__xludf.DUMMYFUNCTION("""COMPUTED_VALUE"""),0.0)</f>
        <v>0</v>
      </c>
      <c r="AB75" s="125">
        <f>IFERROR(__xludf.DUMMYFUNCTION("""COMPUTED_VALUE"""),0.0)</f>
        <v>0</v>
      </c>
      <c r="AC75" s="125">
        <f>IFERROR(__xludf.DUMMYFUNCTION("""COMPUTED_VALUE"""),145.0)</f>
        <v>145</v>
      </c>
      <c r="AD75" s="125">
        <f>IFERROR(__xludf.DUMMYFUNCTION("""COMPUTED_VALUE"""),141.0)</f>
        <v>141</v>
      </c>
      <c r="AE75" s="125">
        <f>IFERROR(__xludf.DUMMYFUNCTION("""COMPUTED_VALUE"""),0.0)</f>
        <v>0</v>
      </c>
      <c r="AF75" s="125">
        <f>IFERROR(__xludf.DUMMYFUNCTION("""COMPUTED_VALUE"""),4.0)</f>
        <v>4</v>
      </c>
      <c r="AG75" s="125">
        <f>IFERROR(__xludf.DUMMYFUNCTION("""COMPUTED_VALUE"""),0.0)</f>
        <v>0</v>
      </c>
      <c r="AH75" s="125">
        <f>IFERROR(__xludf.DUMMYFUNCTION("""COMPUTED_VALUE"""),0.0)</f>
        <v>0</v>
      </c>
      <c r="AI75" s="125">
        <f>IFERROR(__xludf.DUMMYFUNCTION("""COMPUTED_VALUE"""),0.0)</f>
        <v>0</v>
      </c>
      <c r="AJ75" s="125">
        <f>IFERROR(__xludf.DUMMYFUNCTION("""COMPUTED_VALUE"""),0.0)</f>
        <v>0</v>
      </c>
      <c r="AK75" s="125">
        <f>IFERROR(__xludf.DUMMYFUNCTION("""COMPUTED_VALUE"""),0.0)</f>
        <v>0</v>
      </c>
      <c r="AL75" s="125">
        <f>IFERROR(__xludf.DUMMYFUNCTION("""COMPUTED_VALUE"""),0.0)</f>
        <v>0</v>
      </c>
      <c r="AM75" s="125">
        <f>IFERROR(__xludf.DUMMYFUNCTION("""COMPUTED_VALUE"""),0.0)</f>
        <v>0</v>
      </c>
      <c r="AN75" s="125">
        <f>IFERROR(__xludf.DUMMYFUNCTION("""COMPUTED_VALUE"""),0.0)</f>
        <v>0</v>
      </c>
      <c r="AO75" s="125">
        <f>IFERROR(__xludf.DUMMYFUNCTION("""COMPUTED_VALUE"""),0.0)</f>
        <v>0</v>
      </c>
      <c r="AP75" s="125">
        <f>IFERROR(__xludf.DUMMYFUNCTION("""COMPUTED_VALUE"""),0.0)</f>
        <v>0</v>
      </c>
      <c r="AQ75" s="125">
        <f>IFERROR(__xludf.DUMMYFUNCTION("""COMPUTED_VALUE"""),0.0)</f>
        <v>0</v>
      </c>
      <c r="AR75" s="125">
        <f>IFERROR(__xludf.DUMMYFUNCTION("""COMPUTED_VALUE"""),0.0)</f>
        <v>0</v>
      </c>
      <c r="AS75" s="125">
        <f>IFERROR(__xludf.DUMMYFUNCTION("""COMPUTED_VALUE"""),0.0)</f>
        <v>0</v>
      </c>
      <c r="AT75" s="125">
        <f>IFERROR(__xludf.DUMMYFUNCTION("""COMPUTED_VALUE"""),0.0)</f>
        <v>0</v>
      </c>
      <c r="AU75" s="125">
        <f>IFERROR(__xludf.DUMMYFUNCTION("""COMPUTED_VALUE"""),0.0)</f>
        <v>0</v>
      </c>
      <c r="AV75" s="125">
        <f>IFERROR(__xludf.DUMMYFUNCTION("""COMPUTED_VALUE"""),0.0)</f>
        <v>0</v>
      </c>
      <c r="AW75" s="125">
        <f>IFERROR(__xludf.DUMMYFUNCTION("""COMPUTED_VALUE"""),0.0)</f>
        <v>0</v>
      </c>
      <c r="AX75" s="125">
        <f>IFERROR(__xludf.DUMMYFUNCTION("""COMPUTED_VALUE"""),0.0)</f>
        <v>0</v>
      </c>
      <c r="AY75" s="125">
        <f>IFERROR(__xludf.DUMMYFUNCTION("""COMPUTED_VALUE"""),0.0)</f>
        <v>0</v>
      </c>
      <c r="AZ75" s="127">
        <f>IFERROR(__xludf.DUMMYFUNCTION("""COMPUTED_VALUE"""),0.0)</f>
        <v>0</v>
      </c>
      <c r="BA75" s="195"/>
    </row>
    <row r="76" ht="15.75" customHeight="1">
      <c r="A76" s="29"/>
      <c r="B76" s="48" t="str">
        <f>IFERROR(__xludf.DUMMYFUNCTION("""COMPUTED_VALUE"""),"Chia ra:")</f>
        <v>Chia ra:</v>
      </c>
      <c r="C76" s="57"/>
      <c r="D76" s="57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50"/>
      <c r="BA76" s="195"/>
    </row>
    <row r="77" ht="15.75" customHeight="1">
      <c r="A77" s="29"/>
      <c r="B77" s="67" t="str">
        <f>IFERROR(__xludf.DUMMYFUNCTION("""COMPUTED_VALUE""")," + Kiên cố")</f>
        <v> + Kiên cố</v>
      </c>
      <c r="C77" s="31"/>
      <c r="D77" s="31" t="str">
        <f>IFERROR(__xludf.DUMMYFUNCTION("""COMPUTED_VALUE"""),"""")</f>
        <v>"</v>
      </c>
      <c r="E77" s="41">
        <f>IFERROR(__xludf.DUMMYFUNCTION("""COMPUTED_VALUE"""),80.0)</f>
        <v>80</v>
      </c>
      <c r="F77" s="197">
        <f>IFERROR(__xludf.DUMMYFUNCTION("""COMPUTED_VALUE"""),77.0)</f>
        <v>77</v>
      </c>
      <c r="G77" s="197">
        <f>IFERROR(__xludf.DUMMYFUNCTION("""COMPUTED_VALUE"""),0.0)</f>
        <v>0</v>
      </c>
      <c r="H77" s="197">
        <f>IFERROR(__xludf.DUMMYFUNCTION("""COMPUTED_VALUE"""),3.0)</f>
        <v>3</v>
      </c>
      <c r="I77" s="41">
        <f>IFERROR(__xludf.DUMMYFUNCTION("""COMPUTED_VALUE"""),80.0)</f>
        <v>80</v>
      </c>
      <c r="J77" s="197">
        <f>IFERROR(__xludf.DUMMYFUNCTION("""COMPUTED_VALUE"""),77.0)</f>
        <v>77</v>
      </c>
      <c r="K77" s="197">
        <f>IFERROR(__xludf.DUMMYFUNCTION("""COMPUTED_VALUE"""),0.0)</f>
        <v>0</v>
      </c>
      <c r="L77" s="197">
        <f>IFERROR(__xludf.DUMMYFUNCTION("""COMPUTED_VALUE"""),3.0)</f>
        <v>3</v>
      </c>
      <c r="M77" s="41">
        <f>IFERROR(__xludf.DUMMYFUNCTION("""COMPUTED_VALUE"""),80.0)</f>
        <v>80</v>
      </c>
      <c r="N77" s="197">
        <f>IFERROR(__xludf.DUMMYFUNCTION("""COMPUTED_VALUE"""),77.0)</f>
        <v>77</v>
      </c>
      <c r="O77" s="197">
        <f>IFERROR(__xludf.DUMMYFUNCTION("""COMPUTED_VALUE"""),0.0)</f>
        <v>0</v>
      </c>
      <c r="P77" s="197">
        <f>IFERROR(__xludf.DUMMYFUNCTION("""COMPUTED_VALUE"""),3.0)</f>
        <v>3</v>
      </c>
      <c r="Q77" s="41">
        <f>IFERROR(__xludf.DUMMYFUNCTION("""COMPUTED_VALUE"""),79.0)</f>
        <v>79</v>
      </c>
      <c r="R77" s="197">
        <f>IFERROR(__xludf.DUMMYFUNCTION("""COMPUTED_VALUE"""),76.0)</f>
        <v>76</v>
      </c>
      <c r="S77" s="197">
        <f>IFERROR(__xludf.DUMMYFUNCTION("""COMPUTED_VALUE"""),0.0)</f>
        <v>0</v>
      </c>
      <c r="T77" s="197">
        <f>IFERROR(__xludf.DUMMYFUNCTION("""COMPUTED_VALUE"""),3.0)</f>
        <v>3</v>
      </c>
      <c r="U77" s="41">
        <f>IFERROR(__xludf.DUMMYFUNCTION("""COMPUTED_VALUE"""),79.0)</f>
        <v>79</v>
      </c>
      <c r="V77" s="197">
        <f>IFERROR(__xludf.DUMMYFUNCTION("""COMPUTED_VALUE"""),76.0)</f>
        <v>76</v>
      </c>
      <c r="W77" s="197">
        <f>IFERROR(__xludf.DUMMYFUNCTION("""COMPUTED_VALUE"""),0.0)</f>
        <v>0</v>
      </c>
      <c r="X77" s="197">
        <f>IFERROR(__xludf.DUMMYFUNCTION("""COMPUTED_VALUE"""),3.0)</f>
        <v>3</v>
      </c>
      <c r="Y77" s="41">
        <f>IFERROR(__xludf.DUMMYFUNCTION("""COMPUTED_VALUE"""),98.0)</f>
        <v>98</v>
      </c>
      <c r="Z77" s="197">
        <f>IFERROR(__xludf.DUMMYFUNCTION("""COMPUTED_VALUE"""),98.0)</f>
        <v>98</v>
      </c>
      <c r="AA77" s="197">
        <f>IFERROR(__xludf.DUMMYFUNCTION("""COMPUTED_VALUE"""),0.0)</f>
        <v>0</v>
      </c>
      <c r="AB77" s="197">
        <f>IFERROR(__xludf.DUMMYFUNCTION("""COMPUTED_VALUE"""),0.0)</f>
        <v>0</v>
      </c>
      <c r="AC77" s="41">
        <f>IFERROR(__xludf.DUMMYFUNCTION("""COMPUTED_VALUE"""),109.0)</f>
        <v>109</v>
      </c>
      <c r="AD77" s="197">
        <f>IFERROR(__xludf.DUMMYFUNCTION("""COMPUTED_VALUE"""),106.0)</f>
        <v>106</v>
      </c>
      <c r="AE77" s="197">
        <f>IFERROR(__xludf.DUMMYFUNCTION("""COMPUTED_VALUE"""),0.0)</f>
        <v>0</v>
      </c>
      <c r="AF77" s="197">
        <f>IFERROR(__xludf.DUMMYFUNCTION("""COMPUTED_VALUE"""),3.0)</f>
        <v>3</v>
      </c>
      <c r="AG77" s="41">
        <f>IFERROR(__xludf.DUMMYFUNCTION("""COMPUTED_VALUE"""),0.0)</f>
        <v>0</v>
      </c>
      <c r="AH77" s="197">
        <f>IFERROR(__xludf.DUMMYFUNCTION("""COMPUTED_VALUE"""),0.0)</f>
        <v>0</v>
      </c>
      <c r="AI77" s="197">
        <f>IFERROR(__xludf.DUMMYFUNCTION("""COMPUTED_VALUE"""),0.0)</f>
        <v>0</v>
      </c>
      <c r="AJ77" s="197">
        <f>IFERROR(__xludf.DUMMYFUNCTION("""COMPUTED_VALUE"""),0.0)</f>
        <v>0</v>
      </c>
      <c r="AK77" s="41">
        <f>IFERROR(__xludf.DUMMYFUNCTION("""COMPUTED_VALUE"""),0.0)</f>
        <v>0</v>
      </c>
      <c r="AL77" s="197">
        <f>IFERROR(__xludf.DUMMYFUNCTION("""COMPUTED_VALUE"""),0.0)</f>
        <v>0</v>
      </c>
      <c r="AM77" s="197">
        <f>IFERROR(__xludf.DUMMYFUNCTION("""COMPUTED_VALUE"""),0.0)</f>
        <v>0</v>
      </c>
      <c r="AN77" s="197">
        <f>IFERROR(__xludf.DUMMYFUNCTION("""COMPUTED_VALUE"""),0.0)</f>
        <v>0</v>
      </c>
      <c r="AO77" s="41">
        <f>IFERROR(__xludf.DUMMYFUNCTION("""COMPUTED_VALUE"""),0.0)</f>
        <v>0</v>
      </c>
      <c r="AP77" s="197">
        <f>IFERROR(__xludf.DUMMYFUNCTION("""COMPUTED_VALUE"""),0.0)</f>
        <v>0</v>
      </c>
      <c r="AQ77" s="197">
        <f>IFERROR(__xludf.DUMMYFUNCTION("""COMPUTED_VALUE"""),0.0)</f>
        <v>0</v>
      </c>
      <c r="AR77" s="197">
        <f>IFERROR(__xludf.DUMMYFUNCTION("""COMPUTED_VALUE"""),0.0)</f>
        <v>0</v>
      </c>
      <c r="AS77" s="41">
        <f>IFERROR(__xludf.DUMMYFUNCTION("""COMPUTED_VALUE"""),0.0)</f>
        <v>0</v>
      </c>
      <c r="AT77" s="197">
        <f>IFERROR(__xludf.DUMMYFUNCTION("""COMPUTED_VALUE"""),0.0)</f>
        <v>0</v>
      </c>
      <c r="AU77" s="197">
        <f>IFERROR(__xludf.DUMMYFUNCTION("""COMPUTED_VALUE"""),0.0)</f>
        <v>0</v>
      </c>
      <c r="AV77" s="197">
        <f>IFERROR(__xludf.DUMMYFUNCTION("""COMPUTED_VALUE"""),0.0)</f>
        <v>0</v>
      </c>
      <c r="AW77" s="41">
        <f>IFERROR(__xludf.DUMMYFUNCTION("""COMPUTED_VALUE"""),0.0)</f>
        <v>0</v>
      </c>
      <c r="AX77" s="197">
        <f>IFERROR(__xludf.DUMMYFUNCTION("""COMPUTED_VALUE"""),0.0)</f>
        <v>0</v>
      </c>
      <c r="AY77" s="197">
        <f>IFERROR(__xludf.DUMMYFUNCTION("""COMPUTED_VALUE"""),0.0)</f>
        <v>0</v>
      </c>
      <c r="AZ77" s="198">
        <f>IFERROR(__xludf.DUMMYFUNCTION("""COMPUTED_VALUE"""),0.0)</f>
        <v>0</v>
      </c>
      <c r="BA77" s="195"/>
    </row>
    <row r="78" ht="15.75" customHeight="1">
      <c r="A78" s="29"/>
      <c r="B78" s="67" t="str">
        <f>IFERROR(__xludf.DUMMYFUNCTION("""COMPUTED_VALUE""")," + Bán kiên cố")</f>
        <v> + Bán kiên cố</v>
      </c>
      <c r="C78" s="31"/>
      <c r="D78" s="31" t="str">
        <f>IFERROR(__xludf.DUMMYFUNCTION("""COMPUTED_VALUE"""),"""")</f>
        <v>"</v>
      </c>
      <c r="E78" s="41">
        <f>IFERROR(__xludf.DUMMYFUNCTION("""COMPUTED_VALUE"""),38.0)</f>
        <v>38</v>
      </c>
      <c r="F78" s="197">
        <f>IFERROR(__xludf.DUMMYFUNCTION("""COMPUTED_VALUE"""),37.0)</f>
        <v>37</v>
      </c>
      <c r="G78" s="197">
        <f>IFERROR(__xludf.DUMMYFUNCTION("""COMPUTED_VALUE"""),0.0)</f>
        <v>0</v>
      </c>
      <c r="H78" s="197">
        <f>IFERROR(__xludf.DUMMYFUNCTION("""COMPUTED_VALUE"""),1.0)</f>
        <v>1</v>
      </c>
      <c r="I78" s="41">
        <f>IFERROR(__xludf.DUMMYFUNCTION("""COMPUTED_VALUE"""),39.0)</f>
        <v>39</v>
      </c>
      <c r="J78" s="197">
        <f>IFERROR(__xludf.DUMMYFUNCTION("""COMPUTED_VALUE"""),38.0)</f>
        <v>38</v>
      </c>
      <c r="K78" s="197">
        <f>IFERROR(__xludf.DUMMYFUNCTION("""COMPUTED_VALUE"""),0.0)</f>
        <v>0</v>
      </c>
      <c r="L78" s="197">
        <f>IFERROR(__xludf.DUMMYFUNCTION("""COMPUTED_VALUE"""),1.0)</f>
        <v>1</v>
      </c>
      <c r="M78" s="41">
        <f>IFERROR(__xludf.DUMMYFUNCTION("""COMPUTED_VALUE"""),39.0)</f>
        <v>39</v>
      </c>
      <c r="N78" s="197">
        <f>IFERROR(__xludf.DUMMYFUNCTION("""COMPUTED_VALUE"""),38.0)</f>
        <v>38</v>
      </c>
      <c r="O78" s="197">
        <f>IFERROR(__xludf.DUMMYFUNCTION("""COMPUTED_VALUE"""),0.0)</f>
        <v>0</v>
      </c>
      <c r="P78" s="197">
        <f>IFERROR(__xludf.DUMMYFUNCTION("""COMPUTED_VALUE"""),1.0)</f>
        <v>1</v>
      </c>
      <c r="Q78" s="41">
        <f>IFERROR(__xludf.DUMMYFUNCTION("""COMPUTED_VALUE"""),39.0)</f>
        <v>39</v>
      </c>
      <c r="R78" s="197">
        <f>IFERROR(__xludf.DUMMYFUNCTION("""COMPUTED_VALUE"""),38.0)</f>
        <v>38</v>
      </c>
      <c r="S78" s="197">
        <f>IFERROR(__xludf.DUMMYFUNCTION("""COMPUTED_VALUE"""),0.0)</f>
        <v>0</v>
      </c>
      <c r="T78" s="197">
        <f>IFERROR(__xludf.DUMMYFUNCTION("""COMPUTED_VALUE"""),1.0)</f>
        <v>1</v>
      </c>
      <c r="U78" s="41">
        <f>IFERROR(__xludf.DUMMYFUNCTION("""COMPUTED_VALUE"""),39.0)</f>
        <v>39</v>
      </c>
      <c r="V78" s="197">
        <f>IFERROR(__xludf.DUMMYFUNCTION("""COMPUTED_VALUE"""),38.0)</f>
        <v>38</v>
      </c>
      <c r="W78" s="197">
        <f>IFERROR(__xludf.DUMMYFUNCTION("""COMPUTED_VALUE"""),0.0)</f>
        <v>0</v>
      </c>
      <c r="X78" s="197">
        <f>IFERROR(__xludf.DUMMYFUNCTION("""COMPUTED_VALUE"""),1.0)</f>
        <v>1</v>
      </c>
      <c r="Y78" s="41">
        <f>IFERROR(__xludf.DUMMYFUNCTION("""COMPUTED_VALUE"""),33.0)</f>
        <v>33</v>
      </c>
      <c r="Z78" s="197">
        <f>IFERROR(__xludf.DUMMYFUNCTION("""COMPUTED_VALUE"""),33.0)</f>
        <v>33</v>
      </c>
      <c r="AA78" s="197">
        <f>IFERROR(__xludf.DUMMYFUNCTION("""COMPUTED_VALUE"""),0.0)</f>
        <v>0</v>
      </c>
      <c r="AB78" s="197">
        <f>IFERROR(__xludf.DUMMYFUNCTION("""COMPUTED_VALUE"""),0.0)</f>
        <v>0</v>
      </c>
      <c r="AC78" s="41">
        <f>IFERROR(__xludf.DUMMYFUNCTION("""COMPUTED_VALUE"""),36.0)</f>
        <v>36</v>
      </c>
      <c r="AD78" s="197">
        <f>IFERROR(__xludf.DUMMYFUNCTION("""COMPUTED_VALUE"""),35.0)</f>
        <v>35</v>
      </c>
      <c r="AE78" s="197">
        <f>IFERROR(__xludf.DUMMYFUNCTION("""COMPUTED_VALUE"""),0.0)</f>
        <v>0</v>
      </c>
      <c r="AF78" s="197">
        <f>IFERROR(__xludf.DUMMYFUNCTION("""COMPUTED_VALUE"""),1.0)</f>
        <v>1</v>
      </c>
      <c r="AG78" s="41">
        <f>IFERROR(__xludf.DUMMYFUNCTION("""COMPUTED_VALUE"""),0.0)</f>
        <v>0</v>
      </c>
      <c r="AH78" s="197">
        <f>IFERROR(__xludf.DUMMYFUNCTION("""COMPUTED_VALUE"""),0.0)</f>
        <v>0</v>
      </c>
      <c r="AI78" s="197">
        <f>IFERROR(__xludf.DUMMYFUNCTION("""COMPUTED_VALUE"""),0.0)</f>
        <v>0</v>
      </c>
      <c r="AJ78" s="197">
        <f>IFERROR(__xludf.DUMMYFUNCTION("""COMPUTED_VALUE"""),0.0)</f>
        <v>0</v>
      </c>
      <c r="AK78" s="41">
        <f>IFERROR(__xludf.DUMMYFUNCTION("""COMPUTED_VALUE"""),0.0)</f>
        <v>0</v>
      </c>
      <c r="AL78" s="197">
        <f>IFERROR(__xludf.DUMMYFUNCTION("""COMPUTED_VALUE"""),0.0)</f>
        <v>0</v>
      </c>
      <c r="AM78" s="197">
        <f>IFERROR(__xludf.DUMMYFUNCTION("""COMPUTED_VALUE"""),0.0)</f>
        <v>0</v>
      </c>
      <c r="AN78" s="197">
        <f>IFERROR(__xludf.DUMMYFUNCTION("""COMPUTED_VALUE"""),0.0)</f>
        <v>0</v>
      </c>
      <c r="AO78" s="41">
        <f>IFERROR(__xludf.DUMMYFUNCTION("""COMPUTED_VALUE"""),0.0)</f>
        <v>0</v>
      </c>
      <c r="AP78" s="197">
        <f>IFERROR(__xludf.DUMMYFUNCTION("""COMPUTED_VALUE"""),0.0)</f>
        <v>0</v>
      </c>
      <c r="AQ78" s="197">
        <f>IFERROR(__xludf.DUMMYFUNCTION("""COMPUTED_VALUE"""),0.0)</f>
        <v>0</v>
      </c>
      <c r="AR78" s="197">
        <f>IFERROR(__xludf.DUMMYFUNCTION("""COMPUTED_VALUE"""),0.0)</f>
        <v>0</v>
      </c>
      <c r="AS78" s="41">
        <f>IFERROR(__xludf.DUMMYFUNCTION("""COMPUTED_VALUE"""),0.0)</f>
        <v>0</v>
      </c>
      <c r="AT78" s="197">
        <f>IFERROR(__xludf.DUMMYFUNCTION("""COMPUTED_VALUE"""),0.0)</f>
        <v>0</v>
      </c>
      <c r="AU78" s="197">
        <f>IFERROR(__xludf.DUMMYFUNCTION("""COMPUTED_VALUE"""),0.0)</f>
        <v>0</v>
      </c>
      <c r="AV78" s="197">
        <f>IFERROR(__xludf.DUMMYFUNCTION("""COMPUTED_VALUE"""),0.0)</f>
        <v>0</v>
      </c>
      <c r="AW78" s="41">
        <f>IFERROR(__xludf.DUMMYFUNCTION("""COMPUTED_VALUE"""),0.0)</f>
        <v>0</v>
      </c>
      <c r="AX78" s="197">
        <f>IFERROR(__xludf.DUMMYFUNCTION("""COMPUTED_VALUE"""),0.0)</f>
        <v>0</v>
      </c>
      <c r="AY78" s="197">
        <f>IFERROR(__xludf.DUMMYFUNCTION("""COMPUTED_VALUE"""),0.0)</f>
        <v>0</v>
      </c>
      <c r="AZ78" s="198">
        <f>IFERROR(__xludf.DUMMYFUNCTION("""COMPUTED_VALUE"""),0.0)</f>
        <v>0</v>
      </c>
      <c r="BA78" s="195"/>
    </row>
    <row r="79" ht="15.75" customHeight="1">
      <c r="A79" s="29"/>
      <c r="B79" s="67" t="str">
        <f>IFERROR(__xludf.DUMMYFUNCTION("""COMPUTED_VALUE""")," + Tạm")</f>
        <v> + Tạm</v>
      </c>
      <c r="C79" s="31"/>
      <c r="D79" s="31" t="str">
        <f>IFERROR(__xludf.DUMMYFUNCTION("""COMPUTED_VALUE"""),"""")</f>
        <v>"</v>
      </c>
      <c r="E79" s="41">
        <f>IFERROR(__xludf.DUMMYFUNCTION("""COMPUTED_VALUE"""),1.0)</f>
        <v>1</v>
      </c>
      <c r="F79" s="197">
        <f>IFERROR(__xludf.DUMMYFUNCTION("""COMPUTED_VALUE"""),1.0)</f>
        <v>1</v>
      </c>
      <c r="G79" s="197">
        <f>IFERROR(__xludf.DUMMYFUNCTION("""COMPUTED_VALUE"""),0.0)</f>
        <v>0</v>
      </c>
      <c r="H79" s="197">
        <f>IFERROR(__xludf.DUMMYFUNCTION("""COMPUTED_VALUE"""),0.0)</f>
        <v>0</v>
      </c>
      <c r="I79" s="41">
        <f>IFERROR(__xludf.DUMMYFUNCTION("""COMPUTED_VALUE"""),0.0)</f>
        <v>0</v>
      </c>
      <c r="J79" s="197">
        <f>IFERROR(__xludf.DUMMYFUNCTION("""COMPUTED_VALUE"""),0.0)</f>
        <v>0</v>
      </c>
      <c r="K79" s="197">
        <f>IFERROR(__xludf.DUMMYFUNCTION("""COMPUTED_VALUE"""),0.0)</f>
        <v>0</v>
      </c>
      <c r="L79" s="197">
        <f>IFERROR(__xludf.DUMMYFUNCTION("""COMPUTED_VALUE"""),0.0)</f>
        <v>0</v>
      </c>
      <c r="M79" s="41">
        <f>IFERROR(__xludf.DUMMYFUNCTION("""COMPUTED_VALUE"""),0.0)</f>
        <v>0</v>
      </c>
      <c r="N79" s="197">
        <f>IFERROR(__xludf.DUMMYFUNCTION("""COMPUTED_VALUE"""),0.0)</f>
        <v>0</v>
      </c>
      <c r="O79" s="197">
        <f>IFERROR(__xludf.DUMMYFUNCTION("""COMPUTED_VALUE"""),0.0)</f>
        <v>0</v>
      </c>
      <c r="P79" s="197">
        <f>IFERROR(__xludf.DUMMYFUNCTION("""COMPUTED_VALUE"""),0.0)</f>
        <v>0</v>
      </c>
      <c r="Q79" s="41">
        <f>IFERROR(__xludf.DUMMYFUNCTION("""COMPUTED_VALUE"""),0.0)</f>
        <v>0</v>
      </c>
      <c r="R79" s="197">
        <f>IFERROR(__xludf.DUMMYFUNCTION("""COMPUTED_VALUE"""),0.0)</f>
        <v>0</v>
      </c>
      <c r="S79" s="197">
        <f>IFERROR(__xludf.DUMMYFUNCTION("""COMPUTED_VALUE"""),0.0)</f>
        <v>0</v>
      </c>
      <c r="T79" s="197">
        <f>IFERROR(__xludf.DUMMYFUNCTION("""COMPUTED_VALUE"""),0.0)</f>
        <v>0</v>
      </c>
      <c r="U79" s="41">
        <f>IFERROR(__xludf.DUMMYFUNCTION("""COMPUTED_VALUE"""),0.0)</f>
        <v>0</v>
      </c>
      <c r="V79" s="197">
        <f>IFERROR(__xludf.DUMMYFUNCTION("""COMPUTED_VALUE"""),0.0)</f>
        <v>0</v>
      </c>
      <c r="W79" s="197">
        <f>IFERROR(__xludf.DUMMYFUNCTION("""COMPUTED_VALUE"""),0.0)</f>
        <v>0</v>
      </c>
      <c r="X79" s="197">
        <f>IFERROR(__xludf.DUMMYFUNCTION("""COMPUTED_VALUE"""),0.0)</f>
        <v>0</v>
      </c>
      <c r="Y79" s="41">
        <f>IFERROR(__xludf.DUMMYFUNCTION("""COMPUTED_VALUE"""),0.0)</f>
        <v>0</v>
      </c>
      <c r="Z79" s="197">
        <f>IFERROR(__xludf.DUMMYFUNCTION("""COMPUTED_VALUE"""),0.0)</f>
        <v>0</v>
      </c>
      <c r="AA79" s="197">
        <f>IFERROR(__xludf.DUMMYFUNCTION("""COMPUTED_VALUE"""),0.0)</f>
        <v>0</v>
      </c>
      <c r="AB79" s="197">
        <f>IFERROR(__xludf.DUMMYFUNCTION("""COMPUTED_VALUE"""),0.0)</f>
        <v>0</v>
      </c>
      <c r="AC79" s="41">
        <f>IFERROR(__xludf.DUMMYFUNCTION("""COMPUTED_VALUE"""),0.0)</f>
        <v>0</v>
      </c>
      <c r="AD79" s="197">
        <f>IFERROR(__xludf.DUMMYFUNCTION("""COMPUTED_VALUE"""),0.0)</f>
        <v>0</v>
      </c>
      <c r="AE79" s="197">
        <f>IFERROR(__xludf.DUMMYFUNCTION("""COMPUTED_VALUE"""),0.0)</f>
        <v>0</v>
      </c>
      <c r="AF79" s="197">
        <f>IFERROR(__xludf.DUMMYFUNCTION("""COMPUTED_VALUE"""),0.0)</f>
        <v>0</v>
      </c>
      <c r="AG79" s="41">
        <f>IFERROR(__xludf.DUMMYFUNCTION("""COMPUTED_VALUE"""),0.0)</f>
        <v>0</v>
      </c>
      <c r="AH79" s="197">
        <f>IFERROR(__xludf.DUMMYFUNCTION("""COMPUTED_VALUE"""),0.0)</f>
        <v>0</v>
      </c>
      <c r="AI79" s="197">
        <f>IFERROR(__xludf.DUMMYFUNCTION("""COMPUTED_VALUE"""),0.0)</f>
        <v>0</v>
      </c>
      <c r="AJ79" s="197">
        <f>IFERROR(__xludf.DUMMYFUNCTION("""COMPUTED_VALUE"""),0.0)</f>
        <v>0</v>
      </c>
      <c r="AK79" s="41">
        <f>IFERROR(__xludf.DUMMYFUNCTION("""COMPUTED_VALUE"""),0.0)</f>
        <v>0</v>
      </c>
      <c r="AL79" s="197">
        <f>IFERROR(__xludf.DUMMYFUNCTION("""COMPUTED_VALUE"""),0.0)</f>
        <v>0</v>
      </c>
      <c r="AM79" s="197">
        <f>IFERROR(__xludf.DUMMYFUNCTION("""COMPUTED_VALUE"""),0.0)</f>
        <v>0</v>
      </c>
      <c r="AN79" s="197">
        <f>IFERROR(__xludf.DUMMYFUNCTION("""COMPUTED_VALUE"""),0.0)</f>
        <v>0</v>
      </c>
      <c r="AO79" s="41">
        <f>IFERROR(__xludf.DUMMYFUNCTION("""COMPUTED_VALUE"""),0.0)</f>
        <v>0</v>
      </c>
      <c r="AP79" s="197">
        <f>IFERROR(__xludf.DUMMYFUNCTION("""COMPUTED_VALUE"""),0.0)</f>
        <v>0</v>
      </c>
      <c r="AQ79" s="197">
        <f>IFERROR(__xludf.DUMMYFUNCTION("""COMPUTED_VALUE"""),0.0)</f>
        <v>0</v>
      </c>
      <c r="AR79" s="197">
        <f>IFERROR(__xludf.DUMMYFUNCTION("""COMPUTED_VALUE"""),0.0)</f>
        <v>0</v>
      </c>
      <c r="AS79" s="41">
        <f>IFERROR(__xludf.DUMMYFUNCTION("""COMPUTED_VALUE"""),0.0)</f>
        <v>0</v>
      </c>
      <c r="AT79" s="197">
        <f>IFERROR(__xludf.DUMMYFUNCTION("""COMPUTED_VALUE"""),0.0)</f>
        <v>0</v>
      </c>
      <c r="AU79" s="197">
        <f>IFERROR(__xludf.DUMMYFUNCTION("""COMPUTED_VALUE"""),0.0)</f>
        <v>0</v>
      </c>
      <c r="AV79" s="197">
        <f>IFERROR(__xludf.DUMMYFUNCTION("""COMPUTED_VALUE"""),0.0)</f>
        <v>0</v>
      </c>
      <c r="AW79" s="41">
        <f>IFERROR(__xludf.DUMMYFUNCTION("""COMPUTED_VALUE"""),0.0)</f>
        <v>0</v>
      </c>
      <c r="AX79" s="197">
        <f>IFERROR(__xludf.DUMMYFUNCTION("""COMPUTED_VALUE"""),0.0)</f>
        <v>0</v>
      </c>
      <c r="AY79" s="197">
        <f>IFERROR(__xludf.DUMMYFUNCTION("""COMPUTED_VALUE"""),0.0)</f>
        <v>0</v>
      </c>
      <c r="AZ79" s="198">
        <f>IFERROR(__xludf.DUMMYFUNCTION("""COMPUTED_VALUE"""),0.0)</f>
        <v>0</v>
      </c>
      <c r="BA79" s="195"/>
    </row>
    <row r="80" ht="10.5" customHeight="1">
      <c r="A80" s="169"/>
      <c r="B80" s="203"/>
      <c r="C80" s="204"/>
      <c r="D80" s="204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6"/>
      <c r="BA80" s="195"/>
    </row>
    <row r="81" ht="18.75" hidden="1" customHeight="1">
      <c r="A81" s="207"/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8"/>
    </row>
    <row r="82" ht="18.75" hidden="1" customHeight="1">
      <c r="A82" s="207"/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</row>
    <row r="83" ht="18.75" hidden="1" customHeight="1">
      <c r="A83" s="207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</row>
    <row r="84" ht="18.75" hidden="1" customHeight="1">
      <c r="A84" s="207"/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</row>
    <row r="85" ht="18.75" hidden="1" customHeight="1">
      <c r="A85" s="207"/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</row>
    <row r="86" ht="18.75" hidden="1" customHeight="1">
      <c r="A86" s="207"/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</row>
    <row r="87" ht="18.75" hidden="1" customHeight="1">
      <c r="A87" s="207"/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7"/>
      <c r="AE87" s="207"/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</row>
    <row r="88" ht="18.75" hidden="1" customHeight="1">
      <c r="A88" s="207"/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07"/>
      <c r="AF88" s="207"/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</row>
    <row r="89" ht="18.75" hidden="1" customHeight="1">
      <c r="A89" s="207"/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</row>
    <row r="90" ht="18.75" hidden="1" customHeight="1">
      <c r="A90" s="207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</row>
    <row r="91" ht="18.75" hidden="1" customHeight="1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</row>
    <row r="92" ht="18.75" hidden="1" customHeight="1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</row>
    <row r="93" ht="18.75" hidden="1" customHeight="1">
      <c r="A93" s="207"/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</row>
    <row r="94" ht="18.75" hidden="1" customHeight="1">
      <c r="A94" s="207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</row>
    <row r="95" ht="18.75" hidden="1" customHeight="1">
      <c r="A95" s="207"/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</row>
    <row r="96" ht="18.75" hidden="1" customHeight="1">
      <c r="A96" s="207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</row>
    <row r="97" ht="18.75" hidden="1" customHeight="1">
      <c r="A97" s="207"/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</row>
    <row r="98" ht="18.75" hidden="1" customHeight="1">
      <c r="A98" s="207"/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</row>
    <row r="99" ht="18.75" hidden="1" customHeight="1">
      <c r="A99" s="207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</row>
    <row r="100" ht="18.75" hidden="1" customHeight="1">
      <c r="A100" s="207"/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</row>
    <row r="101" ht="18.75" hidden="1" customHeight="1">
      <c r="A101" s="207"/>
      <c r="B101" s="207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</row>
    <row r="102" ht="18.75" hidden="1" customHeight="1">
      <c r="A102" s="207"/>
      <c r="B102" s="207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</row>
    <row r="103" ht="18.75" hidden="1" customHeight="1">
      <c r="A103" s="207"/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</row>
    <row r="104" ht="18.75" hidden="1" customHeight="1">
      <c r="A104" s="207"/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</row>
    <row r="105" ht="18.75" hidden="1" customHeight="1">
      <c r="A105" s="207"/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</row>
    <row r="106" ht="18.75" hidden="1" customHeight="1">
      <c r="A106" s="207"/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</row>
    <row r="107" ht="18.75" hidden="1" customHeight="1">
      <c r="A107" s="207"/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</row>
    <row r="108" ht="18.75" hidden="1" customHeight="1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</row>
    <row r="109" ht="18.75" hidden="1" customHeight="1">
      <c r="A109" s="207"/>
      <c r="B109" s="207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</row>
    <row r="110" ht="18.75" hidden="1" customHeight="1">
      <c r="A110" s="207"/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</row>
    <row r="111" ht="18.75" hidden="1" customHeight="1">
      <c r="A111" s="207"/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</row>
    <row r="112" ht="18.75" hidden="1" customHeight="1">
      <c r="A112" s="207"/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</row>
    <row r="113" ht="18.75" hidden="1" customHeight="1">
      <c r="A113" s="207"/>
      <c r="B113" s="207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</row>
    <row r="114" ht="18.75" hidden="1" customHeight="1">
      <c r="A114" s="207"/>
      <c r="B114" s="207"/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</row>
    <row r="115" ht="18.75" hidden="1" customHeight="1">
      <c r="A115" s="207"/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</row>
    <row r="116" ht="18.75" hidden="1" customHeight="1">
      <c r="A116" s="207"/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</row>
    <row r="117" ht="18.75" hidden="1" customHeight="1">
      <c r="A117" s="207"/>
      <c r="B117" s="207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</row>
    <row r="118" ht="18.75" hidden="1" customHeight="1">
      <c r="A118" s="207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</row>
    <row r="119" ht="18.75" hidden="1" customHeight="1">
      <c r="A119" s="207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</row>
    <row r="120" ht="18.75" hidden="1" customHeight="1">
      <c r="A120" s="207"/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</row>
    <row r="121" ht="18.75" hidden="1" customHeight="1">
      <c r="A121" s="207"/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</row>
    <row r="122" ht="18.75" hidden="1" customHeight="1">
      <c r="A122" s="207"/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</row>
    <row r="123" ht="18.75" hidden="1" customHeight="1">
      <c r="A123" s="207"/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</row>
    <row r="124" ht="18.75" hidden="1" customHeight="1">
      <c r="A124" s="207"/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</row>
    <row r="125" ht="18.75" hidden="1" customHeight="1">
      <c r="A125" s="207"/>
      <c r="B125" s="207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</row>
    <row r="126" ht="18.75" hidden="1" customHeight="1">
      <c r="A126" s="207"/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</row>
    <row r="127" ht="18.75" hidden="1" customHeight="1">
      <c r="A127" s="207"/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</row>
    <row r="128" ht="18.75" hidden="1" customHeight="1">
      <c r="A128" s="207"/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</row>
    <row r="129" ht="18.75" hidden="1" customHeight="1">
      <c r="A129" s="207"/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</row>
    <row r="130" ht="18.75" hidden="1" customHeight="1">
      <c r="A130" s="207"/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</row>
    <row r="131" ht="18.75" hidden="1" customHeight="1">
      <c r="A131" s="207"/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</row>
    <row r="132" ht="18.75" hidden="1" customHeight="1">
      <c r="A132" s="207"/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</row>
    <row r="133" ht="18.75" hidden="1" customHeight="1">
      <c r="A133" s="207"/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</row>
    <row r="134" ht="18.75" hidden="1" customHeight="1">
      <c r="A134" s="207"/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</row>
    <row r="135" ht="18.75" hidden="1" customHeight="1">
      <c r="A135" s="207"/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</row>
    <row r="136" ht="18.75" hidden="1" customHeight="1">
      <c r="A136" s="207"/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</row>
    <row r="137" ht="18.75" hidden="1" customHeight="1">
      <c r="A137" s="207"/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</row>
    <row r="138" ht="18.75" hidden="1" customHeight="1">
      <c r="A138" s="207"/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</row>
    <row r="139" ht="18.75" hidden="1" customHeight="1">
      <c r="A139" s="207"/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</row>
    <row r="140" ht="18.75" hidden="1" customHeight="1">
      <c r="A140" s="207"/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</row>
    <row r="141" ht="18.75" hidden="1" customHeight="1">
      <c r="A141" s="207"/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</row>
    <row r="142" ht="18.75" hidden="1" customHeight="1">
      <c r="A142" s="207"/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</row>
    <row r="143" ht="18.75" hidden="1" customHeight="1">
      <c r="A143" s="207"/>
      <c r="B143" s="207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</row>
    <row r="144" ht="18.75" hidden="1" customHeight="1">
      <c r="A144" s="207"/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</row>
    <row r="145" ht="18.75" hidden="1" customHeight="1">
      <c r="A145" s="207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</row>
    <row r="146" ht="18.75" hidden="1" customHeight="1">
      <c r="A146" s="207"/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</row>
    <row r="147" ht="18.75" hidden="1" customHeight="1">
      <c r="A147" s="207"/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</row>
    <row r="148" ht="18.75" hidden="1" customHeight="1">
      <c r="A148" s="207"/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</row>
    <row r="149" ht="18.75" hidden="1" customHeight="1">
      <c r="A149" s="207"/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</row>
    <row r="150" ht="18.75" hidden="1" customHeight="1">
      <c r="A150" s="207"/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</row>
    <row r="151" ht="18.75" hidden="1" customHeight="1">
      <c r="A151" s="207"/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</row>
    <row r="152" ht="18.75" hidden="1" customHeight="1">
      <c r="A152" s="207"/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</row>
    <row r="153" ht="18.75" hidden="1" customHeight="1">
      <c r="A153" s="207"/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</row>
    <row r="154" ht="18.75" hidden="1" customHeight="1">
      <c r="A154" s="207"/>
      <c r="B154" s="207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</row>
    <row r="155" ht="18.75" hidden="1" customHeight="1">
      <c r="A155" s="207"/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</row>
    <row r="156" ht="18.75" hidden="1" customHeight="1">
      <c r="A156" s="207"/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</row>
    <row r="157" ht="18.75" hidden="1" customHeight="1">
      <c r="A157" s="207"/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</row>
    <row r="158" ht="18.75" hidden="1" customHeight="1">
      <c r="A158" s="207"/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</row>
    <row r="159" ht="18.75" hidden="1" customHeight="1">
      <c r="A159" s="207"/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</row>
    <row r="160" ht="18.75" hidden="1" customHeight="1">
      <c r="A160" s="207"/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</row>
    <row r="161" ht="18.75" hidden="1" customHeight="1">
      <c r="A161" s="207"/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</row>
    <row r="162" ht="18.75" hidden="1" customHeight="1">
      <c r="A162" s="207"/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</row>
    <row r="163" ht="18.75" hidden="1" customHeight="1">
      <c r="A163" s="207"/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</row>
    <row r="164" ht="18.75" hidden="1" customHeight="1">
      <c r="A164" s="207"/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</row>
    <row r="165" ht="18.75" hidden="1" customHeight="1">
      <c r="A165" s="207"/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</row>
    <row r="166" ht="18.75" hidden="1" customHeight="1">
      <c r="A166" s="207"/>
      <c r="B166" s="207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</row>
    <row r="167" ht="18.75" hidden="1" customHeight="1">
      <c r="A167" s="207"/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</row>
    <row r="168" ht="18.75" hidden="1" customHeight="1">
      <c r="A168" s="207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</row>
    <row r="169" ht="18.75" hidden="1" customHeight="1">
      <c r="A169" s="207"/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</row>
    <row r="170" ht="18.75" hidden="1" customHeight="1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</row>
    <row r="171" ht="18.75" hidden="1" customHeight="1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</row>
    <row r="172" ht="18.75" hidden="1" customHeight="1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</row>
    <row r="173" ht="18.75" hidden="1" customHeight="1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</row>
    <row r="174" ht="18.75" hidden="1" customHeight="1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</row>
    <row r="175" ht="18.75" hidden="1" customHeight="1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</row>
    <row r="176" ht="18.75" hidden="1" customHeight="1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</row>
    <row r="177" ht="18.75" hidden="1" customHeight="1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</row>
    <row r="178" ht="18.75" hidden="1" customHeight="1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</row>
    <row r="179" ht="18.75" hidden="1" customHeight="1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</row>
    <row r="180" ht="18.75" hidden="1" customHeight="1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</row>
    <row r="181" ht="18.75" hidden="1" customHeight="1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</row>
    <row r="182" ht="18.75" hidden="1" customHeight="1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</row>
    <row r="183" ht="18.75" hidden="1" customHeight="1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</row>
    <row r="184" ht="18.75" hidden="1" customHeight="1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</row>
    <row r="185" ht="18.75" hidden="1" customHeight="1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</row>
    <row r="186" ht="18.75" hidden="1" customHeight="1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</row>
    <row r="187" ht="18.75" hidden="1" customHeight="1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</row>
    <row r="188" ht="18.75" hidden="1" customHeight="1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</row>
    <row r="189" ht="18.75" hidden="1" customHeight="1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</row>
    <row r="190" ht="18.75" hidden="1" customHeight="1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</row>
    <row r="191" ht="18.75" hidden="1" customHeight="1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</row>
    <row r="192" ht="18.75" hidden="1" customHeight="1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</row>
    <row r="193" ht="18.75" hidden="1" customHeight="1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</row>
    <row r="194" ht="18.75" hidden="1" customHeight="1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</row>
    <row r="195" ht="18.75" hidden="1" customHeight="1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</row>
    <row r="196" ht="18.75" hidden="1" customHeight="1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</row>
    <row r="197" ht="18.75" hidden="1" customHeight="1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</row>
    <row r="198" ht="18.75" hidden="1" customHeight="1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</row>
    <row r="199" ht="18.75" hidden="1" customHeight="1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</row>
    <row r="200" ht="18.75" hidden="1" customHeight="1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</row>
    <row r="201" ht="18.75" hidden="1" customHeight="1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</row>
    <row r="202" ht="18.75" hidden="1" customHeight="1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</row>
    <row r="203" ht="18.75" hidden="1" customHeight="1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</row>
    <row r="204" ht="18.75" hidden="1" customHeight="1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</row>
    <row r="205" ht="18.75" hidden="1" customHeight="1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</row>
    <row r="206" ht="18.75" hidden="1" customHeight="1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</row>
    <row r="207" ht="18.75" hidden="1" customHeight="1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</row>
    <row r="208" ht="18.75" hidden="1" customHeight="1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</row>
    <row r="209" ht="18.75" hidden="1" customHeight="1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</row>
    <row r="210" ht="18.75" hidden="1" customHeight="1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</row>
    <row r="211" ht="18.75" hidden="1" customHeight="1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</row>
    <row r="212" ht="18.75" hidden="1" customHeight="1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</row>
    <row r="213" ht="18.75" hidden="1" customHeight="1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</row>
    <row r="214" ht="18.75" hidden="1" customHeight="1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</row>
    <row r="215" ht="18.75" hidden="1" customHeight="1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</row>
    <row r="216" ht="18.75" hidden="1" customHeight="1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</row>
    <row r="217" ht="18.75" hidden="1" customHeight="1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</row>
    <row r="218" ht="18.75" hidden="1" customHeight="1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</row>
    <row r="219" ht="18.75" hidden="1" customHeight="1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</row>
    <row r="220" ht="18.75" hidden="1" customHeight="1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</row>
    <row r="221" ht="18.75" hidden="1" customHeight="1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</row>
    <row r="222" ht="18.75" hidden="1" customHeight="1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</row>
    <row r="223" ht="18.75" hidden="1" customHeight="1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</row>
    <row r="224" ht="18.75" hidden="1" customHeight="1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</row>
    <row r="225" ht="18.75" hidden="1" customHeight="1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</row>
    <row r="226" ht="18.75" hidden="1" customHeight="1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</row>
    <row r="227" ht="18.75" hidden="1" customHeight="1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</row>
    <row r="228" ht="18.75" hidden="1" customHeight="1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</row>
    <row r="229" ht="18.75" hidden="1" customHeight="1">
      <c r="A229" s="207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</row>
    <row r="230" ht="18.75" hidden="1" customHeight="1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</row>
    <row r="231" ht="18.75" hidden="1" customHeight="1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</row>
    <row r="232" ht="18.75" hidden="1" customHeight="1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</row>
    <row r="233" ht="18.75" hidden="1" customHeight="1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</row>
    <row r="234" ht="18.75" hidden="1" customHeight="1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</row>
    <row r="235" ht="18.75" hidden="1" customHeight="1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</row>
    <row r="236" ht="18.75" hidden="1" customHeight="1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</row>
    <row r="237" ht="18.75" hidden="1" customHeight="1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/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</row>
    <row r="238" ht="18.75" hidden="1" customHeight="1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/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</row>
    <row r="239" ht="18.75" hidden="1" customHeight="1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/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</row>
    <row r="240" ht="18.75" hidden="1" customHeight="1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</row>
    <row r="241" ht="18.75" hidden="1" customHeight="1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</row>
    <row r="242" ht="18.75" hidden="1" customHeight="1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</row>
    <row r="243" ht="18.75" hidden="1" customHeight="1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</row>
    <row r="244" ht="18.75" hidden="1" customHeight="1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</row>
    <row r="245" ht="18.75" hidden="1" customHeight="1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</row>
    <row r="246" ht="18.75" hidden="1" customHeight="1">
      <c r="A246" s="207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/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</row>
    <row r="247" ht="18.75" hidden="1" customHeight="1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/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</row>
    <row r="248" ht="18.75" hidden="1" customHeight="1">
      <c r="A248" s="207"/>
      <c r="B248" s="207"/>
      <c r="C248" s="207"/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  <c r="AB248" s="207"/>
      <c r="AC248" s="207"/>
      <c r="AD248" s="207"/>
      <c r="AE248" s="207"/>
      <c r="AF248" s="207"/>
      <c r="AG248" s="207"/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</row>
    <row r="249" ht="18.75" hidden="1" customHeight="1">
      <c r="A249" s="207"/>
      <c r="B249" s="207"/>
      <c r="C249" s="207"/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  <c r="AA249" s="207"/>
      <c r="AB249" s="207"/>
      <c r="AC249" s="207"/>
      <c r="AD249" s="207"/>
      <c r="AE249" s="207"/>
      <c r="AF249" s="207"/>
      <c r="AG249" s="207"/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</row>
    <row r="250" ht="18.75" hidden="1" customHeight="1">
      <c r="A250" s="207"/>
      <c r="B250" s="207"/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  <c r="AA250" s="207"/>
      <c r="AB250" s="207"/>
      <c r="AC250" s="207"/>
      <c r="AD250" s="207"/>
      <c r="AE250" s="207"/>
      <c r="AF250" s="207"/>
      <c r="AG250" s="207"/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</row>
    <row r="251" ht="18.75" hidden="1" customHeight="1">
      <c r="A251" s="207"/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  <c r="AA251" s="207"/>
      <c r="AB251" s="207"/>
      <c r="AC251" s="207"/>
      <c r="AD251" s="207"/>
      <c r="AE251" s="207"/>
      <c r="AF251" s="207"/>
      <c r="AG251" s="207"/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</row>
    <row r="252" ht="18.75" hidden="1" customHeight="1">
      <c r="A252" s="207"/>
      <c r="B252" s="207"/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  <c r="AA252" s="207"/>
      <c r="AB252" s="207"/>
      <c r="AC252" s="207"/>
      <c r="AD252" s="207"/>
      <c r="AE252" s="207"/>
      <c r="AF252" s="207"/>
      <c r="AG252" s="207"/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</row>
    <row r="253" ht="18.75" hidden="1" customHeight="1">
      <c r="A253" s="207"/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  <c r="AA253" s="207"/>
      <c r="AB253" s="207"/>
      <c r="AC253" s="207"/>
      <c r="AD253" s="207"/>
      <c r="AE253" s="207"/>
      <c r="AF253" s="207"/>
      <c r="AG253" s="207"/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</row>
    <row r="254" ht="18.75" hidden="1" customHeight="1">
      <c r="A254" s="207"/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  <c r="AA254" s="207"/>
      <c r="AB254" s="207"/>
      <c r="AC254" s="207"/>
      <c r="AD254" s="207"/>
      <c r="AE254" s="207"/>
      <c r="AF254" s="207"/>
      <c r="AG254" s="207"/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</row>
    <row r="255" ht="18.75" hidden="1" customHeight="1">
      <c r="A255" s="207"/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  <c r="AA255" s="207"/>
      <c r="AB255" s="207"/>
      <c r="AC255" s="207"/>
      <c r="AD255" s="207"/>
      <c r="AE255" s="207"/>
      <c r="AF255" s="207"/>
      <c r="AG255" s="207"/>
      <c r="AH255" s="207"/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</row>
    <row r="256" ht="18.75" hidden="1" customHeight="1">
      <c r="A256" s="207"/>
      <c r="B256" s="207"/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  <c r="AA256" s="207"/>
      <c r="AB256" s="207"/>
      <c r="AC256" s="207"/>
      <c r="AD256" s="207"/>
      <c r="AE256" s="207"/>
      <c r="AF256" s="207"/>
      <c r="AG256" s="207"/>
      <c r="AH256" s="207"/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</row>
    <row r="257" ht="18.75" hidden="1" customHeight="1">
      <c r="A257" s="207"/>
      <c r="B257" s="207"/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  <c r="AA257" s="207"/>
      <c r="AB257" s="207"/>
      <c r="AC257" s="207"/>
      <c r="AD257" s="207"/>
      <c r="AE257" s="207"/>
      <c r="AF257" s="207"/>
      <c r="AG257" s="207"/>
      <c r="AH257" s="207"/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</row>
    <row r="258" ht="18.75" hidden="1" customHeight="1">
      <c r="A258" s="207"/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  <c r="AB258" s="207"/>
      <c r="AC258" s="207"/>
      <c r="AD258" s="207"/>
      <c r="AE258" s="207"/>
      <c r="AF258" s="207"/>
      <c r="AG258" s="207"/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</row>
    <row r="259" ht="18.75" hidden="1" customHeight="1">
      <c r="A259" s="207"/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7"/>
      <c r="AB259" s="207"/>
      <c r="AC259" s="207"/>
      <c r="AD259" s="207"/>
      <c r="AE259" s="207"/>
      <c r="AF259" s="207"/>
      <c r="AG259" s="207"/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</row>
    <row r="260" ht="18.75" hidden="1" customHeight="1">
      <c r="A260" s="207"/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/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</row>
    <row r="261" ht="18.75" hidden="1" customHeight="1">
      <c r="A261" s="207"/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  <c r="AA261" s="207"/>
      <c r="AB261" s="207"/>
      <c r="AC261" s="207"/>
      <c r="AD261" s="207"/>
      <c r="AE261" s="207"/>
      <c r="AF261" s="207"/>
      <c r="AG261" s="207"/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</row>
    <row r="262" ht="18.75" hidden="1" customHeight="1">
      <c r="A262" s="207"/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7"/>
      <c r="AB262" s="207"/>
      <c r="AC262" s="207"/>
      <c r="AD262" s="207"/>
      <c r="AE262" s="207"/>
      <c r="AF262" s="207"/>
      <c r="AG262" s="207"/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</row>
    <row r="263" ht="18.75" hidden="1" customHeight="1">
      <c r="A263" s="207"/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  <c r="AA263" s="207"/>
      <c r="AB263" s="207"/>
      <c r="AC263" s="207"/>
      <c r="AD263" s="207"/>
      <c r="AE263" s="207"/>
      <c r="AF263" s="207"/>
      <c r="AG263" s="207"/>
      <c r="AH263" s="207"/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</row>
    <row r="264" ht="18.75" hidden="1" customHeight="1">
      <c r="A264" s="207"/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  <c r="AA264" s="207"/>
      <c r="AB264" s="207"/>
      <c r="AC264" s="207"/>
      <c r="AD264" s="207"/>
      <c r="AE264" s="207"/>
      <c r="AF264" s="207"/>
      <c r="AG264" s="207"/>
      <c r="AH264" s="207"/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</row>
    <row r="265" ht="18.75" hidden="1" customHeight="1">
      <c r="A265" s="207"/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  <c r="AA265" s="207"/>
      <c r="AB265" s="207"/>
      <c r="AC265" s="207"/>
      <c r="AD265" s="207"/>
      <c r="AE265" s="207"/>
      <c r="AF265" s="207"/>
      <c r="AG265" s="207"/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</row>
    <row r="266" ht="18.75" hidden="1" customHeight="1">
      <c r="A266" s="207"/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  <c r="AA266" s="207"/>
      <c r="AB266" s="207"/>
      <c r="AC266" s="207"/>
      <c r="AD266" s="207"/>
      <c r="AE266" s="207"/>
      <c r="AF266" s="207"/>
      <c r="AG266" s="207"/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</row>
    <row r="267" ht="18.75" hidden="1" customHeight="1">
      <c r="A267" s="207"/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  <c r="AA267" s="207"/>
      <c r="AB267" s="207"/>
      <c r="AC267" s="207"/>
      <c r="AD267" s="207"/>
      <c r="AE267" s="207"/>
      <c r="AF267" s="207"/>
      <c r="AG267" s="207"/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</row>
    <row r="268" ht="18.75" hidden="1" customHeight="1">
      <c r="A268" s="207"/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  <c r="AA268" s="207"/>
      <c r="AB268" s="207"/>
      <c r="AC268" s="207"/>
      <c r="AD268" s="207"/>
      <c r="AE268" s="207"/>
      <c r="AF268" s="207"/>
      <c r="AG268" s="207"/>
      <c r="AH268" s="207"/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</row>
    <row r="269" ht="18.75" hidden="1" customHeight="1">
      <c r="A269" s="207"/>
      <c r="B269" s="207"/>
      <c r="C269" s="207"/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  <c r="AA269" s="207"/>
      <c r="AB269" s="207"/>
      <c r="AC269" s="207"/>
      <c r="AD269" s="207"/>
      <c r="AE269" s="207"/>
      <c r="AF269" s="207"/>
      <c r="AG269" s="207"/>
      <c r="AH269" s="207"/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</row>
    <row r="270" ht="18.75" hidden="1" customHeight="1">
      <c r="A270" s="207"/>
      <c r="B270" s="207"/>
      <c r="C270" s="207"/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  <c r="AA270" s="207"/>
      <c r="AB270" s="207"/>
      <c r="AC270" s="207"/>
      <c r="AD270" s="207"/>
      <c r="AE270" s="207"/>
      <c r="AF270" s="207"/>
      <c r="AG270" s="207"/>
      <c r="AH270" s="207"/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</row>
    <row r="271" ht="18.75" hidden="1" customHeight="1">
      <c r="A271" s="207"/>
      <c r="B271" s="207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  <c r="AA271" s="207"/>
      <c r="AB271" s="207"/>
      <c r="AC271" s="207"/>
      <c r="AD271" s="207"/>
      <c r="AE271" s="207"/>
      <c r="AF271" s="207"/>
      <c r="AG271" s="207"/>
      <c r="AH271" s="207"/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</row>
    <row r="272" ht="18.75" hidden="1" customHeight="1">
      <c r="A272" s="207"/>
      <c r="B272" s="207"/>
      <c r="C272" s="207"/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/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</row>
    <row r="273" ht="18.75" hidden="1" customHeight="1">
      <c r="A273" s="207"/>
      <c r="B273" s="207"/>
      <c r="C273" s="207"/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</row>
    <row r="274" ht="18.75" hidden="1" customHeight="1">
      <c r="A274" s="207"/>
      <c r="B274" s="207"/>
      <c r="C274" s="207"/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/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</row>
    <row r="275" ht="18.75" hidden="1" customHeight="1">
      <c r="A275" s="207"/>
      <c r="B275" s="207"/>
      <c r="C275" s="207"/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/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</row>
    <row r="276" ht="18.75" hidden="1" customHeight="1">
      <c r="A276" s="207"/>
      <c r="B276" s="207"/>
      <c r="C276" s="207"/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</row>
    <row r="277" ht="18.75" hidden="1" customHeight="1">
      <c r="A277" s="207"/>
      <c r="B277" s="207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  <c r="AA277" s="207"/>
      <c r="AB277" s="207"/>
      <c r="AC277" s="207"/>
      <c r="AD277" s="207"/>
      <c r="AE277" s="207"/>
      <c r="AF277" s="207"/>
      <c r="AG277" s="207"/>
      <c r="AH277" s="207"/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</row>
    <row r="278" ht="18.75" hidden="1" customHeight="1">
      <c r="A278" s="207"/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  <c r="AA278" s="207"/>
      <c r="AB278" s="207"/>
      <c r="AC278" s="207"/>
      <c r="AD278" s="207"/>
      <c r="AE278" s="207"/>
      <c r="AF278" s="207"/>
      <c r="AG278" s="207"/>
      <c r="AH278" s="207"/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</row>
    <row r="279" ht="18.75" hidden="1" customHeight="1">
      <c r="A279" s="207"/>
      <c r="B279" s="207"/>
      <c r="C279" s="207"/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7"/>
      <c r="AB279" s="207"/>
      <c r="AC279" s="207"/>
      <c r="AD279" s="207"/>
      <c r="AE279" s="207"/>
      <c r="AF279" s="207"/>
      <c r="AG279" s="207"/>
      <c r="AH279" s="207"/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</row>
    <row r="280" ht="18.75" hidden="1" customHeight="1">
      <c r="A280" s="207"/>
      <c r="B280" s="207"/>
      <c r="C280" s="207"/>
      <c r="D280" s="207"/>
      <c r="E280" s="207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  <c r="AA280" s="207"/>
      <c r="AB280" s="207"/>
      <c r="AC280" s="207"/>
      <c r="AD280" s="207"/>
      <c r="AE280" s="207"/>
      <c r="AF280" s="207"/>
      <c r="AG280" s="207"/>
      <c r="AH280" s="207"/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</row>
    <row r="281" ht="18.75" hidden="1" customHeight="1">
      <c r="A281" s="207"/>
      <c r="B281" s="207"/>
      <c r="C281" s="207"/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  <c r="AA281" s="207"/>
      <c r="AB281" s="207"/>
      <c r="AC281" s="207"/>
      <c r="AD281" s="207"/>
      <c r="AE281" s="207"/>
      <c r="AF281" s="207"/>
      <c r="AG281" s="207"/>
      <c r="AH281" s="207"/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</row>
    <row r="282" ht="18.75" hidden="1" customHeight="1">
      <c r="A282" s="207"/>
      <c r="B282" s="207"/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/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</row>
    <row r="283" ht="18.75" hidden="1" customHeight="1">
      <c r="A283" s="207"/>
      <c r="B283" s="207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  <c r="AB283" s="207"/>
      <c r="AC283" s="207"/>
      <c r="AD283" s="207"/>
      <c r="AE283" s="207"/>
      <c r="AF283" s="207"/>
      <c r="AG283" s="207"/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</row>
    <row r="284" ht="18.75" hidden="1" customHeight="1">
      <c r="A284" s="207"/>
      <c r="B284" s="207"/>
      <c r="C284" s="207"/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  <c r="AA284" s="207"/>
      <c r="AB284" s="207"/>
      <c r="AC284" s="207"/>
      <c r="AD284" s="207"/>
      <c r="AE284" s="207"/>
      <c r="AF284" s="207"/>
      <c r="AG284" s="207"/>
      <c r="AH284" s="207"/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</row>
    <row r="285" ht="18.75" hidden="1" customHeight="1">
      <c r="A285" s="207"/>
      <c r="B285" s="207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  <c r="AA285" s="207"/>
      <c r="AB285" s="207"/>
      <c r="AC285" s="207"/>
      <c r="AD285" s="207"/>
      <c r="AE285" s="207"/>
      <c r="AF285" s="207"/>
      <c r="AG285" s="207"/>
      <c r="AH285" s="207"/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</row>
    <row r="286" ht="18.75" hidden="1" customHeight="1">
      <c r="A286" s="207"/>
      <c r="B286" s="207"/>
      <c r="C286" s="207"/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  <c r="AA286" s="207"/>
      <c r="AB286" s="207"/>
      <c r="AC286" s="207"/>
      <c r="AD286" s="207"/>
      <c r="AE286" s="207"/>
      <c r="AF286" s="207"/>
      <c r="AG286" s="207"/>
      <c r="AH286" s="207"/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</row>
    <row r="287" ht="18.75" hidden="1" customHeight="1">
      <c r="A287" s="207"/>
      <c r="B287" s="207"/>
      <c r="C287" s="207"/>
      <c r="D287" s="207"/>
      <c r="E287" s="207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  <c r="AA287" s="207"/>
      <c r="AB287" s="207"/>
      <c r="AC287" s="207"/>
      <c r="AD287" s="207"/>
      <c r="AE287" s="207"/>
      <c r="AF287" s="207"/>
      <c r="AG287" s="207"/>
      <c r="AH287" s="207"/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</row>
    <row r="288" ht="18.75" hidden="1" customHeight="1">
      <c r="A288" s="207"/>
      <c r="B288" s="207"/>
      <c r="C288" s="207"/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  <c r="AA288" s="207"/>
      <c r="AB288" s="207"/>
      <c r="AC288" s="207"/>
      <c r="AD288" s="207"/>
      <c r="AE288" s="207"/>
      <c r="AF288" s="207"/>
      <c r="AG288" s="207"/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</row>
    <row r="289" ht="18.75" hidden="1" customHeight="1">
      <c r="A289" s="207"/>
      <c r="B289" s="207"/>
      <c r="C289" s="207"/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  <c r="AB289" s="207"/>
      <c r="AC289" s="207"/>
      <c r="AD289" s="207"/>
      <c r="AE289" s="207"/>
      <c r="AF289" s="207"/>
      <c r="AG289" s="207"/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</row>
    <row r="290" ht="18.75" hidden="1" customHeight="1">
      <c r="A290" s="207"/>
      <c r="B290" s="207"/>
      <c r="C290" s="207"/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  <c r="AA290" s="207"/>
      <c r="AB290" s="207"/>
      <c r="AC290" s="207"/>
      <c r="AD290" s="207"/>
      <c r="AE290" s="207"/>
      <c r="AF290" s="207"/>
      <c r="AG290" s="207"/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</row>
    <row r="291" ht="18.75" hidden="1" customHeight="1">
      <c r="A291" s="207"/>
      <c r="B291" s="207"/>
      <c r="C291" s="207"/>
      <c r="D291" s="207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  <c r="AA291" s="207"/>
      <c r="AB291" s="207"/>
      <c r="AC291" s="207"/>
      <c r="AD291" s="207"/>
      <c r="AE291" s="207"/>
      <c r="AF291" s="207"/>
      <c r="AG291" s="207"/>
      <c r="AH291" s="207"/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</row>
    <row r="292" ht="18.75" hidden="1" customHeight="1">
      <c r="A292" s="207"/>
      <c r="B292" s="207"/>
      <c r="C292" s="207"/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  <c r="AA292" s="207"/>
      <c r="AB292" s="207"/>
      <c r="AC292" s="207"/>
      <c r="AD292" s="207"/>
      <c r="AE292" s="207"/>
      <c r="AF292" s="207"/>
      <c r="AG292" s="207"/>
      <c r="AH292" s="207"/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</row>
    <row r="293" ht="18.75" hidden="1" customHeight="1">
      <c r="A293" s="207"/>
      <c r="B293" s="207"/>
      <c r="C293" s="207"/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  <c r="AA293" s="207"/>
      <c r="AB293" s="207"/>
      <c r="AC293" s="207"/>
      <c r="AD293" s="207"/>
      <c r="AE293" s="207"/>
      <c r="AF293" s="207"/>
      <c r="AG293" s="207"/>
      <c r="AH293" s="207"/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</row>
    <row r="294" ht="18.75" hidden="1" customHeight="1">
      <c r="A294" s="207"/>
      <c r="B294" s="207"/>
      <c r="C294" s="207"/>
      <c r="D294" s="207"/>
      <c r="E294" s="207"/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  <c r="AA294" s="207"/>
      <c r="AB294" s="207"/>
      <c r="AC294" s="207"/>
      <c r="AD294" s="207"/>
      <c r="AE294" s="207"/>
      <c r="AF294" s="207"/>
      <c r="AG294" s="207"/>
      <c r="AH294" s="207"/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</row>
    <row r="295" ht="18.75" hidden="1" customHeight="1">
      <c r="A295" s="207"/>
      <c r="B295" s="207"/>
      <c r="C295" s="207"/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  <c r="AA295" s="207"/>
      <c r="AB295" s="207"/>
      <c r="AC295" s="207"/>
      <c r="AD295" s="207"/>
      <c r="AE295" s="207"/>
      <c r="AF295" s="207"/>
      <c r="AG295" s="207"/>
      <c r="AH295" s="207"/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</row>
    <row r="296" ht="18.75" hidden="1" customHeight="1">
      <c r="A296" s="207"/>
      <c r="B296" s="207"/>
      <c r="C296" s="207"/>
      <c r="D296" s="207"/>
      <c r="E296" s="207"/>
      <c r="F296" s="207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  <c r="AA296" s="207"/>
      <c r="AB296" s="207"/>
      <c r="AC296" s="207"/>
      <c r="AD296" s="207"/>
      <c r="AE296" s="207"/>
      <c r="AF296" s="207"/>
      <c r="AG296" s="207"/>
      <c r="AH296" s="207"/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</row>
    <row r="297" ht="18.75" hidden="1" customHeight="1">
      <c r="A297" s="207"/>
      <c r="B297" s="207"/>
      <c r="C297" s="207"/>
      <c r="D297" s="207"/>
      <c r="E297" s="207"/>
      <c r="F297" s="207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  <c r="AA297" s="207"/>
      <c r="AB297" s="207"/>
      <c r="AC297" s="207"/>
      <c r="AD297" s="207"/>
      <c r="AE297" s="207"/>
      <c r="AF297" s="207"/>
      <c r="AG297" s="207"/>
      <c r="AH297" s="207"/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</row>
    <row r="298" ht="18.75" hidden="1" customHeight="1">
      <c r="A298" s="207"/>
      <c r="B298" s="207"/>
      <c r="C298" s="207"/>
      <c r="D298" s="207"/>
      <c r="E298" s="207"/>
      <c r="F298" s="207"/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  <c r="AA298" s="207"/>
      <c r="AB298" s="207"/>
      <c r="AC298" s="207"/>
      <c r="AD298" s="207"/>
      <c r="AE298" s="207"/>
      <c r="AF298" s="207"/>
      <c r="AG298" s="207"/>
      <c r="AH298" s="207"/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</row>
    <row r="299" ht="18.75" hidden="1" customHeight="1">
      <c r="A299" s="207"/>
      <c r="B299" s="207"/>
      <c r="C299" s="207"/>
      <c r="D299" s="207"/>
      <c r="E299" s="207"/>
      <c r="F299" s="207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  <c r="AA299" s="207"/>
      <c r="AB299" s="207"/>
      <c r="AC299" s="207"/>
      <c r="AD299" s="207"/>
      <c r="AE299" s="207"/>
      <c r="AF299" s="207"/>
      <c r="AG299" s="207"/>
      <c r="AH299" s="207"/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</row>
    <row r="300" ht="18.75" hidden="1" customHeight="1">
      <c r="A300" s="207"/>
      <c r="B300" s="207"/>
      <c r="C300" s="207"/>
      <c r="D300" s="207"/>
      <c r="E300" s="207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  <c r="AA300" s="207"/>
      <c r="AB300" s="207"/>
      <c r="AC300" s="207"/>
      <c r="AD300" s="207"/>
      <c r="AE300" s="207"/>
      <c r="AF300" s="207"/>
      <c r="AG300" s="207"/>
      <c r="AH300" s="207"/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</row>
    <row r="301" ht="18.75" hidden="1" customHeight="1">
      <c r="A301" s="207"/>
      <c r="B301" s="207"/>
      <c r="C301" s="207"/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  <c r="AB301" s="207"/>
      <c r="AC301" s="207"/>
      <c r="AD301" s="207"/>
      <c r="AE301" s="207"/>
      <c r="AF301" s="207"/>
      <c r="AG301" s="207"/>
      <c r="AH301" s="207"/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</row>
    <row r="302" ht="18.75" hidden="1" customHeight="1">
      <c r="A302" s="207"/>
      <c r="B302" s="207"/>
      <c r="C302" s="207"/>
      <c r="D302" s="207"/>
      <c r="E302" s="207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  <c r="AA302" s="207"/>
      <c r="AB302" s="207"/>
      <c r="AC302" s="207"/>
      <c r="AD302" s="207"/>
      <c r="AE302" s="207"/>
      <c r="AF302" s="207"/>
      <c r="AG302" s="207"/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</row>
    <row r="303" ht="18.75" hidden="1" customHeight="1">
      <c r="A303" s="207"/>
      <c r="B303" s="207"/>
      <c r="C303" s="207"/>
      <c r="D303" s="207"/>
      <c r="E303" s="207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  <c r="AA303" s="207"/>
      <c r="AB303" s="207"/>
      <c r="AC303" s="207"/>
      <c r="AD303" s="207"/>
      <c r="AE303" s="207"/>
      <c r="AF303" s="207"/>
      <c r="AG303" s="207"/>
      <c r="AH303" s="207"/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</row>
    <row r="304" ht="18.75" hidden="1" customHeight="1">
      <c r="A304" s="207"/>
      <c r="B304" s="207"/>
      <c r="C304" s="207"/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  <c r="AA304" s="207"/>
      <c r="AB304" s="207"/>
      <c r="AC304" s="207"/>
      <c r="AD304" s="207"/>
      <c r="AE304" s="207"/>
      <c r="AF304" s="207"/>
      <c r="AG304" s="207"/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</row>
    <row r="305" ht="18.75" hidden="1" customHeight="1">
      <c r="A305" s="207"/>
      <c r="B305" s="207"/>
      <c r="C305" s="207"/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  <c r="AA305" s="207"/>
      <c r="AB305" s="207"/>
      <c r="AC305" s="207"/>
      <c r="AD305" s="207"/>
      <c r="AE305" s="207"/>
      <c r="AF305" s="207"/>
      <c r="AG305" s="207"/>
      <c r="AH305" s="207"/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</row>
    <row r="306" ht="18.75" hidden="1" customHeight="1">
      <c r="A306" s="207"/>
      <c r="B306" s="207"/>
      <c r="C306" s="207"/>
      <c r="D306" s="207"/>
      <c r="E306" s="207"/>
      <c r="F306" s="207"/>
      <c r="G306" s="207"/>
      <c r="H306" s="207"/>
      <c r="I306" s="207"/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  <c r="AA306" s="207"/>
      <c r="AB306" s="207"/>
      <c r="AC306" s="207"/>
      <c r="AD306" s="207"/>
      <c r="AE306" s="207"/>
      <c r="AF306" s="207"/>
      <c r="AG306" s="207"/>
      <c r="AH306" s="207"/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</row>
    <row r="307" ht="18.75" hidden="1" customHeight="1">
      <c r="A307" s="207"/>
      <c r="B307" s="207"/>
      <c r="C307" s="207"/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  <c r="AA307" s="207"/>
      <c r="AB307" s="207"/>
      <c r="AC307" s="207"/>
      <c r="AD307" s="207"/>
      <c r="AE307" s="207"/>
      <c r="AF307" s="207"/>
      <c r="AG307" s="207"/>
      <c r="AH307" s="207"/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</row>
    <row r="308" ht="18.75" hidden="1" customHeight="1">
      <c r="A308" s="207"/>
      <c r="B308" s="207"/>
      <c r="C308" s="207"/>
      <c r="D308" s="207"/>
      <c r="E308" s="207"/>
      <c r="F308" s="207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  <c r="AA308" s="207"/>
      <c r="AB308" s="207"/>
      <c r="AC308" s="207"/>
      <c r="AD308" s="207"/>
      <c r="AE308" s="207"/>
      <c r="AF308" s="207"/>
      <c r="AG308" s="207"/>
      <c r="AH308" s="207"/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</row>
    <row r="309" ht="18.75" hidden="1" customHeight="1">
      <c r="A309" s="207"/>
      <c r="B309" s="207"/>
      <c r="C309" s="207"/>
      <c r="D309" s="207"/>
      <c r="E309" s="207"/>
      <c r="F309" s="207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  <c r="AA309" s="207"/>
      <c r="AB309" s="207"/>
      <c r="AC309" s="207"/>
      <c r="AD309" s="207"/>
      <c r="AE309" s="207"/>
      <c r="AF309" s="207"/>
      <c r="AG309" s="207"/>
      <c r="AH309" s="207"/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</row>
    <row r="310" ht="18.75" hidden="1" customHeight="1">
      <c r="A310" s="207"/>
      <c r="B310" s="207"/>
      <c r="C310" s="207"/>
      <c r="D310" s="207"/>
      <c r="E310" s="207"/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  <c r="AA310" s="207"/>
      <c r="AB310" s="207"/>
      <c r="AC310" s="207"/>
      <c r="AD310" s="207"/>
      <c r="AE310" s="207"/>
      <c r="AF310" s="207"/>
      <c r="AG310" s="207"/>
      <c r="AH310" s="207"/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</row>
    <row r="311" ht="18.75" hidden="1" customHeight="1">
      <c r="A311" s="207"/>
      <c r="B311" s="207"/>
      <c r="C311" s="207"/>
      <c r="D311" s="207"/>
      <c r="E311" s="207"/>
      <c r="F311" s="207"/>
      <c r="G311" s="207"/>
      <c r="H311" s="207"/>
      <c r="I311" s="207"/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  <c r="AA311" s="207"/>
      <c r="AB311" s="207"/>
      <c r="AC311" s="207"/>
      <c r="AD311" s="207"/>
      <c r="AE311" s="207"/>
      <c r="AF311" s="207"/>
      <c r="AG311" s="207"/>
      <c r="AH311" s="207"/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</row>
    <row r="312" ht="18.75" hidden="1" customHeight="1">
      <c r="A312" s="207"/>
      <c r="B312" s="207"/>
      <c r="C312" s="207"/>
      <c r="D312" s="207"/>
      <c r="E312" s="207"/>
      <c r="F312" s="207"/>
      <c r="G312" s="207"/>
      <c r="H312" s="207"/>
      <c r="I312" s="207"/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  <c r="AA312" s="207"/>
      <c r="AB312" s="207"/>
      <c r="AC312" s="207"/>
      <c r="AD312" s="207"/>
      <c r="AE312" s="207"/>
      <c r="AF312" s="207"/>
      <c r="AG312" s="207"/>
      <c r="AH312" s="207"/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</row>
    <row r="313" ht="18.75" hidden="1" customHeight="1">
      <c r="A313" s="207"/>
      <c r="B313" s="207"/>
      <c r="C313" s="207"/>
      <c r="D313" s="207"/>
      <c r="E313" s="207"/>
      <c r="F313" s="207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  <c r="AA313" s="207"/>
      <c r="AB313" s="207"/>
      <c r="AC313" s="207"/>
      <c r="AD313" s="207"/>
      <c r="AE313" s="207"/>
      <c r="AF313" s="207"/>
      <c r="AG313" s="207"/>
      <c r="AH313" s="207"/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  <c r="AZ313" s="207"/>
      <c r="BA313" s="207"/>
    </row>
    <row r="314" ht="18.75" hidden="1" customHeight="1">
      <c r="A314" s="207"/>
      <c r="B314" s="207"/>
      <c r="C314" s="207"/>
      <c r="D314" s="207"/>
      <c r="E314" s="207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  <c r="AB314" s="207"/>
      <c r="AC314" s="207"/>
      <c r="AD314" s="207"/>
      <c r="AE314" s="207"/>
      <c r="AF314" s="207"/>
      <c r="AG314" s="207"/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</row>
    <row r="315" ht="18.75" hidden="1" customHeight="1">
      <c r="A315" s="207"/>
      <c r="B315" s="207"/>
      <c r="C315" s="207"/>
      <c r="D315" s="207"/>
      <c r="E315" s="207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  <c r="AB315" s="207"/>
      <c r="AC315" s="207"/>
      <c r="AD315" s="207"/>
      <c r="AE315" s="207"/>
      <c r="AF315" s="207"/>
      <c r="AG315" s="207"/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</row>
    <row r="316" ht="18.75" hidden="1" customHeight="1">
      <c r="A316" s="207"/>
      <c r="B316" s="207"/>
      <c r="C316" s="207"/>
      <c r="D316" s="207"/>
      <c r="E316" s="207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  <c r="AB316" s="207"/>
      <c r="AC316" s="207"/>
      <c r="AD316" s="207"/>
      <c r="AE316" s="207"/>
      <c r="AF316" s="207"/>
      <c r="AG316" s="207"/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</row>
    <row r="317" ht="18.75" hidden="1" customHeight="1">
      <c r="A317" s="207"/>
      <c r="B317" s="207"/>
      <c r="C317" s="207"/>
      <c r="D317" s="207"/>
      <c r="E317" s="207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  <c r="AB317" s="207"/>
      <c r="AC317" s="207"/>
      <c r="AD317" s="207"/>
      <c r="AE317" s="207"/>
      <c r="AF317" s="207"/>
      <c r="AG317" s="207"/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</row>
    <row r="318" ht="18.75" hidden="1" customHeight="1">
      <c r="A318" s="207"/>
      <c r="B318" s="2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/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</row>
    <row r="319" ht="18.75" hidden="1" customHeight="1">
      <c r="A319" s="207"/>
      <c r="B319" s="207"/>
      <c r="C319" s="207"/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  <c r="AA319" s="207"/>
      <c r="AB319" s="207"/>
      <c r="AC319" s="207"/>
      <c r="AD319" s="207"/>
      <c r="AE319" s="207"/>
      <c r="AF319" s="207"/>
      <c r="AG319" s="207"/>
      <c r="AH319" s="207"/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</row>
    <row r="320" ht="18.75" hidden="1" customHeight="1">
      <c r="A320" s="207"/>
      <c r="B320" s="207"/>
      <c r="C320" s="207"/>
      <c r="D320" s="207"/>
      <c r="E320" s="207"/>
      <c r="F320" s="207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  <c r="AA320" s="207"/>
      <c r="AB320" s="207"/>
      <c r="AC320" s="207"/>
      <c r="AD320" s="207"/>
      <c r="AE320" s="207"/>
      <c r="AF320" s="207"/>
      <c r="AG320" s="207"/>
      <c r="AH320" s="207"/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</row>
    <row r="321" ht="18.75" hidden="1" customHeight="1">
      <c r="A321" s="207"/>
      <c r="B321" s="207"/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  <c r="AA321" s="207"/>
      <c r="AB321" s="207"/>
      <c r="AC321" s="207"/>
      <c r="AD321" s="207"/>
      <c r="AE321" s="207"/>
      <c r="AF321" s="207"/>
      <c r="AG321" s="207"/>
      <c r="AH321" s="207"/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</row>
    <row r="322" ht="18.75" hidden="1" customHeight="1">
      <c r="A322" s="207"/>
      <c r="B322" s="207"/>
      <c r="C322" s="207"/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  <c r="AA322" s="207"/>
      <c r="AB322" s="207"/>
      <c r="AC322" s="207"/>
      <c r="AD322" s="207"/>
      <c r="AE322" s="207"/>
      <c r="AF322" s="207"/>
      <c r="AG322" s="207"/>
      <c r="AH322" s="207"/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</row>
    <row r="323" ht="18.75" hidden="1" customHeight="1">
      <c r="A323" s="207"/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  <c r="AA323" s="207"/>
      <c r="AB323" s="207"/>
      <c r="AC323" s="207"/>
      <c r="AD323" s="207"/>
      <c r="AE323" s="207"/>
      <c r="AF323" s="207"/>
      <c r="AG323" s="207"/>
      <c r="AH323" s="207"/>
      <c r="AI323" s="207"/>
      <c r="AJ323" s="207"/>
      <c r="AK323" s="207"/>
      <c r="AL323" s="207"/>
      <c r="AM323" s="207"/>
      <c r="AN323" s="207"/>
      <c r="AO323" s="207"/>
      <c r="AP323" s="207"/>
      <c r="AQ323" s="207"/>
      <c r="AR323" s="207"/>
      <c r="AS323" s="207"/>
      <c r="AT323" s="207"/>
      <c r="AU323" s="207"/>
      <c r="AV323" s="207"/>
      <c r="AW323" s="207"/>
      <c r="AX323" s="207"/>
      <c r="AY323" s="207"/>
      <c r="AZ323" s="207"/>
      <c r="BA323" s="207"/>
    </row>
    <row r="324" ht="18.75" hidden="1" customHeight="1">
      <c r="A324" s="207"/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  <c r="AA324" s="207"/>
      <c r="AB324" s="207"/>
      <c r="AC324" s="207"/>
      <c r="AD324" s="207"/>
      <c r="AE324" s="207"/>
      <c r="AF324" s="207"/>
      <c r="AG324" s="207"/>
      <c r="AH324" s="207"/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</row>
    <row r="325" ht="18.75" hidden="1" customHeight="1">
      <c r="A325" s="207"/>
      <c r="B325" s="207"/>
      <c r="C325" s="207"/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  <c r="AA325" s="207"/>
      <c r="AB325" s="207"/>
      <c r="AC325" s="207"/>
      <c r="AD325" s="207"/>
      <c r="AE325" s="207"/>
      <c r="AF325" s="207"/>
      <c r="AG325" s="207"/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</row>
    <row r="326" ht="18.75" hidden="1" customHeight="1">
      <c r="A326" s="207"/>
      <c r="B326" s="207"/>
      <c r="C326" s="207"/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  <c r="AA326" s="207"/>
      <c r="AB326" s="207"/>
      <c r="AC326" s="207"/>
      <c r="AD326" s="207"/>
      <c r="AE326" s="207"/>
      <c r="AF326" s="207"/>
      <c r="AG326" s="207"/>
      <c r="AH326" s="207"/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</row>
    <row r="327" ht="18.75" hidden="1" customHeight="1">
      <c r="A327" s="207"/>
      <c r="B327" s="207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  <c r="AA327" s="207"/>
      <c r="AB327" s="207"/>
      <c r="AC327" s="207"/>
      <c r="AD327" s="207"/>
      <c r="AE327" s="207"/>
      <c r="AF327" s="207"/>
      <c r="AG327" s="207"/>
      <c r="AH327" s="207"/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</row>
    <row r="328" ht="18.75" hidden="1" customHeight="1">
      <c r="A328" s="207"/>
      <c r="B328" s="207"/>
      <c r="C328" s="207"/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  <c r="AA328" s="207"/>
      <c r="AB328" s="207"/>
      <c r="AC328" s="207"/>
      <c r="AD328" s="207"/>
      <c r="AE328" s="207"/>
      <c r="AF328" s="207"/>
      <c r="AG328" s="207"/>
      <c r="AH328" s="207"/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</row>
    <row r="329" ht="18.75" hidden="1" customHeight="1">
      <c r="A329" s="207"/>
      <c r="B329" s="207"/>
      <c r="C329" s="207"/>
      <c r="D329" s="207"/>
      <c r="E329" s="207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  <c r="AA329" s="207"/>
      <c r="AB329" s="207"/>
      <c r="AC329" s="207"/>
      <c r="AD329" s="207"/>
      <c r="AE329" s="207"/>
      <c r="AF329" s="207"/>
      <c r="AG329" s="207"/>
      <c r="AH329" s="207"/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</row>
    <row r="330" ht="18.75" hidden="1" customHeight="1">
      <c r="A330" s="207"/>
      <c r="B330" s="207"/>
      <c r="C330" s="207"/>
      <c r="D330" s="207"/>
      <c r="E330" s="207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  <c r="AA330" s="207"/>
      <c r="AB330" s="207"/>
      <c r="AC330" s="207"/>
      <c r="AD330" s="207"/>
      <c r="AE330" s="207"/>
      <c r="AF330" s="207"/>
      <c r="AG330" s="207"/>
      <c r="AH330" s="207"/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</row>
    <row r="331" ht="18.75" hidden="1" customHeight="1">
      <c r="A331" s="207"/>
      <c r="B331" s="207"/>
      <c r="C331" s="207"/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  <c r="AA331" s="207"/>
      <c r="AB331" s="207"/>
      <c r="AC331" s="207"/>
      <c r="AD331" s="207"/>
      <c r="AE331" s="207"/>
      <c r="AF331" s="207"/>
      <c r="AG331" s="207"/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</row>
    <row r="332" ht="18.75" hidden="1" customHeight="1">
      <c r="A332" s="207"/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  <c r="AA332" s="207"/>
      <c r="AB332" s="207"/>
      <c r="AC332" s="207"/>
      <c r="AD332" s="207"/>
      <c r="AE332" s="207"/>
      <c r="AF332" s="207"/>
      <c r="AG332" s="207"/>
      <c r="AH332" s="207"/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  <c r="AZ332" s="207"/>
      <c r="BA332" s="207"/>
    </row>
    <row r="333" ht="18.75" hidden="1" customHeight="1">
      <c r="A333" s="207"/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  <c r="AA333" s="207"/>
      <c r="AB333" s="207"/>
      <c r="AC333" s="207"/>
      <c r="AD333" s="207"/>
      <c r="AE333" s="207"/>
      <c r="AF333" s="207"/>
      <c r="AG333" s="207"/>
      <c r="AH333" s="207"/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</row>
    <row r="334" ht="18.75" hidden="1" customHeight="1">
      <c r="A334" s="207"/>
      <c r="B334" s="207"/>
      <c r="C334" s="207"/>
      <c r="D334" s="207"/>
      <c r="E334" s="207"/>
      <c r="F334" s="207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  <c r="AA334" s="207"/>
      <c r="AB334" s="207"/>
      <c r="AC334" s="207"/>
      <c r="AD334" s="207"/>
      <c r="AE334" s="207"/>
      <c r="AF334" s="207"/>
      <c r="AG334" s="207"/>
      <c r="AH334" s="207"/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</row>
    <row r="335" ht="18.75" hidden="1" customHeight="1">
      <c r="A335" s="207"/>
      <c r="B335" s="207"/>
      <c r="C335" s="207"/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  <c r="AA335" s="207"/>
      <c r="AB335" s="207"/>
      <c r="AC335" s="207"/>
      <c r="AD335" s="207"/>
      <c r="AE335" s="207"/>
      <c r="AF335" s="207"/>
      <c r="AG335" s="207"/>
      <c r="AH335" s="207"/>
      <c r="AI335" s="207"/>
      <c r="AJ335" s="207"/>
      <c r="AK335" s="207"/>
      <c r="AL335" s="207"/>
      <c r="AM335" s="207"/>
      <c r="AN335" s="207"/>
      <c r="AO335" s="207"/>
      <c r="AP335" s="207"/>
      <c r="AQ335" s="207"/>
      <c r="AR335" s="207"/>
      <c r="AS335" s="207"/>
      <c r="AT335" s="207"/>
      <c r="AU335" s="207"/>
      <c r="AV335" s="207"/>
      <c r="AW335" s="207"/>
      <c r="AX335" s="207"/>
      <c r="AY335" s="207"/>
      <c r="AZ335" s="207"/>
      <c r="BA335" s="207"/>
    </row>
    <row r="336" ht="18.75" hidden="1" customHeight="1">
      <c r="A336" s="207"/>
      <c r="B336" s="207"/>
      <c r="C336" s="207"/>
      <c r="D336" s="207"/>
      <c r="E336" s="207"/>
      <c r="F336" s="207"/>
      <c r="G336" s="207"/>
      <c r="H336" s="207"/>
      <c r="I336" s="207"/>
      <c r="J336" s="207"/>
      <c r="K336" s="207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  <c r="AA336" s="207"/>
      <c r="AB336" s="207"/>
      <c r="AC336" s="207"/>
      <c r="AD336" s="207"/>
      <c r="AE336" s="207"/>
      <c r="AF336" s="207"/>
      <c r="AG336" s="207"/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</row>
    <row r="337" ht="18.75" hidden="1" customHeight="1">
      <c r="A337" s="207"/>
      <c r="B337" s="207"/>
      <c r="C337" s="207"/>
      <c r="D337" s="207"/>
      <c r="E337" s="207"/>
      <c r="F337" s="207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  <c r="AA337" s="207"/>
      <c r="AB337" s="207"/>
      <c r="AC337" s="207"/>
      <c r="AD337" s="207"/>
      <c r="AE337" s="207"/>
      <c r="AF337" s="207"/>
      <c r="AG337" s="207"/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</row>
    <row r="338" ht="18.75" hidden="1" customHeight="1">
      <c r="A338" s="207"/>
      <c r="B338" s="207"/>
      <c r="C338" s="207"/>
      <c r="D338" s="207"/>
      <c r="E338" s="207"/>
      <c r="F338" s="207"/>
      <c r="G338" s="207"/>
      <c r="H338" s="207"/>
      <c r="I338" s="207"/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  <c r="AA338" s="207"/>
      <c r="AB338" s="207"/>
      <c r="AC338" s="207"/>
      <c r="AD338" s="207"/>
      <c r="AE338" s="207"/>
      <c r="AF338" s="207"/>
      <c r="AG338" s="207"/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</row>
    <row r="339" ht="18.75" hidden="1" customHeight="1">
      <c r="A339" s="207"/>
      <c r="B339" s="207"/>
      <c r="C339" s="207"/>
      <c r="D339" s="207"/>
      <c r="E339" s="207"/>
      <c r="F339" s="207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  <c r="AA339" s="207"/>
      <c r="AB339" s="207"/>
      <c r="AC339" s="207"/>
      <c r="AD339" s="207"/>
      <c r="AE339" s="207"/>
      <c r="AF339" s="207"/>
      <c r="AG339" s="207"/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</row>
    <row r="340" ht="18.75" hidden="1" customHeight="1">
      <c r="A340" s="207"/>
      <c r="B340" s="207"/>
      <c r="C340" s="207"/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  <c r="AA340" s="207"/>
      <c r="AB340" s="207"/>
      <c r="AC340" s="207"/>
      <c r="AD340" s="207"/>
      <c r="AE340" s="207"/>
      <c r="AF340" s="207"/>
      <c r="AG340" s="207"/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</row>
    <row r="341" ht="18.75" hidden="1" customHeight="1">
      <c r="A341" s="207"/>
      <c r="B341" s="207"/>
      <c r="C341" s="207"/>
      <c r="D341" s="207"/>
      <c r="E341" s="207"/>
      <c r="F341" s="207"/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  <c r="AA341" s="207"/>
      <c r="AB341" s="207"/>
      <c r="AC341" s="207"/>
      <c r="AD341" s="207"/>
      <c r="AE341" s="207"/>
      <c r="AF341" s="207"/>
      <c r="AG341" s="207"/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</row>
    <row r="342" ht="18.75" hidden="1" customHeight="1">
      <c r="A342" s="207"/>
      <c r="B342" s="207"/>
      <c r="C342" s="207"/>
      <c r="D342" s="207"/>
      <c r="E342" s="207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  <c r="AA342" s="207"/>
      <c r="AB342" s="207"/>
      <c r="AC342" s="207"/>
      <c r="AD342" s="207"/>
      <c r="AE342" s="207"/>
      <c r="AF342" s="207"/>
      <c r="AG342" s="207"/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</row>
    <row r="343" ht="18.75" hidden="1" customHeight="1">
      <c r="A343" s="207"/>
      <c r="B343" s="207"/>
      <c r="C343" s="207"/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  <c r="AA343" s="207"/>
      <c r="AB343" s="207"/>
      <c r="AC343" s="207"/>
      <c r="AD343" s="207"/>
      <c r="AE343" s="207"/>
      <c r="AF343" s="207"/>
      <c r="AG343" s="207"/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</row>
    <row r="344" ht="18.75" hidden="1" customHeight="1">
      <c r="A344" s="207"/>
      <c r="B344" s="207"/>
      <c r="C344" s="207"/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  <c r="AA344" s="207"/>
      <c r="AB344" s="207"/>
      <c r="AC344" s="207"/>
      <c r="AD344" s="207"/>
      <c r="AE344" s="207"/>
      <c r="AF344" s="207"/>
      <c r="AG344" s="207"/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</row>
    <row r="345" ht="18.75" hidden="1" customHeight="1">
      <c r="A345" s="207"/>
      <c r="B345" s="207"/>
      <c r="C345" s="207"/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  <c r="AA345" s="207"/>
      <c r="AB345" s="207"/>
      <c r="AC345" s="207"/>
      <c r="AD345" s="207"/>
      <c r="AE345" s="207"/>
      <c r="AF345" s="207"/>
      <c r="AG345" s="207"/>
      <c r="AH345" s="207"/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</row>
    <row r="346" ht="18.75" hidden="1" customHeight="1">
      <c r="A346" s="207"/>
      <c r="B346" s="207"/>
      <c r="C346" s="207"/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  <c r="AA346" s="207"/>
      <c r="AB346" s="207"/>
      <c r="AC346" s="207"/>
      <c r="AD346" s="207"/>
      <c r="AE346" s="207"/>
      <c r="AF346" s="207"/>
      <c r="AG346" s="207"/>
      <c r="AH346" s="207"/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</row>
    <row r="347" ht="18.75" hidden="1" customHeight="1">
      <c r="A347" s="207"/>
      <c r="B347" s="207"/>
      <c r="C347" s="207"/>
      <c r="D347" s="207"/>
      <c r="E347" s="207"/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  <c r="AA347" s="207"/>
      <c r="AB347" s="207"/>
      <c r="AC347" s="207"/>
      <c r="AD347" s="207"/>
      <c r="AE347" s="207"/>
      <c r="AF347" s="207"/>
      <c r="AG347" s="207"/>
      <c r="AH347" s="207"/>
      <c r="AI347" s="207"/>
      <c r="AJ347" s="207"/>
      <c r="AK347" s="207"/>
      <c r="AL347" s="207"/>
      <c r="AM347" s="207"/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</row>
    <row r="348" ht="18.75" hidden="1" customHeight="1">
      <c r="A348" s="207"/>
      <c r="B348" s="207"/>
      <c r="C348" s="207"/>
      <c r="D348" s="207"/>
      <c r="E348" s="207"/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  <c r="AA348" s="207"/>
      <c r="AB348" s="207"/>
      <c r="AC348" s="207"/>
      <c r="AD348" s="207"/>
      <c r="AE348" s="207"/>
      <c r="AF348" s="207"/>
      <c r="AG348" s="207"/>
      <c r="AH348" s="207"/>
      <c r="AI348" s="207"/>
      <c r="AJ348" s="207"/>
      <c r="AK348" s="207"/>
      <c r="AL348" s="207"/>
      <c r="AM348" s="207"/>
      <c r="AN348" s="207"/>
      <c r="AO348" s="207"/>
      <c r="AP348" s="207"/>
      <c r="AQ348" s="207"/>
      <c r="AR348" s="207"/>
      <c r="AS348" s="207"/>
      <c r="AT348" s="207"/>
      <c r="AU348" s="207"/>
      <c r="AV348" s="207"/>
      <c r="AW348" s="207"/>
      <c r="AX348" s="207"/>
      <c r="AY348" s="207"/>
      <c r="AZ348" s="207"/>
      <c r="BA348" s="207"/>
    </row>
    <row r="349" ht="18.75" hidden="1" customHeight="1">
      <c r="A349" s="207"/>
      <c r="B349" s="207"/>
      <c r="C349" s="207"/>
      <c r="D349" s="207"/>
      <c r="E349" s="207"/>
      <c r="F349" s="207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  <c r="AA349" s="207"/>
      <c r="AB349" s="207"/>
      <c r="AC349" s="207"/>
      <c r="AD349" s="207"/>
      <c r="AE349" s="207"/>
      <c r="AF349" s="207"/>
      <c r="AG349" s="207"/>
      <c r="AH349" s="207"/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</row>
    <row r="350" ht="18.75" hidden="1" customHeight="1">
      <c r="A350" s="207"/>
      <c r="B350" s="207"/>
      <c r="C350" s="207"/>
      <c r="D350" s="207"/>
      <c r="E350" s="207"/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  <c r="AA350" s="207"/>
      <c r="AB350" s="207"/>
      <c r="AC350" s="207"/>
      <c r="AD350" s="207"/>
      <c r="AE350" s="207"/>
      <c r="AF350" s="207"/>
      <c r="AG350" s="207"/>
      <c r="AH350" s="207"/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</row>
    <row r="351" ht="18.75" hidden="1" customHeight="1">
      <c r="A351" s="207"/>
      <c r="B351" s="207"/>
      <c r="C351" s="207"/>
      <c r="D351" s="207"/>
      <c r="E351" s="207"/>
      <c r="F351" s="207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  <c r="AA351" s="207"/>
      <c r="AB351" s="207"/>
      <c r="AC351" s="207"/>
      <c r="AD351" s="207"/>
      <c r="AE351" s="207"/>
      <c r="AF351" s="207"/>
      <c r="AG351" s="207"/>
      <c r="AH351" s="207"/>
      <c r="AI351" s="207"/>
      <c r="AJ351" s="207"/>
      <c r="AK351" s="207"/>
      <c r="AL351" s="207"/>
      <c r="AM351" s="207"/>
      <c r="AN351" s="207"/>
      <c r="AO351" s="207"/>
      <c r="AP351" s="207"/>
      <c r="AQ351" s="207"/>
      <c r="AR351" s="207"/>
      <c r="AS351" s="207"/>
      <c r="AT351" s="207"/>
      <c r="AU351" s="207"/>
      <c r="AV351" s="207"/>
      <c r="AW351" s="207"/>
      <c r="AX351" s="207"/>
      <c r="AY351" s="207"/>
      <c r="AZ351" s="207"/>
      <c r="BA351" s="207"/>
    </row>
    <row r="352" ht="18.75" hidden="1" customHeight="1">
      <c r="A352" s="207"/>
      <c r="B352" s="207"/>
      <c r="C352" s="207"/>
      <c r="D352" s="207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  <c r="AA352" s="207"/>
      <c r="AB352" s="207"/>
      <c r="AC352" s="207"/>
      <c r="AD352" s="207"/>
      <c r="AE352" s="207"/>
      <c r="AF352" s="207"/>
      <c r="AG352" s="207"/>
      <c r="AH352" s="207"/>
      <c r="AI352" s="207"/>
      <c r="AJ352" s="207"/>
      <c r="AK352" s="207"/>
      <c r="AL352" s="207"/>
      <c r="AM352" s="207"/>
      <c r="AN352" s="207"/>
      <c r="AO352" s="207"/>
      <c r="AP352" s="207"/>
      <c r="AQ352" s="207"/>
      <c r="AR352" s="207"/>
      <c r="AS352" s="207"/>
      <c r="AT352" s="207"/>
      <c r="AU352" s="207"/>
      <c r="AV352" s="207"/>
      <c r="AW352" s="207"/>
      <c r="AX352" s="207"/>
      <c r="AY352" s="207"/>
      <c r="AZ352" s="207"/>
      <c r="BA352" s="207"/>
    </row>
    <row r="353" ht="18.75" hidden="1" customHeight="1">
      <c r="A353" s="207"/>
      <c r="B353" s="207"/>
      <c r="C353" s="207"/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  <c r="AA353" s="207"/>
      <c r="AB353" s="207"/>
      <c r="AC353" s="207"/>
      <c r="AD353" s="207"/>
      <c r="AE353" s="207"/>
      <c r="AF353" s="207"/>
      <c r="AG353" s="207"/>
      <c r="AH353" s="207"/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</row>
    <row r="354" ht="18.75" hidden="1" customHeight="1">
      <c r="A354" s="207"/>
      <c r="B354" s="207"/>
      <c r="C354" s="207"/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  <c r="AA354" s="207"/>
      <c r="AB354" s="207"/>
      <c r="AC354" s="207"/>
      <c r="AD354" s="207"/>
      <c r="AE354" s="207"/>
      <c r="AF354" s="207"/>
      <c r="AG354" s="207"/>
      <c r="AH354" s="207"/>
      <c r="AI354" s="207"/>
      <c r="AJ354" s="207"/>
      <c r="AK354" s="207"/>
      <c r="AL354" s="207"/>
      <c r="AM354" s="207"/>
      <c r="AN354" s="207"/>
      <c r="AO354" s="207"/>
      <c r="AP354" s="207"/>
      <c r="AQ354" s="207"/>
      <c r="AR354" s="207"/>
      <c r="AS354" s="207"/>
      <c r="AT354" s="207"/>
      <c r="AU354" s="207"/>
      <c r="AV354" s="207"/>
      <c r="AW354" s="207"/>
      <c r="AX354" s="207"/>
      <c r="AY354" s="207"/>
      <c r="AZ354" s="207"/>
      <c r="BA354" s="207"/>
    </row>
    <row r="355" ht="18.75" hidden="1" customHeight="1">
      <c r="A355" s="207"/>
      <c r="B355" s="207"/>
      <c r="C355" s="207"/>
      <c r="D355" s="207"/>
      <c r="E355" s="207"/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  <c r="AA355" s="207"/>
      <c r="AB355" s="207"/>
      <c r="AC355" s="207"/>
      <c r="AD355" s="207"/>
      <c r="AE355" s="207"/>
      <c r="AF355" s="207"/>
      <c r="AG355" s="207"/>
      <c r="AH355" s="207"/>
      <c r="AI355" s="207"/>
      <c r="AJ355" s="207"/>
      <c r="AK355" s="207"/>
      <c r="AL355" s="207"/>
      <c r="AM355" s="207"/>
      <c r="AN355" s="207"/>
      <c r="AO355" s="207"/>
      <c r="AP355" s="207"/>
      <c r="AQ355" s="207"/>
      <c r="AR355" s="207"/>
      <c r="AS355" s="207"/>
      <c r="AT355" s="207"/>
      <c r="AU355" s="207"/>
      <c r="AV355" s="207"/>
      <c r="AW355" s="207"/>
      <c r="AX355" s="207"/>
      <c r="AY355" s="207"/>
      <c r="AZ355" s="207"/>
      <c r="BA355" s="207"/>
    </row>
    <row r="356" ht="18.75" hidden="1" customHeight="1">
      <c r="A356" s="207"/>
      <c r="B356" s="207"/>
      <c r="C356" s="207"/>
      <c r="D356" s="207"/>
      <c r="E356" s="207"/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  <c r="AA356" s="207"/>
      <c r="AB356" s="207"/>
      <c r="AC356" s="207"/>
      <c r="AD356" s="207"/>
      <c r="AE356" s="207"/>
      <c r="AF356" s="207"/>
      <c r="AG356" s="207"/>
      <c r="AH356" s="207"/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</row>
    <row r="357" ht="18.75" hidden="1" customHeight="1">
      <c r="A357" s="207"/>
      <c r="B357" s="207"/>
      <c r="C357" s="207"/>
      <c r="D357" s="207"/>
      <c r="E357" s="207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  <c r="AA357" s="207"/>
      <c r="AB357" s="207"/>
      <c r="AC357" s="207"/>
      <c r="AD357" s="207"/>
      <c r="AE357" s="207"/>
      <c r="AF357" s="207"/>
      <c r="AG357" s="207"/>
      <c r="AH357" s="207"/>
      <c r="AI357" s="207"/>
      <c r="AJ357" s="207"/>
      <c r="AK357" s="207"/>
      <c r="AL357" s="207"/>
      <c r="AM357" s="207"/>
      <c r="AN357" s="207"/>
      <c r="AO357" s="207"/>
      <c r="AP357" s="207"/>
      <c r="AQ357" s="207"/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</row>
    <row r="358" ht="18.75" hidden="1" customHeight="1">
      <c r="A358" s="207"/>
      <c r="B358" s="207"/>
      <c r="C358" s="207"/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  <c r="AA358" s="207"/>
      <c r="AB358" s="207"/>
      <c r="AC358" s="207"/>
      <c r="AD358" s="207"/>
      <c r="AE358" s="207"/>
      <c r="AF358" s="207"/>
      <c r="AG358" s="207"/>
      <c r="AH358" s="207"/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</row>
    <row r="359" ht="18.75" hidden="1" customHeight="1">
      <c r="A359" s="207"/>
      <c r="B359" s="207"/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  <c r="AA359" s="207"/>
      <c r="AB359" s="207"/>
      <c r="AC359" s="207"/>
      <c r="AD359" s="207"/>
      <c r="AE359" s="207"/>
      <c r="AF359" s="207"/>
      <c r="AG359" s="207"/>
      <c r="AH359" s="207"/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07"/>
      <c r="BA359" s="207"/>
    </row>
    <row r="360" ht="18.75" hidden="1" customHeight="1">
      <c r="A360" s="207"/>
      <c r="B360" s="207"/>
      <c r="C360" s="207"/>
      <c r="D360" s="207"/>
      <c r="E360" s="207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  <c r="AA360" s="207"/>
      <c r="AB360" s="207"/>
      <c r="AC360" s="207"/>
      <c r="AD360" s="207"/>
      <c r="AE360" s="207"/>
      <c r="AF360" s="207"/>
      <c r="AG360" s="207"/>
      <c r="AH360" s="207"/>
      <c r="AI360" s="207"/>
      <c r="AJ360" s="207"/>
      <c r="AK360" s="207"/>
      <c r="AL360" s="207"/>
      <c r="AM360" s="207"/>
      <c r="AN360" s="207"/>
      <c r="AO360" s="207"/>
      <c r="AP360" s="207"/>
      <c r="AQ360" s="207"/>
      <c r="AR360" s="207"/>
      <c r="AS360" s="207"/>
      <c r="AT360" s="207"/>
      <c r="AU360" s="207"/>
      <c r="AV360" s="207"/>
      <c r="AW360" s="207"/>
      <c r="AX360" s="207"/>
      <c r="AY360" s="207"/>
      <c r="AZ360" s="207"/>
      <c r="BA360" s="207"/>
    </row>
    <row r="361" ht="18.75" hidden="1" customHeight="1">
      <c r="A361" s="207"/>
      <c r="B361" s="207"/>
      <c r="C361" s="207"/>
      <c r="D361" s="207"/>
      <c r="E361" s="207"/>
      <c r="F361" s="207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  <c r="AA361" s="207"/>
      <c r="AB361" s="207"/>
      <c r="AC361" s="207"/>
      <c r="AD361" s="207"/>
      <c r="AE361" s="207"/>
      <c r="AF361" s="207"/>
      <c r="AG361" s="207"/>
      <c r="AH361" s="207"/>
      <c r="AI361" s="207"/>
      <c r="AJ361" s="207"/>
      <c r="AK361" s="207"/>
      <c r="AL361" s="207"/>
      <c r="AM361" s="207"/>
      <c r="AN361" s="207"/>
      <c r="AO361" s="207"/>
      <c r="AP361" s="207"/>
      <c r="AQ361" s="207"/>
      <c r="AR361" s="207"/>
      <c r="AS361" s="207"/>
      <c r="AT361" s="207"/>
      <c r="AU361" s="207"/>
      <c r="AV361" s="207"/>
      <c r="AW361" s="207"/>
      <c r="AX361" s="207"/>
      <c r="AY361" s="207"/>
      <c r="AZ361" s="207"/>
      <c r="BA361" s="207"/>
    </row>
    <row r="362" ht="18.75" hidden="1" customHeight="1">
      <c r="A362" s="207"/>
      <c r="B362" s="207"/>
      <c r="C362" s="207"/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  <c r="AA362" s="207"/>
      <c r="AB362" s="207"/>
      <c r="AC362" s="207"/>
      <c r="AD362" s="207"/>
      <c r="AE362" s="207"/>
      <c r="AF362" s="207"/>
      <c r="AG362" s="207"/>
      <c r="AH362" s="207"/>
      <c r="AI362" s="207"/>
      <c r="AJ362" s="207"/>
      <c r="AK362" s="207"/>
      <c r="AL362" s="207"/>
      <c r="AM362" s="207"/>
      <c r="AN362" s="207"/>
      <c r="AO362" s="207"/>
      <c r="AP362" s="207"/>
      <c r="AQ362" s="207"/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</row>
    <row r="363" ht="18.75" hidden="1" customHeight="1">
      <c r="A363" s="207"/>
      <c r="B363" s="207"/>
      <c r="C363" s="207"/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  <c r="AA363" s="207"/>
      <c r="AB363" s="207"/>
      <c r="AC363" s="207"/>
      <c r="AD363" s="207"/>
      <c r="AE363" s="207"/>
      <c r="AF363" s="207"/>
      <c r="AG363" s="207"/>
      <c r="AH363" s="207"/>
      <c r="AI363" s="207"/>
      <c r="AJ363" s="207"/>
      <c r="AK363" s="207"/>
      <c r="AL363" s="207"/>
      <c r="AM363" s="207"/>
      <c r="AN363" s="207"/>
      <c r="AO363" s="207"/>
      <c r="AP363" s="207"/>
      <c r="AQ363" s="207"/>
      <c r="AR363" s="207"/>
      <c r="AS363" s="207"/>
      <c r="AT363" s="207"/>
      <c r="AU363" s="207"/>
      <c r="AV363" s="207"/>
      <c r="AW363" s="207"/>
      <c r="AX363" s="207"/>
      <c r="AY363" s="207"/>
      <c r="AZ363" s="207"/>
      <c r="BA363" s="207"/>
    </row>
    <row r="364" ht="18.75" hidden="1" customHeight="1">
      <c r="A364" s="207"/>
      <c r="B364" s="207"/>
      <c r="C364" s="207"/>
      <c r="D364" s="207"/>
      <c r="E364" s="207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  <c r="AA364" s="207"/>
      <c r="AB364" s="207"/>
      <c r="AC364" s="207"/>
      <c r="AD364" s="207"/>
      <c r="AE364" s="207"/>
      <c r="AF364" s="207"/>
      <c r="AG364" s="207"/>
      <c r="AH364" s="207"/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</row>
    <row r="365" ht="18.75" hidden="1" customHeight="1">
      <c r="A365" s="207"/>
      <c r="B365" s="207"/>
      <c r="C365" s="207"/>
      <c r="D365" s="207"/>
      <c r="E365" s="207"/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  <c r="AA365" s="207"/>
      <c r="AB365" s="207"/>
      <c r="AC365" s="207"/>
      <c r="AD365" s="207"/>
      <c r="AE365" s="207"/>
      <c r="AF365" s="207"/>
      <c r="AG365" s="207"/>
      <c r="AH365" s="207"/>
      <c r="AI365" s="207"/>
      <c r="AJ365" s="207"/>
      <c r="AK365" s="207"/>
      <c r="AL365" s="207"/>
      <c r="AM365" s="207"/>
      <c r="AN365" s="207"/>
      <c r="AO365" s="207"/>
      <c r="AP365" s="207"/>
      <c r="AQ365" s="207"/>
      <c r="AR365" s="207"/>
      <c r="AS365" s="207"/>
      <c r="AT365" s="207"/>
      <c r="AU365" s="207"/>
      <c r="AV365" s="207"/>
      <c r="AW365" s="207"/>
      <c r="AX365" s="207"/>
      <c r="AY365" s="207"/>
      <c r="AZ365" s="207"/>
      <c r="BA365" s="207"/>
    </row>
    <row r="366" ht="18.75" hidden="1" customHeight="1">
      <c r="A366" s="207"/>
      <c r="B366" s="207"/>
      <c r="C366" s="207"/>
      <c r="D366" s="207"/>
      <c r="E366" s="207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  <c r="AA366" s="207"/>
      <c r="AB366" s="207"/>
      <c r="AC366" s="207"/>
      <c r="AD366" s="207"/>
      <c r="AE366" s="207"/>
      <c r="AF366" s="207"/>
      <c r="AG366" s="207"/>
      <c r="AH366" s="207"/>
      <c r="AI366" s="207"/>
      <c r="AJ366" s="207"/>
      <c r="AK366" s="207"/>
      <c r="AL366" s="207"/>
      <c r="AM366" s="207"/>
      <c r="AN366" s="207"/>
      <c r="AO366" s="207"/>
      <c r="AP366" s="207"/>
      <c r="AQ366" s="207"/>
      <c r="AR366" s="207"/>
      <c r="AS366" s="207"/>
      <c r="AT366" s="207"/>
      <c r="AU366" s="207"/>
      <c r="AV366" s="207"/>
      <c r="AW366" s="207"/>
      <c r="AX366" s="207"/>
      <c r="AY366" s="207"/>
      <c r="AZ366" s="207"/>
      <c r="BA366" s="207"/>
    </row>
    <row r="367" ht="18.75" hidden="1" customHeight="1">
      <c r="A367" s="207"/>
      <c r="B367" s="207"/>
      <c r="C367" s="207"/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  <c r="AA367" s="207"/>
      <c r="AB367" s="207"/>
      <c r="AC367" s="207"/>
      <c r="AD367" s="207"/>
      <c r="AE367" s="207"/>
      <c r="AF367" s="207"/>
      <c r="AG367" s="207"/>
      <c r="AH367" s="207"/>
      <c r="AI367" s="207"/>
      <c r="AJ367" s="207"/>
      <c r="AK367" s="207"/>
      <c r="AL367" s="207"/>
      <c r="AM367" s="207"/>
      <c r="AN367" s="207"/>
      <c r="AO367" s="207"/>
      <c r="AP367" s="207"/>
      <c r="AQ367" s="207"/>
      <c r="AR367" s="207"/>
      <c r="AS367" s="207"/>
      <c r="AT367" s="207"/>
      <c r="AU367" s="207"/>
      <c r="AV367" s="207"/>
      <c r="AW367" s="207"/>
      <c r="AX367" s="207"/>
      <c r="AY367" s="207"/>
      <c r="AZ367" s="207"/>
      <c r="BA367" s="207"/>
    </row>
    <row r="368" ht="18.75" hidden="1" customHeight="1">
      <c r="A368" s="207"/>
      <c r="B368" s="207"/>
      <c r="C368" s="207"/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  <c r="AA368" s="207"/>
      <c r="AB368" s="207"/>
      <c r="AC368" s="207"/>
      <c r="AD368" s="207"/>
      <c r="AE368" s="207"/>
      <c r="AF368" s="207"/>
      <c r="AG368" s="207"/>
      <c r="AH368" s="207"/>
      <c r="AI368" s="207"/>
      <c r="AJ368" s="207"/>
      <c r="AK368" s="207"/>
      <c r="AL368" s="207"/>
      <c r="AM368" s="207"/>
      <c r="AN368" s="207"/>
      <c r="AO368" s="207"/>
      <c r="AP368" s="207"/>
      <c r="AQ368" s="207"/>
      <c r="AR368" s="207"/>
      <c r="AS368" s="207"/>
      <c r="AT368" s="207"/>
      <c r="AU368" s="207"/>
      <c r="AV368" s="207"/>
      <c r="AW368" s="207"/>
      <c r="AX368" s="207"/>
      <c r="AY368" s="207"/>
      <c r="AZ368" s="207"/>
      <c r="BA368" s="207"/>
    </row>
    <row r="369" ht="18.75" hidden="1" customHeight="1">
      <c r="A369" s="207"/>
      <c r="B369" s="207"/>
      <c r="C369" s="207"/>
      <c r="D369" s="207"/>
      <c r="E369" s="207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  <c r="AA369" s="207"/>
      <c r="AB369" s="207"/>
      <c r="AC369" s="207"/>
      <c r="AD369" s="207"/>
      <c r="AE369" s="207"/>
      <c r="AF369" s="207"/>
      <c r="AG369" s="207"/>
      <c r="AH369" s="207"/>
      <c r="AI369" s="207"/>
      <c r="AJ369" s="207"/>
      <c r="AK369" s="207"/>
      <c r="AL369" s="207"/>
      <c r="AM369" s="207"/>
      <c r="AN369" s="207"/>
      <c r="AO369" s="207"/>
      <c r="AP369" s="207"/>
      <c r="AQ369" s="207"/>
      <c r="AR369" s="207"/>
      <c r="AS369" s="207"/>
      <c r="AT369" s="207"/>
      <c r="AU369" s="207"/>
      <c r="AV369" s="207"/>
      <c r="AW369" s="207"/>
      <c r="AX369" s="207"/>
      <c r="AY369" s="207"/>
      <c r="AZ369" s="207"/>
      <c r="BA369" s="207"/>
    </row>
    <row r="370" ht="18.75" hidden="1" customHeight="1">
      <c r="A370" s="207"/>
      <c r="B370" s="207"/>
      <c r="C370" s="207"/>
      <c r="D370" s="207"/>
      <c r="E370" s="207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  <c r="AA370" s="207"/>
      <c r="AB370" s="207"/>
      <c r="AC370" s="207"/>
      <c r="AD370" s="207"/>
      <c r="AE370" s="207"/>
      <c r="AF370" s="207"/>
      <c r="AG370" s="207"/>
      <c r="AH370" s="207"/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</row>
    <row r="371" ht="18.75" hidden="1" customHeight="1">
      <c r="A371" s="207"/>
      <c r="B371" s="207"/>
      <c r="C371" s="207"/>
      <c r="D371" s="207"/>
      <c r="E371" s="207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  <c r="AA371" s="207"/>
      <c r="AB371" s="207"/>
      <c r="AC371" s="207"/>
      <c r="AD371" s="207"/>
      <c r="AE371" s="207"/>
      <c r="AF371" s="207"/>
      <c r="AG371" s="207"/>
      <c r="AH371" s="207"/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</row>
    <row r="372" ht="18.75" hidden="1" customHeight="1">
      <c r="A372" s="207"/>
      <c r="B372" s="207"/>
      <c r="C372" s="207"/>
      <c r="D372" s="207"/>
      <c r="E372" s="207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  <c r="AA372" s="207"/>
      <c r="AB372" s="207"/>
      <c r="AC372" s="207"/>
      <c r="AD372" s="207"/>
      <c r="AE372" s="207"/>
      <c r="AF372" s="207"/>
      <c r="AG372" s="207"/>
      <c r="AH372" s="207"/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</row>
    <row r="373" ht="18.75" hidden="1" customHeight="1">
      <c r="A373" s="207"/>
      <c r="B373" s="207"/>
      <c r="C373" s="207"/>
      <c r="D373" s="207"/>
      <c r="E373" s="207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  <c r="AA373" s="207"/>
      <c r="AB373" s="207"/>
      <c r="AC373" s="207"/>
      <c r="AD373" s="207"/>
      <c r="AE373" s="207"/>
      <c r="AF373" s="207"/>
      <c r="AG373" s="207"/>
      <c r="AH373" s="207"/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</row>
    <row r="374" ht="18.75" hidden="1" customHeight="1">
      <c r="A374" s="207"/>
      <c r="B374" s="207"/>
      <c r="C374" s="207"/>
      <c r="D374" s="207"/>
      <c r="E374" s="207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  <c r="AA374" s="207"/>
      <c r="AB374" s="207"/>
      <c r="AC374" s="207"/>
      <c r="AD374" s="207"/>
      <c r="AE374" s="207"/>
      <c r="AF374" s="207"/>
      <c r="AG374" s="207"/>
      <c r="AH374" s="207"/>
      <c r="AI374" s="207"/>
      <c r="AJ374" s="207"/>
      <c r="AK374" s="207"/>
      <c r="AL374" s="207"/>
      <c r="AM374" s="207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7"/>
    </row>
    <row r="375" ht="18.75" hidden="1" customHeight="1">
      <c r="A375" s="207"/>
      <c r="B375" s="207"/>
      <c r="C375" s="207"/>
      <c r="D375" s="207"/>
      <c r="E375" s="207"/>
      <c r="F375" s="207"/>
      <c r="G375" s="207"/>
      <c r="H375" s="207"/>
      <c r="I375" s="207"/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  <c r="AA375" s="207"/>
      <c r="AB375" s="207"/>
      <c r="AC375" s="207"/>
      <c r="AD375" s="207"/>
      <c r="AE375" s="207"/>
      <c r="AF375" s="207"/>
      <c r="AG375" s="207"/>
      <c r="AH375" s="207"/>
      <c r="AI375" s="207"/>
      <c r="AJ375" s="207"/>
      <c r="AK375" s="207"/>
      <c r="AL375" s="207"/>
      <c r="AM375" s="207"/>
      <c r="AN375" s="207"/>
      <c r="AO375" s="207"/>
      <c r="AP375" s="207"/>
      <c r="AQ375" s="207"/>
      <c r="AR375" s="207"/>
      <c r="AS375" s="207"/>
      <c r="AT375" s="207"/>
      <c r="AU375" s="207"/>
      <c r="AV375" s="207"/>
      <c r="AW375" s="207"/>
      <c r="AX375" s="207"/>
      <c r="AY375" s="207"/>
      <c r="AZ375" s="207"/>
      <c r="BA375" s="207"/>
    </row>
    <row r="376" ht="18.75" hidden="1" customHeight="1">
      <c r="A376" s="207"/>
      <c r="B376" s="207"/>
      <c r="C376" s="207"/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  <c r="AA376" s="207"/>
      <c r="AB376" s="207"/>
      <c r="AC376" s="207"/>
      <c r="AD376" s="207"/>
      <c r="AE376" s="207"/>
      <c r="AF376" s="207"/>
      <c r="AG376" s="207"/>
      <c r="AH376" s="207"/>
      <c r="AI376" s="207"/>
      <c r="AJ376" s="207"/>
      <c r="AK376" s="207"/>
      <c r="AL376" s="207"/>
      <c r="AM376" s="207"/>
      <c r="AN376" s="207"/>
      <c r="AO376" s="207"/>
      <c r="AP376" s="207"/>
      <c r="AQ376" s="207"/>
      <c r="AR376" s="207"/>
      <c r="AS376" s="207"/>
      <c r="AT376" s="207"/>
      <c r="AU376" s="207"/>
      <c r="AV376" s="207"/>
      <c r="AW376" s="207"/>
      <c r="AX376" s="207"/>
      <c r="AY376" s="207"/>
      <c r="AZ376" s="207"/>
      <c r="BA376" s="207"/>
    </row>
    <row r="377" ht="18.75" hidden="1" customHeight="1">
      <c r="A377" s="207"/>
      <c r="B377" s="207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  <c r="AA377" s="207"/>
      <c r="AB377" s="207"/>
      <c r="AC377" s="207"/>
      <c r="AD377" s="207"/>
      <c r="AE377" s="207"/>
      <c r="AF377" s="207"/>
      <c r="AG377" s="207"/>
      <c r="AH377" s="207"/>
      <c r="AI377" s="207"/>
      <c r="AJ377" s="207"/>
      <c r="AK377" s="207"/>
      <c r="AL377" s="207"/>
      <c r="AM377" s="207"/>
      <c r="AN377" s="207"/>
      <c r="AO377" s="207"/>
      <c r="AP377" s="207"/>
      <c r="AQ377" s="207"/>
      <c r="AR377" s="207"/>
      <c r="AS377" s="207"/>
      <c r="AT377" s="207"/>
      <c r="AU377" s="207"/>
      <c r="AV377" s="207"/>
      <c r="AW377" s="207"/>
      <c r="AX377" s="207"/>
      <c r="AY377" s="207"/>
      <c r="AZ377" s="207"/>
      <c r="BA377" s="207"/>
    </row>
    <row r="378" ht="18.75" hidden="1" customHeight="1">
      <c r="A378" s="207"/>
      <c r="B378" s="207"/>
      <c r="C378" s="207"/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  <c r="AA378" s="207"/>
      <c r="AB378" s="207"/>
      <c r="AC378" s="207"/>
      <c r="AD378" s="207"/>
      <c r="AE378" s="207"/>
      <c r="AF378" s="207"/>
      <c r="AG378" s="207"/>
      <c r="AH378" s="207"/>
      <c r="AI378" s="207"/>
      <c r="AJ378" s="207"/>
      <c r="AK378" s="207"/>
      <c r="AL378" s="207"/>
      <c r="AM378" s="207"/>
      <c r="AN378" s="207"/>
      <c r="AO378" s="207"/>
      <c r="AP378" s="207"/>
      <c r="AQ378" s="207"/>
      <c r="AR378" s="207"/>
      <c r="AS378" s="207"/>
      <c r="AT378" s="207"/>
      <c r="AU378" s="207"/>
      <c r="AV378" s="207"/>
      <c r="AW378" s="207"/>
      <c r="AX378" s="207"/>
      <c r="AY378" s="207"/>
      <c r="AZ378" s="207"/>
      <c r="BA378" s="207"/>
    </row>
    <row r="379" ht="18.75" hidden="1" customHeight="1">
      <c r="A379" s="207"/>
      <c r="B379" s="207"/>
      <c r="C379" s="207"/>
      <c r="D379" s="207"/>
      <c r="E379" s="207"/>
      <c r="F379" s="207"/>
      <c r="G379" s="207"/>
      <c r="H379" s="207"/>
      <c r="I379" s="207"/>
      <c r="J379" s="207"/>
      <c r="K379" s="207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  <c r="AA379" s="207"/>
      <c r="AB379" s="207"/>
      <c r="AC379" s="207"/>
      <c r="AD379" s="207"/>
      <c r="AE379" s="207"/>
      <c r="AF379" s="207"/>
      <c r="AG379" s="207"/>
      <c r="AH379" s="207"/>
      <c r="AI379" s="207"/>
      <c r="AJ379" s="207"/>
      <c r="AK379" s="207"/>
      <c r="AL379" s="207"/>
      <c r="AM379" s="207"/>
      <c r="AN379" s="207"/>
      <c r="AO379" s="207"/>
      <c r="AP379" s="207"/>
      <c r="AQ379" s="207"/>
      <c r="AR379" s="207"/>
      <c r="AS379" s="207"/>
      <c r="AT379" s="207"/>
      <c r="AU379" s="207"/>
      <c r="AV379" s="207"/>
      <c r="AW379" s="207"/>
      <c r="AX379" s="207"/>
      <c r="AY379" s="207"/>
      <c r="AZ379" s="207"/>
      <c r="BA379" s="207"/>
    </row>
    <row r="380" ht="18.75" hidden="1" customHeight="1">
      <c r="A380" s="207"/>
      <c r="B380" s="207"/>
      <c r="C380" s="207"/>
      <c r="D380" s="207"/>
      <c r="E380" s="207"/>
      <c r="F380" s="207"/>
      <c r="G380" s="207"/>
      <c r="H380" s="207"/>
      <c r="I380" s="207"/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  <c r="AA380" s="207"/>
      <c r="AB380" s="207"/>
      <c r="AC380" s="207"/>
      <c r="AD380" s="207"/>
      <c r="AE380" s="207"/>
      <c r="AF380" s="207"/>
      <c r="AG380" s="207"/>
      <c r="AH380" s="207"/>
      <c r="AI380" s="207"/>
      <c r="AJ380" s="207"/>
      <c r="AK380" s="207"/>
      <c r="AL380" s="207"/>
      <c r="AM380" s="207"/>
      <c r="AN380" s="207"/>
      <c r="AO380" s="207"/>
      <c r="AP380" s="207"/>
      <c r="AQ380" s="207"/>
      <c r="AR380" s="207"/>
      <c r="AS380" s="207"/>
      <c r="AT380" s="207"/>
      <c r="AU380" s="207"/>
      <c r="AV380" s="207"/>
      <c r="AW380" s="207"/>
      <c r="AX380" s="207"/>
      <c r="AY380" s="207"/>
      <c r="AZ380" s="207"/>
      <c r="BA380" s="207"/>
    </row>
    <row r="381" ht="18.75" hidden="1" customHeight="1">
      <c r="A381" s="207"/>
      <c r="B381" s="207"/>
      <c r="C381" s="207"/>
      <c r="D381" s="207"/>
      <c r="E381" s="207"/>
      <c r="F381" s="207"/>
      <c r="G381" s="207"/>
      <c r="H381" s="207"/>
      <c r="I381" s="207"/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  <c r="AA381" s="207"/>
      <c r="AB381" s="207"/>
      <c r="AC381" s="207"/>
      <c r="AD381" s="207"/>
      <c r="AE381" s="207"/>
      <c r="AF381" s="207"/>
      <c r="AG381" s="207"/>
      <c r="AH381" s="207"/>
      <c r="AI381" s="207"/>
      <c r="AJ381" s="207"/>
      <c r="AK381" s="207"/>
      <c r="AL381" s="207"/>
      <c r="AM381" s="207"/>
      <c r="AN381" s="207"/>
      <c r="AO381" s="207"/>
      <c r="AP381" s="207"/>
      <c r="AQ381" s="207"/>
      <c r="AR381" s="207"/>
      <c r="AS381" s="207"/>
      <c r="AT381" s="207"/>
      <c r="AU381" s="207"/>
      <c r="AV381" s="207"/>
      <c r="AW381" s="207"/>
      <c r="AX381" s="207"/>
      <c r="AY381" s="207"/>
      <c r="AZ381" s="207"/>
      <c r="BA381" s="207"/>
    </row>
    <row r="382" ht="18.75" hidden="1" customHeight="1">
      <c r="A382" s="207"/>
      <c r="B382" s="207"/>
      <c r="C382" s="207"/>
      <c r="D382" s="207"/>
      <c r="E382" s="207"/>
      <c r="F382" s="207"/>
      <c r="G382" s="207"/>
      <c r="H382" s="207"/>
      <c r="I382" s="207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  <c r="AA382" s="207"/>
      <c r="AB382" s="207"/>
      <c r="AC382" s="207"/>
      <c r="AD382" s="207"/>
      <c r="AE382" s="207"/>
      <c r="AF382" s="207"/>
      <c r="AG382" s="207"/>
      <c r="AH382" s="207"/>
      <c r="AI382" s="207"/>
      <c r="AJ382" s="207"/>
      <c r="AK382" s="207"/>
      <c r="AL382" s="207"/>
      <c r="AM382" s="207"/>
      <c r="AN382" s="207"/>
      <c r="AO382" s="207"/>
      <c r="AP382" s="207"/>
      <c r="AQ382" s="207"/>
      <c r="AR382" s="207"/>
      <c r="AS382" s="207"/>
      <c r="AT382" s="207"/>
      <c r="AU382" s="207"/>
      <c r="AV382" s="207"/>
      <c r="AW382" s="207"/>
      <c r="AX382" s="207"/>
      <c r="AY382" s="207"/>
      <c r="AZ382" s="207"/>
      <c r="BA382" s="207"/>
    </row>
    <row r="383" ht="18.75" hidden="1" customHeight="1">
      <c r="A383" s="207"/>
      <c r="B383" s="207"/>
      <c r="C383" s="207"/>
      <c r="D383" s="207"/>
      <c r="E383" s="207"/>
      <c r="F383" s="207"/>
      <c r="G383" s="207"/>
      <c r="H383" s="207"/>
      <c r="I383" s="207"/>
      <c r="J383" s="207"/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  <c r="AA383" s="207"/>
      <c r="AB383" s="207"/>
      <c r="AC383" s="207"/>
      <c r="AD383" s="207"/>
      <c r="AE383" s="207"/>
      <c r="AF383" s="207"/>
      <c r="AG383" s="207"/>
      <c r="AH383" s="207"/>
      <c r="AI383" s="207"/>
      <c r="AJ383" s="207"/>
      <c r="AK383" s="207"/>
      <c r="AL383" s="207"/>
      <c r="AM383" s="207"/>
      <c r="AN383" s="207"/>
      <c r="AO383" s="207"/>
      <c r="AP383" s="207"/>
      <c r="AQ383" s="207"/>
      <c r="AR383" s="207"/>
      <c r="AS383" s="207"/>
      <c r="AT383" s="207"/>
      <c r="AU383" s="207"/>
      <c r="AV383" s="207"/>
      <c r="AW383" s="207"/>
      <c r="AX383" s="207"/>
      <c r="AY383" s="207"/>
      <c r="AZ383" s="207"/>
      <c r="BA383" s="207"/>
    </row>
    <row r="384" ht="18.75" hidden="1" customHeight="1">
      <c r="A384" s="207"/>
      <c r="B384" s="207"/>
      <c r="C384" s="207"/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  <c r="AB384" s="207"/>
      <c r="AC384" s="207"/>
      <c r="AD384" s="207"/>
      <c r="AE384" s="207"/>
      <c r="AF384" s="207"/>
      <c r="AG384" s="207"/>
      <c r="AH384" s="207"/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</row>
    <row r="385" ht="18.75" hidden="1" customHeight="1">
      <c r="A385" s="207"/>
      <c r="B385" s="207"/>
      <c r="C385" s="207"/>
      <c r="D385" s="207"/>
      <c r="E385" s="207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  <c r="AA385" s="207"/>
      <c r="AB385" s="207"/>
      <c r="AC385" s="207"/>
      <c r="AD385" s="207"/>
      <c r="AE385" s="207"/>
      <c r="AF385" s="207"/>
      <c r="AG385" s="207"/>
      <c r="AH385" s="207"/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07"/>
    </row>
    <row r="386" ht="18.75" hidden="1" customHeight="1">
      <c r="A386" s="207"/>
      <c r="B386" s="207"/>
      <c r="C386" s="207"/>
      <c r="D386" s="207"/>
      <c r="E386" s="207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  <c r="AB386" s="207"/>
      <c r="AC386" s="207"/>
      <c r="AD386" s="207"/>
      <c r="AE386" s="207"/>
      <c r="AF386" s="207"/>
      <c r="AG386" s="207"/>
      <c r="AH386" s="207"/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</row>
    <row r="387" ht="18.75" hidden="1" customHeight="1">
      <c r="A387" s="207"/>
      <c r="B387" s="207"/>
      <c r="C387" s="207"/>
      <c r="D387" s="207"/>
      <c r="E387" s="207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  <c r="AB387" s="207"/>
      <c r="AC387" s="207"/>
      <c r="AD387" s="207"/>
      <c r="AE387" s="207"/>
      <c r="AF387" s="207"/>
      <c r="AG387" s="207"/>
      <c r="AH387" s="207"/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</row>
    <row r="388" ht="18.75" hidden="1" customHeight="1">
      <c r="A388" s="207"/>
      <c r="B388" s="207"/>
      <c r="C388" s="207"/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  <c r="AA388" s="207"/>
      <c r="AB388" s="207"/>
      <c r="AC388" s="207"/>
      <c r="AD388" s="207"/>
      <c r="AE388" s="207"/>
      <c r="AF388" s="207"/>
      <c r="AG388" s="207"/>
      <c r="AH388" s="207"/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07"/>
    </row>
    <row r="389" ht="18.75" hidden="1" customHeight="1">
      <c r="A389" s="207"/>
      <c r="B389" s="207"/>
      <c r="C389" s="207"/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  <c r="AA389" s="207"/>
      <c r="AB389" s="207"/>
      <c r="AC389" s="207"/>
      <c r="AD389" s="207"/>
      <c r="AE389" s="207"/>
      <c r="AF389" s="207"/>
      <c r="AG389" s="207"/>
      <c r="AH389" s="207"/>
      <c r="AI389" s="207"/>
      <c r="AJ389" s="207"/>
      <c r="AK389" s="207"/>
      <c r="AL389" s="207"/>
      <c r="AM389" s="207"/>
      <c r="AN389" s="207"/>
      <c r="AO389" s="207"/>
      <c r="AP389" s="207"/>
      <c r="AQ389" s="207"/>
      <c r="AR389" s="207"/>
      <c r="AS389" s="207"/>
      <c r="AT389" s="207"/>
      <c r="AU389" s="207"/>
      <c r="AV389" s="207"/>
      <c r="AW389" s="207"/>
      <c r="AX389" s="207"/>
      <c r="AY389" s="207"/>
      <c r="AZ389" s="207"/>
      <c r="BA389" s="207"/>
    </row>
    <row r="390" ht="18.75" hidden="1" customHeight="1">
      <c r="A390" s="207"/>
      <c r="B390" s="207"/>
      <c r="C390" s="207"/>
      <c r="D390" s="207"/>
      <c r="E390" s="207"/>
      <c r="F390" s="207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  <c r="AA390" s="207"/>
      <c r="AB390" s="207"/>
      <c r="AC390" s="207"/>
      <c r="AD390" s="207"/>
      <c r="AE390" s="207"/>
      <c r="AF390" s="207"/>
      <c r="AG390" s="207"/>
      <c r="AH390" s="207"/>
      <c r="AI390" s="207"/>
      <c r="AJ390" s="207"/>
      <c r="AK390" s="207"/>
      <c r="AL390" s="207"/>
      <c r="AM390" s="207"/>
      <c r="AN390" s="207"/>
      <c r="AO390" s="207"/>
      <c r="AP390" s="207"/>
      <c r="AQ390" s="207"/>
      <c r="AR390" s="207"/>
      <c r="AS390" s="207"/>
      <c r="AT390" s="207"/>
      <c r="AU390" s="207"/>
      <c r="AV390" s="207"/>
      <c r="AW390" s="207"/>
      <c r="AX390" s="207"/>
      <c r="AY390" s="207"/>
      <c r="AZ390" s="207"/>
      <c r="BA390" s="207"/>
    </row>
    <row r="391" ht="18.75" hidden="1" customHeight="1">
      <c r="A391" s="207"/>
      <c r="B391" s="207"/>
      <c r="C391" s="207"/>
      <c r="D391" s="207"/>
      <c r="E391" s="207"/>
      <c r="F391" s="207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  <c r="AA391" s="207"/>
      <c r="AB391" s="207"/>
      <c r="AC391" s="207"/>
      <c r="AD391" s="207"/>
      <c r="AE391" s="207"/>
      <c r="AF391" s="207"/>
      <c r="AG391" s="207"/>
      <c r="AH391" s="207"/>
      <c r="AI391" s="207"/>
      <c r="AJ391" s="207"/>
      <c r="AK391" s="207"/>
      <c r="AL391" s="207"/>
      <c r="AM391" s="207"/>
      <c r="AN391" s="207"/>
      <c r="AO391" s="207"/>
      <c r="AP391" s="207"/>
      <c r="AQ391" s="207"/>
      <c r="AR391" s="207"/>
      <c r="AS391" s="207"/>
      <c r="AT391" s="207"/>
      <c r="AU391" s="207"/>
      <c r="AV391" s="207"/>
      <c r="AW391" s="207"/>
      <c r="AX391" s="207"/>
      <c r="AY391" s="207"/>
      <c r="AZ391" s="207"/>
      <c r="BA391" s="207"/>
    </row>
    <row r="392" ht="18.75" hidden="1" customHeight="1">
      <c r="A392" s="207"/>
      <c r="B392" s="207"/>
      <c r="C392" s="207"/>
      <c r="D392" s="207"/>
      <c r="E392" s="207"/>
      <c r="F392" s="207"/>
      <c r="G392" s="207"/>
      <c r="H392" s="207"/>
      <c r="I392" s="207"/>
      <c r="J392" s="207"/>
      <c r="K392" s="207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  <c r="AA392" s="207"/>
      <c r="AB392" s="207"/>
      <c r="AC392" s="207"/>
      <c r="AD392" s="207"/>
      <c r="AE392" s="207"/>
      <c r="AF392" s="207"/>
      <c r="AG392" s="207"/>
      <c r="AH392" s="207"/>
      <c r="AI392" s="207"/>
      <c r="AJ392" s="207"/>
      <c r="AK392" s="207"/>
      <c r="AL392" s="207"/>
      <c r="AM392" s="207"/>
      <c r="AN392" s="207"/>
      <c r="AO392" s="207"/>
      <c r="AP392" s="207"/>
      <c r="AQ392" s="207"/>
      <c r="AR392" s="207"/>
      <c r="AS392" s="207"/>
      <c r="AT392" s="207"/>
      <c r="AU392" s="207"/>
      <c r="AV392" s="207"/>
      <c r="AW392" s="207"/>
      <c r="AX392" s="207"/>
      <c r="AY392" s="207"/>
      <c r="AZ392" s="207"/>
      <c r="BA392" s="207"/>
    </row>
    <row r="393" ht="18.75" hidden="1" customHeight="1">
      <c r="A393" s="207"/>
      <c r="B393" s="207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  <c r="AA393" s="207"/>
      <c r="AB393" s="207"/>
      <c r="AC393" s="207"/>
      <c r="AD393" s="207"/>
      <c r="AE393" s="207"/>
      <c r="AF393" s="207"/>
      <c r="AG393" s="207"/>
      <c r="AH393" s="207"/>
      <c r="AI393" s="207"/>
      <c r="AJ393" s="207"/>
      <c r="AK393" s="207"/>
      <c r="AL393" s="207"/>
      <c r="AM393" s="207"/>
      <c r="AN393" s="207"/>
      <c r="AO393" s="207"/>
      <c r="AP393" s="207"/>
      <c r="AQ393" s="207"/>
      <c r="AR393" s="207"/>
      <c r="AS393" s="207"/>
      <c r="AT393" s="207"/>
      <c r="AU393" s="207"/>
      <c r="AV393" s="207"/>
      <c r="AW393" s="207"/>
      <c r="AX393" s="207"/>
      <c r="AY393" s="207"/>
      <c r="AZ393" s="207"/>
      <c r="BA393" s="207"/>
    </row>
    <row r="394" ht="18.75" hidden="1" customHeight="1">
      <c r="A394" s="207"/>
      <c r="B394" s="207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  <c r="AA394" s="207"/>
      <c r="AB394" s="207"/>
      <c r="AC394" s="207"/>
      <c r="AD394" s="207"/>
      <c r="AE394" s="207"/>
      <c r="AF394" s="207"/>
      <c r="AG394" s="207"/>
      <c r="AH394" s="207"/>
      <c r="AI394" s="207"/>
      <c r="AJ394" s="207"/>
      <c r="AK394" s="207"/>
      <c r="AL394" s="207"/>
      <c r="AM394" s="207"/>
      <c r="AN394" s="207"/>
      <c r="AO394" s="207"/>
      <c r="AP394" s="207"/>
      <c r="AQ394" s="207"/>
      <c r="AR394" s="207"/>
      <c r="AS394" s="207"/>
      <c r="AT394" s="207"/>
      <c r="AU394" s="207"/>
      <c r="AV394" s="207"/>
      <c r="AW394" s="207"/>
      <c r="AX394" s="207"/>
      <c r="AY394" s="207"/>
      <c r="AZ394" s="207"/>
      <c r="BA394" s="207"/>
    </row>
    <row r="395" ht="18.75" hidden="1" customHeight="1">
      <c r="A395" s="207"/>
      <c r="B395" s="207"/>
      <c r="C395" s="207"/>
      <c r="D395" s="207"/>
      <c r="E395" s="207"/>
      <c r="F395" s="207"/>
      <c r="G395" s="207"/>
      <c r="H395" s="207"/>
      <c r="I395" s="207"/>
      <c r="J395" s="207"/>
      <c r="K395" s="207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  <c r="AA395" s="207"/>
      <c r="AB395" s="207"/>
      <c r="AC395" s="207"/>
      <c r="AD395" s="207"/>
      <c r="AE395" s="207"/>
      <c r="AF395" s="207"/>
      <c r="AG395" s="207"/>
      <c r="AH395" s="207"/>
      <c r="AI395" s="207"/>
      <c r="AJ395" s="207"/>
      <c r="AK395" s="207"/>
      <c r="AL395" s="207"/>
      <c r="AM395" s="207"/>
      <c r="AN395" s="207"/>
      <c r="AO395" s="207"/>
      <c r="AP395" s="207"/>
      <c r="AQ395" s="207"/>
      <c r="AR395" s="207"/>
      <c r="AS395" s="207"/>
      <c r="AT395" s="207"/>
      <c r="AU395" s="207"/>
      <c r="AV395" s="207"/>
      <c r="AW395" s="207"/>
      <c r="AX395" s="207"/>
      <c r="AY395" s="207"/>
      <c r="AZ395" s="207"/>
      <c r="BA395" s="207"/>
    </row>
    <row r="396" ht="18.75" hidden="1" customHeight="1">
      <c r="A396" s="207"/>
      <c r="B396" s="207"/>
      <c r="C396" s="207"/>
      <c r="D396" s="207"/>
      <c r="E396" s="207"/>
      <c r="F396" s="207"/>
      <c r="G396" s="207"/>
      <c r="H396" s="207"/>
      <c r="I396" s="207"/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  <c r="AA396" s="207"/>
      <c r="AB396" s="207"/>
      <c r="AC396" s="207"/>
      <c r="AD396" s="207"/>
      <c r="AE396" s="207"/>
      <c r="AF396" s="207"/>
      <c r="AG396" s="207"/>
      <c r="AH396" s="207"/>
      <c r="AI396" s="207"/>
      <c r="AJ396" s="207"/>
      <c r="AK396" s="207"/>
      <c r="AL396" s="207"/>
      <c r="AM396" s="207"/>
      <c r="AN396" s="207"/>
      <c r="AO396" s="207"/>
      <c r="AP396" s="207"/>
      <c r="AQ396" s="207"/>
      <c r="AR396" s="207"/>
      <c r="AS396" s="207"/>
      <c r="AT396" s="207"/>
      <c r="AU396" s="207"/>
      <c r="AV396" s="207"/>
      <c r="AW396" s="207"/>
      <c r="AX396" s="207"/>
      <c r="AY396" s="207"/>
      <c r="AZ396" s="207"/>
      <c r="BA396" s="207"/>
    </row>
    <row r="397" ht="18.75" hidden="1" customHeight="1">
      <c r="A397" s="207"/>
      <c r="B397" s="207"/>
      <c r="C397" s="207"/>
      <c r="D397" s="207"/>
      <c r="E397" s="207"/>
      <c r="F397" s="207"/>
      <c r="G397" s="207"/>
      <c r="H397" s="207"/>
      <c r="I397" s="207"/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  <c r="AA397" s="207"/>
      <c r="AB397" s="207"/>
      <c r="AC397" s="207"/>
      <c r="AD397" s="207"/>
      <c r="AE397" s="207"/>
      <c r="AF397" s="207"/>
      <c r="AG397" s="207"/>
      <c r="AH397" s="207"/>
      <c r="AI397" s="207"/>
      <c r="AJ397" s="207"/>
      <c r="AK397" s="207"/>
      <c r="AL397" s="207"/>
      <c r="AM397" s="207"/>
      <c r="AN397" s="207"/>
      <c r="AO397" s="207"/>
      <c r="AP397" s="207"/>
      <c r="AQ397" s="207"/>
      <c r="AR397" s="207"/>
      <c r="AS397" s="207"/>
      <c r="AT397" s="207"/>
      <c r="AU397" s="207"/>
      <c r="AV397" s="207"/>
      <c r="AW397" s="207"/>
      <c r="AX397" s="207"/>
      <c r="AY397" s="207"/>
      <c r="AZ397" s="207"/>
      <c r="BA397" s="207"/>
    </row>
    <row r="398" ht="18.75" hidden="1" customHeight="1">
      <c r="A398" s="207"/>
      <c r="B398" s="207"/>
      <c r="C398" s="207"/>
      <c r="D398" s="207"/>
      <c r="E398" s="207"/>
      <c r="F398" s="207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  <c r="AA398" s="207"/>
      <c r="AB398" s="207"/>
      <c r="AC398" s="207"/>
      <c r="AD398" s="207"/>
      <c r="AE398" s="207"/>
      <c r="AF398" s="207"/>
      <c r="AG398" s="207"/>
      <c r="AH398" s="207"/>
      <c r="AI398" s="207"/>
      <c r="AJ398" s="207"/>
      <c r="AK398" s="207"/>
      <c r="AL398" s="207"/>
      <c r="AM398" s="207"/>
      <c r="AN398" s="207"/>
      <c r="AO398" s="207"/>
      <c r="AP398" s="207"/>
      <c r="AQ398" s="207"/>
      <c r="AR398" s="207"/>
      <c r="AS398" s="207"/>
      <c r="AT398" s="207"/>
      <c r="AU398" s="207"/>
      <c r="AV398" s="207"/>
      <c r="AW398" s="207"/>
      <c r="AX398" s="207"/>
      <c r="AY398" s="207"/>
      <c r="AZ398" s="207"/>
      <c r="BA398" s="207"/>
    </row>
    <row r="399" ht="18.75" hidden="1" customHeight="1">
      <c r="A399" s="207"/>
      <c r="B399" s="207"/>
      <c r="C399" s="207"/>
      <c r="D399" s="207"/>
      <c r="E399" s="207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  <c r="AA399" s="207"/>
      <c r="AB399" s="207"/>
      <c r="AC399" s="207"/>
      <c r="AD399" s="207"/>
      <c r="AE399" s="207"/>
      <c r="AF399" s="207"/>
      <c r="AG399" s="207"/>
      <c r="AH399" s="207"/>
      <c r="AI399" s="207"/>
      <c r="AJ399" s="207"/>
      <c r="AK399" s="207"/>
      <c r="AL399" s="207"/>
      <c r="AM399" s="207"/>
      <c r="AN399" s="207"/>
      <c r="AO399" s="207"/>
      <c r="AP399" s="207"/>
      <c r="AQ399" s="207"/>
      <c r="AR399" s="207"/>
      <c r="AS399" s="207"/>
      <c r="AT399" s="207"/>
      <c r="AU399" s="207"/>
      <c r="AV399" s="207"/>
      <c r="AW399" s="207"/>
      <c r="AX399" s="207"/>
      <c r="AY399" s="207"/>
      <c r="AZ399" s="207"/>
      <c r="BA399" s="207"/>
    </row>
    <row r="400" ht="18.75" hidden="1" customHeight="1">
      <c r="A400" s="207"/>
      <c r="B400" s="207"/>
      <c r="C400" s="207"/>
      <c r="D400" s="207"/>
      <c r="E400" s="207"/>
      <c r="F400" s="207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  <c r="AA400" s="207"/>
      <c r="AB400" s="207"/>
      <c r="AC400" s="207"/>
      <c r="AD400" s="207"/>
      <c r="AE400" s="207"/>
      <c r="AF400" s="207"/>
      <c r="AG400" s="207"/>
      <c r="AH400" s="207"/>
      <c r="AI400" s="207"/>
      <c r="AJ400" s="207"/>
      <c r="AK400" s="207"/>
      <c r="AL400" s="207"/>
      <c r="AM400" s="207"/>
      <c r="AN400" s="207"/>
      <c r="AO400" s="207"/>
      <c r="AP400" s="207"/>
      <c r="AQ400" s="207"/>
      <c r="AR400" s="207"/>
      <c r="AS400" s="207"/>
      <c r="AT400" s="207"/>
      <c r="AU400" s="207"/>
      <c r="AV400" s="207"/>
      <c r="AW400" s="207"/>
      <c r="AX400" s="207"/>
      <c r="AY400" s="207"/>
      <c r="AZ400" s="207"/>
      <c r="BA400" s="207"/>
    </row>
    <row r="401" ht="18.75" hidden="1" customHeight="1">
      <c r="A401" s="207"/>
      <c r="B401" s="207"/>
      <c r="C401" s="207"/>
      <c r="D401" s="207"/>
      <c r="E401" s="207"/>
      <c r="F401" s="207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  <c r="AA401" s="207"/>
      <c r="AB401" s="207"/>
      <c r="AC401" s="207"/>
      <c r="AD401" s="207"/>
      <c r="AE401" s="207"/>
      <c r="AF401" s="207"/>
      <c r="AG401" s="207"/>
      <c r="AH401" s="207"/>
      <c r="AI401" s="207"/>
      <c r="AJ401" s="207"/>
      <c r="AK401" s="207"/>
      <c r="AL401" s="207"/>
      <c r="AM401" s="207"/>
      <c r="AN401" s="207"/>
      <c r="AO401" s="207"/>
      <c r="AP401" s="207"/>
      <c r="AQ401" s="207"/>
      <c r="AR401" s="207"/>
      <c r="AS401" s="207"/>
      <c r="AT401" s="207"/>
      <c r="AU401" s="207"/>
      <c r="AV401" s="207"/>
      <c r="AW401" s="207"/>
      <c r="AX401" s="207"/>
      <c r="AY401" s="207"/>
      <c r="AZ401" s="207"/>
      <c r="BA401" s="207"/>
    </row>
    <row r="402" ht="18.75" hidden="1" customHeight="1">
      <c r="A402" s="207"/>
      <c r="B402" s="207"/>
      <c r="C402" s="207"/>
      <c r="D402" s="207"/>
      <c r="E402" s="207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  <c r="AA402" s="207"/>
      <c r="AB402" s="207"/>
      <c r="AC402" s="207"/>
      <c r="AD402" s="207"/>
      <c r="AE402" s="207"/>
      <c r="AF402" s="207"/>
      <c r="AG402" s="207"/>
      <c r="AH402" s="207"/>
      <c r="AI402" s="207"/>
      <c r="AJ402" s="207"/>
      <c r="AK402" s="207"/>
      <c r="AL402" s="207"/>
      <c r="AM402" s="207"/>
      <c r="AN402" s="207"/>
      <c r="AO402" s="207"/>
      <c r="AP402" s="207"/>
      <c r="AQ402" s="207"/>
      <c r="AR402" s="207"/>
      <c r="AS402" s="207"/>
      <c r="AT402" s="207"/>
      <c r="AU402" s="207"/>
      <c r="AV402" s="207"/>
      <c r="AW402" s="207"/>
      <c r="AX402" s="207"/>
      <c r="AY402" s="207"/>
      <c r="AZ402" s="207"/>
      <c r="BA402" s="207"/>
    </row>
    <row r="403" ht="18.75" hidden="1" customHeight="1">
      <c r="A403" s="207"/>
      <c r="B403" s="207"/>
      <c r="C403" s="207"/>
      <c r="D403" s="207"/>
      <c r="E403" s="207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  <c r="AA403" s="207"/>
      <c r="AB403" s="207"/>
      <c r="AC403" s="207"/>
      <c r="AD403" s="207"/>
      <c r="AE403" s="207"/>
      <c r="AF403" s="207"/>
      <c r="AG403" s="207"/>
      <c r="AH403" s="207"/>
      <c r="AI403" s="207"/>
      <c r="AJ403" s="207"/>
      <c r="AK403" s="207"/>
      <c r="AL403" s="207"/>
      <c r="AM403" s="207"/>
      <c r="AN403" s="207"/>
      <c r="AO403" s="207"/>
      <c r="AP403" s="207"/>
      <c r="AQ403" s="207"/>
      <c r="AR403" s="207"/>
      <c r="AS403" s="207"/>
      <c r="AT403" s="207"/>
      <c r="AU403" s="207"/>
      <c r="AV403" s="207"/>
      <c r="AW403" s="207"/>
      <c r="AX403" s="207"/>
      <c r="AY403" s="207"/>
      <c r="AZ403" s="207"/>
      <c r="BA403" s="207"/>
    </row>
    <row r="404" ht="18.75" hidden="1" customHeight="1">
      <c r="A404" s="207"/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  <c r="AA404" s="207"/>
      <c r="AB404" s="207"/>
      <c r="AC404" s="207"/>
      <c r="AD404" s="207"/>
      <c r="AE404" s="207"/>
      <c r="AF404" s="207"/>
      <c r="AG404" s="207"/>
      <c r="AH404" s="207"/>
      <c r="AI404" s="207"/>
      <c r="AJ404" s="207"/>
      <c r="AK404" s="207"/>
      <c r="AL404" s="207"/>
      <c r="AM404" s="207"/>
      <c r="AN404" s="207"/>
      <c r="AO404" s="207"/>
      <c r="AP404" s="207"/>
      <c r="AQ404" s="207"/>
      <c r="AR404" s="207"/>
      <c r="AS404" s="207"/>
      <c r="AT404" s="207"/>
      <c r="AU404" s="207"/>
      <c r="AV404" s="207"/>
      <c r="AW404" s="207"/>
      <c r="AX404" s="207"/>
      <c r="AY404" s="207"/>
      <c r="AZ404" s="207"/>
      <c r="BA404" s="207"/>
    </row>
    <row r="405" ht="18.75" hidden="1" customHeight="1">
      <c r="A405" s="207"/>
      <c r="B405" s="207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  <c r="AA405" s="207"/>
      <c r="AB405" s="207"/>
      <c r="AC405" s="207"/>
      <c r="AD405" s="207"/>
      <c r="AE405" s="207"/>
      <c r="AF405" s="207"/>
      <c r="AG405" s="207"/>
      <c r="AH405" s="207"/>
      <c r="AI405" s="207"/>
      <c r="AJ405" s="207"/>
      <c r="AK405" s="207"/>
      <c r="AL405" s="207"/>
      <c r="AM405" s="207"/>
      <c r="AN405" s="207"/>
      <c r="AO405" s="207"/>
      <c r="AP405" s="207"/>
      <c r="AQ405" s="207"/>
      <c r="AR405" s="207"/>
      <c r="AS405" s="207"/>
      <c r="AT405" s="207"/>
      <c r="AU405" s="207"/>
      <c r="AV405" s="207"/>
      <c r="AW405" s="207"/>
      <c r="AX405" s="207"/>
      <c r="AY405" s="207"/>
      <c r="AZ405" s="207"/>
      <c r="BA405" s="207"/>
    </row>
    <row r="406" ht="18.75" hidden="1" customHeight="1">
      <c r="A406" s="207"/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  <c r="AA406" s="207"/>
      <c r="AB406" s="207"/>
      <c r="AC406" s="207"/>
      <c r="AD406" s="207"/>
      <c r="AE406" s="207"/>
      <c r="AF406" s="207"/>
      <c r="AG406" s="207"/>
      <c r="AH406" s="207"/>
      <c r="AI406" s="207"/>
      <c r="AJ406" s="207"/>
      <c r="AK406" s="207"/>
      <c r="AL406" s="207"/>
      <c r="AM406" s="207"/>
      <c r="AN406" s="207"/>
      <c r="AO406" s="207"/>
      <c r="AP406" s="207"/>
      <c r="AQ406" s="207"/>
      <c r="AR406" s="207"/>
      <c r="AS406" s="207"/>
      <c r="AT406" s="207"/>
      <c r="AU406" s="207"/>
      <c r="AV406" s="207"/>
      <c r="AW406" s="207"/>
      <c r="AX406" s="207"/>
      <c r="AY406" s="207"/>
      <c r="AZ406" s="207"/>
      <c r="BA406" s="207"/>
    </row>
    <row r="407" ht="18.75" hidden="1" customHeight="1">
      <c r="A407" s="207"/>
      <c r="B407" s="207"/>
      <c r="C407" s="207"/>
      <c r="D407" s="207"/>
      <c r="E407" s="207"/>
      <c r="F407" s="207"/>
      <c r="G407" s="207"/>
      <c r="H407" s="207"/>
      <c r="I407" s="207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  <c r="AA407" s="207"/>
      <c r="AB407" s="207"/>
      <c r="AC407" s="207"/>
      <c r="AD407" s="207"/>
      <c r="AE407" s="207"/>
      <c r="AF407" s="207"/>
      <c r="AG407" s="207"/>
      <c r="AH407" s="207"/>
      <c r="AI407" s="207"/>
      <c r="AJ407" s="207"/>
      <c r="AK407" s="207"/>
      <c r="AL407" s="207"/>
      <c r="AM407" s="207"/>
      <c r="AN407" s="207"/>
      <c r="AO407" s="207"/>
      <c r="AP407" s="207"/>
      <c r="AQ407" s="207"/>
      <c r="AR407" s="207"/>
      <c r="AS407" s="207"/>
      <c r="AT407" s="207"/>
      <c r="AU407" s="207"/>
      <c r="AV407" s="207"/>
      <c r="AW407" s="207"/>
      <c r="AX407" s="207"/>
      <c r="AY407" s="207"/>
      <c r="AZ407" s="207"/>
      <c r="BA407" s="207"/>
    </row>
    <row r="408" ht="18.75" hidden="1" customHeight="1">
      <c r="A408" s="207"/>
      <c r="B408" s="207"/>
      <c r="C408" s="207"/>
      <c r="D408" s="207"/>
      <c r="E408" s="207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  <c r="AA408" s="207"/>
      <c r="AB408" s="207"/>
      <c r="AC408" s="207"/>
      <c r="AD408" s="207"/>
      <c r="AE408" s="207"/>
      <c r="AF408" s="207"/>
      <c r="AG408" s="207"/>
      <c r="AH408" s="207"/>
      <c r="AI408" s="207"/>
      <c r="AJ408" s="207"/>
      <c r="AK408" s="207"/>
      <c r="AL408" s="207"/>
      <c r="AM408" s="207"/>
      <c r="AN408" s="207"/>
      <c r="AO408" s="207"/>
      <c r="AP408" s="207"/>
      <c r="AQ408" s="207"/>
      <c r="AR408" s="207"/>
      <c r="AS408" s="207"/>
      <c r="AT408" s="207"/>
      <c r="AU408" s="207"/>
      <c r="AV408" s="207"/>
      <c r="AW408" s="207"/>
      <c r="AX408" s="207"/>
      <c r="AY408" s="207"/>
      <c r="AZ408" s="207"/>
      <c r="BA408" s="207"/>
    </row>
    <row r="409" ht="18.75" hidden="1" customHeight="1">
      <c r="A409" s="207"/>
      <c r="B409" s="207"/>
      <c r="C409" s="207"/>
      <c r="D409" s="207"/>
      <c r="E409" s="207"/>
      <c r="F409" s="207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  <c r="AA409" s="207"/>
      <c r="AB409" s="207"/>
      <c r="AC409" s="207"/>
      <c r="AD409" s="207"/>
      <c r="AE409" s="207"/>
      <c r="AF409" s="207"/>
      <c r="AG409" s="207"/>
      <c r="AH409" s="207"/>
      <c r="AI409" s="207"/>
      <c r="AJ409" s="207"/>
      <c r="AK409" s="207"/>
      <c r="AL409" s="207"/>
      <c r="AM409" s="207"/>
      <c r="AN409" s="207"/>
      <c r="AO409" s="207"/>
      <c r="AP409" s="207"/>
      <c r="AQ409" s="207"/>
      <c r="AR409" s="207"/>
      <c r="AS409" s="207"/>
      <c r="AT409" s="207"/>
      <c r="AU409" s="207"/>
      <c r="AV409" s="207"/>
      <c r="AW409" s="207"/>
      <c r="AX409" s="207"/>
      <c r="AY409" s="207"/>
      <c r="AZ409" s="207"/>
      <c r="BA409" s="207"/>
    </row>
    <row r="410" ht="18.75" hidden="1" customHeight="1">
      <c r="A410" s="207"/>
      <c r="B410" s="207"/>
      <c r="C410" s="207"/>
      <c r="D410" s="207"/>
      <c r="E410" s="207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  <c r="AA410" s="207"/>
      <c r="AB410" s="207"/>
      <c r="AC410" s="207"/>
      <c r="AD410" s="207"/>
      <c r="AE410" s="207"/>
      <c r="AF410" s="207"/>
      <c r="AG410" s="207"/>
      <c r="AH410" s="207"/>
      <c r="AI410" s="207"/>
      <c r="AJ410" s="207"/>
      <c r="AK410" s="207"/>
      <c r="AL410" s="207"/>
      <c r="AM410" s="207"/>
      <c r="AN410" s="207"/>
      <c r="AO410" s="207"/>
      <c r="AP410" s="207"/>
      <c r="AQ410" s="207"/>
      <c r="AR410" s="207"/>
      <c r="AS410" s="207"/>
      <c r="AT410" s="207"/>
      <c r="AU410" s="207"/>
      <c r="AV410" s="207"/>
      <c r="AW410" s="207"/>
      <c r="AX410" s="207"/>
      <c r="AY410" s="207"/>
      <c r="AZ410" s="207"/>
      <c r="BA410" s="207"/>
    </row>
    <row r="411" ht="18.75" hidden="1" customHeight="1">
      <c r="A411" s="207"/>
      <c r="B411" s="207"/>
      <c r="C411" s="207"/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  <c r="AB411" s="207"/>
      <c r="AC411" s="207"/>
      <c r="AD411" s="207"/>
      <c r="AE411" s="207"/>
      <c r="AF411" s="207"/>
      <c r="AG411" s="207"/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</row>
    <row r="412" ht="18.75" hidden="1" customHeight="1">
      <c r="A412" s="207"/>
      <c r="B412" s="207"/>
      <c r="C412" s="207"/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</row>
    <row r="413" ht="18.75" hidden="1" customHeight="1">
      <c r="A413" s="207"/>
      <c r="B413" s="207"/>
      <c r="C413" s="207"/>
      <c r="D413" s="207"/>
      <c r="E413" s="207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</row>
    <row r="414" ht="18.75" hidden="1" customHeight="1">
      <c r="A414" s="207"/>
      <c r="B414" s="207"/>
      <c r="C414" s="207"/>
      <c r="D414" s="207"/>
      <c r="E414" s="207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/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</row>
    <row r="415" ht="18.75" hidden="1" customHeight="1">
      <c r="A415" s="207"/>
      <c r="B415" s="207"/>
      <c r="C415" s="207"/>
      <c r="D415" s="207"/>
      <c r="E415" s="207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/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</row>
    <row r="416" ht="18.75" hidden="1" customHeight="1">
      <c r="A416" s="207"/>
      <c r="B416" s="207"/>
      <c r="C416" s="207"/>
      <c r="D416" s="207"/>
      <c r="E416" s="207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</row>
    <row r="417" ht="18.75" hidden="1" customHeight="1">
      <c r="A417" s="207"/>
      <c r="B417" s="207"/>
      <c r="C417" s="207"/>
      <c r="D417" s="207"/>
      <c r="E417" s="207"/>
      <c r="F417" s="207"/>
      <c r="G417" s="207"/>
      <c r="H417" s="207"/>
      <c r="I417" s="207"/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  <c r="AA417" s="207"/>
      <c r="AB417" s="207"/>
      <c r="AC417" s="207"/>
      <c r="AD417" s="207"/>
      <c r="AE417" s="207"/>
      <c r="AF417" s="207"/>
      <c r="AG417" s="207"/>
      <c r="AH417" s="207"/>
      <c r="AI417" s="207"/>
      <c r="AJ417" s="207"/>
      <c r="AK417" s="207"/>
      <c r="AL417" s="207"/>
      <c r="AM417" s="207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7"/>
    </row>
    <row r="418" ht="18.75" hidden="1" customHeight="1">
      <c r="A418" s="207"/>
      <c r="B418" s="207"/>
      <c r="C418" s="207"/>
      <c r="D418" s="207"/>
      <c r="E418" s="207"/>
      <c r="F418" s="207"/>
      <c r="G418" s="207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  <c r="AA418" s="207"/>
      <c r="AB418" s="207"/>
      <c r="AC418" s="207"/>
      <c r="AD418" s="207"/>
      <c r="AE418" s="207"/>
      <c r="AF418" s="207"/>
      <c r="AG418" s="207"/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</row>
    <row r="419" ht="18.75" hidden="1" customHeight="1">
      <c r="A419" s="207"/>
      <c r="B419" s="207"/>
      <c r="C419" s="207"/>
      <c r="D419" s="207"/>
      <c r="E419" s="207"/>
      <c r="F419" s="207"/>
      <c r="G419" s="207"/>
      <c r="H419" s="207"/>
      <c r="I419" s="207"/>
      <c r="J419" s="207"/>
      <c r="K419" s="207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  <c r="AA419" s="207"/>
      <c r="AB419" s="207"/>
      <c r="AC419" s="207"/>
      <c r="AD419" s="207"/>
      <c r="AE419" s="207"/>
      <c r="AF419" s="207"/>
      <c r="AG419" s="207"/>
      <c r="AH419" s="207"/>
      <c r="AI419" s="207"/>
      <c r="AJ419" s="207"/>
      <c r="AK419" s="207"/>
      <c r="AL419" s="207"/>
      <c r="AM419" s="207"/>
      <c r="AN419" s="207"/>
      <c r="AO419" s="207"/>
      <c r="AP419" s="207"/>
      <c r="AQ419" s="207"/>
      <c r="AR419" s="207"/>
      <c r="AS419" s="207"/>
      <c r="AT419" s="207"/>
      <c r="AU419" s="207"/>
      <c r="AV419" s="207"/>
      <c r="AW419" s="207"/>
      <c r="AX419" s="207"/>
      <c r="AY419" s="207"/>
      <c r="AZ419" s="207"/>
      <c r="BA419" s="207"/>
    </row>
    <row r="420" ht="18.75" hidden="1" customHeight="1">
      <c r="A420" s="207"/>
      <c r="B420" s="207"/>
      <c r="C420" s="207"/>
      <c r="D420" s="207"/>
      <c r="E420" s="207"/>
      <c r="F420" s="207"/>
      <c r="G420" s="207"/>
      <c r="H420" s="207"/>
      <c r="I420" s="207"/>
      <c r="J420" s="207"/>
      <c r="K420" s="207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  <c r="AA420" s="207"/>
      <c r="AB420" s="207"/>
      <c r="AC420" s="207"/>
      <c r="AD420" s="207"/>
      <c r="AE420" s="207"/>
      <c r="AF420" s="207"/>
      <c r="AG420" s="207"/>
      <c r="AH420" s="207"/>
      <c r="AI420" s="207"/>
      <c r="AJ420" s="207"/>
      <c r="AK420" s="207"/>
      <c r="AL420" s="207"/>
      <c r="AM420" s="207"/>
      <c r="AN420" s="207"/>
      <c r="AO420" s="207"/>
      <c r="AP420" s="207"/>
      <c r="AQ420" s="207"/>
      <c r="AR420" s="207"/>
      <c r="AS420" s="207"/>
      <c r="AT420" s="207"/>
      <c r="AU420" s="207"/>
      <c r="AV420" s="207"/>
      <c r="AW420" s="207"/>
      <c r="AX420" s="207"/>
      <c r="AY420" s="207"/>
      <c r="AZ420" s="207"/>
      <c r="BA420" s="207"/>
    </row>
    <row r="421" ht="18.75" hidden="1" customHeight="1">
      <c r="A421" s="207"/>
      <c r="B421" s="207"/>
      <c r="C421" s="207"/>
      <c r="D421" s="207"/>
      <c r="E421" s="207"/>
      <c r="F421" s="207"/>
      <c r="G421" s="207"/>
      <c r="H421" s="207"/>
      <c r="I421" s="207"/>
      <c r="J421" s="207"/>
      <c r="K421" s="207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  <c r="AA421" s="207"/>
      <c r="AB421" s="207"/>
      <c r="AC421" s="207"/>
      <c r="AD421" s="207"/>
      <c r="AE421" s="207"/>
      <c r="AF421" s="207"/>
      <c r="AG421" s="207"/>
      <c r="AH421" s="207"/>
      <c r="AI421" s="207"/>
      <c r="AJ421" s="207"/>
      <c r="AK421" s="207"/>
      <c r="AL421" s="207"/>
      <c r="AM421" s="207"/>
      <c r="AN421" s="207"/>
      <c r="AO421" s="207"/>
      <c r="AP421" s="207"/>
      <c r="AQ421" s="207"/>
      <c r="AR421" s="207"/>
      <c r="AS421" s="207"/>
      <c r="AT421" s="207"/>
      <c r="AU421" s="207"/>
      <c r="AV421" s="207"/>
      <c r="AW421" s="207"/>
      <c r="AX421" s="207"/>
      <c r="AY421" s="207"/>
      <c r="AZ421" s="207"/>
      <c r="BA421" s="207"/>
    </row>
    <row r="422" ht="18.75" hidden="1" customHeight="1">
      <c r="A422" s="207"/>
      <c r="B422" s="207"/>
      <c r="C422" s="207"/>
      <c r="D422" s="207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  <c r="AB422" s="207"/>
      <c r="AC422" s="207"/>
      <c r="AD422" s="207"/>
      <c r="AE422" s="207"/>
      <c r="AF422" s="207"/>
      <c r="AG422" s="207"/>
      <c r="AH422" s="207"/>
      <c r="AI422" s="207"/>
      <c r="AJ422" s="207"/>
      <c r="AK422" s="207"/>
      <c r="AL422" s="207"/>
      <c r="AM422" s="207"/>
      <c r="AN422" s="207"/>
      <c r="AO422" s="207"/>
      <c r="AP422" s="207"/>
      <c r="AQ422" s="207"/>
      <c r="AR422" s="207"/>
      <c r="AS422" s="207"/>
      <c r="AT422" s="207"/>
      <c r="AU422" s="207"/>
      <c r="AV422" s="207"/>
      <c r="AW422" s="207"/>
      <c r="AX422" s="207"/>
      <c r="AY422" s="207"/>
      <c r="AZ422" s="207"/>
      <c r="BA422" s="207"/>
    </row>
    <row r="423" ht="18.75" hidden="1" customHeight="1">
      <c r="A423" s="207"/>
      <c r="B423" s="207"/>
      <c r="C423" s="207"/>
      <c r="D423" s="207"/>
      <c r="E423" s="207"/>
      <c r="F423" s="207"/>
      <c r="G423" s="207"/>
      <c r="H423" s="207"/>
      <c r="I423" s="207"/>
      <c r="J423" s="207"/>
      <c r="K423" s="207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  <c r="AA423" s="207"/>
      <c r="AB423" s="207"/>
      <c r="AC423" s="207"/>
      <c r="AD423" s="207"/>
      <c r="AE423" s="207"/>
      <c r="AF423" s="207"/>
      <c r="AG423" s="207"/>
      <c r="AH423" s="207"/>
      <c r="AI423" s="207"/>
      <c r="AJ423" s="207"/>
      <c r="AK423" s="207"/>
      <c r="AL423" s="207"/>
      <c r="AM423" s="207"/>
      <c r="AN423" s="207"/>
      <c r="AO423" s="207"/>
      <c r="AP423" s="207"/>
      <c r="AQ423" s="207"/>
      <c r="AR423" s="207"/>
      <c r="AS423" s="207"/>
      <c r="AT423" s="207"/>
      <c r="AU423" s="207"/>
      <c r="AV423" s="207"/>
      <c r="AW423" s="207"/>
      <c r="AX423" s="207"/>
      <c r="AY423" s="207"/>
      <c r="AZ423" s="207"/>
      <c r="BA423" s="207"/>
    </row>
    <row r="424" ht="18.75" hidden="1" customHeight="1">
      <c r="A424" s="207"/>
      <c r="B424" s="207"/>
      <c r="C424" s="207"/>
      <c r="D424" s="207"/>
      <c r="E424" s="207"/>
      <c r="F424" s="207"/>
      <c r="G424" s="207"/>
      <c r="H424" s="207"/>
      <c r="I424" s="207"/>
      <c r="J424" s="207"/>
      <c r="K424" s="207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  <c r="AA424" s="207"/>
      <c r="AB424" s="207"/>
      <c r="AC424" s="207"/>
      <c r="AD424" s="207"/>
      <c r="AE424" s="207"/>
      <c r="AF424" s="207"/>
      <c r="AG424" s="207"/>
      <c r="AH424" s="207"/>
      <c r="AI424" s="207"/>
      <c r="AJ424" s="207"/>
      <c r="AK424" s="207"/>
      <c r="AL424" s="207"/>
      <c r="AM424" s="207"/>
      <c r="AN424" s="207"/>
      <c r="AO424" s="207"/>
      <c r="AP424" s="207"/>
      <c r="AQ424" s="207"/>
      <c r="AR424" s="207"/>
      <c r="AS424" s="207"/>
      <c r="AT424" s="207"/>
      <c r="AU424" s="207"/>
      <c r="AV424" s="207"/>
      <c r="AW424" s="207"/>
      <c r="AX424" s="207"/>
      <c r="AY424" s="207"/>
      <c r="AZ424" s="207"/>
      <c r="BA424" s="207"/>
    </row>
    <row r="425" ht="18.75" hidden="1" customHeight="1">
      <c r="A425" s="207"/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  <c r="AA425" s="207"/>
      <c r="AB425" s="207"/>
      <c r="AC425" s="207"/>
      <c r="AD425" s="207"/>
      <c r="AE425" s="207"/>
      <c r="AF425" s="207"/>
      <c r="AG425" s="207"/>
      <c r="AH425" s="207"/>
      <c r="AI425" s="207"/>
      <c r="AJ425" s="207"/>
      <c r="AK425" s="207"/>
      <c r="AL425" s="207"/>
      <c r="AM425" s="207"/>
      <c r="AN425" s="207"/>
      <c r="AO425" s="207"/>
      <c r="AP425" s="207"/>
      <c r="AQ425" s="207"/>
      <c r="AR425" s="207"/>
      <c r="AS425" s="207"/>
      <c r="AT425" s="207"/>
      <c r="AU425" s="207"/>
      <c r="AV425" s="207"/>
      <c r="AW425" s="207"/>
      <c r="AX425" s="207"/>
      <c r="AY425" s="207"/>
      <c r="AZ425" s="207"/>
      <c r="BA425" s="207"/>
    </row>
    <row r="426" ht="18.75" hidden="1" customHeight="1">
      <c r="A426" s="207"/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  <c r="AA426" s="207"/>
      <c r="AB426" s="207"/>
      <c r="AC426" s="207"/>
      <c r="AD426" s="207"/>
      <c r="AE426" s="207"/>
      <c r="AF426" s="207"/>
      <c r="AG426" s="207"/>
      <c r="AH426" s="207"/>
      <c r="AI426" s="207"/>
      <c r="AJ426" s="207"/>
      <c r="AK426" s="207"/>
      <c r="AL426" s="207"/>
      <c r="AM426" s="207"/>
      <c r="AN426" s="207"/>
      <c r="AO426" s="207"/>
      <c r="AP426" s="207"/>
      <c r="AQ426" s="207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</row>
    <row r="427" ht="18.75" hidden="1" customHeight="1">
      <c r="A427" s="207"/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  <c r="AB427" s="207"/>
      <c r="AC427" s="207"/>
      <c r="AD427" s="207"/>
      <c r="AE427" s="207"/>
      <c r="AF427" s="207"/>
      <c r="AG427" s="207"/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</row>
    <row r="428" ht="18.75" hidden="1" customHeight="1">
      <c r="A428" s="207"/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  <c r="AA428" s="207"/>
      <c r="AB428" s="207"/>
      <c r="AC428" s="207"/>
      <c r="AD428" s="207"/>
      <c r="AE428" s="207"/>
      <c r="AF428" s="207"/>
      <c r="AG428" s="207"/>
      <c r="AH428" s="207"/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</row>
    <row r="429" ht="18.75" hidden="1" customHeight="1">
      <c r="A429" s="207"/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  <c r="AB429" s="207"/>
      <c r="AC429" s="207"/>
      <c r="AD429" s="207"/>
      <c r="AE429" s="207"/>
      <c r="AF429" s="207"/>
      <c r="AG429" s="207"/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</row>
    <row r="430" ht="18.75" hidden="1" customHeight="1">
      <c r="A430" s="207"/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  <c r="AB430" s="207"/>
      <c r="AC430" s="207"/>
      <c r="AD430" s="207"/>
      <c r="AE430" s="207"/>
      <c r="AF430" s="207"/>
      <c r="AG430" s="207"/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</row>
    <row r="431" ht="18.75" hidden="1" customHeight="1">
      <c r="A431" s="207"/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  <c r="AA431" s="207"/>
      <c r="AB431" s="207"/>
      <c r="AC431" s="207"/>
      <c r="AD431" s="207"/>
      <c r="AE431" s="207"/>
      <c r="AF431" s="207"/>
      <c r="AG431" s="207"/>
      <c r="AH431" s="207"/>
      <c r="AI431" s="207"/>
      <c r="AJ431" s="207"/>
      <c r="AK431" s="207"/>
      <c r="AL431" s="207"/>
      <c r="AM431" s="207"/>
      <c r="AN431" s="207"/>
      <c r="AO431" s="207"/>
      <c r="AP431" s="207"/>
      <c r="AQ431" s="207"/>
      <c r="AR431" s="207"/>
      <c r="AS431" s="207"/>
      <c r="AT431" s="207"/>
      <c r="AU431" s="207"/>
      <c r="AV431" s="207"/>
      <c r="AW431" s="207"/>
      <c r="AX431" s="207"/>
      <c r="AY431" s="207"/>
      <c r="AZ431" s="207"/>
      <c r="BA431" s="207"/>
    </row>
    <row r="432" ht="18.75" hidden="1" customHeight="1">
      <c r="A432" s="207"/>
      <c r="B432" s="207"/>
      <c r="C432" s="207"/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  <c r="AA432" s="207"/>
      <c r="AB432" s="207"/>
      <c r="AC432" s="207"/>
      <c r="AD432" s="207"/>
      <c r="AE432" s="207"/>
      <c r="AF432" s="207"/>
      <c r="AG432" s="207"/>
      <c r="AH432" s="207"/>
      <c r="AI432" s="207"/>
      <c r="AJ432" s="207"/>
      <c r="AK432" s="207"/>
      <c r="AL432" s="207"/>
      <c r="AM432" s="207"/>
      <c r="AN432" s="207"/>
      <c r="AO432" s="207"/>
      <c r="AP432" s="207"/>
      <c r="AQ432" s="207"/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7"/>
    </row>
    <row r="433" ht="18.75" hidden="1" customHeight="1">
      <c r="A433" s="207"/>
      <c r="B433" s="207"/>
      <c r="C433" s="207"/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  <c r="AA433" s="207"/>
      <c r="AB433" s="207"/>
      <c r="AC433" s="207"/>
      <c r="AD433" s="207"/>
      <c r="AE433" s="207"/>
      <c r="AF433" s="207"/>
      <c r="AG433" s="207"/>
      <c r="AH433" s="207"/>
      <c r="AI433" s="207"/>
      <c r="AJ433" s="207"/>
      <c r="AK433" s="207"/>
      <c r="AL433" s="207"/>
      <c r="AM433" s="207"/>
      <c r="AN433" s="207"/>
      <c r="AO433" s="207"/>
      <c r="AP433" s="207"/>
      <c r="AQ433" s="207"/>
      <c r="AR433" s="207"/>
      <c r="AS433" s="207"/>
      <c r="AT433" s="207"/>
      <c r="AU433" s="207"/>
      <c r="AV433" s="207"/>
      <c r="AW433" s="207"/>
      <c r="AX433" s="207"/>
      <c r="AY433" s="207"/>
      <c r="AZ433" s="207"/>
      <c r="BA433" s="207"/>
    </row>
    <row r="434" ht="18.75" hidden="1" customHeight="1">
      <c r="A434" s="207"/>
      <c r="B434" s="207"/>
      <c r="C434" s="207"/>
      <c r="D434" s="207"/>
      <c r="E434" s="207"/>
      <c r="F434" s="207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  <c r="AA434" s="207"/>
      <c r="AB434" s="207"/>
      <c r="AC434" s="207"/>
      <c r="AD434" s="207"/>
      <c r="AE434" s="207"/>
      <c r="AF434" s="207"/>
      <c r="AG434" s="207"/>
      <c r="AH434" s="207"/>
      <c r="AI434" s="207"/>
      <c r="AJ434" s="207"/>
      <c r="AK434" s="207"/>
      <c r="AL434" s="207"/>
      <c r="AM434" s="207"/>
      <c r="AN434" s="207"/>
      <c r="AO434" s="207"/>
      <c r="AP434" s="207"/>
      <c r="AQ434" s="207"/>
      <c r="AR434" s="207"/>
      <c r="AS434" s="207"/>
      <c r="AT434" s="207"/>
      <c r="AU434" s="207"/>
      <c r="AV434" s="207"/>
      <c r="AW434" s="207"/>
      <c r="AX434" s="207"/>
      <c r="AY434" s="207"/>
      <c r="AZ434" s="207"/>
      <c r="BA434" s="207"/>
    </row>
    <row r="435" ht="18.75" hidden="1" customHeight="1">
      <c r="A435" s="207"/>
      <c r="B435" s="207"/>
      <c r="C435" s="207"/>
      <c r="D435" s="207"/>
      <c r="E435" s="207"/>
      <c r="F435" s="207"/>
      <c r="G435" s="207"/>
      <c r="H435" s="207"/>
      <c r="I435" s="207"/>
      <c r="J435" s="207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  <c r="AA435" s="207"/>
      <c r="AB435" s="207"/>
      <c r="AC435" s="207"/>
      <c r="AD435" s="207"/>
      <c r="AE435" s="207"/>
      <c r="AF435" s="207"/>
      <c r="AG435" s="207"/>
      <c r="AH435" s="207"/>
      <c r="AI435" s="207"/>
      <c r="AJ435" s="207"/>
      <c r="AK435" s="207"/>
      <c r="AL435" s="207"/>
      <c r="AM435" s="207"/>
      <c r="AN435" s="207"/>
      <c r="AO435" s="207"/>
      <c r="AP435" s="207"/>
      <c r="AQ435" s="207"/>
      <c r="AR435" s="207"/>
      <c r="AS435" s="207"/>
      <c r="AT435" s="207"/>
      <c r="AU435" s="207"/>
      <c r="AV435" s="207"/>
      <c r="AW435" s="207"/>
      <c r="AX435" s="207"/>
      <c r="AY435" s="207"/>
      <c r="AZ435" s="207"/>
      <c r="BA435" s="207"/>
    </row>
    <row r="436" ht="18.75" hidden="1" customHeight="1">
      <c r="A436" s="207"/>
      <c r="B436" s="207"/>
      <c r="C436" s="207"/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  <c r="AA436" s="207"/>
      <c r="AB436" s="207"/>
      <c r="AC436" s="207"/>
      <c r="AD436" s="207"/>
      <c r="AE436" s="207"/>
      <c r="AF436" s="207"/>
      <c r="AG436" s="207"/>
      <c r="AH436" s="207"/>
      <c r="AI436" s="207"/>
      <c r="AJ436" s="207"/>
      <c r="AK436" s="207"/>
      <c r="AL436" s="207"/>
      <c r="AM436" s="207"/>
      <c r="AN436" s="207"/>
      <c r="AO436" s="207"/>
      <c r="AP436" s="207"/>
      <c r="AQ436" s="207"/>
      <c r="AR436" s="207"/>
      <c r="AS436" s="207"/>
      <c r="AT436" s="207"/>
      <c r="AU436" s="207"/>
      <c r="AV436" s="207"/>
      <c r="AW436" s="207"/>
      <c r="AX436" s="207"/>
      <c r="AY436" s="207"/>
      <c r="AZ436" s="207"/>
      <c r="BA436" s="207"/>
    </row>
    <row r="437" ht="18.75" hidden="1" customHeight="1">
      <c r="A437" s="207"/>
      <c r="B437" s="207"/>
      <c r="C437" s="207"/>
      <c r="D437" s="207"/>
      <c r="E437" s="207"/>
      <c r="F437" s="207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  <c r="AA437" s="207"/>
      <c r="AB437" s="207"/>
      <c r="AC437" s="207"/>
      <c r="AD437" s="207"/>
      <c r="AE437" s="207"/>
      <c r="AF437" s="207"/>
      <c r="AG437" s="207"/>
      <c r="AH437" s="207"/>
      <c r="AI437" s="207"/>
      <c r="AJ437" s="207"/>
      <c r="AK437" s="207"/>
      <c r="AL437" s="207"/>
      <c r="AM437" s="207"/>
      <c r="AN437" s="207"/>
      <c r="AO437" s="207"/>
      <c r="AP437" s="207"/>
      <c r="AQ437" s="207"/>
      <c r="AR437" s="207"/>
      <c r="AS437" s="207"/>
      <c r="AT437" s="207"/>
      <c r="AU437" s="207"/>
      <c r="AV437" s="207"/>
      <c r="AW437" s="207"/>
      <c r="AX437" s="207"/>
      <c r="AY437" s="207"/>
      <c r="AZ437" s="207"/>
      <c r="BA437" s="207"/>
    </row>
    <row r="438" ht="18.75" hidden="1" customHeight="1">
      <c r="A438" s="207"/>
      <c r="B438" s="207"/>
      <c r="C438" s="207"/>
      <c r="D438" s="207"/>
      <c r="E438" s="207"/>
      <c r="F438" s="207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  <c r="AA438" s="207"/>
      <c r="AB438" s="207"/>
      <c r="AC438" s="207"/>
      <c r="AD438" s="207"/>
      <c r="AE438" s="207"/>
      <c r="AF438" s="207"/>
      <c r="AG438" s="207"/>
      <c r="AH438" s="207"/>
      <c r="AI438" s="207"/>
      <c r="AJ438" s="207"/>
      <c r="AK438" s="207"/>
      <c r="AL438" s="207"/>
      <c r="AM438" s="207"/>
      <c r="AN438" s="207"/>
      <c r="AO438" s="207"/>
      <c r="AP438" s="207"/>
      <c r="AQ438" s="207"/>
      <c r="AR438" s="207"/>
      <c r="AS438" s="207"/>
      <c r="AT438" s="207"/>
      <c r="AU438" s="207"/>
      <c r="AV438" s="207"/>
      <c r="AW438" s="207"/>
      <c r="AX438" s="207"/>
      <c r="AY438" s="207"/>
      <c r="AZ438" s="207"/>
      <c r="BA438" s="207"/>
    </row>
    <row r="439" ht="18.75" hidden="1" customHeight="1">
      <c r="A439" s="207"/>
      <c r="B439" s="207"/>
      <c r="C439" s="207"/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  <c r="AA439" s="207"/>
      <c r="AB439" s="207"/>
      <c r="AC439" s="207"/>
      <c r="AD439" s="207"/>
      <c r="AE439" s="207"/>
      <c r="AF439" s="207"/>
      <c r="AG439" s="207"/>
      <c r="AH439" s="207"/>
      <c r="AI439" s="207"/>
      <c r="AJ439" s="207"/>
      <c r="AK439" s="207"/>
      <c r="AL439" s="207"/>
      <c r="AM439" s="207"/>
      <c r="AN439" s="207"/>
      <c r="AO439" s="207"/>
      <c r="AP439" s="207"/>
      <c r="AQ439" s="207"/>
      <c r="AR439" s="207"/>
      <c r="AS439" s="207"/>
      <c r="AT439" s="207"/>
      <c r="AU439" s="207"/>
      <c r="AV439" s="207"/>
      <c r="AW439" s="207"/>
      <c r="AX439" s="207"/>
      <c r="AY439" s="207"/>
      <c r="AZ439" s="207"/>
      <c r="BA439" s="207"/>
    </row>
    <row r="440" ht="18.75" hidden="1" customHeight="1">
      <c r="A440" s="207"/>
      <c r="B440" s="207"/>
      <c r="C440" s="207"/>
      <c r="D440" s="207"/>
      <c r="E440" s="207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  <c r="AA440" s="207"/>
      <c r="AB440" s="207"/>
      <c r="AC440" s="207"/>
      <c r="AD440" s="207"/>
      <c r="AE440" s="207"/>
      <c r="AF440" s="207"/>
      <c r="AG440" s="207"/>
      <c r="AH440" s="207"/>
      <c r="AI440" s="207"/>
      <c r="AJ440" s="207"/>
      <c r="AK440" s="207"/>
      <c r="AL440" s="207"/>
      <c r="AM440" s="207"/>
      <c r="AN440" s="207"/>
      <c r="AO440" s="207"/>
      <c r="AP440" s="207"/>
      <c r="AQ440" s="207"/>
      <c r="AR440" s="207"/>
      <c r="AS440" s="207"/>
      <c r="AT440" s="207"/>
      <c r="AU440" s="207"/>
      <c r="AV440" s="207"/>
      <c r="AW440" s="207"/>
      <c r="AX440" s="207"/>
      <c r="AY440" s="207"/>
      <c r="AZ440" s="207"/>
      <c r="BA440" s="207"/>
    </row>
    <row r="441" ht="18.75" hidden="1" customHeight="1">
      <c r="A441" s="207"/>
      <c r="B441" s="207"/>
      <c r="C441" s="207"/>
      <c r="D441" s="207"/>
      <c r="E441" s="207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  <c r="AA441" s="207"/>
      <c r="AB441" s="207"/>
      <c r="AC441" s="207"/>
      <c r="AD441" s="207"/>
      <c r="AE441" s="207"/>
      <c r="AF441" s="207"/>
      <c r="AG441" s="207"/>
      <c r="AH441" s="207"/>
      <c r="AI441" s="207"/>
      <c r="AJ441" s="207"/>
      <c r="AK441" s="207"/>
      <c r="AL441" s="207"/>
      <c r="AM441" s="207"/>
      <c r="AN441" s="207"/>
      <c r="AO441" s="207"/>
      <c r="AP441" s="207"/>
      <c r="AQ441" s="207"/>
      <c r="AR441" s="207"/>
      <c r="AS441" s="207"/>
      <c r="AT441" s="207"/>
      <c r="AU441" s="207"/>
      <c r="AV441" s="207"/>
      <c r="AW441" s="207"/>
      <c r="AX441" s="207"/>
      <c r="AY441" s="207"/>
      <c r="AZ441" s="207"/>
      <c r="BA441" s="207"/>
    </row>
    <row r="442" ht="18.75" hidden="1" customHeight="1">
      <c r="A442" s="207"/>
      <c r="B442" s="207"/>
      <c r="C442" s="207"/>
      <c r="D442" s="207"/>
      <c r="E442" s="207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  <c r="AA442" s="207"/>
      <c r="AB442" s="207"/>
      <c r="AC442" s="207"/>
      <c r="AD442" s="207"/>
      <c r="AE442" s="207"/>
      <c r="AF442" s="207"/>
      <c r="AG442" s="207"/>
      <c r="AH442" s="207"/>
      <c r="AI442" s="207"/>
      <c r="AJ442" s="207"/>
      <c r="AK442" s="207"/>
      <c r="AL442" s="207"/>
      <c r="AM442" s="207"/>
      <c r="AN442" s="207"/>
      <c r="AO442" s="207"/>
      <c r="AP442" s="207"/>
      <c r="AQ442" s="207"/>
      <c r="AR442" s="207"/>
      <c r="AS442" s="207"/>
      <c r="AT442" s="207"/>
      <c r="AU442" s="207"/>
      <c r="AV442" s="207"/>
      <c r="AW442" s="207"/>
      <c r="AX442" s="207"/>
      <c r="AY442" s="207"/>
      <c r="AZ442" s="207"/>
      <c r="BA442" s="207"/>
    </row>
    <row r="443" ht="18.75" hidden="1" customHeight="1">
      <c r="A443" s="207"/>
      <c r="B443" s="207"/>
      <c r="C443" s="207"/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  <c r="AA443" s="207"/>
      <c r="AB443" s="207"/>
      <c r="AC443" s="207"/>
      <c r="AD443" s="207"/>
      <c r="AE443" s="207"/>
      <c r="AF443" s="207"/>
      <c r="AG443" s="207"/>
      <c r="AH443" s="207"/>
      <c r="AI443" s="207"/>
      <c r="AJ443" s="207"/>
      <c r="AK443" s="207"/>
      <c r="AL443" s="207"/>
      <c r="AM443" s="207"/>
      <c r="AN443" s="207"/>
      <c r="AO443" s="207"/>
      <c r="AP443" s="207"/>
      <c r="AQ443" s="207"/>
      <c r="AR443" s="207"/>
      <c r="AS443" s="207"/>
      <c r="AT443" s="207"/>
      <c r="AU443" s="207"/>
      <c r="AV443" s="207"/>
      <c r="AW443" s="207"/>
      <c r="AX443" s="207"/>
      <c r="AY443" s="207"/>
      <c r="AZ443" s="207"/>
      <c r="BA443" s="207"/>
    </row>
    <row r="444" ht="18.75" hidden="1" customHeight="1">
      <c r="A444" s="207"/>
      <c r="B444" s="207"/>
      <c r="C444" s="207"/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  <c r="AA444" s="207"/>
      <c r="AB444" s="207"/>
      <c r="AC444" s="207"/>
      <c r="AD444" s="207"/>
      <c r="AE444" s="207"/>
      <c r="AF444" s="207"/>
      <c r="AG444" s="207"/>
      <c r="AH444" s="207"/>
      <c r="AI444" s="207"/>
      <c r="AJ444" s="207"/>
      <c r="AK444" s="207"/>
      <c r="AL444" s="207"/>
      <c r="AM444" s="207"/>
      <c r="AN444" s="207"/>
      <c r="AO444" s="207"/>
      <c r="AP444" s="207"/>
      <c r="AQ444" s="207"/>
      <c r="AR444" s="207"/>
      <c r="AS444" s="207"/>
      <c r="AT444" s="207"/>
      <c r="AU444" s="207"/>
      <c r="AV444" s="207"/>
      <c r="AW444" s="207"/>
      <c r="AX444" s="207"/>
      <c r="AY444" s="207"/>
      <c r="AZ444" s="207"/>
      <c r="BA444" s="207"/>
    </row>
    <row r="445" ht="18.75" hidden="1" customHeight="1">
      <c r="A445" s="207"/>
      <c r="B445" s="207"/>
      <c r="C445" s="207"/>
      <c r="D445" s="207"/>
      <c r="E445" s="207"/>
      <c r="F445" s="207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  <c r="AA445" s="207"/>
      <c r="AB445" s="207"/>
      <c r="AC445" s="207"/>
      <c r="AD445" s="207"/>
      <c r="AE445" s="207"/>
      <c r="AF445" s="207"/>
      <c r="AG445" s="207"/>
      <c r="AH445" s="207"/>
      <c r="AI445" s="207"/>
      <c r="AJ445" s="207"/>
      <c r="AK445" s="207"/>
      <c r="AL445" s="207"/>
      <c r="AM445" s="207"/>
      <c r="AN445" s="207"/>
      <c r="AO445" s="207"/>
      <c r="AP445" s="207"/>
      <c r="AQ445" s="207"/>
      <c r="AR445" s="207"/>
      <c r="AS445" s="207"/>
      <c r="AT445" s="207"/>
      <c r="AU445" s="207"/>
      <c r="AV445" s="207"/>
      <c r="AW445" s="207"/>
      <c r="AX445" s="207"/>
      <c r="AY445" s="207"/>
      <c r="AZ445" s="207"/>
      <c r="BA445" s="207"/>
    </row>
    <row r="446" ht="18.75" hidden="1" customHeight="1">
      <c r="A446" s="207"/>
      <c r="B446" s="207"/>
      <c r="C446" s="207"/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  <c r="AA446" s="207"/>
      <c r="AB446" s="207"/>
      <c r="AC446" s="207"/>
      <c r="AD446" s="207"/>
      <c r="AE446" s="207"/>
      <c r="AF446" s="207"/>
      <c r="AG446" s="207"/>
      <c r="AH446" s="207"/>
      <c r="AI446" s="207"/>
      <c r="AJ446" s="207"/>
      <c r="AK446" s="207"/>
      <c r="AL446" s="207"/>
      <c r="AM446" s="207"/>
      <c r="AN446" s="207"/>
      <c r="AO446" s="207"/>
      <c r="AP446" s="207"/>
      <c r="AQ446" s="207"/>
      <c r="AR446" s="207"/>
      <c r="AS446" s="207"/>
      <c r="AT446" s="207"/>
      <c r="AU446" s="207"/>
      <c r="AV446" s="207"/>
      <c r="AW446" s="207"/>
      <c r="AX446" s="207"/>
      <c r="AY446" s="207"/>
      <c r="AZ446" s="207"/>
      <c r="BA446" s="207"/>
    </row>
    <row r="447" ht="18.75" hidden="1" customHeight="1">
      <c r="A447" s="207"/>
      <c r="B447" s="207"/>
      <c r="C447" s="207"/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  <c r="AA447" s="207"/>
      <c r="AB447" s="207"/>
      <c r="AC447" s="207"/>
      <c r="AD447" s="207"/>
      <c r="AE447" s="207"/>
      <c r="AF447" s="207"/>
      <c r="AG447" s="207"/>
      <c r="AH447" s="207"/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</row>
    <row r="448" ht="18.75" hidden="1" customHeight="1">
      <c r="A448" s="207"/>
      <c r="B448" s="207"/>
      <c r="C448" s="207"/>
      <c r="D448" s="207"/>
      <c r="E448" s="207"/>
      <c r="F448" s="207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  <c r="AA448" s="207"/>
      <c r="AB448" s="207"/>
      <c r="AC448" s="207"/>
      <c r="AD448" s="207"/>
      <c r="AE448" s="207"/>
      <c r="AF448" s="207"/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</row>
    <row r="449" ht="18.75" hidden="1" customHeight="1">
      <c r="A449" s="207"/>
      <c r="B449" s="207"/>
      <c r="C449" s="207"/>
      <c r="D449" s="207"/>
      <c r="E449" s="207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  <c r="AA449" s="207"/>
      <c r="AB449" s="207"/>
      <c r="AC449" s="207"/>
      <c r="AD449" s="207"/>
      <c r="AE449" s="207"/>
      <c r="AF449" s="207"/>
      <c r="AG449" s="207"/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</row>
    <row r="450" ht="18.75" hidden="1" customHeight="1">
      <c r="A450" s="207"/>
      <c r="B450" s="207"/>
      <c r="C450" s="207"/>
      <c r="D450" s="207"/>
      <c r="E450" s="207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  <c r="AA450" s="207"/>
      <c r="AB450" s="207"/>
      <c r="AC450" s="207"/>
      <c r="AD450" s="207"/>
      <c r="AE450" s="207"/>
      <c r="AF450" s="207"/>
      <c r="AG450" s="207"/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</row>
    <row r="451" ht="18.75" hidden="1" customHeight="1">
      <c r="A451" s="207"/>
      <c r="B451" s="207"/>
      <c r="C451" s="207"/>
      <c r="D451" s="207"/>
      <c r="E451" s="207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  <c r="AA451" s="207"/>
      <c r="AB451" s="207"/>
      <c r="AC451" s="207"/>
      <c r="AD451" s="207"/>
      <c r="AE451" s="207"/>
      <c r="AF451" s="207"/>
      <c r="AG451" s="207"/>
      <c r="AH451" s="207"/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</row>
    <row r="452" ht="18.75" hidden="1" customHeight="1">
      <c r="A452" s="207"/>
      <c r="B452" s="207"/>
      <c r="C452" s="207"/>
      <c r="D452" s="207"/>
      <c r="E452" s="207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  <c r="AA452" s="207"/>
      <c r="AB452" s="207"/>
      <c r="AC452" s="207"/>
      <c r="AD452" s="207"/>
      <c r="AE452" s="207"/>
      <c r="AF452" s="207"/>
      <c r="AG452" s="207"/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</row>
    <row r="453" ht="18.75" hidden="1" customHeight="1">
      <c r="A453" s="207"/>
      <c r="B453" s="207"/>
      <c r="C453" s="207"/>
      <c r="D453" s="207"/>
      <c r="E453" s="207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  <c r="AA453" s="207"/>
      <c r="AB453" s="207"/>
      <c r="AC453" s="207"/>
      <c r="AD453" s="207"/>
      <c r="AE453" s="207"/>
      <c r="AF453" s="207"/>
      <c r="AG453" s="207"/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</row>
    <row r="454" ht="18.75" hidden="1" customHeight="1">
      <c r="A454" s="207"/>
      <c r="B454" s="207"/>
      <c r="C454" s="207"/>
      <c r="D454" s="207"/>
      <c r="E454" s="207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  <c r="AA454" s="207"/>
      <c r="AB454" s="207"/>
      <c r="AC454" s="207"/>
      <c r="AD454" s="207"/>
      <c r="AE454" s="207"/>
      <c r="AF454" s="207"/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</row>
    <row r="455" ht="18.75" hidden="1" customHeight="1">
      <c r="A455" s="207"/>
      <c r="B455" s="207"/>
      <c r="C455" s="207"/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  <c r="AA455" s="207"/>
      <c r="AB455" s="207"/>
      <c r="AC455" s="207"/>
      <c r="AD455" s="207"/>
      <c r="AE455" s="207"/>
      <c r="AF455" s="207"/>
      <c r="AG455" s="207"/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</row>
    <row r="456" ht="18.75" hidden="1" customHeight="1">
      <c r="A456" s="207"/>
      <c r="B456" s="207"/>
      <c r="C456" s="207"/>
      <c r="D456" s="207"/>
      <c r="E456" s="207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  <c r="AA456" s="207"/>
      <c r="AB456" s="207"/>
      <c r="AC456" s="207"/>
      <c r="AD456" s="207"/>
      <c r="AE456" s="207"/>
      <c r="AF456" s="207"/>
      <c r="AG456" s="207"/>
      <c r="AH456" s="207"/>
      <c r="AI456" s="207"/>
      <c r="AJ456" s="207"/>
      <c r="AK456" s="207"/>
      <c r="AL456" s="207"/>
      <c r="AM456" s="207"/>
      <c r="AN456" s="207"/>
      <c r="AO456" s="207"/>
      <c r="AP456" s="207"/>
      <c r="AQ456" s="207"/>
      <c r="AR456" s="207"/>
      <c r="AS456" s="207"/>
      <c r="AT456" s="207"/>
      <c r="AU456" s="207"/>
      <c r="AV456" s="207"/>
      <c r="AW456" s="207"/>
      <c r="AX456" s="207"/>
      <c r="AY456" s="207"/>
      <c r="AZ456" s="207"/>
      <c r="BA456" s="207"/>
    </row>
    <row r="457" ht="18.75" hidden="1" customHeight="1">
      <c r="A457" s="207"/>
      <c r="B457" s="207"/>
      <c r="C457" s="207"/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  <c r="AB457" s="207"/>
      <c r="AC457" s="207"/>
      <c r="AD457" s="207"/>
      <c r="AE457" s="207"/>
      <c r="AF457" s="207"/>
      <c r="AG457" s="207"/>
      <c r="AH457" s="207"/>
      <c r="AI457" s="207"/>
      <c r="AJ457" s="207"/>
      <c r="AK457" s="207"/>
      <c r="AL457" s="207"/>
      <c r="AM457" s="207"/>
      <c r="AN457" s="207"/>
      <c r="AO457" s="207"/>
      <c r="AP457" s="207"/>
      <c r="AQ457" s="207"/>
      <c r="AR457" s="207"/>
      <c r="AS457" s="207"/>
      <c r="AT457" s="207"/>
      <c r="AU457" s="207"/>
      <c r="AV457" s="207"/>
      <c r="AW457" s="207"/>
      <c r="AX457" s="207"/>
      <c r="AY457" s="207"/>
      <c r="AZ457" s="207"/>
      <c r="BA457" s="207"/>
    </row>
    <row r="458" ht="18.75" hidden="1" customHeight="1">
      <c r="A458" s="207"/>
      <c r="B458" s="207"/>
      <c r="C458" s="207"/>
      <c r="D458" s="207"/>
      <c r="E458" s="207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  <c r="AB458" s="207"/>
      <c r="AC458" s="207"/>
      <c r="AD458" s="207"/>
      <c r="AE458" s="207"/>
      <c r="AF458" s="207"/>
      <c r="AG458" s="207"/>
      <c r="AH458" s="207"/>
      <c r="AI458" s="207"/>
      <c r="AJ458" s="207"/>
      <c r="AK458" s="207"/>
      <c r="AL458" s="207"/>
      <c r="AM458" s="207"/>
      <c r="AN458" s="207"/>
      <c r="AO458" s="207"/>
      <c r="AP458" s="207"/>
      <c r="AQ458" s="207"/>
      <c r="AR458" s="207"/>
      <c r="AS458" s="207"/>
      <c r="AT458" s="207"/>
      <c r="AU458" s="207"/>
      <c r="AV458" s="207"/>
      <c r="AW458" s="207"/>
      <c r="AX458" s="207"/>
      <c r="AY458" s="207"/>
      <c r="AZ458" s="207"/>
      <c r="BA458" s="207"/>
    </row>
    <row r="459" ht="18.75" hidden="1" customHeight="1">
      <c r="A459" s="207"/>
      <c r="B459" s="207"/>
      <c r="C459" s="207"/>
      <c r="D459" s="207"/>
      <c r="E459" s="207"/>
      <c r="F459" s="207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  <c r="AA459" s="207"/>
      <c r="AB459" s="207"/>
      <c r="AC459" s="207"/>
      <c r="AD459" s="207"/>
      <c r="AE459" s="207"/>
      <c r="AF459" s="207"/>
      <c r="AG459" s="207"/>
      <c r="AH459" s="207"/>
      <c r="AI459" s="207"/>
      <c r="AJ459" s="207"/>
      <c r="AK459" s="207"/>
      <c r="AL459" s="207"/>
      <c r="AM459" s="207"/>
      <c r="AN459" s="207"/>
      <c r="AO459" s="207"/>
      <c r="AP459" s="207"/>
      <c r="AQ459" s="207"/>
      <c r="AR459" s="207"/>
      <c r="AS459" s="207"/>
      <c r="AT459" s="207"/>
      <c r="AU459" s="207"/>
      <c r="AV459" s="207"/>
      <c r="AW459" s="207"/>
      <c r="AX459" s="207"/>
      <c r="AY459" s="207"/>
      <c r="AZ459" s="207"/>
      <c r="BA459" s="207"/>
    </row>
    <row r="460" ht="18.75" hidden="1" customHeight="1">
      <c r="A460" s="207"/>
      <c r="B460" s="207"/>
      <c r="C460" s="207"/>
      <c r="D460" s="207"/>
      <c r="E460" s="207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  <c r="AA460" s="207"/>
      <c r="AB460" s="207"/>
      <c r="AC460" s="207"/>
      <c r="AD460" s="207"/>
      <c r="AE460" s="207"/>
      <c r="AF460" s="207"/>
      <c r="AG460" s="207"/>
      <c r="AH460" s="207"/>
      <c r="AI460" s="207"/>
      <c r="AJ460" s="207"/>
      <c r="AK460" s="207"/>
      <c r="AL460" s="207"/>
      <c r="AM460" s="207"/>
      <c r="AN460" s="207"/>
      <c r="AO460" s="207"/>
      <c r="AP460" s="207"/>
      <c r="AQ460" s="207"/>
      <c r="AR460" s="207"/>
      <c r="AS460" s="207"/>
      <c r="AT460" s="207"/>
      <c r="AU460" s="207"/>
      <c r="AV460" s="207"/>
      <c r="AW460" s="207"/>
      <c r="AX460" s="207"/>
      <c r="AY460" s="207"/>
      <c r="AZ460" s="207"/>
      <c r="BA460" s="207"/>
    </row>
    <row r="461" ht="18.75" hidden="1" customHeight="1">
      <c r="A461" s="207"/>
      <c r="B461" s="207"/>
      <c r="C461" s="207"/>
      <c r="D461" s="207"/>
      <c r="E461" s="207"/>
      <c r="F461" s="207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  <c r="AA461" s="207"/>
      <c r="AB461" s="207"/>
      <c r="AC461" s="207"/>
      <c r="AD461" s="207"/>
      <c r="AE461" s="207"/>
      <c r="AF461" s="207"/>
      <c r="AG461" s="207"/>
      <c r="AH461" s="207"/>
      <c r="AI461" s="207"/>
      <c r="AJ461" s="207"/>
      <c r="AK461" s="207"/>
      <c r="AL461" s="207"/>
      <c r="AM461" s="207"/>
      <c r="AN461" s="207"/>
      <c r="AO461" s="207"/>
      <c r="AP461" s="207"/>
      <c r="AQ461" s="207"/>
      <c r="AR461" s="207"/>
      <c r="AS461" s="207"/>
      <c r="AT461" s="207"/>
      <c r="AU461" s="207"/>
      <c r="AV461" s="207"/>
      <c r="AW461" s="207"/>
      <c r="AX461" s="207"/>
      <c r="AY461" s="207"/>
      <c r="AZ461" s="207"/>
      <c r="BA461" s="207"/>
    </row>
    <row r="462" ht="18.75" hidden="1" customHeight="1">
      <c r="A462" s="207"/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  <c r="AA462" s="207"/>
      <c r="AB462" s="207"/>
      <c r="AC462" s="207"/>
      <c r="AD462" s="207"/>
      <c r="AE462" s="207"/>
      <c r="AF462" s="207"/>
      <c r="AG462" s="207"/>
      <c r="AH462" s="207"/>
      <c r="AI462" s="207"/>
      <c r="AJ462" s="207"/>
      <c r="AK462" s="207"/>
      <c r="AL462" s="207"/>
      <c r="AM462" s="207"/>
      <c r="AN462" s="207"/>
      <c r="AO462" s="207"/>
      <c r="AP462" s="207"/>
      <c r="AQ462" s="207"/>
      <c r="AR462" s="207"/>
      <c r="AS462" s="207"/>
      <c r="AT462" s="207"/>
      <c r="AU462" s="207"/>
      <c r="AV462" s="207"/>
      <c r="AW462" s="207"/>
      <c r="AX462" s="207"/>
      <c r="AY462" s="207"/>
      <c r="AZ462" s="207"/>
      <c r="BA462" s="207"/>
    </row>
    <row r="463" ht="18.75" hidden="1" customHeight="1">
      <c r="A463" s="207"/>
      <c r="B463" s="207"/>
      <c r="C463" s="207"/>
      <c r="D463" s="207"/>
      <c r="E463" s="207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  <c r="AA463" s="207"/>
      <c r="AB463" s="207"/>
      <c r="AC463" s="207"/>
      <c r="AD463" s="207"/>
      <c r="AE463" s="207"/>
      <c r="AF463" s="207"/>
      <c r="AG463" s="207"/>
      <c r="AH463" s="207"/>
      <c r="AI463" s="207"/>
      <c r="AJ463" s="207"/>
      <c r="AK463" s="207"/>
      <c r="AL463" s="207"/>
      <c r="AM463" s="207"/>
      <c r="AN463" s="207"/>
      <c r="AO463" s="207"/>
      <c r="AP463" s="207"/>
      <c r="AQ463" s="207"/>
      <c r="AR463" s="207"/>
      <c r="AS463" s="207"/>
      <c r="AT463" s="207"/>
      <c r="AU463" s="207"/>
      <c r="AV463" s="207"/>
      <c r="AW463" s="207"/>
      <c r="AX463" s="207"/>
      <c r="AY463" s="207"/>
      <c r="AZ463" s="207"/>
      <c r="BA463" s="207"/>
    </row>
    <row r="464" ht="18.75" hidden="1" customHeight="1">
      <c r="A464" s="207"/>
      <c r="B464" s="207"/>
      <c r="C464" s="207"/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  <c r="AA464" s="207"/>
      <c r="AB464" s="207"/>
      <c r="AC464" s="207"/>
      <c r="AD464" s="207"/>
      <c r="AE464" s="207"/>
      <c r="AF464" s="207"/>
      <c r="AG464" s="207"/>
      <c r="AH464" s="207"/>
      <c r="AI464" s="207"/>
      <c r="AJ464" s="207"/>
      <c r="AK464" s="207"/>
      <c r="AL464" s="207"/>
      <c r="AM464" s="207"/>
      <c r="AN464" s="207"/>
      <c r="AO464" s="207"/>
      <c r="AP464" s="207"/>
      <c r="AQ464" s="207"/>
      <c r="AR464" s="207"/>
      <c r="AS464" s="207"/>
      <c r="AT464" s="207"/>
      <c r="AU464" s="207"/>
      <c r="AV464" s="207"/>
      <c r="AW464" s="207"/>
      <c r="AX464" s="207"/>
      <c r="AY464" s="207"/>
      <c r="AZ464" s="207"/>
      <c r="BA464" s="207"/>
    </row>
    <row r="465" ht="18.75" hidden="1" customHeight="1">
      <c r="A465" s="207"/>
      <c r="B465" s="207"/>
      <c r="C465" s="207"/>
      <c r="D465" s="207"/>
      <c r="E465" s="207"/>
      <c r="F465" s="207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  <c r="AA465" s="207"/>
      <c r="AB465" s="207"/>
      <c r="AC465" s="207"/>
      <c r="AD465" s="207"/>
      <c r="AE465" s="207"/>
      <c r="AF465" s="207"/>
      <c r="AG465" s="207"/>
      <c r="AH465" s="207"/>
      <c r="AI465" s="207"/>
      <c r="AJ465" s="207"/>
      <c r="AK465" s="207"/>
      <c r="AL465" s="207"/>
      <c r="AM465" s="207"/>
      <c r="AN465" s="207"/>
      <c r="AO465" s="207"/>
      <c r="AP465" s="207"/>
      <c r="AQ465" s="207"/>
      <c r="AR465" s="207"/>
      <c r="AS465" s="207"/>
      <c r="AT465" s="207"/>
      <c r="AU465" s="207"/>
      <c r="AV465" s="207"/>
      <c r="AW465" s="207"/>
      <c r="AX465" s="207"/>
      <c r="AY465" s="207"/>
      <c r="AZ465" s="207"/>
      <c r="BA465" s="207"/>
    </row>
    <row r="466" ht="18.75" hidden="1" customHeight="1">
      <c r="A466" s="207"/>
      <c r="B466" s="207"/>
      <c r="C466" s="207"/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  <c r="AA466" s="207"/>
      <c r="AB466" s="207"/>
      <c r="AC466" s="207"/>
      <c r="AD466" s="207"/>
      <c r="AE466" s="207"/>
      <c r="AF466" s="207"/>
      <c r="AG466" s="207"/>
      <c r="AH466" s="207"/>
      <c r="AI466" s="207"/>
      <c r="AJ466" s="207"/>
      <c r="AK466" s="207"/>
      <c r="AL466" s="207"/>
      <c r="AM466" s="207"/>
      <c r="AN466" s="207"/>
      <c r="AO466" s="207"/>
      <c r="AP466" s="207"/>
      <c r="AQ466" s="207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</row>
    <row r="467" ht="18.75" hidden="1" customHeight="1">
      <c r="A467" s="207"/>
      <c r="B467" s="207"/>
      <c r="C467" s="207"/>
      <c r="D467" s="207"/>
      <c r="E467" s="207"/>
      <c r="F467" s="207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  <c r="AA467" s="207"/>
      <c r="AB467" s="207"/>
      <c r="AC467" s="207"/>
      <c r="AD467" s="207"/>
      <c r="AE467" s="207"/>
      <c r="AF467" s="207"/>
      <c r="AG467" s="207"/>
      <c r="AH467" s="207"/>
      <c r="AI467" s="207"/>
      <c r="AJ467" s="207"/>
      <c r="AK467" s="207"/>
      <c r="AL467" s="207"/>
      <c r="AM467" s="207"/>
      <c r="AN467" s="207"/>
      <c r="AO467" s="207"/>
      <c r="AP467" s="207"/>
      <c r="AQ467" s="207"/>
      <c r="AR467" s="207"/>
      <c r="AS467" s="207"/>
      <c r="AT467" s="207"/>
      <c r="AU467" s="207"/>
      <c r="AV467" s="207"/>
      <c r="AW467" s="207"/>
      <c r="AX467" s="207"/>
      <c r="AY467" s="207"/>
      <c r="AZ467" s="207"/>
      <c r="BA467" s="207"/>
    </row>
    <row r="468" ht="18.75" hidden="1" customHeight="1">
      <c r="A468" s="207"/>
      <c r="B468" s="207"/>
      <c r="C468" s="207"/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  <c r="AA468" s="207"/>
      <c r="AB468" s="207"/>
      <c r="AC468" s="207"/>
      <c r="AD468" s="207"/>
      <c r="AE468" s="207"/>
      <c r="AF468" s="207"/>
      <c r="AG468" s="207"/>
      <c r="AH468" s="207"/>
      <c r="AI468" s="207"/>
      <c r="AJ468" s="207"/>
      <c r="AK468" s="207"/>
      <c r="AL468" s="207"/>
      <c r="AM468" s="207"/>
      <c r="AN468" s="207"/>
      <c r="AO468" s="207"/>
      <c r="AP468" s="207"/>
      <c r="AQ468" s="207"/>
      <c r="AR468" s="207"/>
      <c r="AS468" s="207"/>
      <c r="AT468" s="207"/>
      <c r="AU468" s="207"/>
      <c r="AV468" s="207"/>
      <c r="AW468" s="207"/>
      <c r="AX468" s="207"/>
      <c r="AY468" s="207"/>
      <c r="AZ468" s="207"/>
      <c r="BA468" s="207"/>
    </row>
    <row r="469" ht="18.75" hidden="1" customHeight="1">
      <c r="A469" s="207"/>
      <c r="B469" s="207"/>
      <c r="C469" s="207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  <c r="AB469" s="207"/>
      <c r="AC469" s="207"/>
      <c r="AD469" s="207"/>
      <c r="AE469" s="207"/>
      <c r="AF469" s="207"/>
      <c r="AG469" s="207"/>
      <c r="AH469" s="207"/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</row>
    <row r="470" ht="18.75" hidden="1" customHeight="1">
      <c r="A470" s="207"/>
      <c r="B470" s="207"/>
      <c r="C470" s="207"/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  <c r="AA470" s="207"/>
      <c r="AB470" s="207"/>
      <c r="AC470" s="207"/>
      <c r="AD470" s="207"/>
      <c r="AE470" s="207"/>
      <c r="AF470" s="207"/>
      <c r="AG470" s="207"/>
      <c r="AH470" s="207"/>
      <c r="AI470" s="207"/>
      <c r="AJ470" s="207"/>
      <c r="AK470" s="207"/>
      <c r="AL470" s="207"/>
      <c r="AM470" s="207"/>
      <c r="AN470" s="207"/>
      <c r="AO470" s="207"/>
      <c r="AP470" s="207"/>
      <c r="AQ470" s="207"/>
      <c r="AR470" s="207"/>
      <c r="AS470" s="207"/>
      <c r="AT470" s="207"/>
      <c r="AU470" s="207"/>
      <c r="AV470" s="207"/>
      <c r="AW470" s="207"/>
      <c r="AX470" s="207"/>
      <c r="AY470" s="207"/>
      <c r="AZ470" s="207"/>
      <c r="BA470" s="207"/>
    </row>
    <row r="471" ht="18.75" hidden="1" customHeight="1">
      <c r="A471" s="207"/>
      <c r="B471" s="207"/>
      <c r="C471" s="207"/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  <c r="AA471" s="207"/>
      <c r="AB471" s="207"/>
      <c r="AC471" s="207"/>
      <c r="AD471" s="207"/>
      <c r="AE471" s="207"/>
      <c r="AF471" s="207"/>
      <c r="AG471" s="207"/>
      <c r="AH471" s="207"/>
      <c r="AI471" s="207"/>
      <c r="AJ471" s="207"/>
      <c r="AK471" s="207"/>
      <c r="AL471" s="207"/>
      <c r="AM471" s="207"/>
      <c r="AN471" s="207"/>
      <c r="AO471" s="207"/>
      <c r="AP471" s="207"/>
      <c r="AQ471" s="207"/>
      <c r="AR471" s="207"/>
      <c r="AS471" s="207"/>
      <c r="AT471" s="207"/>
      <c r="AU471" s="207"/>
      <c r="AV471" s="207"/>
      <c r="AW471" s="207"/>
      <c r="AX471" s="207"/>
      <c r="AY471" s="207"/>
      <c r="AZ471" s="207"/>
      <c r="BA471" s="207"/>
    </row>
    <row r="472" ht="18.75" hidden="1" customHeight="1">
      <c r="A472" s="207"/>
      <c r="B472" s="207"/>
      <c r="C472" s="207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  <c r="AA472" s="207"/>
      <c r="AB472" s="207"/>
      <c r="AC472" s="207"/>
      <c r="AD472" s="207"/>
      <c r="AE472" s="207"/>
      <c r="AF472" s="207"/>
      <c r="AG472" s="207"/>
      <c r="AH472" s="207"/>
      <c r="AI472" s="207"/>
      <c r="AJ472" s="207"/>
      <c r="AK472" s="207"/>
      <c r="AL472" s="207"/>
      <c r="AM472" s="207"/>
      <c r="AN472" s="207"/>
      <c r="AO472" s="207"/>
      <c r="AP472" s="207"/>
      <c r="AQ472" s="207"/>
      <c r="AR472" s="207"/>
      <c r="AS472" s="207"/>
      <c r="AT472" s="207"/>
      <c r="AU472" s="207"/>
      <c r="AV472" s="207"/>
      <c r="AW472" s="207"/>
      <c r="AX472" s="207"/>
      <c r="AY472" s="207"/>
      <c r="AZ472" s="207"/>
      <c r="BA472" s="207"/>
    </row>
    <row r="473" ht="18.75" hidden="1" customHeight="1">
      <c r="A473" s="207"/>
      <c r="B473" s="207"/>
      <c r="C473" s="207"/>
      <c r="D473" s="207"/>
      <c r="E473" s="207"/>
      <c r="F473" s="207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  <c r="AA473" s="207"/>
      <c r="AB473" s="207"/>
      <c r="AC473" s="207"/>
      <c r="AD473" s="207"/>
      <c r="AE473" s="207"/>
      <c r="AF473" s="207"/>
      <c r="AG473" s="207"/>
      <c r="AH473" s="207"/>
      <c r="AI473" s="207"/>
      <c r="AJ473" s="207"/>
      <c r="AK473" s="207"/>
      <c r="AL473" s="207"/>
      <c r="AM473" s="207"/>
      <c r="AN473" s="207"/>
      <c r="AO473" s="207"/>
      <c r="AP473" s="207"/>
      <c r="AQ473" s="207"/>
      <c r="AR473" s="207"/>
      <c r="AS473" s="207"/>
      <c r="AT473" s="207"/>
      <c r="AU473" s="207"/>
      <c r="AV473" s="207"/>
      <c r="AW473" s="207"/>
      <c r="AX473" s="207"/>
      <c r="AY473" s="207"/>
      <c r="AZ473" s="207"/>
      <c r="BA473" s="207"/>
    </row>
    <row r="474" ht="18.75" hidden="1" customHeight="1">
      <c r="A474" s="207"/>
      <c r="B474" s="207"/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  <c r="AA474" s="207"/>
      <c r="AB474" s="207"/>
      <c r="AC474" s="207"/>
      <c r="AD474" s="207"/>
      <c r="AE474" s="207"/>
      <c r="AF474" s="207"/>
      <c r="AG474" s="207"/>
      <c r="AH474" s="207"/>
      <c r="AI474" s="207"/>
      <c r="AJ474" s="207"/>
      <c r="AK474" s="207"/>
      <c r="AL474" s="207"/>
      <c r="AM474" s="207"/>
      <c r="AN474" s="207"/>
      <c r="AO474" s="207"/>
      <c r="AP474" s="207"/>
      <c r="AQ474" s="207"/>
      <c r="AR474" s="207"/>
      <c r="AS474" s="207"/>
      <c r="AT474" s="207"/>
      <c r="AU474" s="207"/>
      <c r="AV474" s="207"/>
      <c r="AW474" s="207"/>
      <c r="AX474" s="207"/>
      <c r="AY474" s="207"/>
      <c r="AZ474" s="207"/>
      <c r="BA474" s="207"/>
    </row>
    <row r="475" ht="18.75" hidden="1" customHeight="1">
      <c r="A475" s="207"/>
      <c r="B475" s="207"/>
      <c r="C475" s="207"/>
      <c r="D475" s="207"/>
      <c r="E475" s="207"/>
      <c r="F475" s="207"/>
      <c r="G475" s="207"/>
      <c r="H475" s="207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  <c r="AA475" s="207"/>
      <c r="AB475" s="207"/>
      <c r="AC475" s="207"/>
      <c r="AD475" s="207"/>
      <c r="AE475" s="207"/>
      <c r="AF475" s="207"/>
      <c r="AG475" s="207"/>
      <c r="AH475" s="207"/>
      <c r="AI475" s="207"/>
      <c r="AJ475" s="207"/>
      <c r="AK475" s="207"/>
      <c r="AL475" s="207"/>
      <c r="AM475" s="207"/>
      <c r="AN475" s="207"/>
      <c r="AO475" s="207"/>
      <c r="AP475" s="207"/>
      <c r="AQ475" s="207"/>
      <c r="AR475" s="207"/>
      <c r="AS475" s="207"/>
      <c r="AT475" s="207"/>
      <c r="AU475" s="207"/>
      <c r="AV475" s="207"/>
      <c r="AW475" s="207"/>
      <c r="AX475" s="207"/>
      <c r="AY475" s="207"/>
      <c r="AZ475" s="207"/>
      <c r="BA475" s="207"/>
    </row>
    <row r="476" ht="18.75" hidden="1" customHeight="1">
      <c r="A476" s="207"/>
      <c r="B476" s="207"/>
      <c r="C476" s="207"/>
      <c r="D476" s="207"/>
      <c r="E476" s="207"/>
      <c r="F476" s="207"/>
      <c r="G476" s="207"/>
      <c r="H476" s="207"/>
      <c r="I476" s="207"/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  <c r="AA476" s="207"/>
      <c r="AB476" s="207"/>
      <c r="AC476" s="207"/>
      <c r="AD476" s="207"/>
      <c r="AE476" s="207"/>
      <c r="AF476" s="207"/>
      <c r="AG476" s="207"/>
      <c r="AH476" s="207"/>
      <c r="AI476" s="207"/>
      <c r="AJ476" s="207"/>
      <c r="AK476" s="207"/>
      <c r="AL476" s="207"/>
      <c r="AM476" s="207"/>
      <c r="AN476" s="207"/>
      <c r="AO476" s="207"/>
      <c r="AP476" s="207"/>
      <c r="AQ476" s="207"/>
      <c r="AR476" s="207"/>
      <c r="AS476" s="207"/>
      <c r="AT476" s="207"/>
      <c r="AU476" s="207"/>
      <c r="AV476" s="207"/>
      <c r="AW476" s="207"/>
      <c r="AX476" s="207"/>
      <c r="AY476" s="207"/>
      <c r="AZ476" s="207"/>
      <c r="BA476" s="207"/>
    </row>
    <row r="477" ht="18.75" hidden="1" customHeight="1">
      <c r="A477" s="207"/>
      <c r="B477" s="207"/>
      <c r="C477" s="207"/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  <c r="AA477" s="207"/>
      <c r="AB477" s="207"/>
      <c r="AC477" s="207"/>
      <c r="AD477" s="207"/>
      <c r="AE477" s="207"/>
      <c r="AF477" s="207"/>
      <c r="AG477" s="207"/>
      <c r="AH477" s="207"/>
      <c r="AI477" s="207"/>
      <c r="AJ477" s="207"/>
      <c r="AK477" s="207"/>
      <c r="AL477" s="207"/>
      <c r="AM477" s="207"/>
      <c r="AN477" s="207"/>
      <c r="AO477" s="207"/>
      <c r="AP477" s="207"/>
      <c r="AQ477" s="207"/>
      <c r="AR477" s="207"/>
      <c r="AS477" s="207"/>
      <c r="AT477" s="207"/>
      <c r="AU477" s="207"/>
      <c r="AV477" s="207"/>
      <c r="AW477" s="207"/>
      <c r="AX477" s="207"/>
      <c r="AY477" s="207"/>
      <c r="AZ477" s="207"/>
      <c r="BA477" s="207"/>
    </row>
    <row r="478" ht="18.75" hidden="1" customHeight="1">
      <c r="A478" s="207"/>
      <c r="B478" s="207"/>
      <c r="C478" s="207"/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  <c r="AA478" s="207"/>
      <c r="AB478" s="207"/>
      <c r="AC478" s="207"/>
      <c r="AD478" s="207"/>
      <c r="AE478" s="207"/>
      <c r="AF478" s="207"/>
      <c r="AG478" s="207"/>
      <c r="AH478" s="207"/>
      <c r="AI478" s="207"/>
      <c r="AJ478" s="207"/>
      <c r="AK478" s="207"/>
      <c r="AL478" s="207"/>
      <c r="AM478" s="207"/>
      <c r="AN478" s="207"/>
      <c r="AO478" s="207"/>
      <c r="AP478" s="207"/>
      <c r="AQ478" s="207"/>
      <c r="AR478" s="207"/>
      <c r="AS478" s="207"/>
      <c r="AT478" s="207"/>
      <c r="AU478" s="207"/>
      <c r="AV478" s="207"/>
      <c r="AW478" s="207"/>
      <c r="AX478" s="207"/>
      <c r="AY478" s="207"/>
      <c r="AZ478" s="207"/>
      <c r="BA478" s="207"/>
    </row>
    <row r="479" ht="18.75" hidden="1" customHeight="1">
      <c r="A479" s="207"/>
      <c r="B479" s="207"/>
      <c r="C479" s="207"/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  <c r="AA479" s="207"/>
      <c r="AB479" s="207"/>
      <c r="AC479" s="207"/>
      <c r="AD479" s="207"/>
      <c r="AE479" s="207"/>
      <c r="AF479" s="207"/>
      <c r="AG479" s="207"/>
      <c r="AH479" s="207"/>
      <c r="AI479" s="207"/>
      <c r="AJ479" s="207"/>
      <c r="AK479" s="207"/>
      <c r="AL479" s="207"/>
      <c r="AM479" s="207"/>
      <c r="AN479" s="207"/>
      <c r="AO479" s="207"/>
      <c r="AP479" s="207"/>
      <c r="AQ479" s="207"/>
      <c r="AR479" s="207"/>
      <c r="AS479" s="207"/>
      <c r="AT479" s="207"/>
      <c r="AU479" s="207"/>
      <c r="AV479" s="207"/>
      <c r="AW479" s="207"/>
      <c r="AX479" s="207"/>
      <c r="AY479" s="207"/>
      <c r="AZ479" s="207"/>
      <c r="BA479" s="207"/>
    </row>
    <row r="480" ht="18.75" hidden="1" customHeight="1">
      <c r="A480" s="207"/>
      <c r="B480" s="207"/>
      <c r="C480" s="207"/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  <c r="AA480" s="207"/>
      <c r="AB480" s="207"/>
      <c r="AC480" s="207"/>
      <c r="AD480" s="207"/>
      <c r="AE480" s="207"/>
      <c r="AF480" s="207"/>
      <c r="AG480" s="207"/>
      <c r="AH480" s="207"/>
      <c r="AI480" s="207"/>
      <c r="AJ480" s="207"/>
      <c r="AK480" s="207"/>
      <c r="AL480" s="207"/>
      <c r="AM480" s="207"/>
      <c r="AN480" s="207"/>
      <c r="AO480" s="207"/>
      <c r="AP480" s="207"/>
      <c r="AQ480" s="207"/>
      <c r="AR480" s="207"/>
      <c r="AS480" s="207"/>
      <c r="AT480" s="207"/>
      <c r="AU480" s="207"/>
      <c r="AV480" s="207"/>
      <c r="AW480" s="207"/>
      <c r="AX480" s="207"/>
      <c r="AY480" s="207"/>
      <c r="AZ480" s="207"/>
      <c r="BA480" s="207"/>
    </row>
    <row r="481" ht="18.75" hidden="1" customHeight="1">
      <c r="A481" s="207"/>
      <c r="B481" s="207"/>
      <c r="C481" s="207"/>
      <c r="D481" s="207"/>
      <c r="E481" s="207"/>
      <c r="F481" s="207"/>
      <c r="G481" s="207"/>
      <c r="H481" s="207"/>
      <c r="I481" s="207"/>
      <c r="J481" s="207"/>
      <c r="K481" s="207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  <c r="AA481" s="207"/>
      <c r="AB481" s="207"/>
      <c r="AC481" s="207"/>
      <c r="AD481" s="207"/>
      <c r="AE481" s="207"/>
      <c r="AF481" s="207"/>
      <c r="AG481" s="207"/>
      <c r="AH481" s="207"/>
      <c r="AI481" s="207"/>
      <c r="AJ481" s="207"/>
      <c r="AK481" s="207"/>
      <c r="AL481" s="207"/>
      <c r="AM481" s="207"/>
      <c r="AN481" s="207"/>
      <c r="AO481" s="207"/>
      <c r="AP481" s="207"/>
      <c r="AQ481" s="207"/>
      <c r="AR481" s="207"/>
      <c r="AS481" s="207"/>
      <c r="AT481" s="207"/>
      <c r="AU481" s="207"/>
      <c r="AV481" s="207"/>
      <c r="AW481" s="207"/>
      <c r="AX481" s="207"/>
      <c r="AY481" s="207"/>
      <c r="AZ481" s="207"/>
      <c r="BA481" s="207"/>
    </row>
    <row r="482" ht="18.75" hidden="1" customHeight="1">
      <c r="A482" s="207"/>
      <c r="B482" s="207"/>
      <c r="C482" s="207"/>
      <c r="D482" s="207"/>
      <c r="E482" s="207"/>
      <c r="F482" s="207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  <c r="AA482" s="207"/>
      <c r="AB482" s="207"/>
      <c r="AC482" s="207"/>
      <c r="AD482" s="207"/>
      <c r="AE482" s="207"/>
      <c r="AF482" s="207"/>
      <c r="AG482" s="207"/>
      <c r="AH482" s="207"/>
      <c r="AI482" s="207"/>
      <c r="AJ482" s="207"/>
      <c r="AK482" s="207"/>
      <c r="AL482" s="207"/>
      <c r="AM482" s="207"/>
      <c r="AN482" s="207"/>
      <c r="AO482" s="207"/>
      <c r="AP482" s="207"/>
      <c r="AQ482" s="207"/>
      <c r="AR482" s="207"/>
      <c r="AS482" s="207"/>
      <c r="AT482" s="207"/>
      <c r="AU482" s="207"/>
      <c r="AV482" s="207"/>
      <c r="AW482" s="207"/>
      <c r="AX482" s="207"/>
      <c r="AY482" s="207"/>
      <c r="AZ482" s="207"/>
      <c r="BA482" s="207"/>
    </row>
    <row r="483" ht="18.75" hidden="1" customHeight="1">
      <c r="A483" s="207"/>
      <c r="B483" s="207"/>
      <c r="C483" s="207"/>
      <c r="D483" s="207"/>
      <c r="E483" s="207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  <c r="AA483" s="207"/>
      <c r="AB483" s="207"/>
      <c r="AC483" s="207"/>
      <c r="AD483" s="207"/>
      <c r="AE483" s="207"/>
      <c r="AF483" s="207"/>
      <c r="AG483" s="207"/>
      <c r="AH483" s="207"/>
      <c r="AI483" s="207"/>
      <c r="AJ483" s="207"/>
      <c r="AK483" s="207"/>
      <c r="AL483" s="207"/>
      <c r="AM483" s="207"/>
      <c r="AN483" s="207"/>
      <c r="AO483" s="207"/>
      <c r="AP483" s="207"/>
      <c r="AQ483" s="207"/>
      <c r="AR483" s="207"/>
      <c r="AS483" s="207"/>
      <c r="AT483" s="207"/>
      <c r="AU483" s="207"/>
      <c r="AV483" s="207"/>
      <c r="AW483" s="207"/>
      <c r="AX483" s="207"/>
      <c r="AY483" s="207"/>
      <c r="AZ483" s="207"/>
      <c r="BA483" s="207"/>
    </row>
    <row r="484" ht="18.75" hidden="1" customHeight="1">
      <c r="A484" s="207"/>
      <c r="B484" s="207"/>
      <c r="C484" s="207"/>
      <c r="D484" s="207"/>
      <c r="E484" s="207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  <c r="AA484" s="207"/>
      <c r="AB484" s="207"/>
      <c r="AC484" s="207"/>
      <c r="AD484" s="207"/>
      <c r="AE484" s="207"/>
      <c r="AF484" s="207"/>
      <c r="AG484" s="207"/>
      <c r="AH484" s="207"/>
      <c r="AI484" s="207"/>
      <c r="AJ484" s="207"/>
      <c r="AK484" s="207"/>
      <c r="AL484" s="207"/>
      <c r="AM484" s="207"/>
      <c r="AN484" s="207"/>
      <c r="AO484" s="207"/>
      <c r="AP484" s="207"/>
      <c r="AQ484" s="207"/>
      <c r="AR484" s="207"/>
      <c r="AS484" s="207"/>
      <c r="AT484" s="207"/>
      <c r="AU484" s="207"/>
      <c r="AV484" s="207"/>
      <c r="AW484" s="207"/>
      <c r="AX484" s="207"/>
      <c r="AY484" s="207"/>
      <c r="AZ484" s="207"/>
      <c r="BA484" s="207"/>
    </row>
    <row r="485" ht="18.75" hidden="1" customHeight="1">
      <c r="A485" s="207"/>
      <c r="B485" s="207"/>
      <c r="C485" s="207"/>
      <c r="D485" s="207"/>
      <c r="E485" s="207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  <c r="AA485" s="207"/>
      <c r="AB485" s="207"/>
      <c r="AC485" s="207"/>
      <c r="AD485" s="207"/>
      <c r="AE485" s="207"/>
      <c r="AF485" s="207"/>
      <c r="AG485" s="207"/>
      <c r="AH485" s="207"/>
      <c r="AI485" s="207"/>
      <c r="AJ485" s="207"/>
      <c r="AK485" s="207"/>
      <c r="AL485" s="207"/>
      <c r="AM485" s="207"/>
      <c r="AN485" s="207"/>
      <c r="AO485" s="207"/>
      <c r="AP485" s="207"/>
      <c r="AQ485" s="207"/>
      <c r="AR485" s="207"/>
      <c r="AS485" s="207"/>
      <c r="AT485" s="207"/>
      <c r="AU485" s="207"/>
      <c r="AV485" s="207"/>
      <c r="AW485" s="207"/>
      <c r="AX485" s="207"/>
      <c r="AY485" s="207"/>
      <c r="AZ485" s="207"/>
      <c r="BA485" s="207"/>
    </row>
    <row r="486" ht="18.75" hidden="1" customHeight="1">
      <c r="A486" s="207"/>
      <c r="B486" s="207"/>
      <c r="C486" s="207"/>
      <c r="D486" s="207"/>
      <c r="E486" s="207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  <c r="AA486" s="207"/>
      <c r="AB486" s="207"/>
      <c r="AC486" s="207"/>
      <c r="AD486" s="207"/>
      <c r="AE486" s="207"/>
      <c r="AF486" s="207"/>
      <c r="AG486" s="207"/>
      <c r="AH486" s="207"/>
      <c r="AI486" s="207"/>
      <c r="AJ486" s="207"/>
      <c r="AK486" s="207"/>
      <c r="AL486" s="207"/>
      <c r="AM486" s="207"/>
      <c r="AN486" s="207"/>
      <c r="AO486" s="207"/>
      <c r="AP486" s="207"/>
      <c r="AQ486" s="207"/>
      <c r="AR486" s="207"/>
      <c r="AS486" s="207"/>
      <c r="AT486" s="207"/>
      <c r="AU486" s="207"/>
      <c r="AV486" s="207"/>
      <c r="AW486" s="207"/>
      <c r="AX486" s="207"/>
      <c r="AY486" s="207"/>
      <c r="AZ486" s="207"/>
      <c r="BA486" s="207"/>
    </row>
    <row r="487" ht="18.75" hidden="1" customHeight="1">
      <c r="A487" s="207"/>
      <c r="B487" s="207"/>
      <c r="C487" s="207"/>
      <c r="D487" s="207"/>
      <c r="E487" s="207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  <c r="AA487" s="207"/>
      <c r="AB487" s="207"/>
      <c r="AC487" s="207"/>
      <c r="AD487" s="207"/>
      <c r="AE487" s="207"/>
      <c r="AF487" s="207"/>
      <c r="AG487" s="207"/>
      <c r="AH487" s="207"/>
      <c r="AI487" s="207"/>
      <c r="AJ487" s="207"/>
      <c r="AK487" s="207"/>
      <c r="AL487" s="207"/>
      <c r="AM487" s="207"/>
      <c r="AN487" s="207"/>
      <c r="AO487" s="207"/>
      <c r="AP487" s="207"/>
      <c r="AQ487" s="207"/>
      <c r="AR487" s="207"/>
      <c r="AS487" s="207"/>
      <c r="AT487" s="207"/>
      <c r="AU487" s="207"/>
      <c r="AV487" s="207"/>
      <c r="AW487" s="207"/>
      <c r="AX487" s="207"/>
      <c r="AY487" s="207"/>
      <c r="AZ487" s="207"/>
      <c r="BA487" s="207"/>
    </row>
    <row r="488" ht="18.75" hidden="1" customHeight="1">
      <c r="A488" s="207"/>
      <c r="B488" s="207"/>
      <c r="C488" s="207"/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  <c r="AA488" s="207"/>
      <c r="AB488" s="207"/>
      <c r="AC488" s="207"/>
      <c r="AD488" s="207"/>
      <c r="AE488" s="207"/>
      <c r="AF488" s="207"/>
      <c r="AG488" s="207"/>
      <c r="AH488" s="207"/>
      <c r="AI488" s="207"/>
      <c r="AJ488" s="207"/>
      <c r="AK488" s="207"/>
      <c r="AL488" s="207"/>
      <c r="AM488" s="207"/>
      <c r="AN488" s="207"/>
      <c r="AO488" s="207"/>
      <c r="AP488" s="207"/>
      <c r="AQ488" s="207"/>
      <c r="AR488" s="207"/>
      <c r="AS488" s="207"/>
      <c r="AT488" s="207"/>
      <c r="AU488" s="207"/>
      <c r="AV488" s="207"/>
      <c r="AW488" s="207"/>
      <c r="AX488" s="207"/>
      <c r="AY488" s="207"/>
      <c r="AZ488" s="207"/>
      <c r="BA488" s="207"/>
    </row>
    <row r="489" ht="18.75" hidden="1" customHeight="1">
      <c r="A489" s="207"/>
      <c r="B489" s="207"/>
      <c r="C489" s="207"/>
      <c r="D489" s="207"/>
      <c r="E489" s="207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  <c r="AA489" s="207"/>
      <c r="AB489" s="207"/>
      <c r="AC489" s="207"/>
      <c r="AD489" s="207"/>
      <c r="AE489" s="207"/>
      <c r="AF489" s="207"/>
      <c r="AG489" s="207"/>
      <c r="AH489" s="207"/>
      <c r="AI489" s="207"/>
      <c r="AJ489" s="207"/>
      <c r="AK489" s="207"/>
      <c r="AL489" s="207"/>
      <c r="AM489" s="207"/>
      <c r="AN489" s="207"/>
      <c r="AO489" s="207"/>
      <c r="AP489" s="207"/>
      <c r="AQ489" s="207"/>
      <c r="AR489" s="207"/>
      <c r="AS489" s="207"/>
      <c r="AT489" s="207"/>
      <c r="AU489" s="207"/>
      <c r="AV489" s="207"/>
      <c r="AW489" s="207"/>
      <c r="AX489" s="207"/>
      <c r="AY489" s="207"/>
      <c r="AZ489" s="207"/>
      <c r="BA489" s="207"/>
    </row>
    <row r="490" ht="18.75" hidden="1" customHeight="1">
      <c r="A490" s="207"/>
      <c r="B490" s="207"/>
      <c r="C490" s="207"/>
      <c r="D490" s="207"/>
      <c r="E490" s="207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  <c r="AA490" s="207"/>
      <c r="AB490" s="207"/>
      <c r="AC490" s="207"/>
      <c r="AD490" s="207"/>
      <c r="AE490" s="207"/>
      <c r="AF490" s="207"/>
      <c r="AG490" s="207"/>
      <c r="AH490" s="207"/>
      <c r="AI490" s="207"/>
      <c r="AJ490" s="207"/>
      <c r="AK490" s="207"/>
      <c r="AL490" s="207"/>
      <c r="AM490" s="207"/>
      <c r="AN490" s="207"/>
      <c r="AO490" s="207"/>
      <c r="AP490" s="207"/>
      <c r="AQ490" s="207"/>
      <c r="AR490" s="207"/>
      <c r="AS490" s="207"/>
      <c r="AT490" s="207"/>
      <c r="AU490" s="207"/>
      <c r="AV490" s="207"/>
      <c r="AW490" s="207"/>
      <c r="AX490" s="207"/>
      <c r="AY490" s="207"/>
      <c r="AZ490" s="207"/>
      <c r="BA490" s="207"/>
    </row>
    <row r="491" ht="18.75" hidden="1" customHeight="1">
      <c r="A491" s="207"/>
      <c r="B491" s="207"/>
      <c r="C491" s="207"/>
      <c r="D491" s="207"/>
      <c r="E491" s="207"/>
      <c r="F491" s="207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  <c r="AA491" s="207"/>
      <c r="AB491" s="207"/>
      <c r="AC491" s="207"/>
      <c r="AD491" s="207"/>
      <c r="AE491" s="207"/>
      <c r="AF491" s="207"/>
      <c r="AG491" s="207"/>
      <c r="AH491" s="207"/>
      <c r="AI491" s="207"/>
      <c r="AJ491" s="207"/>
      <c r="AK491" s="207"/>
      <c r="AL491" s="207"/>
      <c r="AM491" s="207"/>
      <c r="AN491" s="207"/>
      <c r="AO491" s="207"/>
      <c r="AP491" s="207"/>
      <c r="AQ491" s="207"/>
      <c r="AR491" s="207"/>
      <c r="AS491" s="207"/>
      <c r="AT491" s="207"/>
      <c r="AU491" s="207"/>
      <c r="AV491" s="207"/>
      <c r="AW491" s="207"/>
      <c r="AX491" s="207"/>
      <c r="AY491" s="207"/>
      <c r="AZ491" s="207"/>
      <c r="BA491" s="207"/>
    </row>
    <row r="492" ht="18.75" hidden="1" customHeight="1">
      <c r="A492" s="207"/>
      <c r="B492" s="207"/>
      <c r="C492" s="207"/>
      <c r="D492" s="207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  <c r="AB492" s="207"/>
      <c r="AC492" s="207"/>
      <c r="AD492" s="207"/>
      <c r="AE492" s="207"/>
      <c r="AF492" s="207"/>
      <c r="AG492" s="207"/>
      <c r="AH492" s="207"/>
      <c r="AI492" s="207"/>
      <c r="AJ492" s="207"/>
      <c r="AK492" s="207"/>
      <c r="AL492" s="207"/>
      <c r="AM492" s="207"/>
      <c r="AN492" s="207"/>
      <c r="AO492" s="207"/>
      <c r="AP492" s="207"/>
      <c r="AQ492" s="207"/>
      <c r="AR492" s="207"/>
      <c r="AS492" s="207"/>
      <c r="AT492" s="207"/>
      <c r="AU492" s="207"/>
      <c r="AV492" s="207"/>
      <c r="AW492" s="207"/>
      <c r="AX492" s="207"/>
      <c r="AY492" s="207"/>
      <c r="AZ492" s="207"/>
      <c r="BA492" s="207"/>
    </row>
    <row r="493" ht="18.75" hidden="1" customHeight="1">
      <c r="A493" s="207"/>
      <c r="B493" s="207"/>
      <c r="C493" s="207"/>
      <c r="D493" s="207"/>
      <c r="E493" s="207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  <c r="AA493" s="207"/>
      <c r="AB493" s="207"/>
      <c r="AC493" s="207"/>
      <c r="AD493" s="207"/>
      <c r="AE493" s="207"/>
      <c r="AF493" s="207"/>
      <c r="AG493" s="207"/>
      <c r="AH493" s="207"/>
      <c r="AI493" s="207"/>
      <c r="AJ493" s="207"/>
      <c r="AK493" s="207"/>
      <c r="AL493" s="207"/>
      <c r="AM493" s="207"/>
      <c r="AN493" s="207"/>
      <c r="AO493" s="207"/>
      <c r="AP493" s="207"/>
      <c r="AQ493" s="207"/>
      <c r="AR493" s="207"/>
      <c r="AS493" s="207"/>
      <c r="AT493" s="207"/>
      <c r="AU493" s="207"/>
      <c r="AV493" s="207"/>
      <c r="AW493" s="207"/>
      <c r="AX493" s="207"/>
      <c r="AY493" s="207"/>
      <c r="AZ493" s="207"/>
      <c r="BA493" s="207"/>
    </row>
    <row r="494" ht="18.75" hidden="1" customHeight="1">
      <c r="A494" s="207"/>
      <c r="B494" s="207"/>
      <c r="C494" s="207"/>
      <c r="D494" s="207"/>
      <c r="E494" s="207"/>
      <c r="F494" s="207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  <c r="AA494" s="207"/>
      <c r="AB494" s="207"/>
      <c r="AC494" s="207"/>
      <c r="AD494" s="207"/>
      <c r="AE494" s="207"/>
      <c r="AF494" s="207"/>
      <c r="AG494" s="207"/>
      <c r="AH494" s="207"/>
      <c r="AI494" s="207"/>
      <c r="AJ494" s="207"/>
      <c r="AK494" s="207"/>
      <c r="AL494" s="207"/>
      <c r="AM494" s="207"/>
      <c r="AN494" s="207"/>
      <c r="AO494" s="207"/>
      <c r="AP494" s="207"/>
      <c r="AQ494" s="207"/>
      <c r="AR494" s="207"/>
      <c r="AS494" s="207"/>
      <c r="AT494" s="207"/>
      <c r="AU494" s="207"/>
      <c r="AV494" s="207"/>
      <c r="AW494" s="207"/>
      <c r="AX494" s="207"/>
      <c r="AY494" s="207"/>
      <c r="AZ494" s="207"/>
      <c r="BA494" s="207"/>
    </row>
    <row r="495" ht="18.75" hidden="1" customHeight="1">
      <c r="A495" s="207"/>
      <c r="B495" s="207"/>
      <c r="C495" s="207"/>
      <c r="D495" s="207"/>
      <c r="E495" s="207"/>
      <c r="F495" s="207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  <c r="AA495" s="207"/>
      <c r="AB495" s="207"/>
      <c r="AC495" s="207"/>
      <c r="AD495" s="207"/>
      <c r="AE495" s="207"/>
      <c r="AF495" s="207"/>
      <c r="AG495" s="207"/>
      <c r="AH495" s="207"/>
      <c r="AI495" s="207"/>
      <c r="AJ495" s="207"/>
      <c r="AK495" s="207"/>
      <c r="AL495" s="207"/>
      <c r="AM495" s="207"/>
      <c r="AN495" s="207"/>
      <c r="AO495" s="207"/>
      <c r="AP495" s="207"/>
      <c r="AQ495" s="207"/>
      <c r="AR495" s="207"/>
      <c r="AS495" s="207"/>
      <c r="AT495" s="207"/>
      <c r="AU495" s="207"/>
      <c r="AV495" s="207"/>
      <c r="AW495" s="207"/>
      <c r="AX495" s="207"/>
      <c r="AY495" s="207"/>
      <c r="AZ495" s="207"/>
      <c r="BA495" s="207"/>
    </row>
    <row r="496" ht="18.75" hidden="1" customHeight="1">
      <c r="A496" s="207"/>
      <c r="B496" s="207"/>
      <c r="C496" s="207"/>
      <c r="D496" s="207"/>
      <c r="E496" s="207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  <c r="AA496" s="207"/>
      <c r="AB496" s="207"/>
      <c r="AC496" s="207"/>
      <c r="AD496" s="207"/>
      <c r="AE496" s="207"/>
      <c r="AF496" s="207"/>
      <c r="AG496" s="207"/>
      <c r="AH496" s="207"/>
      <c r="AI496" s="207"/>
      <c r="AJ496" s="207"/>
      <c r="AK496" s="207"/>
      <c r="AL496" s="207"/>
      <c r="AM496" s="207"/>
      <c r="AN496" s="207"/>
      <c r="AO496" s="207"/>
      <c r="AP496" s="207"/>
      <c r="AQ496" s="207"/>
      <c r="AR496" s="207"/>
      <c r="AS496" s="207"/>
      <c r="AT496" s="207"/>
      <c r="AU496" s="207"/>
      <c r="AV496" s="207"/>
      <c r="AW496" s="207"/>
      <c r="AX496" s="207"/>
      <c r="AY496" s="207"/>
      <c r="AZ496" s="207"/>
      <c r="BA496" s="207"/>
    </row>
    <row r="497" ht="18.75" hidden="1" customHeight="1">
      <c r="A497" s="207"/>
      <c r="B497" s="207"/>
      <c r="C497" s="207"/>
      <c r="D497" s="207"/>
      <c r="E497" s="207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  <c r="AA497" s="207"/>
      <c r="AB497" s="207"/>
      <c r="AC497" s="207"/>
      <c r="AD497" s="207"/>
      <c r="AE497" s="207"/>
      <c r="AF497" s="207"/>
      <c r="AG497" s="207"/>
      <c r="AH497" s="207"/>
      <c r="AI497" s="207"/>
      <c r="AJ497" s="207"/>
      <c r="AK497" s="207"/>
      <c r="AL497" s="207"/>
      <c r="AM497" s="207"/>
      <c r="AN497" s="207"/>
      <c r="AO497" s="207"/>
      <c r="AP497" s="207"/>
      <c r="AQ497" s="207"/>
      <c r="AR497" s="207"/>
      <c r="AS497" s="207"/>
      <c r="AT497" s="207"/>
      <c r="AU497" s="207"/>
      <c r="AV497" s="207"/>
      <c r="AW497" s="207"/>
      <c r="AX497" s="207"/>
      <c r="AY497" s="207"/>
      <c r="AZ497" s="207"/>
      <c r="BA497" s="207"/>
    </row>
    <row r="498" ht="18.75" hidden="1" customHeight="1">
      <c r="A498" s="207"/>
      <c r="B498" s="207"/>
      <c r="C498" s="207"/>
      <c r="D498" s="207"/>
      <c r="E498" s="207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  <c r="AA498" s="207"/>
      <c r="AB498" s="207"/>
      <c r="AC498" s="207"/>
      <c r="AD498" s="207"/>
      <c r="AE498" s="207"/>
      <c r="AF498" s="207"/>
      <c r="AG498" s="207"/>
      <c r="AH498" s="207"/>
      <c r="AI498" s="207"/>
      <c r="AJ498" s="207"/>
      <c r="AK498" s="207"/>
      <c r="AL498" s="207"/>
      <c r="AM498" s="207"/>
      <c r="AN498" s="207"/>
      <c r="AO498" s="207"/>
      <c r="AP498" s="207"/>
      <c r="AQ498" s="207"/>
      <c r="AR498" s="207"/>
      <c r="AS498" s="207"/>
      <c r="AT498" s="207"/>
      <c r="AU498" s="207"/>
      <c r="AV498" s="207"/>
      <c r="AW498" s="207"/>
      <c r="AX498" s="207"/>
      <c r="AY498" s="207"/>
      <c r="AZ498" s="207"/>
      <c r="BA498" s="207"/>
    </row>
    <row r="499" ht="18.75" hidden="1" customHeight="1">
      <c r="A499" s="207"/>
      <c r="B499" s="207"/>
      <c r="C499" s="207"/>
      <c r="D499" s="207"/>
      <c r="E499" s="207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  <c r="AA499" s="207"/>
      <c r="AB499" s="207"/>
      <c r="AC499" s="207"/>
      <c r="AD499" s="207"/>
      <c r="AE499" s="207"/>
      <c r="AF499" s="207"/>
      <c r="AG499" s="207"/>
      <c r="AH499" s="207"/>
      <c r="AI499" s="207"/>
      <c r="AJ499" s="207"/>
      <c r="AK499" s="207"/>
      <c r="AL499" s="207"/>
      <c r="AM499" s="207"/>
      <c r="AN499" s="207"/>
      <c r="AO499" s="207"/>
      <c r="AP499" s="207"/>
      <c r="AQ499" s="207"/>
      <c r="AR499" s="207"/>
      <c r="AS499" s="207"/>
      <c r="AT499" s="207"/>
      <c r="AU499" s="207"/>
      <c r="AV499" s="207"/>
      <c r="AW499" s="207"/>
      <c r="AX499" s="207"/>
      <c r="AY499" s="207"/>
      <c r="AZ499" s="207"/>
      <c r="BA499" s="207"/>
    </row>
    <row r="500" ht="18.75" hidden="1" customHeight="1">
      <c r="A500" s="207"/>
      <c r="B500" s="207"/>
      <c r="C500" s="207"/>
      <c r="D500" s="207"/>
      <c r="E500" s="207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  <c r="AA500" s="207"/>
      <c r="AB500" s="207"/>
      <c r="AC500" s="207"/>
      <c r="AD500" s="207"/>
      <c r="AE500" s="207"/>
      <c r="AF500" s="207"/>
      <c r="AG500" s="207"/>
      <c r="AH500" s="207"/>
      <c r="AI500" s="207"/>
      <c r="AJ500" s="207"/>
      <c r="AK500" s="207"/>
      <c r="AL500" s="207"/>
      <c r="AM500" s="207"/>
      <c r="AN500" s="207"/>
      <c r="AO500" s="207"/>
      <c r="AP500" s="207"/>
      <c r="AQ500" s="207"/>
      <c r="AR500" s="207"/>
      <c r="AS500" s="207"/>
      <c r="AT500" s="207"/>
      <c r="AU500" s="207"/>
      <c r="AV500" s="207"/>
      <c r="AW500" s="207"/>
      <c r="AX500" s="207"/>
      <c r="AY500" s="207"/>
      <c r="AZ500" s="207"/>
      <c r="BA500" s="207"/>
    </row>
    <row r="501" ht="18.75" hidden="1" customHeight="1">
      <c r="A501" s="207"/>
      <c r="B501" s="207"/>
      <c r="C501" s="207"/>
      <c r="D501" s="207"/>
      <c r="E501" s="207"/>
      <c r="F501" s="207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  <c r="AA501" s="207"/>
      <c r="AB501" s="207"/>
      <c r="AC501" s="207"/>
      <c r="AD501" s="207"/>
      <c r="AE501" s="207"/>
      <c r="AF501" s="207"/>
      <c r="AG501" s="207"/>
      <c r="AH501" s="207"/>
      <c r="AI501" s="207"/>
      <c r="AJ501" s="207"/>
      <c r="AK501" s="207"/>
      <c r="AL501" s="207"/>
      <c r="AM501" s="207"/>
      <c r="AN501" s="207"/>
      <c r="AO501" s="207"/>
      <c r="AP501" s="207"/>
      <c r="AQ501" s="207"/>
      <c r="AR501" s="207"/>
      <c r="AS501" s="207"/>
      <c r="AT501" s="207"/>
      <c r="AU501" s="207"/>
      <c r="AV501" s="207"/>
      <c r="AW501" s="207"/>
      <c r="AX501" s="207"/>
      <c r="AY501" s="207"/>
      <c r="AZ501" s="207"/>
      <c r="BA501" s="207"/>
    </row>
    <row r="502" ht="18.75" hidden="1" customHeight="1">
      <c r="A502" s="207"/>
      <c r="B502" s="207"/>
      <c r="C502" s="207"/>
      <c r="D502" s="207"/>
      <c r="E502" s="207"/>
      <c r="F502" s="207"/>
      <c r="G502" s="207"/>
      <c r="H502" s="207"/>
      <c r="I502" s="207"/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  <c r="AA502" s="207"/>
      <c r="AB502" s="207"/>
      <c r="AC502" s="207"/>
      <c r="AD502" s="207"/>
      <c r="AE502" s="207"/>
      <c r="AF502" s="207"/>
      <c r="AG502" s="207"/>
      <c r="AH502" s="207"/>
      <c r="AI502" s="207"/>
      <c r="AJ502" s="207"/>
      <c r="AK502" s="207"/>
      <c r="AL502" s="207"/>
      <c r="AM502" s="207"/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</row>
    <row r="503" ht="18.75" hidden="1" customHeight="1">
      <c r="A503" s="207"/>
      <c r="B503" s="207"/>
      <c r="C503" s="207"/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  <c r="AA503" s="207"/>
      <c r="AB503" s="207"/>
      <c r="AC503" s="207"/>
      <c r="AD503" s="207"/>
      <c r="AE503" s="207"/>
      <c r="AF503" s="207"/>
      <c r="AG503" s="207"/>
      <c r="AH503" s="207"/>
      <c r="AI503" s="207"/>
      <c r="AJ503" s="207"/>
      <c r="AK503" s="207"/>
      <c r="AL503" s="207"/>
      <c r="AM503" s="207"/>
      <c r="AN503" s="207"/>
      <c r="AO503" s="207"/>
      <c r="AP503" s="207"/>
      <c r="AQ503" s="207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</row>
    <row r="504" ht="18.75" hidden="1" customHeight="1">
      <c r="A504" s="207"/>
      <c r="B504" s="207"/>
      <c r="C504" s="207"/>
      <c r="D504" s="207"/>
      <c r="E504" s="207"/>
      <c r="F504" s="207"/>
      <c r="G504" s="207"/>
      <c r="H504" s="207"/>
      <c r="I504" s="207"/>
      <c r="J504" s="207"/>
      <c r="K504" s="207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  <c r="AA504" s="207"/>
      <c r="AB504" s="207"/>
      <c r="AC504" s="207"/>
      <c r="AD504" s="207"/>
      <c r="AE504" s="207"/>
      <c r="AF504" s="207"/>
      <c r="AG504" s="207"/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</row>
    <row r="505" ht="18.75" hidden="1" customHeight="1">
      <c r="A505" s="207"/>
      <c r="B505" s="207"/>
      <c r="C505" s="207"/>
      <c r="D505" s="207"/>
      <c r="E505" s="207"/>
      <c r="F505" s="207"/>
      <c r="G505" s="207"/>
      <c r="H505" s="207"/>
      <c r="I505" s="207"/>
      <c r="J505" s="207"/>
      <c r="K505" s="207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  <c r="AA505" s="207"/>
      <c r="AB505" s="207"/>
      <c r="AC505" s="207"/>
      <c r="AD505" s="207"/>
      <c r="AE505" s="207"/>
      <c r="AF505" s="207"/>
      <c r="AG505" s="207"/>
      <c r="AH505" s="207"/>
      <c r="AI505" s="207"/>
      <c r="AJ505" s="207"/>
      <c r="AK505" s="207"/>
      <c r="AL505" s="207"/>
      <c r="AM505" s="207"/>
      <c r="AN505" s="207"/>
      <c r="AO505" s="207"/>
      <c r="AP505" s="207"/>
      <c r="AQ505" s="207"/>
      <c r="AR505" s="207"/>
      <c r="AS505" s="207"/>
      <c r="AT505" s="207"/>
      <c r="AU505" s="207"/>
      <c r="AV505" s="207"/>
      <c r="AW505" s="207"/>
      <c r="AX505" s="207"/>
      <c r="AY505" s="207"/>
      <c r="AZ505" s="207"/>
      <c r="BA505" s="207"/>
    </row>
    <row r="506" ht="18.75" hidden="1" customHeight="1">
      <c r="A506" s="207"/>
      <c r="B506" s="207"/>
      <c r="C506" s="207"/>
      <c r="D506" s="207"/>
      <c r="E506" s="207"/>
      <c r="F506" s="207"/>
      <c r="G506" s="207"/>
      <c r="H506" s="207"/>
      <c r="I506" s="207"/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  <c r="AA506" s="207"/>
      <c r="AB506" s="207"/>
      <c r="AC506" s="207"/>
      <c r="AD506" s="207"/>
      <c r="AE506" s="207"/>
      <c r="AF506" s="207"/>
      <c r="AG506" s="207"/>
      <c r="AH506" s="207"/>
      <c r="AI506" s="207"/>
      <c r="AJ506" s="207"/>
      <c r="AK506" s="207"/>
      <c r="AL506" s="207"/>
      <c r="AM506" s="207"/>
      <c r="AN506" s="207"/>
      <c r="AO506" s="207"/>
      <c r="AP506" s="207"/>
      <c r="AQ506" s="207"/>
      <c r="AR506" s="207"/>
      <c r="AS506" s="207"/>
      <c r="AT506" s="207"/>
      <c r="AU506" s="207"/>
      <c r="AV506" s="207"/>
      <c r="AW506" s="207"/>
      <c r="AX506" s="207"/>
      <c r="AY506" s="207"/>
      <c r="AZ506" s="207"/>
      <c r="BA506" s="207"/>
    </row>
    <row r="507" ht="18.75" hidden="1" customHeight="1">
      <c r="A507" s="207"/>
      <c r="B507" s="207"/>
      <c r="C507" s="207"/>
      <c r="D507" s="207"/>
      <c r="E507" s="207"/>
      <c r="F507" s="207"/>
      <c r="G507" s="207"/>
      <c r="H507" s="207"/>
      <c r="I507" s="207"/>
      <c r="J507" s="207"/>
      <c r="K507" s="207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  <c r="AA507" s="207"/>
      <c r="AB507" s="207"/>
      <c r="AC507" s="207"/>
      <c r="AD507" s="207"/>
      <c r="AE507" s="207"/>
      <c r="AF507" s="207"/>
      <c r="AG507" s="207"/>
      <c r="AH507" s="207"/>
      <c r="AI507" s="207"/>
      <c r="AJ507" s="207"/>
      <c r="AK507" s="207"/>
      <c r="AL507" s="207"/>
      <c r="AM507" s="207"/>
      <c r="AN507" s="207"/>
      <c r="AO507" s="207"/>
      <c r="AP507" s="207"/>
      <c r="AQ507" s="207"/>
      <c r="AR507" s="207"/>
      <c r="AS507" s="207"/>
      <c r="AT507" s="207"/>
      <c r="AU507" s="207"/>
      <c r="AV507" s="207"/>
      <c r="AW507" s="207"/>
      <c r="AX507" s="207"/>
      <c r="AY507" s="207"/>
      <c r="AZ507" s="207"/>
      <c r="BA507" s="207"/>
    </row>
    <row r="508" ht="18.75" hidden="1" customHeight="1">
      <c r="A508" s="207"/>
      <c r="B508" s="207"/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  <c r="AA508" s="207"/>
      <c r="AB508" s="207"/>
      <c r="AC508" s="207"/>
      <c r="AD508" s="207"/>
      <c r="AE508" s="207"/>
      <c r="AF508" s="207"/>
      <c r="AG508" s="207"/>
      <c r="AH508" s="207"/>
      <c r="AI508" s="207"/>
      <c r="AJ508" s="207"/>
      <c r="AK508" s="207"/>
      <c r="AL508" s="207"/>
      <c r="AM508" s="207"/>
      <c r="AN508" s="207"/>
      <c r="AO508" s="207"/>
      <c r="AP508" s="207"/>
      <c r="AQ508" s="207"/>
      <c r="AR508" s="207"/>
      <c r="AS508" s="207"/>
      <c r="AT508" s="207"/>
      <c r="AU508" s="207"/>
      <c r="AV508" s="207"/>
      <c r="AW508" s="207"/>
      <c r="AX508" s="207"/>
      <c r="AY508" s="207"/>
      <c r="AZ508" s="207"/>
      <c r="BA508" s="207"/>
    </row>
    <row r="509" ht="18.75" hidden="1" customHeight="1">
      <c r="A509" s="207"/>
      <c r="B509" s="207"/>
      <c r="C509" s="207"/>
      <c r="D509" s="207"/>
      <c r="E509" s="207"/>
      <c r="F509" s="207"/>
      <c r="G509" s="207"/>
      <c r="H509" s="207"/>
      <c r="I509" s="207"/>
      <c r="J509" s="207"/>
      <c r="K509" s="207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  <c r="AA509" s="207"/>
      <c r="AB509" s="207"/>
      <c r="AC509" s="207"/>
      <c r="AD509" s="207"/>
      <c r="AE509" s="207"/>
      <c r="AF509" s="207"/>
      <c r="AG509" s="207"/>
      <c r="AH509" s="207"/>
      <c r="AI509" s="207"/>
      <c r="AJ509" s="207"/>
      <c r="AK509" s="207"/>
      <c r="AL509" s="207"/>
      <c r="AM509" s="207"/>
      <c r="AN509" s="207"/>
      <c r="AO509" s="207"/>
      <c r="AP509" s="207"/>
      <c r="AQ509" s="207"/>
      <c r="AR509" s="207"/>
      <c r="AS509" s="207"/>
      <c r="AT509" s="207"/>
      <c r="AU509" s="207"/>
      <c r="AV509" s="207"/>
      <c r="AW509" s="207"/>
      <c r="AX509" s="207"/>
      <c r="AY509" s="207"/>
      <c r="AZ509" s="207"/>
      <c r="BA509" s="207"/>
    </row>
    <row r="510" ht="18.75" hidden="1" customHeight="1">
      <c r="A510" s="207"/>
      <c r="B510" s="207"/>
      <c r="C510" s="207"/>
      <c r="D510" s="207"/>
      <c r="E510" s="207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  <c r="AA510" s="207"/>
      <c r="AB510" s="207"/>
      <c r="AC510" s="207"/>
      <c r="AD510" s="207"/>
      <c r="AE510" s="207"/>
      <c r="AF510" s="207"/>
      <c r="AG510" s="207"/>
      <c r="AH510" s="207"/>
      <c r="AI510" s="207"/>
      <c r="AJ510" s="207"/>
      <c r="AK510" s="207"/>
      <c r="AL510" s="207"/>
      <c r="AM510" s="207"/>
      <c r="AN510" s="207"/>
      <c r="AO510" s="207"/>
      <c r="AP510" s="207"/>
      <c r="AQ510" s="207"/>
      <c r="AR510" s="207"/>
      <c r="AS510" s="207"/>
      <c r="AT510" s="207"/>
      <c r="AU510" s="207"/>
      <c r="AV510" s="207"/>
      <c r="AW510" s="207"/>
      <c r="AX510" s="207"/>
      <c r="AY510" s="207"/>
      <c r="AZ510" s="207"/>
      <c r="BA510" s="207"/>
    </row>
    <row r="511" ht="18.75" hidden="1" customHeight="1">
      <c r="A511" s="207"/>
      <c r="B511" s="207"/>
      <c r="C511" s="207"/>
      <c r="D511" s="207"/>
      <c r="E511" s="207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  <c r="AA511" s="207"/>
      <c r="AB511" s="207"/>
      <c r="AC511" s="207"/>
      <c r="AD511" s="207"/>
      <c r="AE511" s="207"/>
      <c r="AF511" s="207"/>
      <c r="AG511" s="207"/>
      <c r="AH511" s="207"/>
      <c r="AI511" s="207"/>
      <c r="AJ511" s="207"/>
      <c r="AK511" s="207"/>
      <c r="AL511" s="207"/>
      <c r="AM511" s="207"/>
      <c r="AN511" s="207"/>
      <c r="AO511" s="207"/>
      <c r="AP511" s="207"/>
      <c r="AQ511" s="207"/>
      <c r="AR511" s="207"/>
      <c r="AS511" s="207"/>
      <c r="AT511" s="207"/>
      <c r="AU511" s="207"/>
      <c r="AV511" s="207"/>
      <c r="AW511" s="207"/>
      <c r="AX511" s="207"/>
      <c r="AY511" s="207"/>
      <c r="AZ511" s="207"/>
      <c r="BA511" s="207"/>
    </row>
    <row r="512" ht="18.75" hidden="1" customHeight="1">
      <c r="A512" s="207"/>
      <c r="B512" s="207"/>
      <c r="C512" s="207"/>
      <c r="D512" s="207"/>
      <c r="E512" s="207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  <c r="AA512" s="207"/>
      <c r="AB512" s="207"/>
      <c r="AC512" s="207"/>
      <c r="AD512" s="207"/>
      <c r="AE512" s="207"/>
      <c r="AF512" s="207"/>
      <c r="AG512" s="207"/>
      <c r="AH512" s="207"/>
      <c r="AI512" s="207"/>
      <c r="AJ512" s="207"/>
      <c r="AK512" s="207"/>
      <c r="AL512" s="207"/>
      <c r="AM512" s="207"/>
      <c r="AN512" s="207"/>
      <c r="AO512" s="207"/>
      <c r="AP512" s="207"/>
      <c r="AQ512" s="207"/>
      <c r="AR512" s="207"/>
      <c r="AS512" s="207"/>
      <c r="AT512" s="207"/>
      <c r="AU512" s="207"/>
      <c r="AV512" s="207"/>
      <c r="AW512" s="207"/>
      <c r="AX512" s="207"/>
      <c r="AY512" s="207"/>
      <c r="AZ512" s="207"/>
      <c r="BA512" s="207"/>
    </row>
    <row r="513" ht="18.75" hidden="1" customHeight="1">
      <c r="A513" s="207"/>
      <c r="B513" s="207"/>
      <c r="C513" s="207"/>
      <c r="D513" s="207"/>
      <c r="E513" s="207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  <c r="AA513" s="207"/>
      <c r="AB513" s="207"/>
      <c r="AC513" s="207"/>
      <c r="AD513" s="207"/>
      <c r="AE513" s="207"/>
      <c r="AF513" s="207"/>
      <c r="AG513" s="207"/>
      <c r="AH513" s="207"/>
      <c r="AI513" s="207"/>
      <c r="AJ513" s="207"/>
      <c r="AK513" s="207"/>
      <c r="AL513" s="207"/>
      <c r="AM513" s="207"/>
      <c r="AN513" s="207"/>
      <c r="AO513" s="207"/>
      <c r="AP513" s="207"/>
      <c r="AQ513" s="207"/>
      <c r="AR513" s="207"/>
      <c r="AS513" s="207"/>
      <c r="AT513" s="207"/>
      <c r="AU513" s="207"/>
      <c r="AV513" s="207"/>
      <c r="AW513" s="207"/>
      <c r="AX513" s="207"/>
      <c r="AY513" s="207"/>
      <c r="AZ513" s="207"/>
      <c r="BA513" s="207"/>
    </row>
    <row r="514" ht="18.75" hidden="1" customHeight="1">
      <c r="A514" s="207"/>
      <c r="B514" s="207"/>
      <c r="C514" s="207"/>
      <c r="D514" s="207"/>
      <c r="E514" s="207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  <c r="AA514" s="207"/>
      <c r="AB514" s="207"/>
      <c r="AC514" s="207"/>
      <c r="AD514" s="207"/>
      <c r="AE514" s="207"/>
      <c r="AF514" s="207"/>
      <c r="AG514" s="207"/>
      <c r="AH514" s="207"/>
      <c r="AI514" s="207"/>
      <c r="AJ514" s="207"/>
      <c r="AK514" s="207"/>
      <c r="AL514" s="207"/>
      <c r="AM514" s="207"/>
      <c r="AN514" s="207"/>
      <c r="AO514" s="207"/>
      <c r="AP514" s="207"/>
      <c r="AQ514" s="207"/>
      <c r="AR514" s="207"/>
      <c r="AS514" s="207"/>
      <c r="AT514" s="207"/>
      <c r="AU514" s="207"/>
      <c r="AV514" s="207"/>
      <c r="AW514" s="207"/>
      <c r="AX514" s="207"/>
      <c r="AY514" s="207"/>
      <c r="AZ514" s="207"/>
      <c r="BA514" s="207"/>
    </row>
    <row r="515" ht="18.75" hidden="1" customHeight="1">
      <c r="A515" s="207"/>
      <c r="B515" s="207"/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  <c r="AA515" s="207"/>
      <c r="AB515" s="207"/>
      <c r="AC515" s="207"/>
      <c r="AD515" s="207"/>
      <c r="AE515" s="207"/>
      <c r="AF515" s="207"/>
      <c r="AG515" s="207"/>
      <c r="AH515" s="207"/>
      <c r="AI515" s="207"/>
      <c r="AJ515" s="207"/>
      <c r="AK515" s="207"/>
      <c r="AL515" s="207"/>
      <c r="AM515" s="207"/>
      <c r="AN515" s="207"/>
      <c r="AO515" s="207"/>
      <c r="AP515" s="207"/>
      <c r="AQ515" s="207"/>
      <c r="AR515" s="207"/>
      <c r="AS515" s="207"/>
      <c r="AT515" s="207"/>
      <c r="AU515" s="207"/>
      <c r="AV515" s="207"/>
      <c r="AW515" s="207"/>
      <c r="AX515" s="207"/>
      <c r="AY515" s="207"/>
      <c r="AZ515" s="207"/>
      <c r="BA515" s="207"/>
    </row>
    <row r="516" ht="18.75" hidden="1" customHeight="1">
      <c r="A516" s="207"/>
      <c r="B516" s="207"/>
      <c r="C516" s="207"/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  <c r="AA516" s="207"/>
      <c r="AB516" s="207"/>
      <c r="AC516" s="207"/>
      <c r="AD516" s="207"/>
      <c r="AE516" s="207"/>
      <c r="AF516" s="207"/>
      <c r="AG516" s="207"/>
      <c r="AH516" s="207"/>
      <c r="AI516" s="207"/>
      <c r="AJ516" s="207"/>
      <c r="AK516" s="207"/>
      <c r="AL516" s="207"/>
      <c r="AM516" s="207"/>
      <c r="AN516" s="207"/>
      <c r="AO516" s="207"/>
      <c r="AP516" s="207"/>
      <c r="AQ516" s="207"/>
      <c r="AR516" s="207"/>
      <c r="AS516" s="207"/>
      <c r="AT516" s="207"/>
      <c r="AU516" s="207"/>
      <c r="AV516" s="207"/>
      <c r="AW516" s="207"/>
      <c r="AX516" s="207"/>
      <c r="AY516" s="207"/>
      <c r="AZ516" s="207"/>
      <c r="BA516" s="207"/>
    </row>
    <row r="517" ht="18.75" hidden="1" customHeight="1">
      <c r="A517" s="207"/>
      <c r="B517" s="207"/>
      <c r="C517" s="207"/>
      <c r="D517" s="207"/>
      <c r="E517" s="207"/>
      <c r="F517" s="207"/>
      <c r="G517" s="207"/>
      <c r="H517" s="207"/>
      <c r="I517" s="207"/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  <c r="AA517" s="207"/>
      <c r="AB517" s="207"/>
      <c r="AC517" s="207"/>
      <c r="AD517" s="207"/>
      <c r="AE517" s="207"/>
      <c r="AF517" s="207"/>
      <c r="AG517" s="207"/>
      <c r="AH517" s="207"/>
      <c r="AI517" s="207"/>
      <c r="AJ517" s="207"/>
      <c r="AK517" s="207"/>
      <c r="AL517" s="207"/>
      <c r="AM517" s="207"/>
      <c r="AN517" s="207"/>
      <c r="AO517" s="207"/>
      <c r="AP517" s="207"/>
      <c r="AQ517" s="207"/>
      <c r="AR517" s="207"/>
      <c r="AS517" s="207"/>
      <c r="AT517" s="207"/>
      <c r="AU517" s="207"/>
      <c r="AV517" s="207"/>
      <c r="AW517" s="207"/>
      <c r="AX517" s="207"/>
      <c r="AY517" s="207"/>
      <c r="AZ517" s="207"/>
      <c r="BA517" s="207"/>
    </row>
    <row r="518" ht="18.75" hidden="1" customHeight="1">
      <c r="A518" s="207"/>
      <c r="B518" s="207"/>
      <c r="C518" s="207"/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  <c r="AA518" s="207"/>
      <c r="AB518" s="207"/>
      <c r="AC518" s="207"/>
      <c r="AD518" s="207"/>
      <c r="AE518" s="207"/>
      <c r="AF518" s="207"/>
      <c r="AG518" s="207"/>
      <c r="AH518" s="207"/>
      <c r="AI518" s="207"/>
      <c r="AJ518" s="207"/>
      <c r="AK518" s="207"/>
      <c r="AL518" s="207"/>
      <c r="AM518" s="207"/>
      <c r="AN518" s="207"/>
      <c r="AO518" s="207"/>
      <c r="AP518" s="207"/>
      <c r="AQ518" s="207"/>
      <c r="AR518" s="207"/>
      <c r="AS518" s="207"/>
      <c r="AT518" s="207"/>
      <c r="AU518" s="207"/>
      <c r="AV518" s="207"/>
      <c r="AW518" s="207"/>
      <c r="AX518" s="207"/>
      <c r="AY518" s="207"/>
      <c r="AZ518" s="207"/>
      <c r="BA518" s="207"/>
    </row>
    <row r="519" ht="18.75" hidden="1" customHeight="1">
      <c r="A519" s="207"/>
      <c r="B519" s="207"/>
      <c r="C519" s="207"/>
      <c r="D519" s="207"/>
      <c r="E519" s="207"/>
      <c r="F519" s="207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  <c r="AA519" s="207"/>
      <c r="AB519" s="207"/>
      <c r="AC519" s="207"/>
      <c r="AD519" s="207"/>
      <c r="AE519" s="207"/>
      <c r="AF519" s="207"/>
      <c r="AG519" s="207"/>
      <c r="AH519" s="207"/>
      <c r="AI519" s="207"/>
      <c r="AJ519" s="207"/>
      <c r="AK519" s="207"/>
      <c r="AL519" s="207"/>
      <c r="AM519" s="207"/>
      <c r="AN519" s="207"/>
      <c r="AO519" s="207"/>
      <c r="AP519" s="207"/>
      <c r="AQ519" s="207"/>
      <c r="AR519" s="207"/>
      <c r="AS519" s="207"/>
      <c r="AT519" s="207"/>
      <c r="AU519" s="207"/>
      <c r="AV519" s="207"/>
      <c r="AW519" s="207"/>
      <c r="AX519" s="207"/>
      <c r="AY519" s="207"/>
      <c r="AZ519" s="207"/>
      <c r="BA519" s="207"/>
    </row>
    <row r="520" ht="18.75" hidden="1" customHeight="1">
      <c r="A520" s="207"/>
      <c r="B520" s="207"/>
      <c r="C520" s="207"/>
      <c r="D520" s="207"/>
      <c r="E520" s="207"/>
      <c r="F520" s="207"/>
      <c r="G520" s="207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  <c r="AA520" s="207"/>
      <c r="AB520" s="207"/>
      <c r="AC520" s="207"/>
      <c r="AD520" s="207"/>
      <c r="AE520" s="207"/>
      <c r="AF520" s="207"/>
      <c r="AG520" s="207"/>
      <c r="AH520" s="207"/>
      <c r="AI520" s="207"/>
      <c r="AJ520" s="207"/>
      <c r="AK520" s="207"/>
      <c r="AL520" s="207"/>
      <c r="AM520" s="207"/>
      <c r="AN520" s="207"/>
      <c r="AO520" s="207"/>
      <c r="AP520" s="207"/>
      <c r="AQ520" s="207"/>
      <c r="AR520" s="207"/>
      <c r="AS520" s="207"/>
      <c r="AT520" s="207"/>
      <c r="AU520" s="207"/>
      <c r="AV520" s="207"/>
      <c r="AW520" s="207"/>
      <c r="AX520" s="207"/>
      <c r="AY520" s="207"/>
      <c r="AZ520" s="207"/>
      <c r="BA520" s="207"/>
    </row>
    <row r="521" ht="18.75" hidden="1" customHeight="1">
      <c r="A521" s="207"/>
      <c r="B521" s="207"/>
      <c r="C521" s="207"/>
      <c r="D521" s="207"/>
      <c r="E521" s="207"/>
      <c r="F521" s="207"/>
      <c r="G521" s="207"/>
      <c r="H521" s="207"/>
      <c r="I521" s="207"/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  <c r="AA521" s="207"/>
      <c r="AB521" s="207"/>
      <c r="AC521" s="207"/>
      <c r="AD521" s="207"/>
      <c r="AE521" s="207"/>
      <c r="AF521" s="207"/>
      <c r="AG521" s="207"/>
      <c r="AH521" s="207"/>
      <c r="AI521" s="207"/>
      <c r="AJ521" s="207"/>
      <c r="AK521" s="207"/>
      <c r="AL521" s="207"/>
      <c r="AM521" s="207"/>
      <c r="AN521" s="207"/>
      <c r="AO521" s="207"/>
      <c r="AP521" s="207"/>
      <c r="AQ521" s="207"/>
      <c r="AR521" s="207"/>
      <c r="AS521" s="207"/>
      <c r="AT521" s="207"/>
      <c r="AU521" s="207"/>
      <c r="AV521" s="207"/>
      <c r="AW521" s="207"/>
      <c r="AX521" s="207"/>
      <c r="AY521" s="207"/>
      <c r="AZ521" s="207"/>
      <c r="BA521" s="207"/>
    </row>
    <row r="522" ht="18.75" hidden="1" customHeight="1">
      <c r="A522" s="207"/>
      <c r="B522" s="207"/>
      <c r="C522" s="207"/>
      <c r="D522" s="207"/>
      <c r="E522" s="207"/>
      <c r="F522" s="207"/>
      <c r="G522" s="207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  <c r="AA522" s="207"/>
      <c r="AB522" s="207"/>
      <c r="AC522" s="207"/>
      <c r="AD522" s="207"/>
      <c r="AE522" s="207"/>
      <c r="AF522" s="207"/>
      <c r="AG522" s="207"/>
      <c r="AH522" s="207"/>
      <c r="AI522" s="207"/>
      <c r="AJ522" s="207"/>
      <c r="AK522" s="207"/>
      <c r="AL522" s="207"/>
      <c r="AM522" s="207"/>
      <c r="AN522" s="207"/>
      <c r="AO522" s="207"/>
      <c r="AP522" s="207"/>
      <c r="AQ522" s="207"/>
      <c r="AR522" s="207"/>
      <c r="AS522" s="207"/>
      <c r="AT522" s="207"/>
      <c r="AU522" s="207"/>
      <c r="AV522" s="207"/>
      <c r="AW522" s="207"/>
      <c r="AX522" s="207"/>
      <c r="AY522" s="207"/>
      <c r="AZ522" s="207"/>
      <c r="BA522" s="207"/>
    </row>
    <row r="523" ht="18.75" hidden="1" customHeight="1">
      <c r="A523" s="207"/>
      <c r="B523" s="207"/>
      <c r="C523" s="207"/>
      <c r="D523" s="207"/>
      <c r="E523" s="207"/>
      <c r="F523" s="207"/>
      <c r="G523" s="207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  <c r="AA523" s="207"/>
      <c r="AB523" s="207"/>
      <c r="AC523" s="207"/>
      <c r="AD523" s="207"/>
      <c r="AE523" s="207"/>
      <c r="AF523" s="207"/>
      <c r="AG523" s="207"/>
      <c r="AH523" s="207"/>
      <c r="AI523" s="207"/>
      <c r="AJ523" s="207"/>
      <c r="AK523" s="207"/>
      <c r="AL523" s="207"/>
      <c r="AM523" s="207"/>
      <c r="AN523" s="207"/>
      <c r="AO523" s="207"/>
      <c r="AP523" s="207"/>
      <c r="AQ523" s="207"/>
      <c r="AR523" s="207"/>
      <c r="AS523" s="207"/>
      <c r="AT523" s="207"/>
      <c r="AU523" s="207"/>
      <c r="AV523" s="207"/>
      <c r="AW523" s="207"/>
      <c r="AX523" s="207"/>
      <c r="AY523" s="207"/>
      <c r="AZ523" s="207"/>
      <c r="BA523" s="207"/>
    </row>
    <row r="524" ht="18.75" hidden="1" customHeight="1">
      <c r="A524" s="207"/>
      <c r="B524" s="207"/>
      <c r="C524" s="207"/>
      <c r="D524" s="207"/>
      <c r="E524" s="207"/>
      <c r="F524" s="207"/>
      <c r="G524" s="207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  <c r="AA524" s="207"/>
      <c r="AB524" s="207"/>
      <c r="AC524" s="207"/>
      <c r="AD524" s="207"/>
      <c r="AE524" s="207"/>
      <c r="AF524" s="207"/>
      <c r="AG524" s="207"/>
      <c r="AH524" s="207"/>
      <c r="AI524" s="207"/>
      <c r="AJ524" s="207"/>
      <c r="AK524" s="207"/>
      <c r="AL524" s="207"/>
      <c r="AM524" s="207"/>
      <c r="AN524" s="207"/>
      <c r="AO524" s="207"/>
      <c r="AP524" s="207"/>
      <c r="AQ524" s="207"/>
      <c r="AR524" s="207"/>
      <c r="AS524" s="207"/>
      <c r="AT524" s="207"/>
      <c r="AU524" s="207"/>
      <c r="AV524" s="207"/>
      <c r="AW524" s="207"/>
      <c r="AX524" s="207"/>
      <c r="AY524" s="207"/>
      <c r="AZ524" s="207"/>
      <c r="BA524" s="207"/>
    </row>
    <row r="525" ht="18.75" hidden="1" customHeight="1">
      <c r="A525" s="207"/>
      <c r="B525" s="207"/>
      <c r="C525" s="207"/>
      <c r="D525" s="207"/>
      <c r="E525" s="207"/>
      <c r="F525" s="207"/>
      <c r="G525" s="207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  <c r="AA525" s="207"/>
      <c r="AB525" s="207"/>
      <c r="AC525" s="207"/>
      <c r="AD525" s="207"/>
      <c r="AE525" s="207"/>
      <c r="AF525" s="207"/>
      <c r="AG525" s="207"/>
      <c r="AH525" s="207"/>
      <c r="AI525" s="207"/>
      <c r="AJ525" s="207"/>
      <c r="AK525" s="207"/>
      <c r="AL525" s="207"/>
      <c r="AM525" s="207"/>
      <c r="AN525" s="207"/>
      <c r="AO525" s="207"/>
      <c r="AP525" s="207"/>
      <c r="AQ525" s="207"/>
      <c r="AR525" s="207"/>
      <c r="AS525" s="207"/>
      <c r="AT525" s="207"/>
      <c r="AU525" s="207"/>
      <c r="AV525" s="207"/>
      <c r="AW525" s="207"/>
      <c r="AX525" s="207"/>
      <c r="AY525" s="207"/>
      <c r="AZ525" s="207"/>
      <c r="BA525" s="207"/>
    </row>
    <row r="526" ht="18.75" hidden="1" customHeight="1">
      <c r="A526" s="207"/>
      <c r="B526" s="207"/>
      <c r="C526" s="207"/>
      <c r="D526" s="207"/>
      <c r="E526" s="207"/>
      <c r="F526" s="207"/>
      <c r="G526" s="207"/>
      <c r="H526" s="207"/>
      <c r="I526" s="207"/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  <c r="AA526" s="207"/>
      <c r="AB526" s="207"/>
      <c r="AC526" s="207"/>
      <c r="AD526" s="207"/>
      <c r="AE526" s="207"/>
      <c r="AF526" s="207"/>
      <c r="AG526" s="207"/>
      <c r="AH526" s="207"/>
      <c r="AI526" s="207"/>
      <c r="AJ526" s="207"/>
      <c r="AK526" s="207"/>
      <c r="AL526" s="207"/>
      <c r="AM526" s="207"/>
      <c r="AN526" s="207"/>
      <c r="AO526" s="207"/>
      <c r="AP526" s="207"/>
      <c r="AQ526" s="207"/>
      <c r="AR526" s="207"/>
      <c r="AS526" s="207"/>
      <c r="AT526" s="207"/>
      <c r="AU526" s="207"/>
      <c r="AV526" s="207"/>
      <c r="AW526" s="207"/>
      <c r="AX526" s="207"/>
      <c r="AY526" s="207"/>
      <c r="AZ526" s="207"/>
      <c r="BA526" s="207"/>
    </row>
    <row r="527" ht="18.75" hidden="1" customHeight="1">
      <c r="A527" s="207"/>
      <c r="B527" s="207"/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  <c r="AA527" s="207"/>
      <c r="AB527" s="207"/>
      <c r="AC527" s="207"/>
      <c r="AD527" s="207"/>
      <c r="AE527" s="207"/>
      <c r="AF527" s="207"/>
      <c r="AG527" s="207"/>
      <c r="AH527" s="207"/>
      <c r="AI527" s="207"/>
      <c r="AJ527" s="207"/>
      <c r="AK527" s="207"/>
      <c r="AL527" s="207"/>
      <c r="AM527" s="207"/>
      <c r="AN527" s="207"/>
      <c r="AO527" s="207"/>
      <c r="AP527" s="207"/>
      <c r="AQ527" s="207"/>
      <c r="AR527" s="207"/>
      <c r="AS527" s="207"/>
      <c r="AT527" s="207"/>
      <c r="AU527" s="207"/>
      <c r="AV527" s="207"/>
      <c r="AW527" s="207"/>
      <c r="AX527" s="207"/>
      <c r="AY527" s="207"/>
      <c r="AZ527" s="207"/>
      <c r="BA527" s="207"/>
    </row>
    <row r="528" ht="18.75" hidden="1" customHeight="1">
      <c r="A528" s="207"/>
      <c r="B528" s="207"/>
      <c r="C528" s="207"/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  <c r="AA528" s="207"/>
      <c r="AB528" s="207"/>
      <c r="AC528" s="207"/>
      <c r="AD528" s="207"/>
      <c r="AE528" s="207"/>
      <c r="AF528" s="207"/>
      <c r="AG528" s="207"/>
      <c r="AH528" s="207"/>
      <c r="AI528" s="207"/>
      <c r="AJ528" s="207"/>
      <c r="AK528" s="207"/>
      <c r="AL528" s="207"/>
      <c r="AM528" s="207"/>
      <c r="AN528" s="207"/>
      <c r="AO528" s="207"/>
      <c r="AP528" s="207"/>
      <c r="AQ528" s="207"/>
      <c r="AR528" s="207"/>
      <c r="AS528" s="207"/>
      <c r="AT528" s="207"/>
      <c r="AU528" s="207"/>
      <c r="AV528" s="207"/>
      <c r="AW528" s="207"/>
      <c r="AX528" s="207"/>
      <c r="AY528" s="207"/>
      <c r="AZ528" s="207"/>
      <c r="BA528" s="207"/>
    </row>
    <row r="529" ht="18.75" hidden="1" customHeight="1">
      <c r="A529" s="207"/>
      <c r="B529" s="207"/>
      <c r="C529" s="207"/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  <c r="AA529" s="207"/>
      <c r="AB529" s="207"/>
      <c r="AC529" s="207"/>
      <c r="AD529" s="207"/>
      <c r="AE529" s="207"/>
      <c r="AF529" s="207"/>
      <c r="AG529" s="207"/>
      <c r="AH529" s="207"/>
      <c r="AI529" s="207"/>
      <c r="AJ529" s="207"/>
      <c r="AK529" s="207"/>
      <c r="AL529" s="207"/>
      <c r="AM529" s="207"/>
      <c r="AN529" s="207"/>
      <c r="AO529" s="207"/>
      <c r="AP529" s="207"/>
      <c r="AQ529" s="207"/>
      <c r="AR529" s="207"/>
      <c r="AS529" s="207"/>
      <c r="AT529" s="207"/>
      <c r="AU529" s="207"/>
      <c r="AV529" s="207"/>
      <c r="AW529" s="207"/>
      <c r="AX529" s="207"/>
      <c r="AY529" s="207"/>
      <c r="AZ529" s="207"/>
      <c r="BA529" s="207"/>
    </row>
    <row r="530" ht="18.75" hidden="1" customHeight="1">
      <c r="A530" s="207"/>
      <c r="B530" s="207"/>
      <c r="C530" s="207"/>
      <c r="D530" s="207"/>
      <c r="E530" s="207"/>
      <c r="F530" s="207"/>
      <c r="G530" s="207"/>
      <c r="H530" s="207"/>
      <c r="I530" s="207"/>
      <c r="J530" s="207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  <c r="AA530" s="207"/>
      <c r="AB530" s="207"/>
      <c r="AC530" s="207"/>
      <c r="AD530" s="207"/>
      <c r="AE530" s="207"/>
      <c r="AF530" s="207"/>
      <c r="AG530" s="207"/>
      <c r="AH530" s="207"/>
      <c r="AI530" s="207"/>
      <c r="AJ530" s="207"/>
      <c r="AK530" s="207"/>
      <c r="AL530" s="207"/>
      <c r="AM530" s="207"/>
      <c r="AN530" s="207"/>
      <c r="AO530" s="207"/>
      <c r="AP530" s="207"/>
      <c r="AQ530" s="207"/>
      <c r="AR530" s="207"/>
      <c r="AS530" s="207"/>
      <c r="AT530" s="207"/>
      <c r="AU530" s="207"/>
      <c r="AV530" s="207"/>
      <c r="AW530" s="207"/>
      <c r="AX530" s="207"/>
      <c r="AY530" s="207"/>
      <c r="AZ530" s="207"/>
      <c r="BA530" s="207"/>
    </row>
    <row r="531" ht="18.75" hidden="1" customHeight="1">
      <c r="A531" s="207"/>
      <c r="B531" s="207"/>
      <c r="C531" s="207"/>
      <c r="D531" s="207"/>
      <c r="E531" s="207"/>
      <c r="F531" s="207"/>
      <c r="G531" s="207"/>
      <c r="H531" s="207"/>
      <c r="I531" s="207"/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  <c r="AA531" s="207"/>
      <c r="AB531" s="207"/>
      <c r="AC531" s="207"/>
      <c r="AD531" s="207"/>
      <c r="AE531" s="207"/>
      <c r="AF531" s="207"/>
      <c r="AG531" s="207"/>
      <c r="AH531" s="207"/>
      <c r="AI531" s="207"/>
      <c r="AJ531" s="207"/>
      <c r="AK531" s="207"/>
      <c r="AL531" s="207"/>
      <c r="AM531" s="207"/>
      <c r="AN531" s="207"/>
      <c r="AO531" s="207"/>
      <c r="AP531" s="207"/>
      <c r="AQ531" s="207"/>
      <c r="AR531" s="207"/>
      <c r="AS531" s="207"/>
      <c r="AT531" s="207"/>
      <c r="AU531" s="207"/>
      <c r="AV531" s="207"/>
      <c r="AW531" s="207"/>
      <c r="AX531" s="207"/>
      <c r="AY531" s="207"/>
      <c r="AZ531" s="207"/>
      <c r="BA531" s="207"/>
    </row>
    <row r="532" ht="18.75" hidden="1" customHeight="1">
      <c r="A532" s="207"/>
      <c r="B532" s="207"/>
      <c r="C532" s="207"/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  <c r="AA532" s="207"/>
      <c r="AB532" s="207"/>
      <c r="AC532" s="207"/>
      <c r="AD532" s="207"/>
      <c r="AE532" s="207"/>
      <c r="AF532" s="207"/>
      <c r="AG532" s="207"/>
      <c r="AH532" s="207"/>
      <c r="AI532" s="207"/>
      <c r="AJ532" s="207"/>
      <c r="AK532" s="207"/>
      <c r="AL532" s="207"/>
      <c r="AM532" s="207"/>
      <c r="AN532" s="207"/>
      <c r="AO532" s="207"/>
      <c r="AP532" s="207"/>
      <c r="AQ532" s="207"/>
      <c r="AR532" s="207"/>
      <c r="AS532" s="207"/>
      <c r="AT532" s="207"/>
      <c r="AU532" s="207"/>
      <c r="AV532" s="207"/>
      <c r="AW532" s="207"/>
      <c r="AX532" s="207"/>
      <c r="AY532" s="207"/>
      <c r="AZ532" s="207"/>
      <c r="BA532" s="207"/>
    </row>
    <row r="533" ht="18.75" hidden="1" customHeight="1">
      <c r="A533" s="207"/>
      <c r="B533" s="207"/>
      <c r="C533" s="207"/>
      <c r="D533" s="207"/>
      <c r="E533" s="207"/>
      <c r="F533" s="207"/>
      <c r="G533" s="207"/>
      <c r="H533" s="207"/>
      <c r="I533" s="207"/>
      <c r="J533" s="207"/>
      <c r="K533" s="207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  <c r="AA533" s="207"/>
      <c r="AB533" s="207"/>
      <c r="AC533" s="207"/>
      <c r="AD533" s="207"/>
      <c r="AE533" s="207"/>
      <c r="AF533" s="207"/>
      <c r="AG533" s="207"/>
      <c r="AH533" s="207"/>
      <c r="AI533" s="207"/>
      <c r="AJ533" s="207"/>
      <c r="AK533" s="207"/>
      <c r="AL533" s="207"/>
      <c r="AM533" s="207"/>
      <c r="AN533" s="207"/>
      <c r="AO533" s="207"/>
      <c r="AP533" s="207"/>
      <c r="AQ533" s="207"/>
      <c r="AR533" s="207"/>
      <c r="AS533" s="207"/>
      <c r="AT533" s="207"/>
      <c r="AU533" s="207"/>
      <c r="AV533" s="207"/>
      <c r="AW533" s="207"/>
      <c r="AX533" s="207"/>
      <c r="AY533" s="207"/>
      <c r="AZ533" s="207"/>
      <c r="BA533" s="207"/>
    </row>
    <row r="534" ht="18.75" hidden="1" customHeight="1">
      <c r="A534" s="207"/>
      <c r="B534" s="207"/>
      <c r="C534" s="207"/>
      <c r="D534" s="207"/>
      <c r="E534" s="207"/>
      <c r="F534" s="207"/>
      <c r="G534" s="207"/>
      <c r="H534" s="207"/>
      <c r="I534" s="207"/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  <c r="AA534" s="207"/>
      <c r="AB534" s="207"/>
      <c r="AC534" s="207"/>
      <c r="AD534" s="207"/>
      <c r="AE534" s="207"/>
      <c r="AF534" s="207"/>
      <c r="AG534" s="207"/>
      <c r="AH534" s="207"/>
      <c r="AI534" s="207"/>
      <c r="AJ534" s="207"/>
      <c r="AK534" s="207"/>
      <c r="AL534" s="207"/>
      <c r="AM534" s="207"/>
      <c r="AN534" s="207"/>
      <c r="AO534" s="207"/>
      <c r="AP534" s="207"/>
      <c r="AQ534" s="207"/>
      <c r="AR534" s="207"/>
      <c r="AS534" s="207"/>
      <c r="AT534" s="207"/>
      <c r="AU534" s="207"/>
      <c r="AV534" s="207"/>
      <c r="AW534" s="207"/>
      <c r="AX534" s="207"/>
      <c r="AY534" s="207"/>
      <c r="AZ534" s="207"/>
      <c r="BA534" s="207"/>
    </row>
    <row r="535" ht="18.75" hidden="1" customHeight="1">
      <c r="A535" s="207"/>
      <c r="B535" s="207"/>
      <c r="C535" s="207"/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  <c r="AA535" s="207"/>
      <c r="AB535" s="207"/>
      <c r="AC535" s="207"/>
      <c r="AD535" s="207"/>
      <c r="AE535" s="207"/>
      <c r="AF535" s="207"/>
      <c r="AG535" s="207"/>
      <c r="AH535" s="207"/>
      <c r="AI535" s="207"/>
      <c r="AJ535" s="207"/>
      <c r="AK535" s="207"/>
      <c r="AL535" s="207"/>
      <c r="AM535" s="207"/>
      <c r="AN535" s="207"/>
      <c r="AO535" s="207"/>
      <c r="AP535" s="207"/>
      <c r="AQ535" s="207"/>
      <c r="AR535" s="207"/>
      <c r="AS535" s="207"/>
      <c r="AT535" s="207"/>
      <c r="AU535" s="207"/>
      <c r="AV535" s="207"/>
      <c r="AW535" s="207"/>
      <c r="AX535" s="207"/>
      <c r="AY535" s="207"/>
      <c r="AZ535" s="207"/>
      <c r="BA535" s="207"/>
    </row>
    <row r="536" ht="18.75" hidden="1" customHeight="1">
      <c r="A536" s="207"/>
      <c r="B536" s="207"/>
      <c r="C536" s="207"/>
      <c r="D536" s="207"/>
      <c r="E536" s="207"/>
      <c r="F536" s="207"/>
      <c r="G536" s="207"/>
      <c r="H536" s="207"/>
      <c r="I536" s="207"/>
      <c r="J536" s="207"/>
      <c r="K536" s="207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  <c r="AA536" s="207"/>
      <c r="AB536" s="207"/>
      <c r="AC536" s="207"/>
      <c r="AD536" s="207"/>
      <c r="AE536" s="207"/>
      <c r="AF536" s="207"/>
      <c r="AG536" s="207"/>
      <c r="AH536" s="207"/>
      <c r="AI536" s="207"/>
      <c r="AJ536" s="207"/>
      <c r="AK536" s="207"/>
      <c r="AL536" s="207"/>
      <c r="AM536" s="207"/>
      <c r="AN536" s="207"/>
      <c r="AO536" s="207"/>
      <c r="AP536" s="207"/>
      <c r="AQ536" s="207"/>
      <c r="AR536" s="207"/>
      <c r="AS536" s="207"/>
      <c r="AT536" s="207"/>
      <c r="AU536" s="207"/>
      <c r="AV536" s="207"/>
      <c r="AW536" s="207"/>
      <c r="AX536" s="207"/>
      <c r="AY536" s="207"/>
      <c r="AZ536" s="207"/>
      <c r="BA536" s="207"/>
    </row>
    <row r="537" ht="18.75" hidden="1" customHeight="1">
      <c r="A537" s="207"/>
      <c r="B537" s="207"/>
      <c r="C537" s="207"/>
      <c r="D537" s="207"/>
      <c r="E537" s="207"/>
      <c r="F537" s="207"/>
      <c r="G537" s="207"/>
      <c r="H537" s="207"/>
      <c r="I537" s="207"/>
      <c r="J537" s="207"/>
      <c r="K537" s="207"/>
      <c r="L537" s="207"/>
      <c r="M537" s="207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  <c r="AA537" s="207"/>
      <c r="AB537" s="207"/>
      <c r="AC537" s="207"/>
      <c r="AD537" s="207"/>
      <c r="AE537" s="207"/>
      <c r="AF537" s="207"/>
      <c r="AG537" s="207"/>
      <c r="AH537" s="207"/>
      <c r="AI537" s="207"/>
      <c r="AJ537" s="207"/>
      <c r="AK537" s="207"/>
      <c r="AL537" s="207"/>
      <c r="AM537" s="207"/>
      <c r="AN537" s="207"/>
      <c r="AO537" s="207"/>
      <c r="AP537" s="207"/>
      <c r="AQ537" s="207"/>
      <c r="AR537" s="207"/>
      <c r="AS537" s="207"/>
      <c r="AT537" s="207"/>
      <c r="AU537" s="207"/>
      <c r="AV537" s="207"/>
      <c r="AW537" s="207"/>
      <c r="AX537" s="207"/>
      <c r="AY537" s="207"/>
      <c r="AZ537" s="207"/>
      <c r="BA537" s="207"/>
    </row>
    <row r="538" ht="18.75" hidden="1" customHeight="1">
      <c r="A538" s="207"/>
      <c r="B538" s="207"/>
      <c r="C538" s="207"/>
      <c r="D538" s="207"/>
      <c r="E538" s="207"/>
      <c r="F538" s="207"/>
      <c r="G538" s="207"/>
      <c r="H538" s="207"/>
      <c r="I538" s="207"/>
      <c r="J538" s="207"/>
      <c r="K538" s="207"/>
      <c r="L538" s="207"/>
      <c r="M538" s="207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  <c r="AA538" s="207"/>
      <c r="AB538" s="207"/>
      <c r="AC538" s="207"/>
      <c r="AD538" s="207"/>
      <c r="AE538" s="207"/>
      <c r="AF538" s="207"/>
      <c r="AG538" s="207"/>
      <c r="AH538" s="207"/>
      <c r="AI538" s="207"/>
      <c r="AJ538" s="207"/>
      <c r="AK538" s="207"/>
      <c r="AL538" s="207"/>
      <c r="AM538" s="207"/>
      <c r="AN538" s="207"/>
      <c r="AO538" s="207"/>
      <c r="AP538" s="207"/>
      <c r="AQ538" s="207"/>
      <c r="AR538" s="207"/>
      <c r="AS538" s="207"/>
      <c r="AT538" s="207"/>
      <c r="AU538" s="207"/>
      <c r="AV538" s="207"/>
      <c r="AW538" s="207"/>
      <c r="AX538" s="207"/>
      <c r="AY538" s="207"/>
      <c r="AZ538" s="207"/>
      <c r="BA538" s="207"/>
    </row>
    <row r="539" ht="18.75" hidden="1" customHeight="1">
      <c r="A539" s="207"/>
      <c r="B539" s="207"/>
      <c r="C539" s="207"/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  <c r="AA539" s="207"/>
      <c r="AB539" s="207"/>
      <c r="AC539" s="207"/>
      <c r="AD539" s="207"/>
      <c r="AE539" s="207"/>
      <c r="AF539" s="207"/>
      <c r="AG539" s="207"/>
      <c r="AH539" s="207"/>
      <c r="AI539" s="207"/>
      <c r="AJ539" s="207"/>
      <c r="AK539" s="207"/>
      <c r="AL539" s="207"/>
      <c r="AM539" s="207"/>
      <c r="AN539" s="207"/>
      <c r="AO539" s="207"/>
      <c r="AP539" s="207"/>
      <c r="AQ539" s="207"/>
      <c r="AR539" s="207"/>
      <c r="AS539" s="207"/>
      <c r="AT539" s="207"/>
      <c r="AU539" s="207"/>
      <c r="AV539" s="207"/>
      <c r="AW539" s="207"/>
      <c r="AX539" s="207"/>
      <c r="AY539" s="207"/>
      <c r="AZ539" s="207"/>
      <c r="BA539" s="207"/>
    </row>
    <row r="540" ht="18.75" hidden="1" customHeight="1">
      <c r="A540" s="207"/>
      <c r="B540" s="207"/>
      <c r="C540" s="207"/>
      <c r="D540" s="207"/>
      <c r="E540" s="207"/>
      <c r="F540" s="207"/>
      <c r="G540" s="207"/>
      <c r="H540" s="207"/>
      <c r="I540" s="207"/>
      <c r="J540" s="207"/>
      <c r="K540" s="207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  <c r="AA540" s="207"/>
      <c r="AB540" s="207"/>
      <c r="AC540" s="207"/>
      <c r="AD540" s="207"/>
      <c r="AE540" s="207"/>
      <c r="AF540" s="207"/>
      <c r="AG540" s="207"/>
      <c r="AH540" s="207"/>
      <c r="AI540" s="207"/>
      <c r="AJ540" s="207"/>
      <c r="AK540" s="207"/>
      <c r="AL540" s="207"/>
      <c r="AM540" s="207"/>
      <c r="AN540" s="207"/>
      <c r="AO540" s="207"/>
      <c r="AP540" s="207"/>
      <c r="AQ540" s="207"/>
      <c r="AR540" s="207"/>
      <c r="AS540" s="207"/>
      <c r="AT540" s="207"/>
      <c r="AU540" s="207"/>
      <c r="AV540" s="207"/>
      <c r="AW540" s="207"/>
      <c r="AX540" s="207"/>
      <c r="AY540" s="207"/>
      <c r="AZ540" s="207"/>
      <c r="BA540" s="207"/>
    </row>
    <row r="541" ht="18.75" hidden="1" customHeight="1">
      <c r="A541" s="207"/>
      <c r="B541" s="207"/>
      <c r="C541" s="207"/>
      <c r="D541" s="207"/>
      <c r="E541" s="207"/>
      <c r="F541" s="207"/>
      <c r="G541" s="207"/>
      <c r="H541" s="207"/>
      <c r="I541" s="207"/>
      <c r="J541" s="207"/>
      <c r="K541" s="207"/>
      <c r="L541" s="207"/>
      <c r="M541" s="207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  <c r="AA541" s="207"/>
      <c r="AB541" s="207"/>
      <c r="AC541" s="207"/>
      <c r="AD541" s="207"/>
      <c r="AE541" s="207"/>
      <c r="AF541" s="207"/>
      <c r="AG541" s="207"/>
      <c r="AH541" s="207"/>
      <c r="AI541" s="207"/>
      <c r="AJ541" s="207"/>
      <c r="AK541" s="207"/>
      <c r="AL541" s="207"/>
      <c r="AM541" s="207"/>
      <c r="AN541" s="207"/>
      <c r="AO541" s="207"/>
      <c r="AP541" s="207"/>
      <c r="AQ541" s="207"/>
      <c r="AR541" s="207"/>
      <c r="AS541" s="207"/>
      <c r="AT541" s="207"/>
      <c r="AU541" s="207"/>
      <c r="AV541" s="207"/>
      <c r="AW541" s="207"/>
      <c r="AX541" s="207"/>
      <c r="AY541" s="207"/>
      <c r="AZ541" s="207"/>
      <c r="BA541" s="207"/>
    </row>
    <row r="542" ht="18.75" hidden="1" customHeight="1">
      <c r="A542" s="207"/>
      <c r="B542" s="207"/>
      <c r="C542" s="207"/>
      <c r="D542" s="207"/>
      <c r="E542" s="207"/>
      <c r="F542" s="207"/>
      <c r="G542" s="207"/>
      <c r="H542" s="207"/>
      <c r="I542" s="207"/>
      <c r="J542" s="207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  <c r="AA542" s="207"/>
      <c r="AB542" s="207"/>
      <c r="AC542" s="207"/>
      <c r="AD542" s="207"/>
      <c r="AE542" s="207"/>
      <c r="AF542" s="207"/>
      <c r="AG542" s="207"/>
      <c r="AH542" s="207"/>
      <c r="AI542" s="207"/>
      <c r="AJ542" s="207"/>
      <c r="AK542" s="207"/>
      <c r="AL542" s="207"/>
      <c r="AM542" s="207"/>
      <c r="AN542" s="207"/>
      <c r="AO542" s="207"/>
      <c r="AP542" s="207"/>
      <c r="AQ542" s="207"/>
      <c r="AR542" s="207"/>
      <c r="AS542" s="207"/>
      <c r="AT542" s="207"/>
      <c r="AU542" s="207"/>
      <c r="AV542" s="207"/>
      <c r="AW542" s="207"/>
      <c r="AX542" s="207"/>
      <c r="AY542" s="207"/>
      <c r="AZ542" s="207"/>
      <c r="BA542" s="207"/>
    </row>
    <row r="543" ht="18.75" hidden="1" customHeight="1">
      <c r="A543" s="207"/>
      <c r="B543" s="207"/>
      <c r="C543" s="207"/>
      <c r="D543" s="207"/>
      <c r="E543" s="207"/>
      <c r="F543" s="207"/>
      <c r="G543" s="207"/>
      <c r="H543" s="207"/>
      <c r="I543" s="207"/>
      <c r="J543" s="207"/>
      <c r="K543" s="207"/>
      <c r="L543" s="207"/>
      <c r="M543" s="207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  <c r="AA543" s="207"/>
      <c r="AB543" s="207"/>
      <c r="AC543" s="207"/>
      <c r="AD543" s="207"/>
      <c r="AE543" s="207"/>
      <c r="AF543" s="207"/>
      <c r="AG543" s="207"/>
      <c r="AH543" s="207"/>
      <c r="AI543" s="207"/>
      <c r="AJ543" s="207"/>
      <c r="AK543" s="207"/>
      <c r="AL543" s="207"/>
      <c r="AM543" s="207"/>
      <c r="AN543" s="207"/>
      <c r="AO543" s="207"/>
      <c r="AP543" s="207"/>
      <c r="AQ543" s="207"/>
      <c r="AR543" s="207"/>
      <c r="AS543" s="207"/>
      <c r="AT543" s="207"/>
      <c r="AU543" s="207"/>
      <c r="AV543" s="207"/>
      <c r="AW543" s="207"/>
      <c r="AX543" s="207"/>
      <c r="AY543" s="207"/>
      <c r="AZ543" s="207"/>
      <c r="BA543" s="207"/>
    </row>
    <row r="544" ht="18.75" hidden="1" customHeight="1">
      <c r="A544" s="207"/>
      <c r="B544" s="207"/>
      <c r="C544" s="207"/>
      <c r="D544" s="207"/>
      <c r="E544" s="207"/>
      <c r="F544" s="207"/>
      <c r="G544" s="207"/>
      <c r="H544" s="207"/>
      <c r="I544" s="207"/>
      <c r="J544" s="207"/>
      <c r="K544" s="207"/>
      <c r="L544" s="207"/>
      <c r="M544" s="207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  <c r="AA544" s="207"/>
      <c r="AB544" s="207"/>
      <c r="AC544" s="207"/>
      <c r="AD544" s="207"/>
      <c r="AE544" s="207"/>
      <c r="AF544" s="207"/>
      <c r="AG544" s="207"/>
      <c r="AH544" s="207"/>
      <c r="AI544" s="207"/>
      <c r="AJ544" s="207"/>
      <c r="AK544" s="207"/>
      <c r="AL544" s="207"/>
      <c r="AM544" s="207"/>
      <c r="AN544" s="207"/>
      <c r="AO544" s="207"/>
      <c r="AP544" s="207"/>
      <c r="AQ544" s="207"/>
      <c r="AR544" s="207"/>
      <c r="AS544" s="207"/>
      <c r="AT544" s="207"/>
      <c r="AU544" s="207"/>
      <c r="AV544" s="207"/>
      <c r="AW544" s="207"/>
      <c r="AX544" s="207"/>
      <c r="AY544" s="207"/>
      <c r="AZ544" s="207"/>
      <c r="BA544" s="207"/>
    </row>
    <row r="545" ht="18.75" hidden="1" customHeight="1">
      <c r="A545" s="207"/>
      <c r="B545" s="207"/>
      <c r="C545" s="207"/>
      <c r="D545" s="207"/>
      <c r="E545" s="207"/>
      <c r="F545" s="207"/>
      <c r="G545" s="207"/>
      <c r="H545" s="207"/>
      <c r="I545" s="207"/>
      <c r="J545" s="207"/>
      <c r="K545" s="207"/>
      <c r="L545" s="207"/>
      <c r="M545" s="207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  <c r="AA545" s="207"/>
      <c r="AB545" s="207"/>
      <c r="AC545" s="207"/>
      <c r="AD545" s="207"/>
      <c r="AE545" s="207"/>
      <c r="AF545" s="207"/>
      <c r="AG545" s="207"/>
      <c r="AH545" s="207"/>
      <c r="AI545" s="207"/>
      <c r="AJ545" s="207"/>
      <c r="AK545" s="207"/>
      <c r="AL545" s="207"/>
      <c r="AM545" s="207"/>
      <c r="AN545" s="207"/>
      <c r="AO545" s="207"/>
      <c r="AP545" s="207"/>
      <c r="AQ545" s="207"/>
      <c r="AR545" s="207"/>
      <c r="AS545" s="207"/>
      <c r="AT545" s="207"/>
      <c r="AU545" s="207"/>
      <c r="AV545" s="207"/>
      <c r="AW545" s="207"/>
      <c r="AX545" s="207"/>
      <c r="AY545" s="207"/>
      <c r="AZ545" s="207"/>
      <c r="BA545" s="207"/>
    </row>
    <row r="546" ht="18.75" hidden="1" customHeight="1">
      <c r="A546" s="207"/>
      <c r="B546" s="207"/>
      <c r="C546" s="207"/>
      <c r="D546" s="207"/>
      <c r="E546" s="207"/>
      <c r="F546" s="207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  <c r="AA546" s="207"/>
      <c r="AB546" s="207"/>
      <c r="AC546" s="207"/>
      <c r="AD546" s="207"/>
      <c r="AE546" s="207"/>
      <c r="AF546" s="207"/>
      <c r="AG546" s="207"/>
      <c r="AH546" s="207"/>
      <c r="AI546" s="207"/>
      <c r="AJ546" s="207"/>
      <c r="AK546" s="207"/>
      <c r="AL546" s="207"/>
      <c r="AM546" s="207"/>
      <c r="AN546" s="207"/>
      <c r="AO546" s="207"/>
      <c r="AP546" s="207"/>
      <c r="AQ546" s="207"/>
      <c r="AR546" s="207"/>
      <c r="AS546" s="207"/>
      <c r="AT546" s="207"/>
      <c r="AU546" s="207"/>
      <c r="AV546" s="207"/>
      <c r="AW546" s="207"/>
      <c r="AX546" s="207"/>
      <c r="AY546" s="207"/>
      <c r="AZ546" s="207"/>
      <c r="BA546" s="207"/>
    </row>
    <row r="547" ht="18.75" hidden="1" customHeight="1">
      <c r="A547" s="207"/>
      <c r="B547" s="207"/>
      <c r="C547" s="207"/>
      <c r="D547" s="207"/>
      <c r="E547" s="207"/>
      <c r="F547" s="207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  <c r="AA547" s="207"/>
      <c r="AB547" s="207"/>
      <c r="AC547" s="207"/>
      <c r="AD547" s="207"/>
      <c r="AE547" s="207"/>
      <c r="AF547" s="207"/>
      <c r="AG547" s="207"/>
      <c r="AH547" s="207"/>
      <c r="AI547" s="207"/>
      <c r="AJ547" s="207"/>
      <c r="AK547" s="207"/>
      <c r="AL547" s="207"/>
      <c r="AM547" s="207"/>
      <c r="AN547" s="207"/>
      <c r="AO547" s="207"/>
      <c r="AP547" s="207"/>
      <c r="AQ547" s="207"/>
      <c r="AR547" s="207"/>
      <c r="AS547" s="207"/>
      <c r="AT547" s="207"/>
      <c r="AU547" s="207"/>
      <c r="AV547" s="207"/>
      <c r="AW547" s="207"/>
      <c r="AX547" s="207"/>
      <c r="AY547" s="207"/>
      <c r="AZ547" s="207"/>
      <c r="BA547" s="207"/>
    </row>
    <row r="548" ht="18.75" hidden="1" customHeight="1">
      <c r="A548" s="207"/>
      <c r="B548" s="207"/>
      <c r="C548" s="207"/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  <c r="AA548" s="207"/>
      <c r="AB548" s="207"/>
      <c r="AC548" s="207"/>
      <c r="AD548" s="207"/>
      <c r="AE548" s="207"/>
      <c r="AF548" s="207"/>
      <c r="AG548" s="207"/>
      <c r="AH548" s="207"/>
      <c r="AI548" s="207"/>
      <c r="AJ548" s="207"/>
      <c r="AK548" s="207"/>
      <c r="AL548" s="207"/>
      <c r="AM548" s="207"/>
      <c r="AN548" s="207"/>
      <c r="AO548" s="207"/>
      <c r="AP548" s="207"/>
      <c r="AQ548" s="207"/>
      <c r="AR548" s="207"/>
      <c r="AS548" s="207"/>
      <c r="AT548" s="207"/>
      <c r="AU548" s="207"/>
      <c r="AV548" s="207"/>
      <c r="AW548" s="207"/>
      <c r="AX548" s="207"/>
      <c r="AY548" s="207"/>
      <c r="AZ548" s="207"/>
      <c r="BA548" s="207"/>
    </row>
    <row r="549" ht="18.75" hidden="1" customHeight="1">
      <c r="A549" s="207"/>
      <c r="B549" s="207"/>
      <c r="C549" s="207"/>
      <c r="D549" s="207"/>
      <c r="E549" s="207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  <c r="AA549" s="207"/>
      <c r="AB549" s="207"/>
      <c r="AC549" s="207"/>
      <c r="AD549" s="207"/>
      <c r="AE549" s="207"/>
      <c r="AF549" s="207"/>
      <c r="AG549" s="207"/>
      <c r="AH549" s="207"/>
      <c r="AI549" s="207"/>
      <c r="AJ549" s="207"/>
      <c r="AK549" s="207"/>
      <c r="AL549" s="207"/>
      <c r="AM549" s="207"/>
      <c r="AN549" s="207"/>
      <c r="AO549" s="207"/>
      <c r="AP549" s="207"/>
      <c r="AQ549" s="207"/>
      <c r="AR549" s="207"/>
      <c r="AS549" s="207"/>
      <c r="AT549" s="207"/>
      <c r="AU549" s="207"/>
      <c r="AV549" s="207"/>
      <c r="AW549" s="207"/>
      <c r="AX549" s="207"/>
      <c r="AY549" s="207"/>
      <c r="AZ549" s="207"/>
      <c r="BA549" s="207"/>
    </row>
    <row r="550" ht="18.75" hidden="1" customHeight="1">
      <c r="A550" s="207"/>
      <c r="B550" s="207"/>
      <c r="C550" s="207"/>
      <c r="D550" s="207"/>
      <c r="E550" s="207"/>
      <c r="F550" s="207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  <c r="AA550" s="207"/>
      <c r="AB550" s="207"/>
      <c r="AC550" s="207"/>
      <c r="AD550" s="207"/>
      <c r="AE550" s="207"/>
      <c r="AF550" s="207"/>
      <c r="AG550" s="207"/>
      <c r="AH550" s="207"/>
      <c r="AI550" s="207"/>
      <c r="AJ550" s="207"/>
      <c r="AK550" s="207"/>
      <c r="AL550" s="207"/>
      <c r="AM550" s="207"/>
      <c r="AN550" s="207"/>
      <c r="AO550" s="207"/>
      <c r="AP550" s="207"/>
      <c r="AQ550" s="207"/>
      <c r="AR550" s="207"/>
      <c r="AS550" s="207"/>
      <c r="AT550" s="207"/>
      <c r="AU550" s="207"/>
      <c r="AV550" s="207"/>
      <c r="AW550" s="207"/>
      <c r="AX550" s="207"/>
      <c r="AY550" s="207"/>
      <c r="AZ550" s="207"/>
      <c r="BA550" s="207"/>
    </row>
    <row r="551" ht="18.75" hidden="1" customHeight="1">
      <c r="A551" s="207"/>
      <c r="B551" s="207"/>
      <c r="C551" s="207"/>
      <c r="D551" s="207"/>
      <c r="E551" s="207"/>
      <c r="F551" s="207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  <c r="AA551" s="207"/>
      <c r="AB551" s="207"/>
      <c r="AC551" s="207"/>
      <c r="AD551" s="207"/>
      <c r="AE551" s="207"/>
      <c r="AF551" s="207"/>
      <c r="AG551" s="207"/>
      <c r="AH551" s="207"/>
      <c r="AI551" s="207"/>
      <c r="AJ551" s="207"/>
      <c r="AK551" s="207"/>
      <c r="AL551" s="207"/>
      <c r="AM551" s="207"/>
      <c r="AN551" s="207"/>
      <c r="AO551" s="207"/>
      <c r="AP551" s="207"/>
      <c r="AQ551" s="207"/>
      <c r="AR551" s="207"/>
      <c r="AS551" s="207"/>
      <c r="AT551" s="207"/>
      <c r="AU551" s="207"/>
      <c r="AV551" s="207"/>
      <c r="AW551" s="207"/>
      <c r="AX551" s="207"/>
      <c r="AY551" s="207"/>
      <c r="AZ551" s="207"/>
      <c r="BA551" s="207"/>
    </row>
    <row r="552" ht="18.75" hidden="1" customHeight="1">
      <c r="A552" s="207"/>
      <c r="B552" s="207"/>
      <c r="C552" s="207"/>
      <c r="D552" s="207"/>
      <c r="E552" s="207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  <c r="AA552" s="207"/>
      <c r="AB552" s="207"/>
      <c r="AC552" s="207"/>
      <c r="AD552" s="207"/>
      <c r="AE552" s="207"/>
      <c r="AF552" s="207"/>
      <c r="AG552" s="207"/>
      <c r="AH552" s="207"/>
      <c r="AI552" s="207"/>
      <c r="AJ552" s="207"/>
      <c r="AK552" s="207"/>
      <c r="AL552" s="207"/>
      <c r="AM552" s="207"/>
      <c r="AN552" s="207"/>
      <c r="AO552" s="207"/>
      <c r="AP552" s="207"/>
      <c r="AQ552" s="207"/>
      <c r="AR552" s="207"/>
      <c r="AS552" s="207"/>
      <c r="AT552" s="207"/>
      <c r="AU552" s="207"/>
      <c r="AV552" s="207"/>
      <c r="AW552" s="207"/>
      <c r="AX552" s="207"/>
      <c r="AY552" s="207"/>
      <c r="AZ552" s="207"/>
      <c r="BA552" s="207"/>
    </row>
    <row r="553" ht="18.75" hidden="1" customHeight="1">
      <c r="A553" s="207"/>
      <c r="B553" s="207"/>
      <c r="C553" s="207"/>
      <c r="D553" s="207"/>
      <c r="E553" s="207"/>
      <c r="F553" s="207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  <c r="AA553" s="207"/>
      <c r="AB553" s="207"/>
      <c r="AC553" s="207"/>
      <c r="AD553" s="207"/>
      <c r="AE553" s="207"/>
      <c r="AF553" s="207"/>
      <c r="AG553" s="207"/>
      <c r="AH553" s="207"/>
      <c r="AI553" s="207"/>
      <c r="AJ553" s="207"/>
      <c r="AK553" s="207"/>
      <c r="AL553" s="207"/>
      <c r="AM553" s="207"/>
      <c r="AN553" s="207"/>
      <c r="AO553" s="207"/>
      <c r="AP553" s="207"/>
      <c r="AQ553" s="207"/>
      <c r="AR553" s="207"/>
      <c r="AS553" s="207"/>
      <c r="AT553" s="207"/>
      <c r="AU553" s="207"/>
      <c r="AV553" s="207"/>
      <c r="AW553" s="207"/>
      <c r="AX553" s="207"/>
      <c r="AY553" s="207"/>
      <c r="AZ553" s="207"/>
      <c r="BA553" s="207"/>
    </row>
    <row r="554" ht="18.75" hidden="1" customHeight="1">
      <c r="A554" s="207"/>
      <c r="B554" s="207"/>
      <c r="C554" s="207"/>
      <c r="D554" s="207"/>
      <c r="E554" s="207"/>
      <c r="F554" s="207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  <c r="AA554" s="207"/>
      <c r="AB554" s="207"/>
      <c r="AC554" s="207"/>
      <c r="AD554" s="207"/>
      <c r="AE554" s="207"/>
      <c r="AF554" s="207"/>
      <c r="AG554" s="207"/>
      <c r="AH554" s="207"/>
      <c r="AI554" s="207"/>
      <c r="AJ554" s="207"/>
      <c r="AK554" s="207"/>
      <c r="AL554" s="207"/>
      <c r="AM554" s="207"/>
      <c r="AN554" s="207"/>
      <c r="AO554" s="207"/>
      <c r="AP554" s="207"/>
      <c r="AQ554" s="207"/>
      <c r="AR554" s="207"/>
      <c r="AS554" s="207"/>
      <c r="AT554" s="207"/>
      <c r="AU554" s="207"/>
      <c r="AV554" s="207"/>
      <c r="AW554" s="207"/>
      <c r="AX554" s="207"/>
      <c r="AY554" s="207"/>
      <c r="AZ554" s="207"/>
      <c r="BA554" s="207"/>
    </row>
    <row r="555" ht="18.75" hidden="1" customHeight="1">
      <c r="A555" s="207"/>
      <c r="B555" s="207"/>
      <c r="C555" s="207"/>
      <c r="D555" s="207"/>
      <c r="E555" s="207"/>
      <c r="F555" s="207"/>
      <c r="G555" s="207"/>
      <c r="H555" s="207"/>
      <c r="I555" s="207"/>
      <c r="J555" s="207"/>
      <c r="K555" s="207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  <c r="AA555" s="207"/>
      <c r="AB555" s="207"/>
      <c r="AC555" s="207"/>
      <c r="AD555" s="207"/>
      <c r="AE555" s="207"/>
      <c r="AF555" s="207"/>
      <c r="AG555" s="207"/>
      <c r="AH555" s="207"/>
      <c r="AI555" s="207"/>
      <c r="AJ555" s="207"/>
      <c r="AK555" s="207"/>
      <c r="AL555" s="207"/>
      <c r="AM555" s="207"/>
      <c r="AN555" s="207"/>
      <c r="AO555" s="207"/>
      <c r="AP555" s="207"/>
      <c r="AQ555" s="207"/>
      <c r="AR555" s="207"/>
      <c r="AS555" s="207"/>
      <c r="AT555" s="207"/>
      <c r="AU555" s="207"/>
      <c r="AV555" s="207"/>
      <c r="AW555" s="207"/>
      <c r="AX555" s="207"/>
      <c r="AY555" s="207"/>
      <c r="AZ555" s="207"/>
      <c r="BA555" s="207"/>
    </row>
    <row r="556" ht="18.75" hidden="1" customHeight="1">
      <c r="A556" s="207"/>
      <c r="B556" s="207"/>
      <c r="C556" s="207"/>
      <c r="D556" s="207"/>
      <c r="E556" s="207"/>
      <c r="F556" s="207"/>
      <c r="G556" s="207"/>
      <c r="H556" s="207"/>
      <c r="I556" s="207"/>
      <c r="J556" s="207"/>
      <c r="K556" s="207"/>
      <c r="L556" s="207"/>
      <c r="M556" s="207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  <c r="AA556" s="207"/>
      <c r="AB556" s="207"/>
      <c r="AC556" s="207"/>
      <c r="AD556" s="207"/>
      <c r="AE556" s="207"/>
      <c r="AF556" s="207"/>
      <c r="AG556" s="207"/>
      <c r="AH556" s="207"/>
      <c r="AI556" s="207"/>
      <c r="AJ556" s="207"/>
      <c r="AK556" s="207"/>
      <c r="AL556" s="207"/>
      <c r="AM556" s="207"/>
      <c r="AN556" s="207"/>
      <c r="AO556" s="207"/>
      <c r="AP556" s="207"/>
      <c r="AQ556" s="207"/>
      <c r="AR556" s="207"/>
      <c r="AS556" s="207"/>
      <c r="AT556" s="207"/>
      <c r="AU556" s="207"/>
      <c r="AV556" s="207"/>
      <c r="AW556" s="207"/>
      <c r="AX556" s="207"/>
      <c r="AY556" s="207"/>
      <c r="AZ556" s="207"/>
      <c r="BA556" s="207"/>
    </row>
    <row r="557" ht="18.75" hidden="1" customHeight="1">
      <c r="A557" s="207"/>
      <c r="B557" s="207"/>
      <c r="C557" s="207"/>
      <c r="D557" s="207"/>
      <c r="E557" s="207"/>
      <c r="F557" s="207"/>
      <c r="G557" s="207"/>
      <c r="H557" s="207"/>
      <c r="I557" s="207"/>
      <c r="J557" s="207"/>
      <c r="K557" s="207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  <c r="AA557" s="207"/>
      <c r="AB557" s="207"/>
      <c r="AC557" s="207"/>
      <c r="AD557" s="207"/>
      <c r="AE557" s="207"/>
      <c r="AF557" s="207"/>
      <c r="AG557" s="207"/>
      <c r="AH557" s="207"/>
      <c r="AI557" s="207"/>
      <c r="AJ557" s="207"/>
      <c r="AK557" s="207"/>
      <c r="AL557" s="207"/>
      <c r="AM557" s="207"/>
      <c r="AN557" s="207"/>
      <c r="AO557" s="207"/>
      <c r="AP557" s="207"/>
      <c r="AQ557" s="207"/>
      <c r="AR557" s="207"/>
      <c r="AS557" s="207"/>
      <c r="AT557" s="207"/>
      <c r="AU557" s="207"/>
      <c r="AV557" s="207"/>
      <c r="AW557" s="207"/>
      <c r="AX557" s="207"/>
      <c r="AY557" s="207"/>
      <c r="AZ557" s="207"/>
      <c r="BA557" s="207"/>
    </row>
    <row r="558" ht="18.75" hidden="1" customHeight="1">
      <c r="A558" s="207"/>
      <c r="B558" s="207"/>
      <c r="C558" s="207"/>
      <c r="D558" s="207"/>
      <c r="E558" s="207"/>
      <c r="F558" s="207"/>
      <c r="G558" s="207"/>
      <c r="H558" s="207"/>
      <c r="I558" s="207"/>
      <c r="J558" s="207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  <c r="AA558" s="207"/>
      <c r="AB558" s="207"/>
      <c r="AC558" s="207"/>
      <c r="AD558" s="207"/>
      <c r="AE558" s="207"/>
      <c r="AF558" s="207"/>
      <c r="AG558" s="207"/>
      <c r="AH558" s="207"/>
      <c r="AI558" s="207"/>
      <c r="AJ558" s="207"/>
      <c r="AK558" s="207"/>
      <c r="AL558" s="207"/>
      <c r="AM558" s="207"/>
      <c r="AN558" s="207"/>
      <c r="AO558" s="207"/>
      <c r="AP558" s="207"/>
      <c r="AQ558" s="207"/>
      <c r="AR558" s="207"/>
      <c r="AS558" s="207"/>
      <c r="AT558" s="207"/>
      <c r="AU558" s="207"/>
      <c r="AV558" s="207"/>
      <c r="AW558" s="207"/>
      <c r="AX558" s="207"/>
      <c r="AY558" s="207"/>
      <c r="AZ558" s="207"/>
      <c r="BA558" s="207"/>
    </row>
    <row r="559" ht="18.75" hidden="1" customHeight="1">
      <c r="A559" s="207"/>
      <c r="B559" s="207"/>
      <c r="C559" s="207"/>
      <c r="D559" s="207"/>
      <c r="E559" s="207"/>
      <c r="F559" s="207"/>
      <c r="G559" s="207"/>
      <c r="H559" s="207"/>
      <c r="I559" s="207"/>
      <c r="J559" s="207"/>
      <c r="K559" s="207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  <c r="AA559" s="207"/>
      <c r="AB559" s="207"/>
      <c r="AC559" s="207"/>
      <c r="AD559" s="207"/>
      <c r="AE559" s="207"/>
      <c r="AF559" s="207"/>
      <c r="AG559" s="207"/>
      <c r="AH559" s="207"/>
      <c r="AI559" s="207"/>
      <c r="AJ559" s="207"/>
      <c r="AK559" s="207"/>
      <c r="AL559" s="207"/>
      <c r="AM559" s="207"/>
      <c r="AN559" s="207"/>
      <c r="AO559" s="207"/>
      <c r="AP559" s="207"/>
      <c r="AQ559" s="207"/>
      <c r="AR559" s="207"/>
      <c r="AS559" s="207"/>
      <c r="AT559" s="207"/>
      <c r="AU559" s="207"/>
      <c r="AV559" s="207"/>
      <c r="AW559" s="207"/>
      <c r="AX559" s="207"/>
      <c r="AY559" s="207"/>
      <c r="AZ559" s="207"/>
      <c r="BA559" s="207"/>
    </row>
    <row r="560" ht="18.75" hidden="1" customHeight="1">
      <c r="A560" s="207"/>
      <c r="B560" s="207"/>
      <c r="C560" s="207"/>
      <c r="D560" s="207"/>
      <c r="E560" s="207"/>
      <c r="F560" s="207"/>
      <c r="G560" s="207"/>
      <c r="H560" s="207"/>
      <c r="I560" s="207"/>
      <c r="J560" s="207"/>
      <c r="K560" s="207"/>
      <c r="L560" s="207"/>
      <c r="M560" s="207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  <c r="AA560" s="207"/>
      <c r="AB560" s="207"/>
      <c r="AC560" s="207"/>
      <c r="AD560" s="207"/>
      <c r="AE560" s="207"/>
      <c r="AF560" s="207"/>
      <c r="AG560" s="207"/>
      <c r="AH560" s="207"/>
      <c r="AI560" s="207"/>
      <c r="AJ560" s="207"/>
      <c r="AK560" s="207"/>
      <c r="AL560" s="207"/>
      <c r="AM560" s="207"/>
      <c r="AN560" s="207"/>
      <c r="AO560" s="207"/>
      <c r="AP560" s="207"/>
      <c r="AQ560" s="207"/>
      <c r="AR560" s="207"/>
      <c r="AS560" s="207"/>
      <c r="AT560" s="207"/>
      <c r="AU560" s="207"/>
      <c r="AV560" s="207"/>
      <c r="AW560" s="207"/>
      <c r="AX560" s="207"/>
      <c r="AY560" s="207"/>
      <c r="AZ560" s="207"/>
      <c r="BA560" s="207"/>
    </row>
    <row r="561" ht="18.75" hidden="1" customHeight="1">
      <c r="A561" s="207"/>
      <c r="B561" s="207"/>
      <c r="C561" s="207"/>
      <c r="D561" s="207"/>
      <c r="E561" s="207"/>
      <c r="F561" s="207"/>
      <c r="G561" s="207"/>
      <c r="H561" s="207"/>
      <c r="I561" s="207"/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  <c r="AA561" s="207"/>
      <c r="AB561" s="207"/>
      <c r="AC561" s="207"/>
      <c r="AD561" s="207"/>
      <c r="AE561" s="207"/>
      <c r="AF561" s="207"/>
      <c r="AG561" s="207"/>
      <c r="AH561" s="207"/>
      <c r="AI561" s="207"/>
      <c r="AJ561" s="207"/>
      <c r="AK561" s="207"/>
      <c r="AL561" s="207"/>
      <c r="AM561" s="207"/>
      <c r="AN561" s="207"/>
      <c r="AO561" s="207"/>
      <c r="AP561" s="207"/>
      <c r="AQ561" s="207"/>
      <c r="AR561" s="207"/>
      <c r="AS561" s="207"/>
      <c r="AT561" s="207"/>
      <c r="AU561" s="207"/>
      <c r="AV561" s="207"/>
      <c r="AW561" s="207"/>
      <c r="AX561" s="207"/>
      <c r="AY561" s="207"/>
      <c r="AZ561" s="207"/>
      <c r="BA561" s="207"/>
    </row>
    <row r="562" ht="18.75" hidden="1" customHeight="1">
      <c r="A562" s="207"/>
      <c r="B562" s="207"/>
      <c r="C562" s="207"/>
      <c r="D562" s="207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  <c r="AA562" s="207"/>
      <c r="AB562" s="207"/>
      <c r="AC562" s="207"/>
      <c r="AD562" s="207"/>
      <c r="AE562" s="207"/>
      <c r="AF562" s="207"/>
      <c r="AG562" s="207"/>
      <c r="AH562" s="207"/>
      <c r="AI562" s="207"/>
      <c r="AJ562" s="207"/>
      <c r="AK562" s="207"/>
      <c r="AL562" s="207"/>
      <c r="AM562" s="207"/>
      <c r="AN562" s="207"/>
      <c r="AO562" s="207"/>
      <c r="AP562" s="207"/>
      <c r="AQ562" s="207"/>
      <c r="AR562" s="207"/>
      <c r="AS562" s="207"/>
      <c r="AT562" s="207"/>
      <c r="AU562" s="207"/>
      <c r="AV562" s="207"/>
      <c r="AW562" s="207"/>
      <c r="AX562" s="207"/>
      <c r="AY562" s="207"/>
      <c r="AZ562" s="207"/>
      <c r="BA562" s="207"/>
    </row>
    <row r="563" ht="18.75" hidden="1" customHeight="1">
      <c r="A563" s="207"/>
      <c r="B563" s="207"/>
      <c r="C563" s="207"/>
      <c r="D563" s="207"/>
      <c r="E563" s="207"/>
      <c r="F563" s="207"/>
      <c r="G563" s="207"/>
      <c r="H563" s="207"/>
      <c r="I563" s="207"/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  <c r="AA563" s="207"/>
      <c r="AB563" s="207"/>
      <c r="AC563" s="207"/>
      <c r="AD563" s="207"/>
      <c r="AE563" s="207"/>
      <c r="AF563" s="207"/>
      <c r="AG563" s="207"/>
      <c r="AH563" s="207"/>
      <c r="AI563" s="207"/>
      <c r="AJ563" s="207"/>
      <c r="AK563" s="207"/>
      <c r="AL563" s="207"/>
      <c r="AM563" s="207"/>
      <c r="AN563" s="207"/>
      <c r="AO563" s="207"/>
      <c r="AP563" s="207"/>
      <c r="AQ563" s="207"/>
      <c r="AR563" s="207"/>
      <c r="AS563" s="207"/>
      <c r="AT563" s="207"/>
      <c r="AU563" s="207"/>
      <c r="AV563" s="207"/>
      <c r="AW563" s="207"/>
      <c r="AX563" s="207"/>
      <c r="AY563" s="207"/>
      <c r="AZ563" s="207"/>
      <c r="BA563" s="207"/>
    </row>
    <row r="564" ht="18.75" hidden="1" customHeight="1">
      <c r="A564" s="207"/>
      <c r="B564" s="207"/>
      <c r="C564" s="207"/>
      <c r="D564" s="207"/>
      <c r="E564" s="207"/>
      <c r="F564" s="207"/>
      <c r="G564" s="207"/>
      <c r="H564" s="207"/>
      <c r="I564" s="207"/>
      <c r="J564" s="207"/>
      <c r="K564" s="207"/>
      <c r="L564" s="207"/>
      <c r="M564" s="207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  <c r="AA564" s="207"/>
      <c r="AB564" s="207"/>
      <c r="AC564" s="207"/>
      <c r="AD564" s="207"/>
      <c r="AE564" s="207"/>
      <c r="AF564" s="207"/>
      <c r="AG564" s="207"/>
      <c r="AH564" s="207"/>
      <c r="AI564" s="207"/>
      <c r="AJ564" s="207"/>
      <c r="AK564" s="207"/>
      <c r="AL564" s="207"/>
      <c r="AM564" s="207"/>
      <c r="AN564" s="207"/>
      <c r="AO564" s="207"/>
      <c r="AP564" s="207"/>
      <c r="AQ564" s="207"/>
      <c r="AR564" s="207"/>
      <c r="AS564" s="207"/>
      <c r="AT564" s="207"/>
      <c r="AU564" s="207"/>
      <c r="AV564" s="207"/>
      <c r="AW564" s="207"/>
      <c r="AX564" s="207"/>
      <c r="AY564" s="207"/>
      <c r="AZ564" s="207"/>
      <c r="BA564" s="207"/>
    </row>
    <row r="565" ht="18.75" hidden="1" customHeight="1">
      <c r="A565" s="207"/>
      <c r="B565" s="207"/>
      <c r="C565" s="207"/>
      <c r="D565" s="207"/>
      <c r="E565" s="207"/>
      <c r="F565" s="207"/>
      <c r="G565" s="207"/>
      <c r="H565" s="207"/>
      <c r="I565" s="207"/>
      <c r="J565" s="207"/>
      <c r="K565" s="207"/>
      <c r="L565" s="207"/>
      <c r="M565" s="207"/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  <c r="AA565" s="207"/>
      <c r="AB565" s="207"/>
      <c r="AC565" s="207"/>
      <c r="AD565" s="207"/>
      <c r="AE565" s="207"/>
      <c r="AF565" s="207"/>
      <c r="AG565" s="207"/>
      <c r="AH565" s="207"/>
      <c r="AI565" s="207"/>
      <c r="AJ565" s="207"/>
      <c r="AK565" s="207"/>
      <c r="AL565" s="207"/>
      <c r="AM565" s="207"/>
      <c r="AN565" s="207"/>
      <c r="AO565" s="207"/>
      <c r="AP565" s="207"/>
      <c r="AQ565" s="207"/>
      <c r="AR565" s="207"/>
      <c r="AS565" s="207"/>
      <c r="AT565" s="207"/>
      <c r="AU565" s="207"/>
      <c r="AV565" s="207"/>
      <c r="AW565" s="207"/>
      <c r="AX565" s="207"/>
      <c r="AY565" s="207"/>
      <c r="AZ565" s="207"/>
      <c r="BA565" s="207"/>
    </row>
    <row r="566" ht="18.75" hidden="1" customHeight="1">
      <c r="A566" s="207"/>
      <c r="B566" s="207"/>
      <c r="C566" s="207"/>
      <c r="D566" s="207"/>
      <c r="E566" s="207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  <c r="AA566" s="207"/>
      <c r="AB566" s="207"/>
      <c r="AC566" s="207"/>
      <c r="AD566" s="207"/>
      <c r="AE566" s="207"/>
      <c r="AF566" s="207"/>
      <c r="AG566" s="207"/>
      <c r="AH566" s="207"/>
      <c r="AI566" s="207"/>
      <c r="AJ566" s="207"/>
      <c r="AK566" s="207"/>
      <c r="AL566" s="207"/>
      <c r="AM566" s="207"/>
      <c r="AN566" s="207"/>
      <c r="AO566" s="207"/>
      <c r="AP566" s="207"/>
      <c r="AQ566" s="207"/>
      <c r="AR566" s="207"/>
      <c r="AS566" s="207"/>
      <c r="AT566" s="207"/>
      <c r="AU566" s="207"/>
      <c r="AV566" s="207"/>
      <c r="AW566" s="207"/>
      <c r="AX566" s="207"/>
      <c r="AY566" s="207"/>
      <c r="AZ566" s="207"/>
      <c r="BA566" s="207"/>
    </row>
    <row r="567" ht="18.75" hidden="1" customHeight="1">
      <c r="A567" s="207"/>
      <c r="B567" s="207"/>
      <c r="C567" s="207"/>
      <c r="D567" s="207"/>
      <c r="E567" s="207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  <c r="AA567" s="207"/>
      <c r="AB567" s="207"/>
      <c r="AC567" s="207"/>
      <c r="AD567" s="207"/>
      <c r="AE567" s="207"/>
      <c r="AF567" s="207"/>
      <c r="AG567" s="207"/>
      <c r="AH567" s="207"/>
      <c r="AI567" s="207"/>
      <c r="AJ567" s="207"/>
      <c r="AK567" s="207"/>
      <c r="AL567" s="207"/>
      <c r="AM567" s="207"/>
      <c r="AN567" s="207"/>
      <c r="AO567" s="207"/>
      <c r="AP567" s="207"/>
      <c r="AQ567" s="207"/>
      <c r="AR567" s="207"/>
      <c r="AS567" s="207"/>
      <c r="AT567" s="207"/>
      <c r="AU567" s="207"/>
      <c r="AV567" s="207"/>
      <c r="AW567" s="207"/>
      <c r="AX567" s="207"/>
      <c r="AY567" s="207"/>
      <c r="AZ567" s="207"/>
      <c r="BA567" s="207"/>
    </row>
    <row r="568" ht="18.75" hidden="1" customHeight="1">
      <c r="A568" s="207"/>
      <c r="B568" s="207"/>
      <c r="C568" s="207"/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  <c r="AA568" s="207"/>
      <c r="AB568" s="207"/>
      <c r="AC568" s="207"/>
      <c r="AD568" s="207"/>
      <c r="AE568" s="207"/>
      <c r="AF568" s="207"/>
      <c r="AG568" s="207"/>
      <c r="AH568" s="207"/>
      <c r="AI568" s="207"/>
      <c r="AJ568" s="207"/>
      <c r="AK568" s="207"/>
      <c r="AL568" s="207"/>
      <c r="AM568" s="207"/>
      <c r="AN568" s="207"/>
      <c r="AO568" s="207"/>
      <c r="AP568" s="207"/>
      <c r="AQ568" s="207"/>
      <c r="AR568" s="207"/>
      <c r="AS568" s="207"/>
      <c r="AT568" s="207"/>
      <c r="AU568" s="207"/>
      <c r="AV568" s="207"/>
      <c r="AW568" s="207"/>
      <c r="AX568" s="207"/>
      <c r="AY568" s="207"/>
      <c r="AZ568" s="207"/>
      <c r="BA568" s="207"/>
    </row>
    <row r="569" ht="18.75" hidden="1" customHeight="1">
      <c r="A569" s="207"/>
      <c r="B569" s="207"/>
      <c r="C569" s="207"/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  <c r="AA569" s="207"/>
      <c r="AB569" s="207"/>
      <c r="AC569" s="207"/>
      <c r="AD569" s="207"/>
      <c r="AE569" s="207"/>
      <c r="AF569" s="207"/>
      <c r="AG569" s="207"/>
      <c r="AH569" s="207"/>
      <c r="AI569" s="207"/>
      <c r="AJ569" s="207"/>
      <c r="AK569" s="207"/>
      <c r="AL569" s="207"/>
      <c r="AM569" s="207"/>
      <c r="AN569" s="207"/>
      <c r="AO569" s="207"/>
      <c r="AP569" s="207"/>
      <c r="AQ569" s="207"/>
      <c r="AR569" s="207"/>
      <c r="AS569" s="207"/>
      <c r="AT569" s="207"/>
      <c r="AU569" s="207"/>
      <c r="AV569" s="207"/>
      <c r="AW569" s="207"/>
      <c r="AX569" s="207"/>
      <c r="AY569" s="207"/>
      <c r="AZ569" s="207"/>
      <c r="BA569" s="207"/>
    </row>
    <row r="570" ht="18.75" hidden="1" customHeight="1">
      <c r="A570" s="207"/>
      <c r="B570" s="207"/>
      <c r="C570" s="207"/>
      <c r="D570" s="207"/>
      <c r="E570" s="207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  <c r="AA570" s="207"/>
      <c r="AB570" s="207"/>
      <c r="AC570" s="207"/>
      <c r="AD570" s="207"/>
      <c r="AE570" s="207"/>
      <c r="AF570" s="207"/>
      <c r="AG570" s="207"/>
      <c r="AH570" s="207"/>
      <c r="AI570" s="207"/>
      <c r="AJ570" s="207"/>
      <c r="AK570" s="207"/>
      <c r="AL570" s="207"/>
      <c r="AM570" s="207"/>
      <c r="AN570" s="207"/>
      <c r="AO570" s="207"/>
      <c r="AP570" s="207"/>
      <c r="AQ570" s="207"/>
      <c r="AR570" s="207"/>
      <c r="AS570" s="207"/>
      <c r="AT570" s="207"/>
      <c r="AU570" s="207"/>
      <c r="AV570" s="207"/>
      <c r="AW570" s="207"/>
      <c r="AX570" s="207"/>
      <c r="AY570" s="207"/>
      <c r="AZ570" s="207"/>
      <c r="BA570" s="207"/>
    </row>
    <row r="571" ht="18.75" hidden="1" customHeight="1">
      <c r="A571" s="207"/>
      <c r="B571" s="207"/>
      <c r="C571" s="207"/>
      <c r="D571" s="207"/>
      <c r="E571" s="207"/>
      <c r="F571" s="207"/>
      <c r="G571" s="207"/>
      <c r="H571" s="207"/>
      <c r="I571" s="207"/>
      <c r="J571" s="207"/>
      <c r="K571" s="207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  <c r="AA571" s="207"/>
      <c r="AB571" s="207"/>
      <c r="AC571" s="207"/>
      <c r="AD571" s="207"/>
      <c r="AE571" s="207"/>
      <c r="AF571" s="207"/>
      <c r="AG571" s="207"/>
      <c r="AH571" s="207"/>
      <c r="AI571" s="207"/>
      <c r="AJ571" s="207"/>
      <c r="AK571" s="207"/>
      <c r="AL571" s="207"/>
      <c r="AM571" s="207"/>
      <c r="AN571" s="207"/>
      <c r="AO571" s="207"/>
      <c r="AP571" s="207"/>
      <c r="AQ571" s="207"/>
      <c r="AR571" s="207"/>
      <c r="AS571" s="207"/>
      <c r="AT571" s="207"/>
      <c r="AU571" s="207"/>
      <c r="AV571" s="207"/>
      <c r="AW571" s="207"/>
      <c r="AX571" s="207"/>
      <c r="AY571" s="207"/>
      <c r="AZ571" s="207"/>
      <c r="BA571" s="207"/>
    </row>
    <row r="572" ht="18.75" hidden="1" customHeight="1">
      <c r="A572" s="207"/>
      <c r="B572" s="207"/>
      <c r="C572" s="207"/>
      <c r="D572" s="207"/>
      <c r="E572" s="207"/>
      <c r="F572" s="207"/>
      <c r="G572" s="207"/>
      <c r="H572" s="207"/>
      <c r="I572" s="207"/>
      <c r="J572" s="207"/>
      <c r="K572" s="207"/>
      <c r="L572" s="207"/>
      <c r="M572" s="207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  <c r="AA572" s="207"/>
      <c r="AB572" s="207"/>
      <c r="AC572" s="207"/>
      <c r="AD572" s="207"/>
      <c r="AE572" s="207"/>
      <c r="AF572" s="207"/>
      <c r="AG572" s="207"/>
      <c r="AH572" s="207"/>
      <c r="AI572" s="207"/>
      <c r="AJ572" s="207"/>
      <c r="AK572" s="207"/>
      <c r="AL572" s="207"/>
      <c r="AM572" s="207"/>
      <c r="AN572" s="207"/>
      <c r="AO572" s="207"/>
      <c r="AP572" s="207"/>
      <c r="AQ572" s="207"/>
      <c r="AR572" s="207"/>
      <c r="AS572" s="207"/>
      <c r="AT572" s="207"/>
      <c r="AU572" s="207"/>
      <c r="AV572" s="207"/>
      <c r="AW572" s="207"/>
      <c r="AX572" s="207"/>
      <c r="AY572" s="207"/>
      <c r="AZ572" s="207"/>
      <c r="BA572" s="207"/>
    </row>
    <row r="573" ht="18.75" hidden="1" customHeight="1">
      <c r="A573" s="207"/>
      <c r="B573" s="207"/>
      <c r="C573" s="207"/>
      <c r="D573" s="207"/>
      <c r="E573" s="207"/>
      <c r="F573" s="207"/>
      <c r="G573" s="207"/>
      <c r="H573" s="207"/>
      <c r="I573" s="207"/>
      <c r="J573" s="207"/>
      <c r="K573" s="207"/>
      <c r="L573" s="207"/>
      <c r="M573" s="207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  <c r="AA573" s="207"/>
      <c r="AB573" s="207"/>
      <c r="AC573" s="207"/>
      <c r="AD573" s="207"/>
      <c r="AE573" s="207"/>
      <c r="AF573" s="207"/>
      <c r="AG573" s="207"/>
      <c r="AH573" s="207"/>
      <c r="AI573" s="207"/>
      <c r="AJ573" s="207"/>
      <c r="AK573" s="207"/>
      <c r="AL573" s="207"/>
      <c r="AM573" s="207"/>
      <c r="AN573" s="207"/>
      <c r="AO573" s="207"/>
      <c r="AP573" s="207"/>
      <c r="AQ573" s="207"/>
      <c r="AR573" s="207"/>
      <c r="AS573" s="207"/>
      <c r="AT573" s="207"/>
      <c r="AU573" s="207"/>
      <c r="AV573" s="207"/>
      <c r="AW573" s="207"/>
      <c r="AX573" s="207"/>
      <c r="AY573" s="207"/>
      <c r="AZ573" s="207"/>
      <c r="BA573" s="207"/>
    </row>
    <row r="574" ht="18.75" hidden="1" customHeight="1">
      <c r="A574" s="207"/>
      <c r="B574" s="207"/>
      <c r="C574" s="207"/>
      <c r="D574" s="207"/>
      <c r="E574" s="207"/>
      <c r="F574" s="207"/>
      <c r="G574" s="207"/>
      <c r="H574" s="207"/>
      <c r="I574" s="207"/>
      <c r="J574" s="207"/>
      <c r="K574" s="207"/>
      <c r="L574" s="207"/>
      <c r="M574" s="207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  <c r="AA574" s="207"/>
      <c r="AB574" s="207"/>
      <c r="AC574" s="207"/>
      <c r="AD574" s="207"/>
      <c r="AE574" s="207"/>
      <c r="AF574" s="207"/>
      <c r="AG574" s="207"/>
      <c r="AH574" s="207"/>
      <c r="AI574" s="207"/>
      <c r="AJ574" s="207"/>
      <c r="AK574" s="207"/>
      <c r="AL574" s="207"/>
      <c r="AM574" s="207"/>
      <c r="AN574" s="207"/>
      <c r="AO574" s="207"/>
      <c r="AP574" s="207"/>
      <c r="AQ574" s="207"/>
      <c r="AR574" s="207"/>
      <c r="AS574" s="207"/>
      <c r="AT574" s="207"/>
      <c r="AU574" s="207"/>
      <c r="AV574" s="207"/>
      <c r="AW574" s="207"/>
      <c r="AX574" s="207"/>
      <c r="AY574" s="207"/>
      <c r="AZ574" s="207"/>
      <c r="BA574" s="207"/>
    </row>
    <row r="575" ht="18.75" hidden="1" customHeight="1">
      <c r="A575" s="207"/>
      <c r="B575" s="207"/>
      <c r="C575" s="207"/>
      <c r="D575" s="207"/>
      <c r="E575" s="207"/>
      <c r="F575" s="207"/>
      <c r="G575" s="207"/>
      <c r="H575" s="207"/>
      <c r="I575" s="207"/>
      <c r="J575" s="207"/>
      <c r="K575" s="207"/>
      <c r="L575" s="207"/>
      <c r="M575" s="207"/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  <c r="AA575" s="207"/>
      <c r="AB575" s="207"/>
      <c r="AC575" s="207"/>
      <c r="AD575" s="207"/>
      <c r="AE575" s="207"/>
      <c r="AF575" s="207"/>
      <c r="AG575" s="207"/>
      <c r="AH575" s="207"/>
      <c r="AI575" s="207"/>
      <c r="AJ575" s="207"/>
      <c r="AK575" s="207"/>
      <c r="AL575" s="207"/>
      <c r="AM575" s="207"/>
      <c r="AN575" s="207"/>
      <c r="AO575" s="207"/>
      <c r="AP575" s="207"/>
      <c r="AQ575" s="207"/>
      <c r="AR575" s="207"/>
      <c r="AS575" s="207"/>
      <c r="AT575" s="207"/>
      <c r="AU575" s="207"/>
      <c r="AV575" s="207"/>
      <c r="AW575" s="207"/>
      <c r="AX575" s="207"/>
      <c r="AY575" s="207"/>
      <c r="AZ575" s="207"/>
      <c r="BA575" s="207"/>
    </row>
    <row r="576" ht="18.75" hidden="1" customHeight="1">
      <c r="A576" s="207"/>
      <c r="B576" s="207"/>
      <c r="C576" s="207"/>
      <c r="D576" s="207"/>
      <c r="E576" s="207"/>
      <c r="F576" s="207"/>
      <c r="G576" s="207"/>
      <c r="H576" s="207"/>
      <c r="I576" s="207"/>
      <c r="J576" s="207"/>
      <c r="K576" s="207"/>
      <c r="L576" s="207"/>
      <c r="M576" s="207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  <c r="AA576" s="207"/>
      <c r="AB576" s="207"/>
      <c r="AC576" s="207"/>
      <c r="AD576" s="207"/>
      <c r="AE576" s="207"/>
      <c r="AF576" s="207"/>
      <c r="AG576" s="207"/>
      <c r="AH576" s="207"/>
      <c r="AI576" s="207"/>
      <c r="AJ576" s="207"/>
      <c r="AK576" s="207"/>
      <c r="AL576" s="207"/>
      <c r="AM576" s="207"/>
      <c r="AN576" s="207"/>
      <c r="AO576" s="207"/>
      <c r="AP576" s="207"/>
      <c r="AQ576" s="207"/>
      <c r="AR576" s="207"/>
      <c r="AS576" s="207"/>
      <c r="AT576" s="207"/>
      <c r="AU576" s="207"/>
      <c r="AV576" s="207"/>
      <c r="AW576" s="207"/>
      <c r="AX576" s="207"/>
      <c r="AY576" s="207"/>
      <c r="AZ576" s="207"/>
      <c r="BA576" s="207"/>
    </row>
    <row r="577" ht="18.75" hidden="1" customHeight="1">
      <c r="A577" s="207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  <c r="AA577" s="207"/>
      <c r="AB577" s="207"/>
      <c r="AC577" s="207"/>
      <c r="AD577" s="207"/>
      <c r="AE577" s="207"/>
      <c r="AF577" s="207"/>
      <c r="AG577" s="207"/>
      <c r="AH577" s="207"/>
      <c r="AI577" s="207"/>
      <c r="AJ577" s="207"/>
      <c r="AK577" s="207"/>
      <c r="AL577" s="207"/>
      <c r="AM577" s="207"/>
      <c r="AN577" s="207"/>
      <c r="AO577" s="207"/>
      <c r="AP577" s="207"/>
      <c r="AQ577" s="207"/>
      <c r="AR577" s="207"/>
      <c r="AS577" s="207"/>
      <c r="AT577" s="207"/>
      <c r="AU577" s="207"/>
      <c r="AV577" s="207"/>
      <c r="AW577" s="207"/>
      <c r="AX577" s="207"/>
      <c r="AY577" s="207"/>
      <c r="AZ577" s="207"/>
      <c r="BA577" s="207"/>
    </row>
    <row r="578" ht="18.75" hidden="1" customHeight="1">
      <c r="A578" s="207"/>
      <c r="B578" s="207"/>
      <c r="C578" s="207"/>
      <c r="D578" s="207"/>
      <c r="E578" s="207"/>
      <c r="F578" s="207"/>
      <c r="G578" s="207"/>
      <c r="H578" s="207"/>
      <c r="I578" s="207"/>
      <c r="J578" s="207"/>
      <c r="K578" s="207"/>
      <c r="L578" s="207"/>
      <c r="M578" s="207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  <c r="AA578" s="207"/>
      <c r="AB578" s="207"/>
      <c r="AC578" s="207"/>
      <c r="AD578" s="207"/>
      <c r="AE578" s="207"/>
      <c r="AF578" s="207"/>
      <c r="AG578" s="207"/>
      <c r="AH578" s="207"/>
      <c r="AI578" s="207"/>
      <c r="AJ578" s="207"/>
      <c r="AK578" s="207"/>
      <c r="AL578" s="207"/>
      <c r="AM578" s="207"/>
      <c r="AN578" s="207"/>
      <c r="AO578" s="207"/>
      <c r="AP578" s="207"/>
      <c r="AQ578" s="207"/>
      <c r="AR578" s="207"/>
      <c r="AS578" s="207"/>
      <c r="AT578" s="207"/>
      <c r="AU578" s="207"/>
      <c r="AV578" s="207"/>
      <c r="AW578" s="207"/>
      <c r="AX578" s="207"/>
      <c r="AY578" s="207"/>
      <c r="AZ578" s="207"/>
      <c r="BA578" s="207"/>
    </row>
    <row r="579" ht="18.75" hidden="1" customHeight="1">
      <c r="A579" s="207"/>
      <c r="B579" s="207"/>
      <c r="C579" s="207"/>
      <c r="D579" s="207"/>
      <c r="E579" s="207"/>
      <c r="F579" s="207"/>
      <c r="G579" s="207"/>
      <c r="H579" s="207"/>
      <c r="I579" s="207"/>
      <c r="J579" s="207"/>
      <c r="K579" s="207"/>
      <c r="L579" s="207"/>
      <c r="M579" s="207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  <c r="AA579" s="207"/>
      <c r="AB579" s="207"/>
      <c r="AC579" s="207"/>
      <c r="AD579" s="207"/>
      <c r="AE579" s="207"/>
      <c r="AF579" s="207"/>
      <c r="AG579" s="207"/>
      <c r="AH579" s="207"/>
      <c r="AI579" s="207"/>
      <c r="AJ579" s="207"/>
      <c r="AK579" s="207"/>
      <c r="AL579" s="207"/>
      <c r="AM579" s="207"/>
      <c r="AN579" s="207"/>
      <c r="AO579" s="207"/>
      <c r="AP579" s="207"/>
      <c r="AQ579" s="207"/>
      <c r="AR579" s="207"/>
      <c r="AS579" s="207"/>
      <c r="AT579" s="207"/>
      <c r="AU579" s="207"/>
      <c r="AV579" s="207"/>
      <c r="AW579" s="207"/>
      <c r="AX579" s="207"/>
      <c r="AY579" s="207"/>
      <c r="AZ579" s="207"/>
      <c r="BA579" s="207"/>
    </row>
    <row r="580" ht="18.75" hidden="1" customHeight="1">
      <c r="A580" s="207"/>
      <c r="B580" s="207"/>
      <c r="C580" s="207"/>
      <c r="D580" s="207"/>
      <c r="E580" s="207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  <c r="AA580" s="207"/>
      <c r="AB580" s="207"/>
      <c r="AC580" s="207"/>
      <c r="AD580" s="207"/>
      <c r="AE580" s="207"/>
      <c r="AF580" s="207"/>
      <c r="AG580" s="207"/>
      <c r="AH580" s="207"/>
      <c r="AI580" s="207"/>
      <c r="AJ580" s="207"/>
      <c r="AK580" s="207"/>
      <c r="AL580" s="207"/>
      <c r="AM580" s="207"/>
      <c r="AN580" s="207"/>
      <c r="AO580" s="207"/>
      <c r="AP580" s="207"/>
      <c r="AQ580" s="207"/>
      <c r="AR580" s="207"/>
      <c r="AS580" s="207"/>
      <c r="AT580" s="207"/>
      <c r="AU580" s="207"/>
      <c r="AV580" s="207"/>
      <c r="AW580" s="207"/>
      <c r="AX580" s="207"/>
      <c r="AY580" s="207"/>
      <c r="AZ580" s="207"/>
      <c r="BA580" s="207"/>
    </row>
    <row r="581" ht="18.75" hidden="1" customHeight="1">
      <c r="A581" s="207"/>
      <c r="B581" s="207"/>
      <c r="C581" s="207"/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  <c r="AA581" s="207"/>
      <c r="AB581" s="207"/>
      <c r="AC581" s="207"/>
      <c r="AD581" s="207"/>
      <c r="AE581" s="207"/>
      <c r="AF581" s="207"/>
      <c r="AG581" s="207"/>
      <c r="AH581" s="207"/>
      <c r="AI581" s="207"/>
      <c r="AJ581" s="207"/>
      <c r="AK581" s="207"/>
      <c r="AL581" s="207"/>
      <c r="AM581" s="207"/>
      <c r="AN581" s="207"/>
      <c r="AO581" s="207"/>
      <c r="AP581" s="207"/>
      <c r="AQ581" s="207"/>
      <c r="AR581" s="207"/>
      <c r="AS581" s="207"/>
      <c r="AT581" s="207"/>
      <c r="AU581" s="207"/>
      <c r="AV581" s="207"/>
      <c r="AW581" s="207"/>
      <c r="AX581" s="207"/>
      <c r="AY581" s="207"/>
      <c r="AZ581" s="207"/>
      <c r="BA581" s="207"/>
    </row>
    <row r="582" ht="18.75" hidden="1" customHeight="1">
      <c r="A582" s="207"/>
      <c r="B582" s="207"/>
      <c r="C582" s="207"/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  <c r="AA582" s="207"/>
      <c r="AB582" s="207"/>
      <c r="AC582" s="207"/>
      <c r="AD582" s="207"/>
      <c r="AE582" s="207"/>
      <c r="AF582" s="207"/>
      <c r="AG582" s="207"/>
      <c r="AH582" s="207"/>
      <c r="AI582" s="207"/>
      <c r="AJ582" s="207"/>
      <c r="AK582" s="207"/>
      <c r="AL582" s="207"/>
      <c r="AM582" s="207"/>
      <c r="AN582" s="207"/>
      <c r="AO582" s="207"/>
      <c r="AP582" s="207"/>
      <c r="AQ582" s="207"/>
      <c r="AR582" s="207"/>
      <c r="AS582" s="207"/>
      <c r="AT582" s="207"/>
      <c r="AU582" s="207"/>
      <c r="AV582" s="207"/>
      <c r="AW582" s="207"/>
      <c r="AX582" s="207"/>
      <c r="AY582" s="207"/>
      <c r="AZ582" s="207"/>
      <c r="BA582" s="207"/>
    </row>
    <row r="583" ht="18.75" hidden="1" customHeight="1">
      <c r="A583" s="207"/>
      <c r="B583" s="207"/>
      <c r="C583" s="207"/>
      <c r="D583" s="207"/>
      <c r="E583" s="207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  <c r="AA583" s="207"/>
      <c r="AB583" s="207"/>
      <c r="AC583" s="207"/>
      <c r="AD583" s="207"/>
      <c r="AE583" s="207"/>
      <c r="AF583" s="207"/>
      <c r="AG583" s="207"/>
      <c r="AH583" s="207"/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7"/>
    </row>
    <row r="584" ht="18.75" hidden="1" customHeight="1">
      <c r="A584" s="207"/>
      <c r="B584" s="207"/>
      <c r="C584" s="207"/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  <c r="AB584" s="207"/>
      <c r="AC584" s="207"/>
      <c r="AD584" s="207"/>
      <c r="AE584" s="207"/>
      <c r="AF584" s="207"/>
      <c r="AG584" s="207"/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</row>
    <row r="585" ht="18.75" hidden="1" customHeight="1">
      <c r="A585" s="207"/>
      <c r="B585" s="207"/>
      <c r="C585" s="207"/>
      <c r="D585" s="207"/>
      <c r="E585" s="207"/>
      <c r="F585" s="207"/>
      <c r="G585" s="207"/>
      <c r="H585" s="207"/>
      <c r="I585" s="207"/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  <c r="AA585" s="207"/>
      <c r="AB585" s="207"/>
      <c r="AC585" s="207"/>
      <c r="AD585" s="207"/>
      <c r="AE585" s="207"/>
      <c r="AF585" s="207"/>
      <c r="AG585" s="207"/>
      <c r="AH585" s="207"/>
      <c r="AI585" s="207"/>
      <c r="AJ585" s="207"/>
      <c r="AK585" s="207"/>
      <c r="AL585" s="207"/>
      <c r="AM585" s="207"/>
      <c r="AN585" s="207"/>
      <c r="AO585" s="207"/>
      <c r="AP585" s="207"/>
      <c r="AQ585" s="207"/>
      <c r="AR585" s="207"/>
      <c r="AS585" s="207"/>
      <c r="AT585" s="207"/>
      <c r="AU585" s="207"/>
      <c r="AV585" s="207"/>
      <c r="AW585" s="207"/>
      <c r="AX585" s="207"/>
      <c r="AY585" s="207"/>
      <c r="AZ585" s="207"/>
      <c r="BA585" s="207"/>
    </row>
    <row r="586" ht="18.75" hidden="1" customHeight="1">
      <c r="A586" s="207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  <c r="AA586" s="207"/>
      <c r="AB586" s="207"/>
      <c r="AC586" s="207"/>
      <c r="AD586" s="207"/>
      <c r="AE586" s="207"/>
      <c r="AF586" s="207"/>
      <c r="AG586" s="207"/>
      <c r="AH586" s="207"/>
      <c r="AI586" s="207"/>
      <c r="AJ586" s="207"/>
      <c r="AK586" s="207"/>
      <c r="AL586" s="207"/>
      <c r="AM586" s="207"/>
      <c r="AN586" s="207"/>
      <c r="AO586" s="207"/>
      <c r="AP586" s="207"/>
      <c r="AQ586" s="207"/>
      <c r="AR586" s="207"/>
      <c r="AS586" s="207"/>
      <c r="AT586" s="207"/>
      <c r="AU586" s="207"/>
      <c r="AV586" s="207"/>
      <c r="AW586" s="207"/>
      <c r="AX586" s="207"/>
      <c r="AY586" s="207"/>
      <c r="AZ586" s="207"/>
      <c r="BA586" s="207"/>
    </row>
    <row r="587" ht="18.75" hidden="1" customHeight="1">
      <c r="A587" s="207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  <c r="AA587" s="207"/>
      <c r="AB587" s="207"/>
      <c r="AC587" s="207"/>
      <c r="AD587" s="207"/>
      <c r="AE587" s="207"/>
      <c r="AF587" s="207"/>
      <c r="AG587" s="207"/>
      <c r="AH587" s="207"/>
      <c r="AI587" s="207"/>
      <c r="AJ587" s="207"/>
      <c r="AK587" s="207"/>
      <c r="AL587" s="207"/>
      <c r="AM587" s="207"/>
      <c r="AN587" s="207"/>
      <c r="AO587" s="207"/>
      <c r="AP587" s="207"/>
      <c r="AQ587" s="207"/>
      <c r="AR587" s="207"/>
      <c r="AS587" s="207"/>
      <c r="AT587" s="207"/>
      <c r="AU587" s="207"/>
      <c r="AV587" s="207"/>
      <c r="AW587" s="207"/>
      <c r="AX587" s="207"/>
      <c r="AY587" s="207"/>
      <c r="AZ587" s="207"/>
      <c r="BA587" s="207"/>
    </row>
    <row r="588" ht="18.75" hidden="1" customHeight="1">
      <c r="A588" s="207"/>
      <c r="B588" s="207"/>
      <c r="C588" s="20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  <c r="AA588" s="207"/>
      <c r="AB588" s="207"/>
      <c r="AC588" s="207"/>
      <c r="AD588" s="207"/>
      <c r="AE588" s="207"/>
      <c r="AF588" s="207"/>
      <c r="AG588" s="207"/>
      <c r="AH588" s="207"/>
      <c r="AI588" s="207"/>
      <c r="AJ588" s="207"/>
      <c r="AK588" s="207"/>
      <c r="AL588" s="207"/>
      <c r="AM588" s="207"/>
      <c r="AN588" s="207"/>
      <c r="AO588" s="207"/>
      <c r="AP588" s="207"/>
      <c r="AQ588" s="207"/>
      <c r="AR588" s="207"/>
      <c r="AS588" s="207"/>
      <c r="AT588" s="207"/>
      <c r="AU588" s="207"/>
      <c r="AV588" s="207"/>
      <c r="AW588" s="207"/>
      <c r="AX588" s="207"/>
      <c r="AY588" s="207"/>
      <c r="AZ588" s="207"/>
      <c r="BA588" s="207"/>
    </row>
    <row r="589" ht="18.75" hidden="1" customHeight="1">
      <c r="A589" s="207"/>
      <c r="B589" s="207"/>
      <c r="C589" s="207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  <c r="AA589" s="207"/>
      <c r="AB589" s="207"/>
      <c r="AC589" s="207"/>
      <c r="AD589" s="207"/>
      <c r="AE589" s="207"/>
      <c r="AF589" s="207"/>
      <c r="AG589" s="207"/>
      <c r="AH589" s="207"/>
      <c r="AI589" s="207"/>
      <c r="AJ589" s="207"/>
      <c r="AK589" s="207"/>
      <c r="AL589" s="207"/>
      <c r="AM589" s="207"/>
      <c r="AN589" s="207"/>
      <c r="AO589" s="207"/>
      <c r="AP589" s="207"/>
      <c r="AQ589" s="207"/>
      <c r="AR589" s="207"/>
      <c r="AS589" s="207"/>
      <c r="AT589" s="207"/>
      <c r="AU589" s="207"/>
      <c r="AV589" s="207"/>
      <c r="AW589" s="207"/>
      <c r="AX589" s="207"/>
      <c r="AY589" s="207"/>
      <c r="AZ589" s="207"/>
      <c r="BA589" s="207"/>
    </row>
    <row r="590" ht="18.75" hidden="1" customHeight="1">
      <c r="A590" s="207"/>
      <c r="B590" s="207"/>
      <c r="C590" s="207"/>
      <c r="D590" s="207"/>
      <c r="E590" s="207"/>
      <c r="F590" s="207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  <c r="AA590" s="207"/>
      <c r="AB590" s="207"/>
      <c r="AC590" s="207"/>
      <c r="AD590" s="207"/>
      <c r="AE590" s="207"/>
      <c r="AF590" s="207"/>
      <c r="AG590" s="207"/>
      <c r="AH590" s="207"/>
      <c r="AI590" s="207"/>
      <c r="AJ590" s="207"/>
      <c r="AK590" s="207"/>
      <c r="AL590" s="207"/>
      <c r="AM590" s="207"/>
      <c r="AN590" s="207"/>
      <c r="AO590" s="207"/>
      <c r="AP590" s="207"/>
      <c r="AQ590" s="207"/>
      <c r="AR590" s="207"/>
      <c r="AS590" s="207"/>
      <c r="AT590" s="207"/>
      <c r="AU590" s="207"/>
      <c r="AV590" s="207"/>
      <c r="AW590" s="207"/>
      <c r="AX590" s="207"/>
      <c r="AY590" s="207"/>
      <c r="AZ590" s="207"/>
      <c r="BA590" s="207"/>
    </row>
    <row r="591" ht="18.75" hidden="1" customHeight="1">
      <c r="A591" s="207"/>
      <c r="B591" s="207"/>
      <c r="C591" s="207"/>
      <c r="D591" s="207"/>
      <c r="E591" s="207"/>
      <c r="F591" s="207"/>
      <c r="G591" s="207"/>
      <c r="H591" s="207"/>
      <c r="I591" s="207"/>
      <c r="J591" s="207"/>
      <c r="K591" s="207"/>
      <c r="L591" s="207"/>
      <c r="M591" s="207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  <c r="AA591" s="207"/>
      <c r="AB591" s="207"/>
      <c r="AC591" s="207"/>
      <c r="AD591" s="207"/>
      <c r="AE591" s="207"/>
      <c r="AF591" s="207"/>
      <c r="AG591" s="207"/>
      <c r="AH591" s="207"/>
      <c r="AI591" s="207"/>
      <c r="AJ591" s="207"/>
      <c r="AK591" s="207"/>
      <c r="AL591" s="207"/>
      <c r="AM591" s="207"/>
      <c r="AN591" s="207"/>
      <c r="AO591" s="207"/>
      <c r="AP591" s="207"/>
      <c r="AQ591" s="207"/>
      <c r="AR591" s="207"/>
      <c r="AS591" s="207"/>
      <c r="AT591" s="207"/>
      <c r="AU591" s="207"/>
      <c r="AV591" s="207"/>
      <c r="AW591" s="207"/>
      <c r="AX591" s="207"/>
      <c r="AY591" s="207"/>
      <c r="AZ591" s="207"/>
      <c r="BA591" s="207"/>
    </row>
    <row r="592" ht="18.75" hidden="1" customHeight="1">
      <c r="A592" s="207"/>
      <c r="B592" s="207"/>
      <c r="C592" s="207"/>
      <c r="D592" s="207"/>
      <c r="E592" s="207"/>
      <c r="F592" s="207"/>
      <c r="G592" s="207"/>
      <c r="H592" s="207"/>
      <c r="I592" s="207"/>
      <c r="J592" s="207"/>
      <c r="K592" s="207"/>
      <c r="L592" s="207"/>
      <c r="M592" s="207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  <c r="AA592" s="207"/>
      <c r="AB592" s="207"/>
      <c r="AC592" s="207"/>
      <c r="AD592" s="207"/>
      <c r="AE592" s="207"/>
      <c r="AF592" s="207"/>
      <c r="AG592" s="207"/>
      <c r="AH592" s="207"/>
      <c r="AI592" s="207"/>
      <c r="AJ592" s="207"/>
      <c r="AK592" s="207"/>
      <c r="AL592" s="207"/>
      <c r="AM592" s="207"/>
      <c r="AN592" s="207"/>
      <c r="AO592" s="207"/>
      <c r="AP592" s="207"/>
      <c r="AQ592" s="207"/>
      <c r="AR592" s="207"/>
      <c r="AS592" s="207"/>
      <c r="AT592" s="207"/>
      <c r="AU592" s="207"/>
      <c r="AV592" s="207"/>
      <c r="AW592" s="207"/>
      <c r="AX592" s="207"/>
      <c r="AY592" s="207"/>
      <c r="AZ592" s="207"/>
      <c r="BA592" s="207"/>
    </row>
    <row r="593" ht="18.75" hidden="1" customHeight="1">
      <c r="A593" s="207"/>
      <c r="B593" s="207"/>
      <c r="C593" s="207"/>
      <c r="D593" s="207"/>
      <c r="E593" s="207"/>
      <c r="F593" s="207"/>
      <c r="G593" s="207"/>
      <c r="H593" s="207"/>
      <c r="I593" s="207"/>
      <c r="J593" s="207"/>
      <c r="K593" s="207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  <c r="AA593" s="207"/>
      <c r="AB593" s="207"/>
      <c r="AC593" s="207"/>
      <c r="AD593" s="207"/>
      <c r="AE593" s="207"/>
      <c r="AF593" s="207"/>
      <c r="AG593" s="207"/>
      <c r="AH593" s="207"/>
      <c r="AI593" s="207"/>
      <c r="AJ593" s="207"/>
      <c r="AK593" s="207"/>
      <c r="AL593" s="207"/>
      <c r="AM593" s="207"/>
      <c r="AN593" s="207"/>
      <c r="AO593" s="207"/>
      <c r="AP593" s="207"/>
      <c r="AQ593" s="207"/>
      <c r="AR593" s="207"/>
      <c r="AS593" s="207"/>
      <c r="AT593" s="207"/>
      <c r="AU593" s="207"/>
      <c r="AV593" s="207"/>
      <c r="AW593" s="207"/>
      <c r="AX593" s="207"/>
      <c r="AY593" s="207"/>
      <c r="AZ593" s="207"/>
      <c r="BA593" s="207"/>
    </row>
    <row r="594" ht="18.75" hidden="1" customHeight="1">
      <c r="A594" s="207"/>
      <c r="B594" s="207"/>
      <c r="C594" s="207"/>
      <c r="D594" s="207"/>
      <c r="E594" s="207"/>
      <c r="F594" s="207"/>
      <c r="G594" s="207"/>
      <c r="H594" s="207"/>
      <c r="I594" s="207"/>
      <c r="J594" s="207"/>
      <c r="K594" s="207"/>
      <c r="L594" s="207"/>
      <c r="M594" s="207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  <c r="AA594" s="207"/>
      <c r="AB594" s="207"/>
      <c r="AC594" s="207"/>
      <c r="AD594" s="207"/>
      <c r="AE594" s="207"/>
      <c r="AF594" s="207"/>
      <c r="AG594" s="207"/>
      <c r="AH594" s="207"/>
      <c r="AI594" s="207"/>
      <c r="AJ594" s="207"/>
      <c r="AK594" s="207"/>
      <c r="AL594" s="207"/>
      <c r="AM594" s="207"/>
      <c r="AN594" s="207"/>
      <c r="AO594" s="207"/>
      <c r="AP594" s="207"/>
      <c r="AQ594" s="207"/>
      <c r="AR594" s="207"/>
      <c r="AS594" s="207"/>
      <c r="AT594" s="207"/>
      <c r="AU594" s="207"/>
      <c r="AV594" s="207"/>
      <c r="AW594" s="207"/>
      <c r="AX594" s="207"/>
      <c r="AY594" s="207"/>
      <c r="AZ594" s="207"/>
      <c r="BA594" s="207"/>
    </row>
    <row r="595" ht="18.75" hidden="1" customHeight="1">
      <c r="A595" s="207"/>
      <c r="B595" s="207"/>
      <c r="C595" s="207"/>
      <c r="D595" s="207"/>
      <c r="E595" s="207"/>
      <c r="F595" s="207"/>
      <c r="G595" s="207"/>
      <c r="H595" s="207"/>
      <c r="I595" s="207"/>
      <c r="J595" s="207"/>
      <c r="K595" s="207"/>
      <c r="L595" s="207"/>
      <c r="M595" s="207"/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  <c r="AA595" s="207"/>
      <c r="AB595" s="207"/>
      <c r="AC595" s="207"/>
      <c r="AD595" s="207"/>
      <c r="AE595" s="207"/>
      <c r="AF595" s="207"/>
      <c r="AG595" s="207"/>
      <c r="AH595" s="207"/>
      <c r="AI595" s="207"/>
      <c r="AJ595" s="207"/>
      <c r="AK595" s="207"/>
      <c r="AL595" s="207"/>
      <c r="AM595" s="207"/>
      <c r="AN595" s="207"/>
      <c r="AO595" s="207"/>
      <c r="AP595" s="207"/>
      <c r="AQ595" s="207"/>
      <c r="AR595" s="207"/>
      <c r="AS595" s="207"/>
      <c r="AT595" s="207"/>
      <c r="AU595" s="207"/>
      <c r="AV595" s="207"/>
      <c r="AW595" s="207"/>
      <c r="AX595" s="207"/>
      <c r="AY595" s="207"/>
      <c r="AZ595" s="207"/>
      <c r="BA595" s="207"/>
    </row>
    <row r="596" ht="18.75" hidden="1" customHeight="1">
      <c r="A596" s="207"/>
      <c r="B596" s="207"/>
      <c r="C596" s="207"/>
      <c r="D596" s="207"/>
      <c r="E596" s="207"/>
      <c r="F596" s="207"/>
      <c r="G596" s="207"/>
      <c r="H596" s="207"/>
      <c r="I596" s="207"/>
      <c r="J596" s="207"/>
      <c r="K596" s="207"/>
      <c r="L596" s="207"/>
      <c r="M596" s="207"/>
      <c r="N596" s="207"/>
      <c r="O596" s="207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  <c r="AA596" s="207"/>
      <c r="AB596" s="207"/>
      <c r="AC596" s="207"/>
      <c r="AD596" s="207"/>
      <c r="AE596" s="207"/>
      <c r="AF596" s="207"/>
      <c r="AG596" s="207"/>
      <c r="AH596" s="207"/>
      <c r="AI596" s="207"/>
      <c r="AJ596" s="207"/>
      <c r="AK596" s="207"/>
      <c r="AL596" s="207"/>
      <c r="AM596" s="207"/>
      <c r="AN596" s="207"/>
      <c r="AO596" s="207"/>
      <c r="AP596" s="207"/>
      <c r="AQ596" s="207"/>
      <c r="AR596" s="207"/>
      <c r="AS596" s="207"/>
      <c r="AT596" s="207"/>
      <c r="AU596" s="207"/>
      <c r="AV596" s="207"/>
      <c r="AW596" s="207"/>
      <c r="AX596" s="207"/>
      <c r="AY596" s="207"/>
      <c r="AZ596" s="207"/>
      <c r="BA596" s="207"/>
    </row>
    <row r="597" ht="18.75" hidden="1" customHeight="1">
      <c r="A597" s="207"/>
      <c r="B597" s="207"/>
      <c r="C597" s="207"/>
      <c r="D597" s="207"/>
      <c r="E597" s="207"/>
      <c r="F597" s="207"/>
      <c r="G597" s="207"/>
      <c r="H597" s="207"/>
      <c r="I597" s="207"/>
      <c r="J597" s="207"/>
      <c r="K597" s="207"/>
      <c r="L597" s="207"/>
      <c r="M597" s="207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  <c r="AA597" s="207"/>
      <c r="AB597" s="207"/>
      <c r="AC597" s="207"/>
      <c r="AD597" s="207"/>
      <c r="AE597" s="207"/>
      <c r="AF597" s="207"/>
      <c r="AG597" s="207"/>
      <c r="AH597" s="207"/>
      <c r="AI597" s="207"/>
      <c r="AJ597" s="207"/>
      <c r="AK597" s="207"/>
      <c r="AL597" s="207"/>
      <c r="AM597" s="207"/>
      <c r="AN597" s="207"/>
      <c r="AO597" s="207"/>
      <c r="AP597" s="207"/>
      <c r="AQ597" s="207"/>
      <c r="AR597" s="207"/>
      <c r="AS597" s="207"/>
      <c r="AT597" s="207"/>
      <c r="AU597" s="207"/>
      <c r="AV597" s="207"/>
      <c r="AW597" s="207"/>
      <c r="AX597" s="207"/>
      <c r="AY597" s="207"/>
      <c r="AZ597" s="207"/>
      <c r="BA597" s="207"/>
    </row>
    <row r="598" ht="18.75" hidden="1" customHeight="1">
      <c r="A598" s="207"/>
      <c r="B598" s="207"/>
      <c r="C598" s="207"/>
      <c r="D598" s="207"/>
      <c r="E598" s="207"/>
      <c r="F598" s="207"/>
      <c r="G598" s="207"/>
      <c r="H598" s="207"/>
      <c r="I598" s="207"/>
      <c r="J598" s="207"/>
      <c r="K598" s="207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  <c r="AA598" s="207"/>
      <c r="AB598" s="207"/>
      <c r="AC598" s="207"/>
      <c r="AD598" s="207"/>
      <c r="AE598" s="207"/>
      <c r="AF598" s="207"/>
      <c r="AG598" s="207"/>
      <c r="AH598" s="207"/>
      <c r="AI598" s="207"/>
      <c r="AJ598" s="207"/>
      <c r="AK598" s="207"/>
      <c r="AL598" s="207"/>
      <c r="AM598" s="207"/>
      <c r="AN598" s="207"/>
      <c r="AO598" s="207"/>
      <c r="AP598" s="207"/>
      <c r="AQ598" s="207"/>
      <c r="AR598" s="207"/>
      <c r="AS598" s="207"/>
      <c r="AT598" s="207"/>
      <c r="AU598" s="207"/>
      <c r="AV598" s="207"/>
      <c r="AW598" s="207"/>
      <c r="AX598" s="207"/>
      <c r="AY598" s="207"/>
      <c r="AZ598" s="207"/>
      <c r="BA598" s="207"/>
    </row>
    <row r="599" ht="18.75" hidden="1" customHeight="1">
      <c r="A599" s="207"/>
      <c r="B599" s="207"/>
      <c r="C599" s="207"/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  <c r="AA599" s="207"/>
      <c r="AB599" s="207"/>
      <c r="AC599" s="207"/>
      <c r="AD599" s="207"/>
      <c r="AE599" s="207"/>
      <c r="AF599" s="207"/>
      <c r="AG599" s="207"/>
      <c r="AH599" s="207"/>
      <c r="AI599" s="207"/>
      <c r="AJ599" s="207"/>
      <c r="AK599" s="207"/>
      <c r="AL599" s="207"/>
      <c r="AM599" s="207"/>
      <c r="AN599" s="207"/>
      <c r="AO599" s="207"/>
      <c r="AP599" s="207"/>
      <c r="AQ599" s="207"/>
      <c r="AR599" s="207"/>
      <c r="AS599" s="207"/>
      <c r="AT599" s="207"/>
      <c r="AU599" s="207"/>
      <c r="AV599" s="207"/>
      <c r="AW599" s="207"/>
      <c r="AX599" s="207"/>
      <c r="AY599" s="207"/>
      <c r="AZ599" s="207"/>
      <c r="BA599" s="207"/>
    </row>
    <row r="600" ht="18.75" hidden="1" customHeight="1">
      <c r="A600" s="207"/>
      <c r="B600" s="207"/>
      <c r="C600" s="207"/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  <c r="AA600" s="207"/>
      <c r="AB600" s="207"/>
      <c r="AC600" s="207"/>
      <c r="AD600" s="207"/>
      <c r="AE600" s="207"/>
      <c r="AF600" s="207"/>
      <c r="AG600" s="207"/>
      <c r="AH600" s="207"/>
      <c r="AI600" s="207"/>
      <c r="AJ600" s="207"/>
      <c r="AK600" s="207"/>
      <c r="AL600" s="207"/>
      <c r="AM600" s="207"/>
      <c r="AN600" s="207"/>
      <c r="AO600" s="207"/>
      <c r="AP600" s="207"/>
      <c r="AQ600" s="207"/>
      <c r="AR600" s="207"/>
      <c r="AS600" s="207"/>
      <c r="AT600" s="207"/>
      <c r="AU600" s="207"/>
      <c r="AV600" s="207"/>
      <c r="AW600" s="207"/>
      <c r="AX600" s="207"/>
      <c r="AY600" s="207"/>
      <c r="AZ600" s="207"/>
      <c r="BA600" s="207"/>
    </row>
    <row r="601" ht="18.75" hidden="1" customHeight="1">
      <c r="A601" s="207"/>
      <c r="B601" s="207"/>
      <c r="C601" s="207"/>
      <c r="D601" s="207"/>
      <c r="E601" s="207"/>
      <c r="F601" s="207"/>
      <c r="G601" s="207"/>
      <c r="H601" s="207"/>
      <c r="I601" s="207"/>
      <c r="J601" s="207"/>
      <c r="K601" s="207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  <c r="AA601" s="207"/>
      <c r="AB601" s="207"/>
      <c r="AC601" s="207"/>
      <c r="AD601" s="207"/>
      <c r="AE601" s="207"/>
      <c r="AF601" s="207"/>
      <c r="AG601" s="207"/>
      <c r="AH601" s="207"/>
      <c r="AI601" s="207"/>
      <c r="AJ601" s="207"/>
      <c r="AK601" s="207"/>
      <c r="AL601" s="207"/>
      <c r="AM601" s="207"/>
      <c r="AN601" s="207"/>
      <c r="AO601" s="207"/>
      <c r="AP601" s="207"/>
      <c r="AQ601" s="207"/>
      <c r="AR601" s="207"/>
      <c r="AS601" s="207"/>
      <c r="AT601" s="207"/>
      <c r="AU601" s="207"/>
      <c r="AV601" s="207"/>
      <c r="AW601" s="207"/>
      <c r="AX601" s="207"/>
      <c r="AY601" s="207"/>
      <c r="AZ601" s="207"/>
      <c r="BA601" s="207"/>
    </row>
    <row r="602" ht="18.75" hidden="1" customHeight="1">
      <c r="A602" s="207"/>
      <c r="B602" s="207"/>
      <c r="C602" s="207"/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  <c r="AA602" s="207"/>
      <c r="AB602" s="207"/>
      <c r="AC602" s="207"/>
      <c r="AD602" s="207"/>
      <c r="AE602" s="207"/>
      <c r="AF602" s="207"/>
      <c r="AG602" s="207"/>
      <c r="AH602" s="207"/>
      <c r="AI602" s="207"/>
      <c r="AJ602" s="207"/>
      <c r="AK602" s="207"/>
      <c r="AL602" s="207"/>
      <c r="AM602" s="207"/>
      <c r="AN602" s="207"/>
      <c r="AO602" s="207"/>
      <c r="AP602" s="207"/>
      <c r="AQ602" s="207"/>
      <c r="AR602" s="207"/>
      <c r="AS602" s="207"/>
      <c r="AT602" s="207"/>
      <c r="AU602" s="207"/>
      <c r="AV602" s="207"/>
      <c r="AW602" s="207"/>
      <c r="AX602" s="207"/>
      <c r="AY602" s="207"/>
      <c r="AZ602" s="207"/>
      <c r="BA602" s="207"/>
    </row>
    <row r="603" ht="18.75" hidden="1" customHeight="1">
      <c r="A603" s="207"/>
      <c r="B603" s="207"/>
      <c r="C603" s="207"/>
      <c r="D603" s="207"/>
      <c r="E603" s="207"/>
      <c r="F603" s="207"/>
      <c r="G603" s="207"/>
      <c r="H603" s="207"/>
      <c r="I603" s="207"/>
      <c r="J603" s="207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  <c r="AA603" s="207"/>
      <c r="AB603" s="207"/>
      <c r="AC603" s="207"/>
      <c r="AD603" s="207"/>
      <c r="AE603" s="207"/>
      <c r="AF603" s="207"/>
      <c r="AG603" s="207"/>
      <c r="AH603" s="207"/>
      <c r="AI603" s="207"/>
      <c r="AJ603" s="207"/>
      <c r="AK603" s="207"/>
      <c r="AL603" s="207"/>
      <c r="AM603" s="207"/>
      <c r="AN603" s="207"/>
      <c r="AO603" s="207"/>
      <c r="AP603" s="207"/>
      <c r="AQ603" s="207"/>
      <c r="AR603" s="207"/>
      <c r="AS603" s="207"/>
      <c r="AT603" s="207"/>
      <c r="AU603" s="207"/>
      <c r="AV603" s="207"/>
      <c r="AW603" s="207"/>
      <c r="AX603" s="207"/>
      <c r="AY603" s="207"/>
      <c r="AZ603" s="207"/>
      <c r="BA603" s="207"/>
    </row>
    <row r="604" ht="18.75" hidden="1" customHeight="1">
      <c r="A604" s="207"/>
      <c r="B604" s="207"/>
      <c r="C604" s="207"/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  <c r="AA604" s="207"/>
      <c r="AB604" s="207"/>
      <c r="AC604" s="207"/>
      <c r="AD604" s="207"/>
      <c r="AE604" s="207"/>
      <c r="AF604" s="207"/>
      <c r="AG604" s="207"/>
      <c r="AH604" s="207"/>
      <c r="AI604" s="207"/>
      <c r="AJ604" s="207"/>
      <c r="AK604" s="207"/>
      <c r="AL604" s="207"/>
      <c r="AM604" s="207"/>
      <c r="AN604" s="207"/>
      <c r="AO604" s="207"/>
      <c r="AP604" s="207"/>
      <c r="AQ604" s="207"/>
      <c r="AR604" s="207"/>
      <c r="AS604" s="207"/>
      <c r="AT604" s="207"/>
      <c r="AU604" s="207"/>
      <c r="AV604" s="207"/>
      <c r="AW604" s="207"/>
      <c r="AX604" s="207"/>
      <c r="AY604" s="207"/>
      <c r="AZ604" s="207"/>
      <c r="BA604" s="207"/>
    </row>
    <row r="605" ht="18.75" hidden="1" customHeight="1">
      <c r="A605" s="207"/>
      <c r="B605" s="207"/>
      <c r="C605" s="207"/>
      <c r="D605" s="207"/>
      <c r="E605" s="207"/>
      <c r="F605" s="207"/>
      <c r="G605" s="207"/>
      <c r="H605" s="207"/>
      <c r="I605" s="207"/>
      <c r="J605" s="207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  <c r="AA605" s="207"/>
      <c r="AB605" s="207"/>
      <c r="AC605" s="207"/>
      <c r="AD605" s="207"/>
      <c r="AE605" s="207"/>
      <c r="AF605" s="207"/>
      <c r="AG605" s="207"/>
      <c r="AH605" s="207"/>
      <c r="AI605" s="207"/>
      <c r="AJ605" s="207"/>
      <c r="AK605" s="207"/>
      <c r="AL605" s="207"/>
      <c r="AM605" s="207"/>
      <c r="AN605" s="207"/>
      <c r="AO605" s="207"/>
      <c r="AP605" s="207"/>
      <c r="AQ605" s="207"/>
      <c r="AR605" s="207"/>
      <c r="AS605" s="207"/>
      <c r="AT605" s="207"/>
      <c r="AU605" s="207"/>
      <c r="AV605" s="207"/>
      <c r="AW605" s="207"/>
      <c r="AX605" s="207"/>
      <c r="AY605" s="207"/>
      <c r="AZ605" s="207"/>
      <c r="BA605" s="207"/>
    </row>
    <row r="606" ht="18.75" hidden="1" customHeight="1">
      <c r="A606" s="207"/>
      <c r="B606" s="207"/>
      <c r="C606" s="207"/>
      <c r="D606" s="207"/>
      <c r="E606" s="207"/>
      <c r="F606" s="207"/>
      <c r="G606" s="207"/>
      <c r="H606" s="207"/>
      <c r="I606" s="207"/>
      <c r="J606" s="207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  <c r="AA606" s="207"/>
      <c r="AB606" s="207"/>
      <c r="AC606" s="207"/>
      <c r="AD606" s="207"/>
      <c r="AE606" s="207"/>
      <c r="AF606" s="207"/>
      <c r="AG606" s="207"/>
      <c r="AH606" s="207"/>
      <c r="AI606" s="207"/>
      <c r="AJ606" s="207"/>
      <c r="AK606" s="207"/>
      <c r="AL606" s="207"/>
      <c r="AM606" s="207"/>
      <c r="AN606" s="207"/>
      <c r="AO606" s="207"/>
      <c r="AP606" s="207"/>
      <c r="AQ606" s="207"/>
      <c r="AR606" s="207"/>
      <c r="AS606" s="207"/>
      <c r="AT606" s="207"/>
      <c r="AU606" s="207"/>
      <c r="AV606" s="207"/>
      <c r="AW606" s="207"/>
      <c r="AX606" s="207"/>
      <c r="AY606" s="207"/>
      <c r="AZ606" s="207"/>
      <c r="BA606" s="207"/>
    </row>
    <row r="607" ht="18.75" hidden="1" customHeight="1">
      <c r="A607" s="207"/>
      <c r="B607" s="207"/>
      <c r="C607" s="207"/>
      <c r="D607" s="207"/>
      <c r="E607" s="207"/>
      <c r="F607" s="207"/>
      <c r="G607" s="207"/>
      <c r="H607" s="207"/>
      <c r="I607" s="207"/>
      <c r="J607" s="207"/>
      <c r="K607" s="207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  <c r="AA607" s="207"/>
      <c r="AB607" s="207"/>
      <c r="AC607" s="207"/>
      <c r="AD607" s="207"/>
      <c r="AE607" s="207"/>
      <c r="AF607" s="207"/>
      <c r="AG607" s="207"/>
      <c r="AH607" s="207"/>
      <c r="AI607" s="207"/>
      <c r="AJ607" s="207"/>
      <c r="AK607" s="207"/>
      <c r="AL607" s="207"/>
      <c r="AM607" s="207"/>
      <c r="AN607" s="207"/>
      <c r="AO607" s="207"/>
      <c r="AP607" s="207"/>
      <c r="AQ607" s="207"/>
      <c r="AR607" s="207"/>
      <c r="AS607" s="207"/>
      <c r="AT607" s="207"/>
      <c r="AU607" s="207"/>
      <c r="AV607" s="207"/>
      <c r="AW607" s="207"/>
      <c r="AX607" s="207"/>
      <c r="AY607" s="207"/>
      <c r="AZ607" s="207"/>
      <c r="BA607" s="207"/>
    </row>
    <row r="608" ht="18.75" hidden="1" customHeight="1">
      <c r="A608" s="207"/>
      <c r="B608" s="207"/>
      <c r="C608" s="207"/>
      <c r="D608" s="207"/>
      <c r="E608" s="207"/>
      <c r="F608" s="207"/>
      <c r="G608" s="207"/>
      <c r="H608" s="207"/>
      <c r="I608" s="207"/>
      <c r="J608" s="207"/>
      <c r="K608" s="207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  <c r="AA608" s="207"/>
      <c r="AB608" s="207"/>
      <c r="AC608" s="207"/>
      <c r="AD608" s="207"/>
      <c r="AE608" s="207"/>
      <c r="AF608" s="207"/>
      <c r="AG608" s="207"/>
      <c r="AH608" s="207"/>
      <c r="AI608" s="207"/>
      <c r="AJ608" s="207"/>
      <c r="AK608" s="207"/>
      <c r="AL608" s="207"/>
      <c r="AM608" s="207"/>
      <c r="AN608" s="207"/>
      <c r="AO608" s="207"/>
      <c r="AP608" s="207"/>
      <c r="AQ608" s="207"/>
      <c r="AR608" s="207"/>
      <c r="AS608" s="207"/>
      <c r="AT608" s="207"/>
      <c r="AU608" s="207"/>
      <c r="AV608" s="207"/>
      <c r="AW608" s="207"/>
      <c r="AX608" s="207"/>
      <c r="AY608" s="207"/>
      <c r="AZ608" s="207"/>
      <c r="BA608" s="207"/>
    </row>
    <row r="609" ht="18.75" hidden="1" customHeight="1">
      <c r="A609" s="207"/>
      <c r="B609" s="207"/>
      <c r="C609" s="207"/>
      <c r="D609" s="207"/>
      <c r="E609" s="207"/>
      <c r="F609" s="207"/>
      <c r="G609" s="207"/>
      <c r="H609" s="207"/>
      <c r="I609" s="207"/>
      <c r="J609" s="207"/>
      <c r="K609" s="207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  <c r="AA609" s="207"/>
      <c r="AB609" s="207"/>
      <c r="AC609" s="207"/>
      <c r="AD609" s="207"/>
      <c r="AE609" s="207"/>
      <c r="AF609" s="207"/>
      <c r="AG609" s="207"/>
      <c r="AH609" s="207"/>
      <c r="AI609" s="207"/>
      <c r="AJ609" s="207"/>
      <c r="AK609" s="207"/>
      <c r="AL609" s="207"/>
      <c r="AM609" s="207"/>
      <c r="AN609" s="207"/>
      <c r="AO609" s="207"/>
      <c r="AP609" s="207"/>
      <c r="AQ609" s="207"/>
      <c r="AR609" s="207"/>
      <c r="AS609" s="207"/>
      <c r="AT609" s="207"/>
      <c r="AU609" s="207"/>
      <c r="AV609" s="207"/>
      <c r="AW609" s="207"/>
      <c r="AX609" s="207"/>
      <c r="AY609" s="207"/>
      <c r="AZ609" s="207"/>
      <c r="BA609" s="207"/>
    </row>
    <row r="610" ht="18.75" hidden="1" customHeight="1">
      <c r="A610" s="207"/>
      <c r="B610" s="207"/>
      <c r="C610" s="207"/>
      <c r="D610" s="207"/>
      <c r="E610" s="207"/>
      <c r="F610" s="207"/>
      <c r="G610" s="207"/>
      <c r="H610" s="207"/>
      <c r="I610" s="207"/>
      <c r="J610" s="207"/>
      <c r="K610" s="207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  <c r="AA610" s="207"/>
      <c r="AB610" s="207"/>
      <c r="AC610" s="207"/>
      <c r="AD610" s="207"/>
      <c r="AE610" s="207"/>
      <c r="AF610" s="207"/>
      <c r="AG610" s="207"/>
      <c r="AH610" s="207"/>
      <c r="AI610" s="207"/>
      <c r="AJ610" s="207"/>
      <c r="AK610" s="207"/>
      <c r="AL610" s="207"/>
      <c r="AM610" s="207"/>
      <c r="AN610" s="207"/>
      <c r="AO610" s="207"/>
      <c r="AP610" s="207"/>
      <c r="AQ610" s="207"/>
      <c r="AR610" s="207"/>
      <c r="AS610" s="207"/>
      <c r="AT610" s="207"/>
      <c r="AU610" s="207"/>
      <c r="AV610" s="207"/>
      <c r="AW610" s="207"/>
      <c r="AX610" s="207"/>
      <c r="AY610" s="207"/>
      <c r="AZ610" s="207"/>
      <c r="BA610" s="207"/>
    </row>
    <row r="611" ht="18.75" hidden="1" customHeight="1">
      <c r="A611" s="207"/>
      <c r="B611" s="207"/>
      <c r="C611" s="207"/>
      <c r="D611" s="207"/>
      <c r="E611" s="207"/>
      <c r="F611" s="207"/>
      <c r="G611" s="207"/>
      <c r="H611" s="207"/>
      <c r="I611" s="207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  <c r="AA611" s="207"/>
      <c r="AB611" s="207"/>
      <c r="AC611" s="207"/>
      <c r="AD611" s="207"/>
      <c r="AE611" s="207"/>
      <c r="AF611" s="207"/>
      <c r="AG611" s="207"/>
      <c r="AH611" s="207"/>
      <c r="AI611" s="207"/>
      <c r="AJ611" s="207"/>
      <c r="AK611" s="207"/>
      <c r="AL611" s="207"/>
      <c r="AM611" s="207"/>
      <c r="AN611" s="207"/>
      <c r="AO611" s="207"/>
      <c r="AP611" s="207"/>
      <c r="AQ611" s="207"/>
      <c r="AR611" s="207"/>
      <c r="AS611" s="207"/>
      <c r="AT611" s="207"/>
      <c r="AU611" s="207"/>
      <c r="AV611" s="207"/>
      <c r="AW611" s="207"/>
      <c r="AX611" s="207"/>
      <c r="AY611" s="207"/>
      <c r="AZ611" s="207"/>
      <c r="BA611" s="207"/>
    </row>
    <row r="612" ht="18.75" hidden="1" customHeight="1">
      <c r="A612" s="207"/>
      <c r="B612" s="207"/>
      <c r="C612" s="207"/>
      <c r="D612" s="207"/>
      <c r="E612" s="207"/>
      <c r="F612" s="207"/>
      <c r="G612" s="207"/>
      <c r="H612" s="207"/>
      <c r="I612" s="207"/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  <c r="AA612" s="207"/>
      <c r="AB612" s="207"/>
      <c r="AC612" s="207"/>
      <c r="AD612" s="207"/>
      <c r="AE612" s="207"/>
      <c r="AF612" s="207"/>
      <c r="AG612" s="207"/>
      <c r="AH612" s="207"/>
      <c r="AI612" s="207"/>
      <c r="AJ612" s="207"/>
      <c r="AK612" s="207"/>
      <c r="AL612" s="207"/>
      <c r="AM612" s="207"/>
      <c r="AN612" s="207"/>
      <c r="AO612" s="207"/>
      <c r="AP612" s="207"/>
      <c r="AQ612" s="207"/>
      <c r="AR612" s="207"/>
      <c r="AS612" s="207"/>
      <c r="AT612" s="207"/>
      <c r="AU612" s="207"/>
      <c r="AV612" s="207"/>
      <c r="AW612" s="207"/>
      <c r="AX612" s="207"/>
      <c r="AY612" s="207"/>
      <c r="AZ612" s="207"/>
      <c r="BA612" s="207"/>
    </row>
    <row r="613" ht="18.75" hidden="1" customHeight="1">
      <c r="A613" s="207"/>
      <c r="B613" s="207"/>
      <c r="C613" s="207"/>
      <c r="D613" s="207"/>
      <c r="E613" s="207"/>
      <c r="F613" s="207"/>
      <c r="G613" s="207"/>
      <c r="H613" s="207"/>
      <c r="I613" s="207"/>
      <c r="J613" s="207"/>
      <c r="K613" s="207"/>
      <c r="L613" s="207"/>
      <c r="M613" s="207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  <c r="AA613" s="207"/>
      <c r="AB613" s="207"/>
      <c r="AC613" s="207"/>
      <c r="AD613" s="207"/>
      <c r="AE613" s="207"/>
      <c r="AF613" s="207"/>
      <c r="AG613" s="207"/>
      <c r="AH613" s="207"/>
      <c r="AI613" s="207"/>
      <c r="AJ613" s="207"/>
      <c r="AK613" s="207"/>
      <c r="AL613" s="207"/>
      <c r="AM613" s="207"/>
      <c r="AN613" s="207"/>
      <c r="AO613" s="207"/>
      <c r="AP613" s="207"/>
      <c r="AQ613" s="207"/>
      <c r="AR613" s="207"/>
      <c r="AS613" s="207"/>
      <c r="AT613" s="207"/>
      <c r="AU613" s="207"/>
      <c r="AV613" s="207"/>
      <c r="AW613" s="207"/>
      <c r="AX613" s="207"/>
      <c r="AY613" s="207"/>
      <c r="AZ613" s="207"/>
      <c r="BA613" s="207"/>
    </row>
    <row r="614" ht="18.75" hidden="1" customHeight="1">
      <c r="A614" s="207"/>
      <c r="B614" s="207"/>
      <c r="C614" s="207"/>
      <c r="D614" s="207"/>
      <c r="E614" s="207"/>
      <c r="F614" s="207"/>
      <c r="G614" s="207"/>
      <c r="H614" s="207"/>
      <c r="I614" s="207"/>
      <c r="J614" s="207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  <c r="Z614" s="207"/>
      <c r="AA614" s="207"/>
      <c r="AB614" s="207"/>
      <c r="AC614" s="207"/>
      <c r="AD614" s="207"/>
      <c r="AE614" s="207"/>
      <c r="AF614" s="207"/>
      <c r="AG614" s="207"/>
      <c r="AH614" s="207"/>
      <c r="AI614" s="207"/>
      <c r="AJ614" s="207"/>
      <c r="AK614" s="207"/>
      <c r="AL614" s="207"/>
      <c r="AM614" s="207"/>
      <c r="AN614" s="207"/>
      <c r="AO614" s="207"/>
      <c r="AP614" s="207"/>
      <c r="AQ614" s="207"/>
      <c r="AR614" s="207"/>
      <c r="AS614" s="207"/>
      <c r="AT614" s="207"/>
      <c r="AU614" s="207"/>
      <c r="AV614" s="207"/>
      <c r="AW614" s="207"/>
      <c r="AX614" s="207"/>
      <c r="AY614" s="207"/>
      <c r="AZ614" s="207"/>
      <c r="BA614" s="207"/>
    </row>
    <row r="615" ht="18.75" hidden="1" customHeight="1">
      <c r="A615" s="207"/>
      <c r="B615" s="207"/>
      <c r="C615" s="207"/>
      <c r="D615" s="207"/>
      <c r="E615" s="207"/>
      <c r="F615" s="207"/>
      <c r="G615" s="207"/>
      <c r="H615" s="207"/>
      <c r="I615" s="207"/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  <c r="AA615" s="207"/>
      <c r="AB615" s="207"/>
      <c r="AC615" s="207"/>
      <c r="AD615" s="207"/>
      <c r="AE615" s="207"/>
      <c r="AF615" s="207"/>
      <c r="AG615" s="207"/>
      <c r="AH615" s="207"/>
      <c r="AI615" s="207"/>
      <c r="AJ615" s="207"/>
      <c r="AK615" s="207"/>
      <c r="AL615" s="207"/>
      <c r="AM615" s="207"/>
      <c r="AN615" s="207"/>
      <c r="AO615" s="207"/>
      <c r="AP615" s="207"/>
      <c r="AQ615" s="207"/>
      <c r="AR615" s="207"/>
      <c r="AS615" s="207"/>
      <c r="AT615" s="207"/>
      <c r="AU615" s="207"/>
      <c r="AV615" s="207"/>
      <c r="AW615" s="207"/>
      <c r="AX615" s="207"/>
      <c r="AY615" s="207"/>
      <c r="AZ615" s="207"/>
      <c r="BA615" s="207"/>
    </row>
    <row r="616" ht="18.75" hidden="1" customHeight="1">
      <c r="A616" s="207"/>
      <c r="B616" s="207"/>
      <c r="C616" s="207"/>
      <c r="D616" s="207"/>
      <c r="E616" s="207"/>
      <c r="F616" s="207"/>
      <c r="G616" s="207"/>
      <c r="H616" s="207"/>
      <c r="I616" s="207"/>
      <c r="J616" s="207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  <c r="AA616" s="207"/>
      <c r="AB616" s="207"/>
      <c r="AC616" s="207"/>
      <c r="AD616" s="207"/>
      <c r="AE616" s="207"/>
      <c r="AF616" s="207"/>
      <c r="AG616" s="207"/>
      <c r="AH616" s="207"/>
      <c r="AI616" s="207"/>
      <c r="AJ616" s="207"/>
      <c r="AK616" s="207"/>
      <c r="AL616" s="207"/>
      <c r="AM616" s="207"/>
      <c r="AN616" s="207"/>
      <c r="AO616" s="207"/>
      <c r="AP616" s="207"/>
      <c r="AQ616" s="207"/>
      <c r="AR616" s="207"/>
      <c r="AS616" s="207"/>
      <c r="AT616" s="207"/>
      <c r="AU616" s="207"/>
      <c r="AV616" s="207"/>
      <c r="AW616" s="207"/>
      <c r="AX616" s="207"/>
      <c r="AY616" s="207"/>
      <c r="AZ616" s="207"/>
      <c r="BA616" s="207"/>
    </row>
    <row r="617" ht="18.75" hidden="1" customHeight="1">
      <c r="A617" s="207"/>
      <c r="B617" s="207"/>
      <c r="C617" s="207"/>
      <c r="D617" s="207"/>
      <c r="E617" s="207"/>
      <c r="F617" s="207"/>
      <c r="G617" s="207"/>
      <c r="H617" s="207"/>
      <c r="I617" s="207"/>
      <c r="J617" s="207"/>
      <c r="K617" s="207"/>
      <c r="L617" s="207"/>
      <c r="M617" s="207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  <c r="AA617" s="207"/>
      <c r="AB617" s="207"/>
      <c r="AC617" s="207"/>
      <c r="AD617" s="207"/>
      <c r="AE617" s="207"/>
      <c r="AF617" s="207"/>
      <c r="AG617" s="207"/>
      <c r="AH617" s="207"/>
      <c r="AI617" s="207"/>
      <c r="AJ617" s="207"/>
      <c r="AK617" s="207"/>
      <c r="AL617" s="207"/>
      <c r="AM617" s="207"/>
      <c r="AN617" s="207"/>
      <c r="AO617" s="207"/>
      <c r="AP617" s="207"/>
      <c r="AQ617" s="207"/>
      <c r="AR617" s="207"/>
      <c r="AS617" s="207"/>
      <c r="AT617" s="207"/>
      <c r="AU617" s="207"/>
      <c r="AV617" s="207"/>
      <c r="AW617" s="207"/>
      <c r="AX617" s="207"/>
      <c r="AY617" s="207"/>
      <c r="AZ617" s="207"/>
      <c r="BA617" s="207"/>
    </row>
    <row r="618" ht="18.75" hidden="1" customHeight="1">
      <c r="A618" s="207"/>
      <c r="B618" s="207"/>
      <c r="C618" s="207"/>
      <c r="D618" s="207"/>
      <c r="E618" s="207"/>
      <c r="F618" s="207"/>
      <c r="G618" s="207"/>
      <c r="H618" s="207"/>
      <c r="I618" s="207"/>
      <c r="J618" s="207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  <c r="AA618" s="207"/>
      <c r="AB618" s="207"/>
      <c r="AC618" s="207"/>
      <c r="AD618" s="207"/>
      <c r="AE618" s="207"/>
      <c r="AF618" s="207"/>
      <c r="AG618" s="207"/>
      <c r="AH618" s="207"/>
      <c r="AI618" s="207"/>
      <c r="AJ618" s="207"/>
      <c r="AK618" s="207"/>
      <c r="AL618" s="207"/>
      <c r="AM618" s="207"/>
      <c r="AN618" s="207"/>
      <c r="AO618" s="207"/>
      <c r="AP618" s="207"/>
      <c r="AQ618" s="207"/>
      <c r="AR618" s="207"/>
      <c r="AS618" s="207"/>
      <c r="AT618" s="207"/>
      <c r="AU618" s="207"/>
      <c r="AV618" s="207"/>
      <c r="AW618" s="207"/>
      <c r="AX618" s="207"/>
      <c r="AY618" s="207"/>
      <c r="AZ618" s="207"/>
      <c r="BA618" s="207"/>
    </row>
    <row r="619" ht="18.75" hidden="1" customHeight="1">
      <c r="A619" s="207"/>
      <c r="B619" s="207"/>
      <c r="C619" s="207"/>
      <c r="D619" s="207"/>
      <c r="E619" s="207"/>
      <c r="F619" s="207"/>
      <c r="G619" s="207"/>
      <c r="H619" s="207"/>
      <c r="I619" s="207"/>
      <c r="J619" s="207"/>
      <c r="K619" s="207"/>
      <c r="L619" s="207"/>
      <c r="M619" s="207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  <c r="AA619" s="207"/>
      <c r="AB619" s="207"/>
      <c r="AC619" s="207"/>
      <c r="AD619" s="207"/>
      <c r="AE619" s="207"/>
      <c r="AF619" s="207"/>
      <c r="AG619" s="207"/>
      <c r="AH619" s="207"/>
      <c r="AI619" s="207"/>
      <c r="AJ619" s="207"/>
      <c r="AK619" s="207"/>
      <c r="AL619" s="207"/>
      <c r="AM619" s="207"/>
      <c r="AN619" s="207"/>
      <c r="AO619" s="207"/>
      <c r="AP619" s="207"/>
      <c r="AQ619" s="207"/>
      <c r="AR619" s="207"/>
      <c r="AS619" s="207"/>
      <c r="AT619" s="207"/>
      <c r="AU619" s="207"/>
      <c r="AV619" s="207"/>
      <c r="AW619" s="207"/>
      <c r="AX619" s="207"/>
      <c r="AY619" s="207"/>
      <c r="AZ619" s="207"/>
      <c r="BA619" s="207"/>
    </row>
    <row r="620" ht="18.75" hidden="1" customHeight="1">
      <c r="A620" s="207"/>
      <c r="B620" s="207"/>
      <c r="C620" s="207"/>
      <c r="D620" s="207"/>
      <c r="E620" s="207"/>
      <c r="F620" s="207"/>
      <c r="G620" s="207"/>
      <c r="H620" s="207"/>
      <c r="I620" s="207"/>
      <c r="J620" s="207"/>
      <c r="K620" s="207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  <c r="AA620" s="207"/>
      <c r="AB620" s="207"/>
      <c r="AC620" s="207"/>
      <c r="AD620" s="207"/>
      <c r="AE620" s="207"/>
      <c r="AF620" s="207"/>
      <c r="AG620" s="207"/>
      <c r="AH620" s="207"/>
      <c r="AI620" s="207"/>
      <c r="AJ620" s="207"/>
      <c r="AK620" s="207"/>
      <c r="AL620" s="207"/>
      <c r="AM620" s="207"/>
      <c r="AN620" s="207"/>
      <c r="AO620" s="207"/>
      <c r="AP620" s="207"/>
      <c r="AQ620" s="207"/>
      <c r="AR620" s="207"/>
      <c r="AS620" s="207"/>
      <c r="AT620" s="207"/>
      <c r="AU620" s="207"/>
      <c r="AV620" s="207"/>
      <c r="AW620" s="207"/>
      <c r="AX620" s="207"/>
      <c r="AY620" s="207"/>
      <c r="AZ620" s="207"/>
      <c r="BA620" s="207"/>
    </row>
    <row r="621" ht="18.75" hidden="1" customHeight="1">
      <c r="A621" s="207"/>
      <c r="B621" s="207"/>
      <c r="C621" s="207"/>
      <c r="D621" s="207"/>
      <c r="E621" s="207"/>
      <c r="F621" s="207"/>
      <c r="G621" s="207"/>
      <c r="H621" s="207"/>
      <c r="I621" s="207"/>
      <c r="J621" s="207"/>
      <c r="K621" s="207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  <c r="AA621" s="207"/>
      <c r="AB621" s="207"/>
      <c r="AC621" s="207"/>
      <c r="AD621" s="207"/>
      <c r="AE621" s="207"/>
      <c r="AF621" s="207"/>
      <c r="AG621" s="207"/>
      <c r="AH621" s="207"/>
      <c r="AI621" s="207"/>
      <c r="AJ621" s="207"/>
      <c r="AK621" s="207"/>
      <c r="AL621" s="207"/>
      <c r="AM621" s="207"/>
      <c r="AN621" s="207"/>
      <c r="AO621" s="207"/>
      <c r="AP621" s="207"/>
      <c r="AQ621" s="207"/>
      <c r="AR621" s="207"/>
      <c r="AS621" s="207"/>
      <c r="AT621" s="207"/>
      <c r="AU621" s="207"/>
      <c r="AV621" s="207"/>
      <c r="AW621" s="207"/>
      <c r="AX621" s="207"/>
      <c r="AY621" s="207"/>
      <c r="AZ621" s="207"/>
      <c r="BA621" s="207"/>
    </row>
    <row r="622" ht="18.75" hidden="1" customHeight="1">
      <c r="A622" s="207"/>
      <c r="B622" s="207"/>
      <c r="C622" s="207"/>
      <c r="D622" s="207"/>
      <c r="E622" s="207"/>
      <c r="F622" s="207"/>
      <c r="G622" s="207"/>
      <c r="H622" s="207"/>
      <c r="I622" s="207"/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  <c r="AA622" s="207"/>
      <c r="AB622" s="207"/>
      <c r="AC622" s="207"/>
      <c r="AD622" s="207"/>
      <c r="AE622" s="207"/>
      <c r="AF622" s="207"/>
      <c r="AG622" s="207"/>
      <c r="AH622" s="207"/>
      <c r="AI622" s="207"/>
      <c r="AJ622" s="207"/>
      <c r="AK622" s="207"/>
      <c r="AL622" s="207"/>
      <c r="AM622" s="207"/>
      <c r="AN622" s="207"/>
      <c r="AO622" s="207"/>
      <c r="AP622" s="207"/>
      <c r="AQ622" s="207"/>
      <c r="AR622" s="207"/>
      <c r="AS622" s="207"/>
      <c r="AT622" s="207"/>
      <c r="AU622" s="207"/>
      <c r="AV622" s="207"/>
      <c r="AW622" s="207"/>
      <c r="AX622" s="207"/>
      <c r="AY622" s="207"/>
      <c r="AZ622" s="207"/>
      <c r="BA622" s="207"/>
    </row>
    <row r="623" ht="18.75" hidden="1" customHeight="1">
      <c r="A623" s="207"/>
      <c r="B623" s="207"/>
      <c r="C623" s="207"/>
      <c r="D623" s="207"/>
      <c r="E623" s="207"/>
      <c r="F623" s="207"/>
      <c r="G623" s="207"/>
      <c r="H623" s="207"/>
      <c r="I623" s="207"/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  <c r="AA623" s="207"/>
      <c r="AB623" s="207"/>
      <c r="AC623" s="207"/>
      <c r="AD623" s="207"/>
      <c r="AE623" s="207"/>
      <c r="AF623" s="207"/>
      <c r="AG623" s="207"/>
      <c r="AH623" s="207"/>
      <c r="AI623" s="207"/>
      <c r="AJ623" s="207"/>
      <c r="AK623" s="207"/>
      <c r="AL623" s="207"/>
      <c r="AM623" s="207"/>
      <c r="AN623" s="207"/>
      <c r="AO623" s="207"/>
      <c r="AP623" s="207"/>
      <c r="AQ623" s="207"/>
      <c r="AR623" s="207"/>
      <c r="AS623" s="207"/>
      <c r="AT623" s="207"/>
      <c r="AU623" s="207"/>
      <c r="AV623" s="207"/>
      <c r="AW623" s="207"/>
      <c r="AX623" s="207"/>
      <c r="AY623" s="207"/>
      <c r="AZ623" s="207"/>
      <c r="BA623" s="207"/>
    </row>
    <row r="624" ht="18.75" hidden="1" customHeight="1">
      <c r="A624" s="207"/>
      <c r="B624" s="207"/>
      <c r="C624" s="207"/>
      <c r="D624" s="207"/>
      <c r="E624" s="207"/>
      <c r="F624" s="207"/>
      <c r="G624" s="207"/>
      <c r="H624" s="207"/>
      <c r="I624" s="207"/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  <c r="AA624" s="207"/>
      <c r="AB624" s="207"/>
      <c r="AC624" s="207"/>
      <c r="AD624" s="207"/>
      <c r="AE624" s="207"/>
      <c r="AF624" s="207"/>
      <c r="AG624" s="207"/>
      <c r="AH624" s="207"/>
      <c r="AI624" s="207"/>
      <c r="AJ624" s="207"/>
      <c r="AK624" s="207"/>
      <c r="AL624" s="207"/>
      <c r="AM624" s="207"/>
      <c r="AN624" s="207"/>
      <c r="AO624" s="207"/>
      <c r="AP624" s="207"/>
      <c r="AQ624" s="207"/>
      <c r="AR624" s="207"/>
      <c r="AS624" s="207"/>
      <c r="AT624" s="207"/>
      <c r="AU624" s="207"/>
      <c r="AV624" s="207"/>
      <c r="AW624" s="207"/>
      <c r="AX624" s="207"/>
      <c r="AY624" s="207"/>
      <c r="AZ624" s="207"/>
      <c r="BA624" s="207"/>
    </row>
    <row r="625" ht="18.75" hidden="1" customHeight="1">
      <c r="A625" s="207"/>
      <c r="B625" s="207"/>
      <c r="C625" s="207"/>
      <c r="D625" s="207"/>
      <c r="E625" s="207"/>
      <c r="F625" s="207"/>
      <c r="G625" s="207"/>
      <c r="H625" s="207"/>
      <c r="I625" s="207"/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  <c r="AA625" s="207"/>
      <c r="AB625" s="207"/>
      <c r="AC625" s="207"/>
      <c r="AD625" s="207"/>
      <c r="AE625" s="207"/>
      <c r="AF625" s="207"/>
      <c r="AG625" s="207"/>
      <c r="AH625" s="207"/>
      <c r="AI625" s="207"/>
      <c r="AJ625" s="207"/>
      <c r="AK625" s="207"/>
      <c r="AL625" s="207"/>
      <c r="AM625" s="207"/>
      <c r="AN625" s="207"/>
      <c r="AO625" s="207"/>
      <c r="AP625" s="207"/>
      <c r="AQ625" s="207"/>
      <c r="AR625" s="207"/>
      <c r="AS625" s="207"/>
      <c r="AT625" s="207"/>
      <c r="AU625" s="207"/>
      <c r="AV625" s="207"/>
      <c r="AW625" s="207"/>
      <c r="AX625" s="207"/>
      <c r="AY625" s="207"/>
      <c r="AZ625" s="207"/>
      <c r="BA625" s="207"/>
    </row>
    <row r="626" ht="18.75" hidden="1" customHeight="1">
      <c r="A626" s="207"/>
      <c r="B626" s="207"/>
      <c r="C626" s="207"/>
      <c r="D626" s="207"/>
      <c r="E626" s="207"/>
      <c r="F626" s="207"/>
      <c r="G626" s="207"/>
      <c r="H626" s="207"/>
      <c r="I626" s="207"/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  <c r="AA626" s="207"/>
      <c r="AB626" s="207"/>
      <c r="AC626" s="207"/>
      <c r="AD626" s="207"/>
      <c r="AE626" s="207"/>
      <c r="AF626" s="207"/>
      <c r="AG626" s="207"/>
      <c r="AH626" s="207"/>
      <c r="AI626" s="207"/>
      <c r="AJ626" s="207"/>
      <c r="AK626" s="207"/>
      <c r="AL626" s="207"/>
      <c r="AM626" s="207"/>
      <c r="AN626" s="207"/>
      <c r="AO626" s="207"/>
      <c r="AP626" s="207"/>
      <c r="AQ626" s="207"/>
      <c r="AR626" s="207"/>
      <c r="AS626" s="207"/>
      <c r="AT626" s="207"/>
      <c r="AU626" s="207"/>
      <c r="AV626" s="207"/>
      <c r="AW626" s="207"/>
      <c r="AX626" s="207"/>
      <c r="AY626" s="207"/>
      <c r="AZ626" s="207"/>
      <c r="BA626" s="207"/>
    </row>
    <row r="627" ht="18.75" hidden="1" customHeight="1">
      <c r="A627" s="207"/>
      <c r="B627" s="207"/>
      <c r="C627" s="207"/>
      <c r="D627" s="207"/>
      <c r="E627" s="207"/>
      <c r="F627" s="207"/>
      <c r="G627" s="207"/>
      <c r="H627" s="207"/>
      <c r="I627" s="207"/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  <c r="AA627" s="207"/>
      <c r="AB627" s="207"/>
      <c r="AC627" s="207"/>
      <c r="AD627" s="207"/>
      <c r="AE627" s="207"/>
      <c r="AF627" s="207"/>
      <c r="AG627" s="207"/>
      <c r="AH627" s="207"/>
      <c r="AI627" s="207"/>
      <c r="AJ627" s="207"/>
      <c r="AK627" s="207"/>
      <c r="AL627" s="207"/>
      <c r="AM627" s="207"/>
      <c r="AN627" s="207"/>
      <c r="AO627" s="207"/>
      <c r="AP627" s="207"/>
      <c r="AQ627" s="207"/>
      <c r="AR627" s="207"/>
      <c r="AS627" s="207"/>
      <c r="AT627" s="207"/>
      <c r="AU627" s="207"/>
      <c r="AV627" s="207"/>
      <c r="AW627" s="207"/>
      <c r="AX627" s="207"/>
      <c r="AY627" s="207"/>
      <c r="AZ627" s="207"/>
      <c r="BA627" s="207"/>
    </row>
    <row r="628" ht="18.75" hidden="1" customHeight="1">
      <c r="A628" s="207"/>
      <c r="B628" s="207"/>
      <c r="C628" s="207"/>
      <c r="D628" s="207"/>
      <c r="E628" s="207"/>
      <c r="F628" s="207"/>
      <c r="G628" s="207"/>
      <c r="H628" s="207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  <c r="AA628" s="207"/>
      <c r="AB628" s="207"/>
      <c r="AC628" s="207"/>
      <c r="AD628" s="207"/>
      <c r="AE628" s="207"/>
      <c r="AF628" s="207"/>
      <c r="AG628" s="207"/>
      <c r="AH628" s="207"/>
      <c r="AI628" s="207"/>
      <c r="AJ628" s="207"/>
      <c r="AK628" s="207"/>
      <c r="AL628" s="207"/>
      <c r="AM628" s="207"/>
      <c r="AN628" s="207"/>
      <c r="AO628" s="207"/>
      <c r="AP628" s="207"/>
      <c r="AQ628" s="207"/>
      <c r="AR628" s="207"/>
      <c r="AS628" s="207"/>
      <c r="AT628" s="207"/>
      <c r="AU628" s="207"/>
      <c r="AV628" s="207"/>
      <c r="AW628" s="207"/>
      <c r="AX628" s="207"/>
      <c r="AY628" s="207"/>
      <c r="AZ628" s="207"/>
      <c r="BA628" s="207"/>
    </row>
    <row r="629" ht="18.75" hidden="1" customHeight="1">
      <c r="A629" s="207"/>
      <c r="B629" s="207"/>
      <c r="C629" s="207"/>
      <c r="D629" s="207"/>
      <c r="E629" s="207"/>
      <c r="F629" s="207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  <c r="AA629" s="207"/>
      <c r="AB629" s="207"/>
      <c r="AC629" s="207"/>
      <c r="AD629" s="207"/>
      <c r="AE629" s="207"/>
      <c r="AF629" s="207"/>
      <c r="AG629" s="207"/>
      <c r="AH629" s="207"/>
      <c r="AI629" s="207"/>
      <c r="AJ629" s="207"/>
      <c r="AK629" s="207"/>
      <c r="AL629" s="207"/>
      <c r="AM629" s="207"/>
      <c r="AN629" s="207"/>
      <c r="AO629" s="207"/>
      <c r="AP629" s="207"/>
      <c r="AQ629" s="207"/>
      <c r="AR629" s="207"/>
      <c r="AS629" s="207"/>
      <c r="AT629" s="207"/>
      <c r="AU629" s="207"/>
      <c r="AV629" s="207"/>
      <c r="AW629" s="207"/>
      <c r="AX629" s="207"/>
      <c r="AY629" s="207"/>
      <c r="AZ629" s="207"/>
      <c r="BA629" s="207"/>
    </row>
    <row r="630" ht="18.75" hidden="1" customHeight="1">
      <c r="A630" s="207"/>
      <c r="B630" s="207"/>
      <c r="C630" s="207"/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  <c r="AA630" s="207"/>
      <c r="AB630" s="207"/>
      <c r="AC630" s="207"/>
      <c r="AD630" s="207"/>
      <c r="AE630" s="207"/>
      <c r="AF630" s="207"/>
      <c r="AG630" s="207"/>
      <c r="AH630" s="207"/>
      <c r="AI630" s="207"/>
      <c r="AJ630" s="207"/>
      <c r="AK630" s="207"/>
      <c r="AL630" s="207"/>
      <c r="AM630" s="207"/>
      <c r="AN630" s="207"/>
      <c r="AO630" s="207"/>
      <c r="AP630" s="207"/>
      <c r="AQ630" s="207"/>
      <c r="AR630" s="207"/>
      <c r="AS630" s="207"/>
      <c r="AT630" s="207"/>
      <c r="AU630" s="207"/>
      <c r="AV630" s="207"/>
      <c r="AW630" s="207"/>
      <c r="AX630" s="207"/>
      <c r="AY630" s="207"/>
      <c r="AZ630" s="207"/>
      <c r="BA630" s="207"/>
    </row>
    <row r="631" ht="18.75" hidden="1" customHeight="1">
      <c r="A631" s="207"/>
      <c r="B631" s="207"/>
      <c r="C631" s="207"/>
      <c r="D631" s="207"/>
      <c r="E631" s="207"/>
      <c r="F631" s="207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  <c r="AA631" s="207"/>
      <c r="AB631" s="207"/>
      <c r="AC631" s="207"/>
      <c r="AD631" s="207"/>
      <c r="AE631" s="207"/>
      <c r="AF631" s="207"/>
      <c r="AG631" s="207"/>
      <c r="AH631" s="207"/>
      <c r="AI631" s="207"/>
      <c r="AJ631" s="207"/>
      <c r="AK631" s="207"/>
      <c r="AL631" s="207"/>
      <c r="AM631" s="207"/>
      <c r="AN631" s="207"/>
      <c r="AO631" s="207"/>
      <c r="AP631" s="207"/>
      <c r="AQ631" s="207"/>
      <c r="AR631" s="207"/>
      <c r="AS631" s="207"/>
      <c r="AT631" s="207"/>
      <c r="AU631" s="207"/>
      <c r="AV631" s="207"/>
      <c r="AW631" s="207"/>
      <c r="AX631" s="207"/>
      <c r="AY631" s="207"/>
      <c r="AZ631" s="207"/>
      <c r="BA631" s="207"/>
    </row>
    <row r="632" ht="18.75" hidden="1" customHeight="1">
      <c r="A632" s="207"/>
      <c r="B632" s="207"/>
      <c r="C632" s="207"/>
      <c r="D632" s="207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  <c r="AA632" s="207"/>
      <c r="AB632" s="207"/>
      <c r="AC632" s="207"/>
      <c r="AD632" s="207"/>
      <c r="AE632" s="207"/>
      <c r="AF632" s="207"/>
      <c r="AG632" s="207"/>
      <c r="AH632" s="207"/>
      <c r="AI632" s="207"/>
      <c r="AJ632" s="207"/>
      <c r="AK632" s="207"/>
      <c r="AL632" s="207"/>
      <c r="AM632" s="207"/>
      <c r="AN632" s="207"/>
      <c r="AO632" s="207"/>
      <c r="AP632" s="207"/>
      <c r="AQ632" s="207"/>
      <c r="AR632" s="207"/>
      <c r="AS632" s="207"/>
      <c r="AT632" s="207"/>
      <c r="AU632" s="207"/>
      <c r="AV632" s="207"/>
      <c r="AW632" s="207"/>
      <c r="AX632" s="207"/>
      <c r="AY632" s="207"/>
      <c r="AZ632" s="207"/>
      <c r="BA632" s="207"/>
    </row>
    <row r="633" ht="18.75" hidden="1" customHeight="1">
      <c r="A633" s="207"/>
      <c r="B633" s="207"/>
      <c r="C633" s="207"/>
      <c r="D633" s="207"/>
      <c r="E633" s="207"/>
      <c r="F633" s="207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  <c r="AA633" s="207"/>
      <c r="AB633" s="207"/>
      <c r="AC633" s="207"/>
      <c r="AD633" s="207"/>
      <c r="AE633" s="207"/>
      <c r="AF633" s="207"/>
      <c r="AG633" s="207"/>
      <c r="AH633" s="207"/>
      <c r="AI633" s="207"/>
      <c r="AJ633" s="207"/>
      <c r="AK633" s="207"/>
      <c r="AL633" s="207"/>
      <c r="AM633" s="207"/>
      <c r="AN633" s="207"/>
      <c r="AO633" s="207"/>
      <c r="AP633" s="207"/>
      <c r="AQ633" s="207"/>
      <c r="AR633" s="207"/>
      <c r="AS633" s="207"/>
      <c r="AT633" s="207"/>
      <c r="AU633" s="207"/>
      <c r="AV633" s="207"/>
      <c r="AW633" s="207"/>
      <c r="AX633" s="207"/>
      <c r="AY633" s="207"/>
      <c r="AZ633" s="207"/>
      <c r="BA633" s="207"/>
    </row>
    <row r="634" ht="18.75" hidden="1" customHeight="1">
      <c r="A634" s="207"/>
      <c r="B634" s="207"/>
      <c r="C634" s="207"/>
      <c r="D634" s="207"/>
      <c r="E634" s="207"/>
      <c r="F634" s="207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  <c r="AA634" s="207"/>
      <c r="AB634" s="207"/>
      <c r="AC634" s="207"/>
      <c r="AD634" s="207"/>
      <c r="AE634" s="207"/>
      <c r="AF634" s="207"/>
      <c r="AG634" s="207"/>
      <c r="AH634" s="207"/>
      <c r="AI634" s="207"/>
      <c r="AJ634" s="207"/>
      <c r="AK634" s="207"/>
      <c r="AL634" s="207"/>
      <c r="AM634" s="207"/>
      <c r="AN634" s="207"/>
      <c r="AO634" s="207"/>
      <c r="AP634" s="207"/>
      <c r="AQ634" s="207"/>
      <c r="AR634" s="207"/>
      <c r="AS634" s="207"/>
      <c r="AT634" s="207"/>
      <c r="AU634" s="207"/>
      <c r="AV634" s="207"/>
      <c r="AW634" s="207"/>
      <c r="AX634" s="207"/>
      <c r="AY634" s="207"/>
      <c r="AZ634" s="207"/>
      <c r="BA634" s="207"/>
    </row>
    <row r="635" ht="18.75" hidden="1" customHeight="1">
      <c r="A635" s="207"/>
      <c r="B635" s="207"/>
      <c r="C635" s="207"/>
      <c r="D635" s="207"/>
      <c r="E635" s="207"/>
      <c r="F635" s="207"/>
      <c r="G635" s="207"/>
      <c r="H635" s="207"/>
      <c r="I635" s="207"/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  <c r="AA635" s="207"/>
      <c r="AB635" s="207"/>
      <c r="AC635" s="207"/>
      <c r="AD635" s="207"/>
      <c r="AE635" s="207"/>
      <c r="AF635" s="207"/>
      <c r="AG635" s="207"/>
      <c r="AH635" s="207"/>
      <c r="AI635" s="207"/>
      <c r="AJ635" s="207"/>
      <c r="AK635" s="207"/>
      <c r="AL635" s="207"/>
      <c r="AM635" s="207"/>
      <c r="AN635" s="207"/>
      <c r="AO635" s="207"/>
      <c r="AP635" s="207"/>
      <c r="AQ635" s="207"/>
      <c r="AR635" s="207"/>
      <c r="AS635" s="207"/>
      <c r="AT635" s="207"/>
      <c r="AU635" s="207"/>
      <c r="AV635" s="207"/>
      <c r="AW635" s="207"/>
      <c r="AX635" s="207"/>
      <c r="AY635" s="207"/>
      <c r="AZ635" s="207"/>
      <c r="BA635" s="207"/>
    </row>
    <row r="636" ht="18.75" hidden="1" customHeight="1">
      <c r="A636" s="207"/>
      <c r="B636" s="207"/>
      <c r="C636" s="207"/>
      <c r="D636" s="207"/>
      <c r="E636" s="207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  <c r="AA636" s="207"/>
      <c r="AB636" s="207"/>
      <c r="AC636" s="207"/>
      <c r="AD636" s="207"/>
      <c r="AE636" s="207"/>
      <c r="AF636" s="207"/>
      <c r="AG636" s="207"/>
      <c r="AH636" s="207"/>
      <c r="AI636" s="207"/>
      <c r="AJ636" s="207"/>
      <c r="AK636" s="207"/>
      <c r="AL636" s="207"/>
      <c r="AM636" s="207"/>
      <c r="AN636" s="207"/>
      <c r="AO636" s="207"/>
      <c r="AP636" s="207"/>
      <c r="AQ636" s="207"/>
      <c r="AR636" s="207"/>
      <c r="AS636" s="207"/>
      <c r="AT636" s="207"/>
      <c r="AU636" s="207"/>
      <c r="AV636" s="207"/>
      <c r="AW636" s="207"/>
      <c r="AX636" s="207"/>
      <c r="AY636" s="207"/>
      <c r="AZ636" s="207"/>
      <c r="BA636" s="207"/>
    </row>
    <row r="637" ht="18.75" hidden="1" customHeight="1">
      <c r="A637" s="207"/>
      <c r="B637" s="207"/>
      <c r="C637" s="207"/>
      <c r="D637" s="207"/>
      <c r="E637" s="207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  <c r="AA637" s="207"/>
      <c r="AB637" s="207"/>
      <c r="AC637" s="207"/>
      <c r="AD637" s="207"/>
      <c r="AE637" s="207"/>
      <c r="AF637" s="207"/>
      <c r="AG637" s="207"/>
      <c r="AH637" s="207"/>
      <c r="AI637" s="207"/>
      <c r="AJ637" s="207"/>
      <c r="AK637" s="207"/>
      <c r="AL637" s="207"/>
      <c r="AM637" s="207"/>
      <c r="AN637" s="207"/>
      <c r="AO637" s="207"/>
      <c r="AP637" s="207"/>
      <c r="AQ637" s="207"/>
      <c r="AR637" s="207"/>
      <c r="AS637" s="207"/>
      <c r="AT637" s="207"/>
      <c r="AU637" s="207"/>
      <c r="AV637" s="207"/>
      <c r="AW637" s="207"/>
      <c r="AX637" s="207"/>
      <c r="AY637" s="207"/>
      <c r="AZ637" s="207"/>
      <c r="BA637" s="207"/>
    </row>
    <row r="638" ht="18.75" hidden="1" customHeight="1">
      <c r="A638" s="207"/>
      <c r="B638" s="207"/>
      <c r="C638" s="207"/>
      <c r="D638" s="207"/>
      <c r="E638" s="207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  <c r="AA638" s="207"/>
      <c r="AB638" s="207"/>
      <c r="AC638" s="207"/>
      <c r="AD638" s="207"/>
      <c r="AE638" s="207"/>
      <c r="AF638" s="207"/>
      <c r="AG638" s="207"/>
      <c r="AH638" s="207"/>
      <c r="AI638" s="207"/>
      <c r="AJ638" s="207"/>
      <c r="AK638" s="207"/>
      <c r="AL638" s="207"/>
      <c r="AM638" s="207"/>
      <c r="AN638" s="207"/>
      <c r="AO638" s="207"/>
      <c r="AP638" s="207"/>
      <c r="AQ638" s="207"/>
      <c r="AR638" s="207"/>
      <c r="AS638" s="207"/>
      <c r="AT638" s="207"/>
      <c r="AU638" s="207"/>
      <c r="AV638" s="207"/>
      <c r="AW638" s="207"/>
      <c r="AX638" s="207"/>
      <c r="AY638" s="207"/>
      <c r="AZ638" s="207"/>
      <c r="BA638" s="207"/>
    </row>
    <row r="639" ht="18.75" hidden="1" customHeight="1">
      <c r="A639" s="207"/>
      <c r="B639" s="207"/>
      <c r="C639" s="207"/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  <c r="AA639" s="207"/>
      <c r="AB639" s="207"/>
      <c r="AC639" s="207"/>
      <c r="AD639" s="207"/>
      <c r="AE639" s="207"/>
      <c r="AF639" s="207"/>
      <c r="AG639" s="207"/>
      <c r="AH639" s="207"/>
      <c r="AI639" s="207"/>
      <c r="AJ639" s="207"/>
      <c r="AK639" s="207"/>
      <c r="AL639" s="207"/>
      <c r="AM639" s="207"/>
      <c r="AN639" s="207"/>
      <c r="AO639" s="207"/>
      <c r="AP639" s="207"/>
      <c r="AQ639" s="207"/>
      <c r="AR639" s="207"/>
      <c r="AS639" s="207"/>
      <c r="AT639" s="207"/>
      <c r="AU639" s="207"/>
      <c r="AV639" s="207"/>
      <c r="AW639" s="207"/>
      <c r="AX639" s="207"/>
      <c r="AY639" s="207"/>
      <c r="AZ639" s="207"/>
      <c r="BA639" s="207"/>
    </row>
    <row r="640" ht="18.75" hidden="1" customHeight="1">
      <c r="A640" s="207"/>
      <c r="B640" s="207"/>
      <c r="C640" s="207"/>
      <c r="D640" s="207"/>
      <c r="E640" s="207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  <c r="AA640" s="207"/>
      <c r="AB640" s="207"/>
      <c r="AC640" s="207"/>
      <c r="AD640" s="207"/>
      <c r="AE640" s="207"/>
      <c r="AF640" s="207"/>
      <c r="AG640" s="207"/>
      <c r="AH640" s="207"/>
      <c r="AI640" s="207"/>
      <c r="AJ640" s="207"/>
      <c r="AK640" s="207"/>
      <c r="AL640" s="207"/>
      <c r="AM640" s="207"/>
      <c r="AN640" s="207"/>
      <c r="AO640" s="207"/>
      <c r="AP640" s="207"/>
      <c r="AQ640" s="207"/>
      <c r="AR640" s="207"/>
      <c r="AS640" s="207"/>
      <c r="AT640" s="207"/>
      <c r="AU640" s="207"/>
      <c r="AV640" s="207"/>
      <c r="AW640" s="207"/>
      <c r="AX640" s="207"/>
      <c r="AY640" s="207"/>
      <c r="AZ640" s="207"/>
      <c r="BA640" s="207"/>
    </row>
    <row r="641" ht="18.75" hidden="1" customHeight="1">
      <c r="A641" s="207"/>
      <c r="B641" s="207"/>
      <c r="C641" s="207"/>
      <c r="D641" s="207"/>
      <c r="E641" s="207"/>
      <c r="F641" s="207"/>
      <c r="G641" s="207"/>
      <c r="H641" s="207"/>
      <c r="I641" s="207"/>
      <c r="J641" s="207"/>
      <c r="K641" s="207"/>
      <c r="L641" s="207"/>
      <c r="M641" s="207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  <c r="AA641" s="207"/>
      <c r="AB641" s="207"/>
      <c r="AC641" s="207"/>
      <c r="AD641" s="207"/>
      <c r="AE641" s="207"/>
      <c r="AF641" s="207"/>
      <c r="AG641" s="207"/>
      <c r="AH641" s="207"/>
      <c r="AI641" s="207"/>
      <c r="AJ641" s="207"/>
      <c r="AK641" s="207"/>
      <c r="AL641" s="207"/>
      <c r="AM641" s="207"/>
      <c r="AN641" s="207"/>
      <c r="AO641" s="207"/>
      <c r="AP641" s="207"/>
      <c r="AQ641" s="207"/>
      <c r="AR641" s="207"/>
      <c r="AS641" s="207"/>
      <c r="AT641" s="207"/>
      <c r="AU641" s="207"/>
      <c r="AV641" s="207"/>
      <c r="AW641" s="207"/>
      <c r="AX641" s="207"/>
      <c r="AY641" s="207"/>
      <c r="AZ641" s="207"/>
      <c r="BA641" s="207"/>
    </row>
    <row r="642" ht="18.75" hidden="1" customHeight="1">
      <c r="A642" s="207"/>
      <c r="B642" s="207"/>
      <c r="C642" s="207"/>
      <c r="D642" s="207"/>
      <c r="E642" s="207"/>
      <c r="F642" s="207"/>
      <c r="G642" s="207"/>
      <c r="H642" s="207"/>
      <c r="I642" s="207"/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  <c r="AA642" s="207"/>
      <c r="AB642" s="207"/>
      <c r="AC642" s="207"/>
      <c r="AD642" s="207"/>
      <c r="AE642" s="207"/>
      <c r="AF642" s="207"/>
      <c r="AG642" s="207"/>
      <c r="AH642" s="207"/>
      <c r="AI642" s="207"/>
      <c r="AJ642" s="207"/>
      <c r="AK642" s="207"/>
      <c r="AL642" s="207"/>
      <c r="AM642" s="207"/>
      <c r="AN642" s="207"/>
      <c r="AO642" s="207"/>
      <c r="AP642" s="207"/>
      <c r="AQ642" s="207"/>
      <c r="AR642" s="207"/>
      <c r="AS642" s="207"/>
      <c r="AT642" s="207"/>
      <c r="AU642" s="207"/>
      <c r="AV642" s="207"/>
      <c r="AW642" s="207"/>
      <c r="AX642" s="207"/>
      <c r="AY642" s="207"/>
      <c r="AZ642" s="207"/>
      <c r="BA642" s="207"/>
    </row>
    <row r="643" ht="18.75" hidden="1" customHeight="1">
      <c r="A643" s="207"/>
      <c r="B643" s="207"/>
      <c r="C643" s="207"/>
      <c r="D643" s="207"/>
      <c r="E643" s="207"/>
      <c r="F643" s="207"/>
      <c r="G643" s="207"/>
      <c r="H643" s="207"/>
      <c r="I643" s="207"/>
      <c r="J643" s="207"/>
      <c r="K643" s="207"/>
      <c r="L643" s="207"/>
      <c r="M643" s="207"/>
      <c r="N643" s="207"/>
      <c r="O643" s="207"/>
      <c r="P643" s="207"/>
      <c r="Q643" s="207"/>
      <c r="R643" s="207"/>
      <c r="S643" s="207"/>
      <c r="T643" s="207"/>
      <c r="U643" s="207"/>
      <c r="V643" s="207"/>
      <c r="W643" s="207"/>
      <c r="X643" s="207"/>
      <c r="Y643" s="207"/>
      <c r="Z643" s="207"/>
      <c r="AA643" s="207"/>
      <c r="AB643" s="207"/>
      <c r="AC643" s="207"/>
      <c r="AD643" s="207"/>
      <c r="AE643" s="207"/>
      <c r="AF643" s="207"/>
      <c r="AG643" s="207"/>
      <c r="AH643" s="207"/>
      <c r="AI643" s="207"/>
      <c r="AJ643" s="207"/>
      <c r="AK643" s="207"/>
      <c r="AL643" s="207"/>
      <c r="AM643" s="207"/>
      <c r="AN643" s="207"/>
      <c r="AO643" s="207"/>
      <c r="AP643" s="207"/>
      <c r="AQ643" s="207"/>
      <c r="AR643" s="207"/>
      <c r="AS643" s="207"/>
      <c r="AT643" s="207"/>
      <c r="AU643" s="207"/>
      <c r="AV643" s="207"/>
      <c r="AW643" s="207"/>
      <c r="AX643" s="207"/>
      <c r="AY643" s="207"/>
      <c r="AZ643" s="207"/>
      <c r="BA643" s="207"/>
    </row>
    <row r="644" ht="18.75" hidden="1" customHeight="1">
      <c r="A644" s="207"/>
      <c r="B644" s="207"/>
      <c r="C644" s="207"/>
      <c r="D644" s="207"/>
      <c r="E644" s="207"/>
      <c r="F644" s="207"/>
      <c r="G644" s="207"/>
      <c r="H644" s="207"/>
      <c r="I644" s="207"/>
      <c r="J644" s="207"/>
      <c r="K644" s="207"/>
      <c r="L644" s="207"/>
      <c r="M644" s="207"/>
      <c r="N644" s="207"/>
      <c r="O644" s="207"/>
      <c r="P644" s="207"/>
      <c r="Q644" s="207"/>
      <c r="R644" s="207"/>
      <c r="S644" s="207"/>
      <c r="T644" s="207"/>
      <c r="U644" s="207"/>
      <c r="V644" s="207"/>
      <c r="W644" s="207"/>
      <c r="X644" s="207"/>
      <c r="Y644" s="207"/>
      <c r="Z644" s="207"/>
      <c r="AA644" s="207"/>
      <c r="AB644" s="207"/>
      <c r="AC644" s="207"/>
      <c r="AD644" s="207"/>
      <c r="AE644" s="207"/>
      <c r="AF644" s="207"/>
      <c r="AG644" s="207"/>
      <c r="AH644" s="207"/>
      <c r="AI644" s="207"/>
      <c r="AJ644" s="207"/>
      <c r="AK644" s="207"/>
      <c r="AL644" s="207"/>
      <c r="AM644" s="207"/>
      <c r="AN644" s="207"/>
      <c r="AO644" s="207"/>
      <c r="AP644" s="207"/>
      <c r="AQ644" s="207"/>
      <c r="AR644" s="207"/>
      <c r="AS644" s="207"/>
      <c r="AT644" s="207"/>
      <c r="AU644" s="207"/>
      <c r="AV644" s="207"/>
      <c r="AW644" s="207"/>
      <c r="AX644" s="207"/>
      <c r="AY644" s="207"/>
      <c r="AZ644" s="207"/>
      <c r="BA644" s="207"/>
    </row>
    <row r="645" ht="18.75" hidden="1" customHeight="1">
      <c r="A645" s="207"/>
      <c r="B645" s="207"/>
      <c r="C645" s="207"/>
      <c r="D645" s="207"/>
      <c r="E645" s="207"/>
      <c r="F645" s="207"/>
      <c r="G645" s="207"/>
      <c r="H645" s="207"/>
      <c r="I645" s="207"/>
      <c r="J645" s="207"/>
      <c r="K645" s="207"/>
      <c r="L645" s="207"/>
      <c r="M645" s="207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  <c r="AA645" s="207"/>
      <c r="AB645" s="207"/>
      <c r="AC645" s="207"/>
      <c r="AD645" s="207"/>
      <c r="AE645" s="207"/>
      <c r="AF645" s="207"/>
      <c r="AG645" s="207"/>
      <c r="AH645" s="207"/>
      <c r="AI645" s="207"/>
      <c r="AJ645" s="207"/>
      <c r="AK645" s="207"/>
      <c r="AL645" s="207"/>
      <c r="AM645" s="207"/>
      <c r="AN645" s="207"/>
      <c r="AO645" s="207"/>
      <c r="AP645" s="207"/>
      <c r="AQ645" s="207"/>
      <c r="AR645" s="207"/>
      <c r="AS645" s="207"/>
      <c r="AT645" s="207"/>
      <c r="AU645" s="207"/>
      <c r="AV645" s="207"/>
      <c r="AW645" s="207"/>
      <c r="AX645" s="207"/>
      <c r="AY645" s="207"/>
      <c r="AZ645" s="207"/>
      <c r="BA645" s="207"/>
    </row>
    <row r="646" ht="18.75" hidden="1" customHeight="1">
      <c r="A646" s="207"/>
      <c r="B646" s="207"/>
      <c r="C646" s="207"/>
      <c r="D646" s="207"/>
      <c r="E646" s="207"/>
      <c r="F646" s="207"/>
      <c r="G646" s="207"/>
      <c r="H646" s="207"/>
      <c r="I646" s="207"/>
      <c r="J646" s="207"/>
      <c r="K646" s="207"/>
      <c r="L646" s="207"/>
      <c r="M646" s="207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  <c r="AA646" s="207"/>
      <c r="AB646" s="207"/>
      <c r="AC646" s="207"/>
      <c r="AD646" s="207"/>
      <c r="AE646" s="207"/>
      <c r="AF646" s="207"/>
      <c r="AG646" s="207"/>
      <c r="AH646" s="207"/>
      <c r="AI646" s="207"/>
      <c r="AJ646" s="207"/>
      <c r="AK646" s="207"/>
      <c r="AL646" s="207"/>
      <c r="AM646" s="207"/>
      <c r="AN646" s="207"/>
      <c r="AO646" s="207"/>
      <c r="AP646" s="207"/>
      <c r="AQ646" s="207"/>
      <c r="AR646" s="207"/>
      <c r="AS646" s="207"/>
      <c r="AT646" s="207"/>
      <c r="AU646" s="207"/>
      <c r="AV646" s="207"/>
      <c r="AW646" s="207"/>
      <c r="AX646" s="207"/>
      <c r="AY646" s="207"/>
      <c r="AZ646" s="207"/>
      <c r="BA646" s="207"/>
    </row>
    <row r="647" ht="18.75" hidden="1" customHeight="1">
      <c r="A647" s="207"/>
      <c r="B647" s="207"/>
      <c r="C647" s="207"/>
      <c r="D647" s="207"/>
      <c r="E647" s="207"/>
      <c r="F647" s="207"/>
      <c r="G647" s="207"/>
      <c r="H647" s="207"/>
      <c r="I647" s="207"/>
      <c r="J647" s="207"/>
      <c r="K647" s="207"/>
      <c r="L647" s="207"/>
      <c r="M647" s="207"/>
      <c r="N647" s="207"/>
      <c r="O647" s="207"/>
      <c r="P647" s="207"/>
      <c r="Q647" s="207"/>
      <c r="R647" s="207"/>
      <c r="S647" s="207"/>
      <c r="T647" s="207"/>
      <c r="U647" s="207"/>
      <c r="V647" s="207"/>
      <c r="W647" s="207"/>
      <c r="X647" s="207"/>
      <c r="Y647" s="207"/>
      <c r="Z647" s="207"/>
      <c r="AA647" s="207"/>
      <c r="AB647" s="207"/>
      <c r="AC647" s="207"/>
      <c r="AD647" s="207"/>
      <c r="AE647" s="207"/>
      <c r="AF647" s="207"/>
      <c r="AG647" s="207"/>
      <c r="AH647" s="207"/>
      <c r="AI647" s="207"/>
      <c r="AJ647" s="207"/>
      <c r="AK647" s="207"/>
      <c r="AL647" s="207"/>
      <c r="AM647" s="207"/>
      <c r="AN647" s="207"/>
      <c r="AO647" s="207"/>
      <c r="AP647" s="207"/>
      <c r="AQ647" s="207"/>
      <c r="AR647" s="207"/>
      <c r="AS647" s="207"/>
      <c r="AT647" s="207"/>
      <c r="AU647" s="207"/>
      <c r="AV647" s="207"/>
      <c r="AW647" s="207"/>
      <c r="AX647" s="207"/>
      <c r="AY647" s="207"/>
      <c r="AZ647" s="207"/>
      <c r="BA647" s="207"/>
    </row>
    <row r="648" ht="18.75" hidden="1" customHeight="1">
      <c r="A648" s="207"/>
      <c r="B648" s="207"/>
      <c r="C648" s="207"/>
      <c r="D648" s="207"/>
      <c r="E648" s="207"/>
      <c r="F648" s="207"/>
      <c r="G648" s="207"/>
      <c r="H648" s="207"/>
      <c r="I648" s="207"/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207"/>
      <c r="Y648" s="207"/>
      <c r="Z648" s="207"/>
      <c r="AA648" s="207"/>
      <c r="AB648" s="207"/>
      <c r="AC648" s="207"/>
      <c r="AD648" s="207"/>
      <c r="AE648" s="207"/>
      <c r="AF648" s="207"/>
      <c r="AG648" s="207"/>
      <c r="AH648" s="207"/>
      <c r="AI648" s="207"/>
      <c r="AJ648" s="207"/>
      <c r="AK648" s="207"/>
      <c r="AL648" s="207"/>
      <c r="AM648" s="207"/>
      <c r="AN648" s="207"/>
      <c r="AO648" s="207"/>
      <c r="AP648" s="207"/>
      <c r="AQ648" s="207"/>
      <c r="AR648" s="207"/>
      <c r="AS648" s="207"/>
      <c r="AT648" s="207"/>
      <c r="AU648" s="207"/>
      <c r="AV648" s="207"/>
      <c r="AW648" s="207"/>
      <c r="AX648" s="207"/>
      <c r="AY648" s="207"/>
      <c r="AZ648" s="207"/>
      <c r="BA648" s="207"/>
    </row>
    <row r="649" ht="18.75" hidden="1" customHeight="1">
      <c r="A649" s="207"/>
      <c r="B649" s="207"/>
      <c r="C649" s="207"/>
      <c r="D649" s="207"/>
      <c r="E649" s="207"/>
      <c r="F649" s="207"/>
      <c r="G649" s="207"/>
      <c r="H649" s="207"/>
      <c r="I649" s="207"/>
      <c r="J649" s="207"/>
      <c r="K649" s="207"/>
      <c r="L649" s="207"/>
      <c r="M649" s="207"/>
      <c r="N649" s="207"/>
      <c r="O649" s="207"/>
      <c r="P649" s="207"/>
      <c r="Q649" s="207"/>
      <c r="R649" s="207"/>
      <c r="S649" s="207"/>
      <c r="T649" s="207"/>
      <c r="U649" s="207"/>
      <c r="V649" s="207"/>
      <c r="W649" s="207"/>
      <c r="X649" s="207"/>
      <c r="Y649" s="207"/>
      <c r="Z649" s="207"/>
      <c r="AA649" s="207"/>
      <c r="AB649" s="207"/>
      <c r="AC649" s="207"/>
      <c r="AD649" s="207"/>
      <c r="AE649" s="207"/>
      <c r="AF649" s="207"/>
      <c r="AG649" s="207"/>
      <c r="AH649" s="207"/>
      <c r="AI649" s="207"/>
      <c r="AJ649" s="207"/>
      <c r="AK649" s="207"/>
      <c r="AL649" s="207"/>
      <c r="AM649" s="207"/>
      <c r="AN649" s="207"/>
      <c r="AO649" s="207"/>
      <c r="AP649" s="207"/>
      <c r="AQ649" s="207"/>
      <c r="AR649" s="207"/>
      <c r="AS649" s="207"/>
      <c r="AT649" s="207"/>
      <c r="AU649" s="207"/>
      <c r="AV649" s="207"/>
      <c r="AW649" s="207"/>
      <c r="AX649" s="207"/>
      <c r="AY649" s="207"/>
      <c r="AZ649" s="207"/>
      <c r="BA649" s="207"/>
    </row>
    <row r="650" ht="18.75" hidden="1" customHeight="1">
      <c r="A650" s="207"/>
      <c r="B650" s="207"/>
      <c r="C650" s="207"/>
      <c r="D650" s="207"/>
      <c r="E650" s="207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  <c r="AA650" s="207"/>
      <c r="AB650" s="207"/>
      <c r="AC650" s="207"/>
      <c r="AD650" s="207"/>
      <c r="AE650" s="207"/>
      <c r="AF650" s="207"/>
      <c r="AG650" s="207"/>
      <c r="AH650" s="207"/>
      <c r="AI650" s="207"/>
      <c r="AJ650" s="207"/>
      <c r="AK650" s="207"/>
      <c r="AL650" s="207"/>
      <c r="AM650" s="207"/>
      <c r="AN650" s="207"/>
      <c r="AO650" s="207"/>
      <c r="AP650" s="207"/>
      <c r="AQ650" s="207"/>
      <c r="AR650" s="207"/>
      <c r="AS650" s="207"/>
      <c r="AT650" s="207"/>
      <c r="AU650" s="207"/>
      <c r="AV650" s="207"/>
      <c r="AW650" s="207"/>
      <c r="AX650" s="207"/>
      <c r="AY650" s="207"/>
      <c r="AZ650" s="207"/>
      <c r="BA650" s="207"/>
    </row>
    <row r="651" ht="18.75" hidden="1" customHeight="1">
      <c r="A651" s="207"/>
      <c r="B651" s="207"/>
      <c r="C651" s="207"/>
      <c r="D651" s="207"/>
      <c r="E651" s="207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  <c r="AA651" s="207"/>
      <c r="AB651" s="207"/>
      <c r="AC651" s="207"/>
      <c r="AD651" s="207"/>
      <c r="AE651" s="207"/>
      <c r="AF651" s="207"/>
      <c r="AG651" s="207"/>
      <c r="AH651" s="207"/>
      <c r="AI651" s="207"/>
      <c r="AJ651" s="207"/>
      <c r="AK651" s="207"/>
      <c r="AL651" s="207"/>
      <c r="AM651" s="207"/>
      <c r="AN651" s="207"/>
      <c r="AO651" s="207"/>
      <c r="AP651" s="207"/>
      <c r="AQ651" s="207"/>
      <c r="AR651" s="207"/>
      <c r="AS651" s="207"/>
      <c r="AT651" s="207"/>
      <c r="AU651" s="207"/>
      <c r="AV651" s="207"/>
      <c r="AW651" s="207"/>
      <c r="AX651" s="207"/>
      <c r="AY651" s="207"/>
      <c r="AZ651" s="207"/>
      <c r="BA651" s="207"/>
    </row>
    <row r="652" ht="18.75" hidden="1" customHeight="1">
      <c r="A652" s="207"/>
      <c r="B652" s="207"/>
      <c r="C652" s="207"/>
      <c r="D652" s="207"/>
      <c r="E652" s="207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  <c r="AA652" s="207"/>
      <c r="AB652" s="207"/>
      <c r="AC652" s="207"/>
      <c r="AD652" s="207"/>
      <c r="AE652" s="207"/>
      <c r="AF652" s="207"/>
      <c r="AG652" s="207"/>
      <c r="AH652" s="207"/>
      <c r="AI652" s="207"/>
      <c r="AJ652" s="207"/>
      <c r="AK652" s="207"/>
      <c r="AL652" s="207"/>
      <c r="AM652" s="207"/>
      <c r="AN652" s="207"/>
      <c r="AO652" s="207"/>
      <c r="AP652" s="207"/>
      <c r="AQ652" s="207"/>
      <c r="AR652" s="207"/>
      <c r="AS652" s="207"/>
      <c r="AT652" s="207"/>
      <c r="AU652" s="207"/>
      <c r="AV652" s="207"/>
      <c r="AW652" s="207"/>
      <c r="AX652" s="207"/>
      <c r="AY652" s="207"/>
      <c r="AZ652" s="207"/>
      <c r="BA652" s="207"/>
    </row>
    <row r="653" ht="18.75" hidden="1" customHeight="1">
      <c r="A653" s="207"/>
      <c r="B653" s="207"/>
      <c r="C653" s="207"/>
      <c r="D653" s="207"/>
      <c r="E653" s="207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  <c r="AA653" s="207"/>
      <c r="AB653" s="207"/>
      <c r="AC653" s="207"/>
      <c r="AD653" s="207"/>
      <c r="AE653" s="207"/>
      <c r="AF653" s="207"/>
      <c r="AG653" s="207"/>
      <c r="AH653" s="207"/>
      <c r="AI653" s="207"/>
      <c r="AJ653" s="207"/>
      <c r="AK653" s="207"/>
      <c r="AL653" s="207"/>
      <c r="AM653" s="207"/>
      <c r="AN653" s="207"/>
      <c r="AO653" s="207"/>
      <c r="AP653" s="207"/>
      <c r="AQ653" s="207"/>
      <c r="AR653" s="207"/>
      <c r="AS653" s="207"/>
      <c r="AT653" s="207"/>
      <c r="AU653" s="207"/>
      <c r="AV653" s="207"/>
      <c r="AW653" s="207"/>
      <c r="AX653" s="207"/>
      <c r="AY653" s="207"/>
      <c r="AZ653" s="207"/>
      <c r="BA653" s="207"/>
    </row>
    <row r="654" ht="18.75" hidden="1" customHeight="1">
      <c r="A654" s="207"/>
      <c r="B654" s="207"/>
      <c r="C654" s="207"/>
      <c r="D654" s="207"/>
      <c r="E654" s="207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  <c r="AA654" s="207"/>
      <c r="AB654" s="207"/>
      <c r="AC654" s="207"/>
      <c r="AD654" s="207"/>
      <c r="AE654" s="207"/>
      <c r="AF654" s="207"/>
      <c r="AG654" s="207"/>
      <c r="AH654" s="207"/>
      <c r="AI654" s="207"/>
      <c r="AJ654" s="207"/>
      <c r="AK654" s="207"/>
      <c r="AL654" s="207"/>
      <c r="AM654" s="207"/>
      <c r="AN654" s="207"/>
      <c r="AO654" s="207"/>
      <c r="AP654" s="207"/>
      <c r="AQ654" s="207"/>
      <c r="AR654" s="207"/>
      <c r="AS654" s="207"/>
      <c r="AT654" s="207"/>
      <c r="AU654" s="207"/>
      <c r="AV654" s="207"/>
      <c r="AW654" s="207"/>
      <c r="AX654" s="207"/>
      <c r="AY654" s="207"/>
      <c r="AZ654" s="207"/>
      <c r="BA654" s="207"/>
    </row>
    <row r="655" ht="18.75" hidden="1" customHeight="1">
      <c r="A655" s="207"/>
      <c r="B655" s="207"/>
      <c r="C655" s="207"/>
      <c r="D655" s="207"/>
      <c r="E655" s="207"/>
      <c r="F655" s="207"/>
      <c r="G655" s="207"/>
      <c r="H655" s="207"/>
      <c r="I655" s="207"/>
      <c r="J655" s="207"/>
      <c r="K655" s="207"/>
      <c r="L655" s="207"/>
      <c r="M655" s="207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  <c r="AA655" s="207"/>
      <c r="AB655" s="207"/>
      <c r="AC655" s="207"/>
      <c r="AD655" s="207"/>
      <c r="AE655" s="207"/>
      <c r="AF655" s="207"/>
      <c r="AG655" s="207"/>
      <c r="AH655" s="207"/>
      <c r="AI655" s="207"/>
      <c r="AJ655" s="207"/>
      <c r="AK655" s="207"/>
      <c r="AL655" s="207"/>
      <c r="AM655" s="207"/>
      <c r="AN655" s="207"/>
      <c r="AO655" s="207"/>
      <c r="AP655" s="207"/>
      <c r="AQ655" s="207"/>
      <c r="AR655" s="207"/>
      <c r="AS655" s="207"/>
      <c r="AT655" s="207"/>
      <c r="AU655" s="207"/>
      <c r="AV655" s="207"/>
      <c r="AW655" s="207"/>
      <c r="AX655" s="207"/>
      <c r="AY655" s="207"/>
      <c r="AZ655" s="207"/>
      <c r="BA655" s="207"/>
    </row>
    <row r="656" ht="18.75" hidden="1" customHeight="1">
      <c r="A656" s="207"/>
      <c r="B656" s="207"/>
      <c r="C656" s="207"/>
      <c r="D656" s="207"/>
      <c r="E656" s="207"/>
      <c r="F656" s="207"/>
      <c r="G656" s="207"/>
      <c r="H656" s="207"/>
      <c r="I656" s="207"/>
      <c r="J656" s="207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  <c r="AA656" s="207"/>
      <c r="AB656" s="207"/>
      <c r="AC656" s="207"/>
      <c r="AD656" s="207"/>
      <c r="AE656" s="207"/>
      <c r="AF656" s="207"/>
      <c r="AG656" s="207"/>
      <c r="AH656" s="207"/>
      <c r="AI656" s="207"/>
      <c r="AJ656" s="207"/>
      <c r="AK656" s="207"/>
      <c r="AL656" s="207"/>
      <c r="AM656" s="207"/>
      <c r="AN656" s="207"/>
      <c r="AO656" s="207"/>
      <c r="AP656" s="207"/>
      <c r="AQ656" s="207"/>
      <c r="AR656" s="207"/>
      <c r="AS656" s="207"/>
      <c r="AT656" s="207"/>
      <c r="AU656" s="207"/>
      <c r="AV656" s="207"/>
      <c r="AW656" s="207"/>
      <c r="AX656" s="207"/>
      <c r="AY656" s="207"/>
      <c r="AZ656" s="207"/>
      <c r="BA656" s="207"/>
    </row>
    <row r="657" ht="18.75" hidden="1" customHeight="1">
      <c r="A657" s="207"/>
      <c r="B657" s="207"/>
      <c r="C657" s="207"/>
      <c r="D657" s="207"/>
      <c r="E657" s="207"/>
      <c r="F657" s="207"/>
      <c r="G657" s="207"/>
      <c r="H657" s="207"/>
      <c r="I657" s="207"/>
      <c r="J657" s="207"/>
      <c r="K657" s="207"/>
      <c r="L657" s="207"/>
      <c r="M657" s="207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207"/>
      <c r="Z657" s="207"/>
      <c r="AA657" s="207"/>
      <c r="AB657" s="207"/>
      <c r="AC657" s="207"/>
      <c r="AD657" s="207"/>
      <c r="AE657" s="207"/>
      <c r="AF657" s="207"/>
      <c r="AG657" s="207"/>
      <c r="AH657" s="207"/>
      <c r="AI657" s="207"/>
      <c r="AJ657" s="207"/>
      <c r="AK657" s="207"/>
      <c r="AL657" s="207"/>
      <c r="AM657" s="207"/>
      <c r="AN657" s="207"/>
      <c r="AO657" s="207"/>
      <c r="AP657" s="207"/>
      <c r="AQ657" s="207"/>
      <c r="AR657" s="207"/>
      <c r="AS657" s="207"/>
      <c r="AT657" s="207"/>
      <c r="AU657" s="207"/>
      <c r="AV657" s="207"/>
      <c r="AW657" s="207"/>
      <c r="AX657" s="207"/>
      <c r="AY657" s="207"/>
      <c r="AZ657" s="207"/>
      <c r="BA657" s="207"/>
    </row>
    <row r="658" ht="18.75" hidden="1" customHeight="1">
      <c r="A658" s="207"/>
      <c r="B658" s="207"/>
      <c r="C658" s="207"/>
      <c r="D658" s="207"/>
      <c r="E658" s="207"/>
      <c r="F658" s="207"/>
      <c r="G658" s="207"/>
      <c r="H658" s="207"/>
      <c r="I658" s="207"/>
      <c r="J658" s="207"/>
      <c r="K658" s="207"/>
      <c r="L658" s="207"/>
      <c r="M658" s="207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207"/>
      <c r="Z658" s="207"/>
      <c r="AA658" s="207"/>
      <c r="AB658" s="207"/>
      <c r="AC658" s="207"/>
      <c r="AD658" s="207"/>
      <c r="AE658" s="207"/>
      <c r="AF658" s="207"/>
      <c r="AG658" s="207"/>
      <c r="AH658" s="207"/>
      <c r="AI658" s="207"/>
      <c r="AJ658" s="207"/>
      <c r="AK658" s="207"/>
      <c r="AL658" s="207"/>
      <c r="AM658" s="207"/>
      <c r="AN658" s="207"/>
      <c r="AO658" s="207"/>
      <c r="AP658" s="207"/>
      <c r="AQ658" s="207"/>
      <c r="AR658" s="207"/>
      <c r="AS658" s="207"/>
      <c r="AT658" s="207"/>
      <c r="AU658" s="207"/>
      <c r="AV658" s="207"/>
      <c r="AW658" s="207"/>
      <c r="AX658" s="207"/>
      <c r="AY658" s="207"/>
      <c r="AZ658" s="207"/>
      <c r="BA658" s="207"/>
    </row>
    <row r="659" ht="18.75" hidden="1" customHeight="1">
      <c r="A659" s="207"/>
      <c r="B659" s="207"/>
      <c r="C659" s="207"/>
      <c r="D659" s="207"/>
      <c r="E659" s="207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  <c r="AA659" s="207"/>
      <c r="AB659" s="207"/>
      <c r="AC659" s="207"/>
      <c r="AD659" s="207"/>
      <c r="AE659" s="207"/>
      <c r="AF659" s="207"/>
      <c r="AG659" s="207"/>
      <c r="AH659" s="207"/>
      <c r="AI659" s="207"/>
      <c r="AJ659" s="207"/>
      <c r="AK659" s="207"/>
      <c r="AL659" s="207"/>
      <c r="AM659" s="207"/>
      <c r="AN659" s="207"/>
      <c r="AO659" s="207"/>
      <c r="AP659" s="207"/>
      <c r="AQ659" s="207"/>
      <c r="AR659" s="207"/>
      <c r="AS659" s="207"/>
      <c r="AT659" s="207"/>
      <c r="AU659" s="207"/>
      <c r="AV659" s="207"/>
      <c r="AW659" s="207"/>
      <c r="AX659" s="207"/>
      <c r="AY659" s="207"/>
      <c r="AZ659" s="207"/>
      <c r="BA659" s="207"/>
    </row>
    <row r="660" ht="18.75" hidden="1" customHeight="1">
      <c r="A660" s="207"/>
      <c r="B660" s="207"/>
      <c r="C660" s="207"/>
      <c r="D660" s="207"/>
      <c r="E660" s="207"/>
      <c r="F660" s="207"/>
      <c r="G660" s="207"/>
      <c r="H660" s="207"/>
      <c r="I660" s="207"/>
      <c r="J660" s="207"/>
      <c r="K660" s="207"/>
      <c r="L660" s="207"/>
      <c r="M660" s="207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  <c r="AA660" s="207"/>
      <c r="AB660" s="207"/>
      <c r="AC660" s="207"/>
      <c r="AD660" s="207"/>
      <c r="AE660" s="207"/>
      <c r="AF660" s="207"/>
      <c r="AG660" s="207"/>
      <c r="AH660" s="207"/>
      <c r="AI660" s="207"/>
      <c r="AJ660" s="207"/>
      <c r="AK660" s="207"/>
      <c r="AL660" s="207"/>
      <c r="AM660" s="207"/>
      <c r="AN660" s="207"/>
      <c r="AO660" s="207"/>
      <c r="AP660" s="207"/>
      <c r="AQ660" s="207"/>
      <c r="AR660" s="207"/>
      <c r="AS660" s="207"/>
      <c r="AT660" s="207"/>
      <c r="AU660" s="207"/>
      <c r="AV660" s="207"/>
      <c r="AW660" s="207"/>
      <c r="AX660" s="207"/>
      <c r="AY660" s="207"/>
      <c r="AZ660" s="207"/>
      <c r="BA660" s="207"/>
    </row>
    <row r="661" ht="18.75" hidden="1" customHeight="1">
      <c r="A661" s="207"/>
      <c r="B661" s="207"/>
      <c r="C661" s="207"/>
      <c r="D661" s="207"/>
      <c r="E661" s="207"/>
      <c r="F661" s="207"/>
      <c r="G661" s="207"/>
      <c r="H661" s="207"/>
      <c r="I661" s="207"/>
      <c r="J661" s="207"/>
      <c r="K661" s="207"/>
      <c r="L661" s="207"/>
      <c r="M661" s="207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/>
      <c r="Y661" s="207"/>
      <c r="Z661" s="207"/>
      <c r="AA661" s="207"/>
      <c r="AB661" s="207"/>
      <c r="AC661" s="207"/>
      <c r="AD661" s="207"/>
      <c r="AE661" s="207"/>
      <c r="AF661" s="207"/>
      <c r="AG661" s="207"/>
      <c r="AH661" s="207"/>
      <c r="AI661" s="207"/>
      <c r="AJ661" s="207"/>
      <c r="AK661" s="207"/>
      <c r="AL661" s="207"/>
      <c r="AM661" s="207"/>
      <c r="AN661" s="207"/>
      <c r="AO661" s="207"/>
      <c r="AP661" s="207"/>
      <c r="AQ661" s="207"/>
      <c r="AR661" s="207"/>
      <c r="AS661" s="207"/>
      <c r="AT661" s="207"/>
      <c r="AU661" s="207"/>
      <c r="AV661" s="207"/>
      <c r="AW661" s="207"/>
      <c r="AX661" s="207"/>
      <c r="AY661" s="207"/>
      <c r="AZ661" s="207"/>
      <c r="BA661" s="207"/>
    </row>
    <row r="662" ht="18.75" hidden="1" customHeight="1">
      <c r="A662" s="207"/>
      <c r="B662" s="207"/>
      <c r="C662" s="207"/>
      <c r="D662" s="207"/>
      <c r="E662" s="207"/>
      <c r="F662" s="207"/>
      <c r="G662" s="207"/>
      <c r="H662" s="207"/>
      <c r="I662" s="207"/>
      <c r="J662" s="207"/>
      <c r="K662" s="207"/>
      <c r="L662" s="207"/>
      <c r="M662" s="207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/>
      <c r="Y662" s="207"/>
      <c r="Z662" s="207"/>
      <c r="AA662" s="207"/>
      <c r="AB662" s="207"/>
      <c r="AC662" s="207"/>
      <c r="AD662" s="207"/>
      <c r="AE662" s="207"/>
      <c r="AF662" s="207"/>
      <c r="AG662" s="207"/>
      <c r="AH662" s="207"/>
      <c r="AI662" s="207"/>
      <c r="AJ662" s="207"/>
      <c r="AK662" s="207"/>
      <c r="AL662" s="207"/>
      <c r="AM662" s="207"/>
      <c r="AN662" s="207"/>
      <c r="AO662" s="207"/>
      <c r="AP662" s="207"/>
      <c r="AQ662" s="207"/>
      <c r="AR662" s="207"/>
      <c r="AS662" s="207"/>
      <c r="AT662" s="207"/>
      <c r="AU662" s="207"/>
      <c r="AV662" s="207"/>
      <c r="AW662" s="207"/>
      <c r="AX662" s="207"/>
      <c r="AY662" s="207"/>
      <c r="AZ662" s="207"/>
      <c r="BA662" s="207"/>
    </row>
    <row r="663" ht="18.75" hidden="1" customHeight="1">
      <c r="A663" s="207"/>
      <c r="B663" s="207"/>
      <c r="C663" s="207"/>
      <c r="D663" s="207"/>
      <c r="E663" s="207"/>
      <c r="F663" s="207"/>
      <c r="G663" s="207"/>
      <c r="H663" s="207"/>
      <c r="I663" s="207"/>
      <c r="J663" s="207"/>
      <c r="K663" s="207"/>
      <c r="L663" s="207"/>
      <c r="M663" s="207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  <c r="AA663" s="207"/>
      <c r="AB663" s="207"/>
      <c r="AC663" s="207"/>
      <c r="AD663" s="207"/>
      <c r="AE663" s="207"/>
      <c r="AF663" s="207"/>
      <c r="AG663" s="207"/>
      <c r="AH663" s="207"/>
      <c r="AI663" s="207"/>
      <c r="AJ663" s="207"/>
      <c r="AK663" s="207"/>
      <c r="AL663" s="207"/>
      <c r="AM663" s="207"/>
      <c r="AN663" s="207"/>
      <c r="AO663" s="207"/>
      <c r="AP663" s="207"/>
      <c r="AQ663" s="207"/>
      <c r="AR663" s="207"/>
      <c r="AS663" s="207"/>
      <c r="AT663" s="207"/>
      <c r="AU663" s="207"/>
      <c r="AV663" s="207"/>
      <c r="AW663" s="207"/>
      <c r="AX663" s="207"/>
      <c r="AY663" s="207"/>
      <c r="AZ663" s="207"/>
      <c r="BA663" s="207"/>
    </row>
    <row r="664" ht="18.75" hidden="1" customHeight="1">
      <c r="A664" s="207"/>
      <c r="B664" s="207"/>
      <c r="C664" s="207"/>
      <c r="D664" s="207"/>
      <c r="E664" s="207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  <c r="AA664" s="207"/>
      <c r="AB664" s="207"/>
      <c r="AC664" s="207"/>
      <c r="AD664" s="207"/>
      <c r="AE664" s="207"/>
      <c r="AF664" s="207"/>
      <c r="AG664" s="207"/>
      <c r="AH664" s="207"/>
      <c r="AI664" s="207"/>
      <c r="AJ664" s="207"/>
      <c r="AK664" s="207"/>
      <c r="AL664" s="207"/>
      <c r="AM664" s="207"/>
      <c r="AN664" s="207"/>
      <c r="AO664" s="207"/>
      <c r="AP664" s="207"/>
      <c r="AQ664" s="207"/>
      <c r="AR664" s="207"/>
      <c r="AS664" s="207"/>
      <c r="AT664" s="207"/>
      <c r="AU664" s="207"/>
      <c r="AV664" s="207"/>
      <c r="AW664" s="207"/>
      <c r="AX664" s="207"/>
      <c r="AY664" s="207"/>
      <c r="AZ664" s="207"/>
      <c r="BA664" s="207"/>
    </row>
    <row r="665" ht="18.75" hidden="1" customHeight="1">
      <c r="A665" s="207"/>
      <c r="B665" s="207"/>
      <c r="C665" s="207"/>
      <c r="D665" s="207"/>
      <c r="E665" s="207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  <c r="AA665" s="207"/>
      <c r="AB665" s="207"/>
      <c r="AC665" s="207"/>
      <c r="AD665" s="207"/>
      <c r="AE665" s="207"/>
      <c r="AF665" s="207"/>
      <c r="AG665" s="207"/>
      <c r="AH665" s="207"/>
      <c r="AI665" s="207"/>
      <c r="AJ665" s="207"/>
      <c r="AK665" s="207"/>
      <c r="AL665" s="207"/>
      <c r="AM665" s="207"/>
      <c r="AN665" s="207"/>
      <c r="AO665" s="207"/>
      <c r="AP665" s="207"/>
      <c r="AQ665" s="207"/>
      <c r="AR665" s="207"/>
      <c r="AS665" s="207"/>
      <c r="AT665" s="207"/>
      <c r="AU665" s="207"/>
      <c r="AV665" s="207"/>
      <c r="AW665" s="207"/>
      <c r="AX665" s="207"/>
      <c r="AY665" s="207"/>
      <c r="AZ665" s="207"/>
      <c r="BA665" s="207"/>
    </row>
    <row r="666" ht="18.75" hidden="1" customHeight="1">
      <c r="A666" s="207"/>
      <c r="B666" s="207"/>
      <c r="C666" s="207"/>
      <c r="D666" s="207"/>
      <c r="E666" s="207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  <c r="AA666" s="207"/>
      <c r="AB666" s="207"/>
      <c r="AC666" s="207"/>
      <c r="AD666" s="207"/>
      <c r="AE666" s="207"/>
      <c r="AF666" s="207"/>
      <c r="AG666" s="207"/>
      <c r="AH666" s="207"/>
      <c r="AI666" s="207"/>
      <c r="AJ666" s="207"/>
      <c r="AK666" s="207"/>
      <c r="AL666" s="207"/>
      <c r="AM666" s="207"/>
      <c r="AN666" s="207"/>
      <c r="AO666" s="207"/>
      <c r="AP666" s="207"/>
      <c r="AQ666" s="207"/>
      <c r="AR666" s="207"/>
      <c r="AS666" s="207"/>
      <c r="AT666" s="207"/>
      <c r="AU666" s="207"/>
      <c r="AV666" s="207"/>
      <c r="AW666" s="207"/>
      <c r="AX666" s="207"/>
      <c r="AY666" s="207"/>
      <c r="AZ666" s="207"/>
      <c r="BA666" s="207"/>
    </row>
    <row r="667" ht="18.75" hidden="1" customHeight="1">
      <c r="A667" s="207"/>
      <c r="B667" s="207"/>
      <c r="C667" s="207"/>
      <c r="D667" s="207"/>
      <c r="E667" s="207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  <c r="AA667" s="207"/>
      <c r="AB667" s="207"/>
      <c r="AC667" s="207"/>
      <c r="AD667" s="207"/>
      <c r="AE667" s="207"/>
      <c r="AF667" s="207"/>
      <c r="AG667" s="207"/>
      <c r="AH667" s="207"/>
      <c r="AI667" s="207"/>
      <c r="AJ667" s="207"/>
      <c r="AK667" s="207"/>
      <c r="AL667" s="207"/>
      <c r="AM667" s="207"/>
      <c r="AN667" s="207"/>
      <c r="AO667" s="207"/>
      <c r="AP667" s="207"/>
      <c r="AQ667" s="207"/>
      <c r="AR667" s="207"/>
      <c r="AS667" s="207"/>
      <c r="AT667" s="207"/>
      <c r="AU667" s="207"/>
      <c r="AV667" s="207"/>
      <c r="AW667" s="207"/>
      <c r="AX667" s="207"/>
      <c r="AY667" s="207"/>
      <c r="AZ667" s="207"/>
      <c r="BA667" s="207"/>
    </row>
    <row r="668" ht="18.75" hidden="1" customHeight="1">
      <c r="A668" s="207"/>
      <c r="B668" s="207"/>
      <c r="C668" s="207"/>
      <c r="D668" s="207"/>
      <c r="E668" s="207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  <c r="AA668" s="207"/>
      <c r="AB668" s="207"/>
      <c r="AC668" s="207"/>
      <c r="AD668" s="207"/>
      <c r="AE668" s="207"/>
      <c r="AF668" s="207"/>
      <c r="AG668" s="207"/>
      <c r="AH668" s="207"/>
      <c r="AI668" s="207"/>
      <c r="AJ668" s="207"/>
      <c r="AK668" s="207"/>
      <c r="AL668" s="207"/>
      <c r="AM668" s="207"/>
      <c r="AN668" s="207"/>
      <c r="AO668" s="207"/>
      <c r="AP668" s="207"/>
      <c r="AQ668" s="207"/>
      <c r="AR668" s="207"/>
      <c r="AS668" s="207"/>
      <c r="AT668" s="207"/>
      <c r="AU668" s="207"/>
      <c r="AV668" s="207"/>
      <c r="AW668" s="207"/>
      <c r="AX668" s="207"/>
      <c r="AY668" s="207"/>
      <c r="AZ668" s="207"/>
      <c r="BA668" s="207"/>
    </row>
    <row r="669" ht="18.75" hidden="1" customHeight="1">
      <c r="A669" s="207"/>
      <c r="B669" s="207"/>
      <c r="C669" s="207"/>
      <c r="D669" s="207"/>
      <c r="E669" s="207"/>
      <c r="F669" s="207"/>
      <c r="G669" s="207"/>
      <c r="H669" s="207"/>
      <c r="I669" s="207"/>
      <c r="J669" s="207"/>
      <c r="K669" s="207"/>
      <c r="L669" s="207"/>
      <c r="M669" s="207"/>
      <c r="N669" s="207"/>
      <c r="O669" s="207"/>
      <c r="P669" s="207"/>
      <c r="Q669" s="207"/>
      <c r="R669" s="207"/>
      <c r="S669" s="207"/>
      <c r="T669" s="207"/>
      <c r="U669" s="207"/>
      <c r="V669" s="207"/>
      <c r="W669" s="207"/>
      <c r="X669" s="207"/>
      <c r="Y669" s="207"/>
      <c r="Z669" s="207"/>
      <c r="AA669" s="207"/>
      <c r="AB669" s="207"/>
      <c r="AC669" s="207"/>
      <c r="AD669" s="207"/>
      <c r="AE669" s="207"/>
      <c r="AF669" s="207"/>
      <c r="AG669" s="207"/>
      <c r="AH669" s="207"/>
      <c r="AI669" s="207"/>
      <c r="AJ669" s="207"/>
      <c r="AK669" s="207"/>
      <c r="AL669" s="207"/>
      <c r="AM669" s="207"/>
      <c r="AN669" s="207"/>
      <c r="AO669" s="207"/>
      <c r="AP669" s="207"/>
      <c r="AQ669" s="207"/>
      <c r="AR669" s="207"/>
      <c r="AS669" s="207"/>
      <c r="AT669" s="207"/>
      <c r="AU669" s="207"/>
      <c r="AV669" s="207"/>
      <c r="AW669" s="207"/>
      <c r="AX669" s="207"/>
      <c r="AY669" s="207"/>
      <c r="AZ669" s="207"/>
      <c r="BA669" s="207"/>
    </row>
    <row r="670" ht="18.75" hidden="1" customHeight="1">
      <c r="A670" s="207"/>
      <c r="B670" s="207"/>
      <c r="C670" s="207"/>
      <c r="D670" s="207"/>
      <c r="E670" s="207"/>
      <c r="F670" s="207"/>
      <c r="G670" s="207"/>
      <c r="H670" s="207"/>
      <c r="I670" s="207"/>
      <c r="J670" s="207"/>
      <c r="K670" s="207"/>
      <c r="L670" s="207"/>
      <c r="M670" s="207"/>
      <c r="N670" s="207"/>
      <c r="O670" s="207"/>
      <c r="P670" s="207"/>
      <c r="Q670" s="207"/>
      <c r="R670" s="207"/>
      <c r="S670" s="207"/>
      <c r="T670" s="207"/>
      <c r="U670" s="207"/>
      <c r="V670" s="207"/>
      <c r="W670" s="207"/>
      <c r="X670" s="207"/>
      <c r="Y670" s="207"/>
      <c r="Z670" s="207"/>
      <c r="AA670" s="207"/>
      <c r="AB670" s="207"/>
      <c r="AC670" s="207"/>
      <c r="AD670" s="207"/>
      <c r="AE670" s="207"/>
      <c r="AF670" s="207"/>
      <c r="AG670" s="207"/>
      <c r="AH670" s="207"/>
      <c r="AI670" s="207"/>
      <c r="AJ670" s="207"/>
      <c r="AK670" s="207"/>
      <c r="AL670" s="207"/>
      <c r="AM670" s="207"/>
      <c r="AN670" s="207"/>
      <c r="AO670" s="207"/>
      <c r="AP670" s="207"/>
      <c r="AQ670" s="207"/>
      <c r="AR670" s="207"/>
      <c r="AS670" s="207"/>
      <c r="AT670" s="207"/>
      <c r="AU670" s="207"/>
      <c r="AV670" s="207"/>
      <c r="AW670" s="207"/>
      <c r="AX670" s="207"/>
      <c r="AY670" s="207"/>
      <c r="AZ670" s="207"/>
      <c r="BA670" s="207"/>
    </row>
    <row r="671" ht="18.75" hidden="1" customHeight="1">
      <c r="A671" s="207"/>
      <c r="B671" s="207"/>
      <c r="C671" s="207"/>
      <c r="D671" s="207"/>
      <c r="E671" s="207"/>
      <c r="F671" s="207"/>
      <c r="G671" s="207"/>
      <c r="H671" s="207"/>
      <c r="I671" s="207"/>
      <c r="J671" s="207"/>
      <c r="K671" s="207"/>
      <c r="L671" s="207"/>
      <c r="M671" s="207"/>
      <c r="N671" s="207"/>
      <c r="O671" s="207"/>
      <c r="P671" s="207"/>
      <c r="Q671" s="207"/>
      <c r="R671" s="207"/>
      <c r="S671" s="207"/>
      <c r="T671" s="207"/>
      <c r="U671" s="207"/>
      <c r="V671" s="207"/>
      <c r="W671" s="207"/>
      <c r="X671" s="207"/>
      <c r="Y671" s="207"/>
      <c r="Z671" s="207"/>
      <c r="AA671" s="207"/>
      <c r="AB671" s="207"/>
      <c r="AC671" s="207"/>
      <c r="AD671" s="207"/>
      <c r="AE671" s="207"/>
      <c r="AF671" s="207"/>
      <c r="AG671" s="207"/>
      <c r="AH671" s="207"/>
      <c r="AI671" s="207"/>
      <c r="AJ671" s="207"/>
      <c r="AK671" s="207"/>
      <c r="AL671" s="207"/>
      <c r="AM671" s="207"/>
      <c r="AN671" s="207"/>
      <c r="AO671" s="207"/>
      <c r="AP671" s="207"/>
      <c r="AQ671" s="207"/>
      <c r="AR671" s="207"/>
      <c r="AS671" s="207"/>
      <c r="AT671" s="207"/>
      <c r="AU671" s="207"/>
      <c r="AV671" s="207"/>
      <c r="AW671" s="207"/>
      <c r="AX671" s="207"/>
      <c r="AY671" s="207"/>
      <c r="AZ671" s="207"/>
      <c r="BA671" s="207"/>
    </row>
    <row r="672" ht="18.75" hidden="1" customHeight="1">
      <c r="A672" s="207"/>
      <c r="B672" s="207"/>
      <c r="C672" s="207"/>
      <c r="D672" s="207"/>
      <c r="E672" s="207"/>
      <c r="F672" s="207"/>
      <c r="G672" s="207"/>
      <c r="H672" s="207"/>
      <c r="I672" s="207"/>
      <c r="J672" s="207"/>
      <c r="K672" s="207"/>
      <c r="L672" s="207"/>
      <c r="M672" s="207"/>
      <c r="N672" s="207"/>
      <c r="O672" s="207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  <c r="AA672" s="207"/>
      <c r="AB672" s="207"/>
      <c r="AC672" s="207"/>
      <c r="AD672" s="207"/>
      <c r="AE672" s="207"/>
      <c r="AF672" s="207"/>
      <c r="AG672" s="207"/>
      <c r="AH672" s="207"/>
      <c r="AI672" s="207"/>
      <c r="AJ672" s="207"/>
      <c r="AK672" s="207"/>
      <c r="AL672" s="207"/>
      <c r="AM672" s="207"/>
      <c r="AN672" s="207"/>
      <c r="AO672" s="207"/>
      <c r="AP672" s="207"/>
      <c r="AQ672" s="207"/>
      <c r="AR672" s="207"/>
      <c r="AS672" s="207"/>
      <c r="AT672" s="207"/>
      <c r="AU672" s="207"/>
      <c r="AV672" s="207"/>
      <c r="AW672" s="207"/>
      <c r="AX672" s="207"/>
      <c r="AY672" s="207"/>
      <c r="AZ672" s="207"/>
      <c r="BA672" s="207"/>
    </row>
    <row r="673" ht="18.75" hidden="1" customHeight="1">
      <c r="A673" s="207"/>
      <c r="B673" s="207"/>
      <c r="C673" s="207"/>
      <c r="D673" s="207"/>
      <c r="E673" s="207"/>
      <c r="F673" s="207"/>
      <c r="G673" s="207"/>
      <c r="H673" s="207"/>
      <c r="I673" s="207"/>
      <c r="J673" s="207"/>
      <c r="K673" s="207"/>
      <c r="L673" s="207"/>
      <c r="M673" s="207"/>
      <c r="N673" s="207"/>
      <c r="O673" s="207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  <c r="AA673" s="207"/>
      <c r="AB673" s="207"/>
      <c r="AC673" s="207"/>
      <c r="AD673" s="207"/>
      <c r="AE673" s="207"/>
      <c r="AF673" s="207"/>
      <c r="AG673" s="207"/>
      <c r="AH673" s="207"/>
      <c r="AI673" s="207"/>
      <c r="AJ673" s="207"/>
      <c r="AK673" s="207"/>
      <c r="AL673" s="207"/>
      <c r="AM673" s="207"/>
      <c r="AN673" s="207"/>
      <c r="AO673" s="207"/>
      <c r="AP673" s="207"/>
      <c r="AQ673" s="207"/>
      <c r="AR673" s="207"/>
      <c r="AS673" s="207"/>
      <c r="AT673" s="207"/>
      <c r="AU673" s="207"/>
      <c r="AV673" s="207"/>
      <c r="AW673" s="207"/>
      <c r="AX673" s="207"/>
      <c r="AY673" s="207"/>
      <c r="AZ673" s="207"/>
      <c r="BA673" s="207"/>
    </row>
    <row r="674" ht="18.75" hidden="1" customHeight="1">
      <c r="A674" s="207"/>
      <c r="B674" s="207"/>
      <c r="C674" s="207"/>
      <c r="D674" s="207"/>
      <c r="E674" s="207"/>
      <c r="F674" s="207"/>
      <c r="G674" s="207"/>
      <c r="H674" s="207"/>
      <c r="I674" s="207"/>
      <c r="J674" s="207"/>
      <c r="K674" s="207"/>
      <c r="L674" s="207"/>
      <c r="M674" s="207"/>
      <c r="N674" s="207"/>
      <c r="O674" s="207"/>
      <c r="P674" s="207"/>
      <c r="Q674" s="207"/>
      <c r="R674" s="207"/>
      <c r="S674" s="207"/>
      <c r="T674" s="207"/>
      <c r="U674" s="207"/>
      <c r="V674" s="207"/>
      <c r="W674" s="207"/>
      <c r="X674" s="207"/>
      <c r="Y674" s="207"/>
      <c r="Z674" s="207"/>
      <c r="AA674" s="207"/>
      <c r="AB674" s="207"/>
      <c r="AC674" s="207"/>
      <c r="AD674" s="207"/>
      <c r="AE674" s="207"/>
      <c r="AF674" s="207"/>
      <c r="AG674" s="207"/>
      <c r="AH674" s="207"/>
      <c r="AI674" s="207"/>
      <c r="AJ674" s="207"/>
      <c r="AK674" s="207"/>
      <c r="AL674" s="207"/>
      <c r="AM674" s="207"/>
      <c r="AN674" s="207"/>
      <c r="AO674" s="207"/>
      <c r="AP674" s="207"/>
      <c r="AQ674" s="207"/>
      <c r="AR674" s="207"/>
      <c r="AS674" s="207"/>
      <c r="AT674" s="207"/>
      <c r="AU674" s="207"/>
      <c r="AV674" s="207"/>
      <c r="AW674" s="207"/>
      <c r="AX674" s="207"/>
      <c r="AY674" s="207"/>
      <c r="AZ674" s="207"/>
      <c r="BA674" s="207"/>
    </row>
    <row r="675" ht="18.75" hidden="1" customHeight="1">
      <c r="A675" s="207"/>
      <c r="B675" s="207"/>
      <c r="C675" s="207"/>
      <c r="D675" s="207"/>
      <c r="E675" s="207"/>
      <c r="F675" s="207"/>
      <c r="G675" s="207"/>
      <c r="H675" s="207"/>
      <c r="I675" s="207"/>
      <c r="J675" s="207"/>
      <c r="K675" s="207"/>
      <c r="L675" s="207"/>
      <c r="M675" s="207"/>
      <c r="N675" s="207"/>
      <c r="O675" s="207"/>
      <c r="P675" s="207"/>
      <c r="Q675" s="207"/>
      <c r="R675" s="207"/>
      <c r="S675" s="207"/>
      <c r="T675" s="207"/>
      <c r="U675" s="207"/>
      <c r="V675" s="207"/>
      <c r="W675" s="207"/>
      <c r="X675" s="207"/>
      <c r="Y675" s="207"/>
      <c r="Z675" s="207"/>
      <c r="AA675" s="207"/>
      <c r="AB675" s="207"/>
      <c r="AC675" s="207"/>
      <c r="AD675" s="207"/>
      <c r="AE675" s="207"/>
      <c r="AF675" s="207"/>
      <c r="AG675" s="207"/>
      <c r="AH675" s="207"/>
      <c r="AI675" s="207"/>
      <c r="AJ675" s="207"/>
      <c r="AK675" s="207"/>
      <c r="AL675" s="207"/>
      <c r="AM675" s="207"/>
      <c r="AN675" s="207"/>
      <c r="AO675" s="207"/>
      <c r="AP675" s="207"/>
      <c r="AQ675" s="207"/>
      <c r="AR675" s="207"/>
      <c r="AS675" s="207"/>
      <c r="AT675" s="207"/>
      <c r="AU675" s="207"/>
      <c r="AV675" s="207"/>
      <c r="AW675" s="207"/>
      <c r="AX675" s="207"/>
      <c r="AY675" s="207"/>
      <c r="AZ675" s="207"/>
      <c r="BA675" s="207"/>
    </row>
    <row r="676" ht="18.75" hidden="1" customHeight="1">
      <c r="A676" s="207"/>
      <c r="B676" s="207"/>
      <c r="C676" s="207"/>
      <c r="D676" s="207"/>
      <c r="E676" s="207"/>
      <c r="F676" s="207"/>
      <c r="G676" s="207"/>
      <c r="H676" s="207"/>
      <c r="I676" s="207"/>
      <c r="J676" s="207"/>
      <c r="K676" s="207"/>
      <c r="L676" s="207"/>
      <c r="M676" s="207"/>
      <c r="N676" s="207"/>
      <c r="O676" s="207"/>
      <c r="P676" s="207"/>
      <c r="Q676" s="207"/>
      <c r="R676" s="207"/>
      <c r="S676" s="207"/>
      <c r="T676" s="207"/>
      <c r="U676" s="207"/>
      <c r="V676" s="207"/>
      <c r="W676" s="207"/>
      <c r="X676" s="207"/>
      <c r="Y676" s="207"/>
      <c r="Z676" s="207"/>
      <c r="AA676" s="207"/>
      <c r="AB676" s="207"/>
      <c r="AC676" s="207"/>
      <c r="AD676" s="207"/>
      <c r="AE676" s="207"/>
      <c r="AF676" s="207"/>
      <c r="AG676" s="207"/>
      <c r="AH676" s="207"/>
      <c r="AI676" s="207"/>
      <c r="AJ676" s="207"/>
      <c r="AK676" s="207"/>
      <c r="AL676" s="207"/>
      <c r="AM676" s="207"/>
      <c r="AN676" s="207"/>
      <c r="AO676" s="207"/>
      <c r="AP676" s="207"/>
      <c r="AQ676" s="207"/>
      <c r="AR676" s="207"/>
      <c r="AS676" s="207"/>
      <c r="AT676" s="207"/>
      <c r="AU676" s="207"/>
      <c r="AV676" s="207"/>
      <c r="AW676" s="207"/>
      <c r="AX676" s="207"/>
      <c r="AY676" s="207"/>
      <c r="AZ676" s="207"/>
      <c r="BA676" s="207"/>
    </row>
    <row r="677" ht="18.75" hidden="1" customHeight="1">
      <c r="A677" s="207"/>
      <c r="B677" s="207"/>
      <c r="C677" s="207"/>
      <c r="D677" s="207"/>
      <c r="E677" s="207"/>
      <c r="F677" s="207"/>
      <c r="G677" s="207"/>
      <c r="H677" s="207"/>
      <c r="I677" s="207"/>
      <c r="J677" s="207"/>
      <c r="K677" s="207"/>
      <c r="L677" s="207"/>
      <c r="M677" s="207"/>
      <c r="N677" s="207"/>
      <c r="O677" s="207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  <c r="AA677" s="207"/>
      <c r="AB677" s="207"/>
      <c r="AC677" s="207"/>
      <c r="AD677" s="207"/>
      <c r="AE677" s="207"/>
      <c r="AF677" s="207"/>
      <c r="AG677" s="207"/>
      <c r="AH677" s="207"/>
      <c r="AI677" s="207"/>
      <c r="AJ677" s="207"/>
      <c r="AK677" s="207"/>
      <c r="AL677" s="207"/>
      <c r="AM677" s="207"/>
      <c r="AN677" s="207"/>
      <c r="AO677" s="207"/>
      <c r="AP677" s="207"/>
      <c r="AQ677" s="207"/>
      <c r="AR677" s="207"/>
      <c r="AS677" s="207"/>
      <c r="AT677" s="207"/>
      <c r="AU677" s="207"/>
      <c r="AV677" s="207"/>
      <c r="AW677" s="207"/>
      <c r="AX677" s="207"/>
      <c r="AY677" s="207"/>
      <c r="AZ677" s="207"/>
      <c r="BA677" s="207"/>
    </row>
    <row r="678" ht="18.75" hidden="1" customHeight="1">
      <c r="A678" s="207"/>
      <c r="B678" s="207"/>
      <c r="C678" s="207"/>
      <c r="D678" s="207"/>
      <c r="E678" s="207"/>
      <c r="F678" s="207"/>
      <c r="G678" s="207"/>
      <c r="H678" s="207"/>
      <c r="I678" s="207"/>
      <c r="J678" s="207"/>
      <c r="K678" s="207"/>
      <c r="L678" s="207"/>
      <c r="M678" s="207"/>
      <c r="N678" s="207"/>
      <c r="O678" s="207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  <c r="AA678" s="207"/>
      <c r="AB678" s="207"/>
      <c r="AC678" s="207"/>
      <c r="AD678" s="207"/>
      <c r="AE678" s="207"/>
      <c r="AF678" s="207"/>
      <c r="AG678" s="207"/>
      <c r="AH678" s="207"/>
      <c r="AI678" s="207"/>
      <c r="AJ678" s="207"/>
      <c r="AK678" s="207"/>
      <c r="AL678" s="207"/>
      <c r="AM678" s="207"/>
      <c r="AN678" s="207"/>
      <c r="AO678" s="207"/>
      <c r="AP678" s="207"/>
      <c r="AQ678" s="207"/>
      <c r="AR678" s="207"/>
      <c r="AS678" s="207"/>
      <c r="AT678" s="207"/>
      <c r="AU678" s="207"/>
      <c r="AV678" s="207"/>
      <c r="AW678" s="207"/>
      <c r="AX678" s="207"/>
      <c r="AY678" s="207"/>
      <c r="AZ678" s="207"/>
      <c r="BA678" s="207"/>
    </row>
    <row r="679" ht="18.75" hidden="1" customHeight="1">
      <c r="A679" s="207"/>
      <c r="B679" s="207"/>
      <c r="C679" s="207"/>
      <c r="D679" s="207"/>
      <c r="E679" s="207"/>
      <c r="F679" s="207"/>
      <c r="G679" s="207"/>
      <c r="H679" s="207"/>
      <c r="I679" s="207"/>
      <c r="J679" s="207"/>
      <c r="K679" s="207"/>
      <c r="L679" s="207"/>
      <c r="M679" s="207"/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  <c r="AA679" s="207"/>
      <c r="AB679" s="207"/>
      <c r="AC679" s="207"/>
      <c r="AD679" s="207"/>
      <c r="AE679" s="207"/>
      <c r="AF679" s="207"/>
      <c r="AG679" s="207"/>
      <c r="AH679" s="207"/>
      <c r="AI679" s="207"/>
      <c r="AJ679" s="207"/>
      <c r="AK679" s="207"/>
      <c r="AL679" s="207"/>
      <c r="AM679" s="207"/>
      <c r="AN679" s="207"/>
      <c r="AO679" s="207"/>
      <c r="AP679" s="207"/>
      <c r="AQ679" s="207"/>
      <c r="AR679" s="207"/>
      <c r="AS679" s="207"/>
      <c r="AT679" s="207"/>
      <c r="AU679" s="207"/>
      <c r="AV679" s="207"/>
      <c r="AW679" s="207"/>
      <c r="AX679" s="207"/>
      <c r="AY679" s="207"/>
      <c r="AZ679" s="207"/>
      <c r="BA679" s="207"/>
    </row>
    <row r="680" ht="18.75" hidden="1" customHeight="1">
      <c r="A680" s="207"/>
      <c r="B680" s="207"/>
      <c r="C680" s="207"/>
      <c r="D680" s="207"/>
      <c r="E680" s="207"/>
      <c r="F680" s="207"/>
      <c r="G680" s="207"/>
      <c r="H680" s="207"/>
      <c r="I680" s="207"/>
      <c r="J680" s="207"/>
      <c r="K680" s="207"/>
      <c r="L680" s="207"/>
      <c r="M680" s="207"/>
      <c r="N680" s="207"/>
      <c r="O680" s="20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  <c r="AA680" s="207"/>
      <c r="AB680" s="207"/>
      <c r="AC680" s="207"/>
      <c r="AD680" s="207"/>
      <c r="AE680" s="207"/>
      <c r="AF680" s="207"/>
      <c r="AG680" s="207"/>
      <c r="AH680" s="207"/>
      <c r="AI680" s="207"/>
      <c r="AJ680" s="207"/>
      <c r="AK680" s="207"/>
      <c r="AL680" s="207"/>
      <c r="AM680" s="207"/>
      <c r="AN680" s="207"/>
      <c r="AO680" s="207"/>
      <c r="AP680" s="207"/>
      <c r="AQ680" s="207"/>
      <c r="AR680" s="207"/>
      <c r="AS680" s="207"/>
      <c r="AT680" s="207"/>
      <c r="AU680" s="207"/>
      <c r="AV680" s="207"/>
      <c r="AW680" s="207"/>
      <c r="AX680" s="207"/>
      <c r="AY680" s="207"/>
      <c r="AZ680" s="207"/>
      <c r="BA680" s="207"/>
    </row>
    <row r="681" ht="18.75" hidden="1" customHeight="1">
      <c r="A681" s="207"/>
      <c r="B681" s="207"/>
      <c r="C681" s="207"/>
      <c r="D681" s="207"/>
      <c r="E681" s="207"/>
      <c r="F681" s="207"/>
      <c r="G681" s="207"/>
      <c r="H681" s="207"/>
      <c r="I681" s="207"/>
      <c r="J681" s="207"/>
      <c r="K681" s="207"/>
      <c r="L681" s="207"/>
      <c r="M681" s="207"/>
      <c r="N681" s="207"/>
      <c r="O681" s="207"/>
      <c r="P681" s="207"/>
      <c r="Q681" s="207"/>
      <c r="R681" s="207"/>
      <c r="S681" s="207"/>
      <c r="T681" s="207"/>
      <c r="U681" s="207"/>
      <c r="V681" s="207"/>
      <c r="W681" s="207"/>
      <c r="X681" s="207"/>
      <c r="Y681" s="207"/>
      <c r="Z681" s="207"/>
      <c r="AA681" s="207"/>
      <c r="AB681" s="207"/>
      <c r="AC681" s="207"/>
      <c r="AD681" s="207"/>
      <c r="AE681" s="207"/>
      <c r="AF681" s="207"/>
      <c r="AG681" s="207"/>
      <c r="AH681" s="207"/>
      <c r="AI681" s="207"/>
      <c r="AJ681" s="207"/>
      <c r="AK681" s="207"/>
      <c r="AL681" s="207"/>
      <c r="AM681" s="207"/>
      <c r="AN681" s="207"/>
      <c r="AO681" s="207"/>
      <c r="AP681" s="207"/>
      <c r="AQ681" s="207"/>
      <c r="AR681" s="207"/>
      <c r="AS681" s="207"/>
      <c r="AT681" s="207"/>
      <c r="AU681" s="207"/>
      <c r="AV681" s="207"/>
      <c r="AW681" s="207"/>
      <c r="AX681" s="207"/>
      <c r="AY681" s="207"/>
      <c r="AZ681" s="207"/>
      <c r="BA681" s="207"/>
    </row>
    <row r="682" ht="18.75" hidden="1" customHeight="1">
      <c r="A682" s="207"/>
      <c r="B682" s="207"/>
      <c r="C682" s="207"/>
      <c r="D682" s="207"/>
      <c r="E682" s="207"/>
      <c r="F682" s="207"/>
      <c r="G682" s="207"/>
      <c r="H682" s="207"/>
      <c r="I682" s="207"/>
      <c r="J682" s="207"/>
      <c r="K682" s="207"/>
      <c r="L682" s="207"/>
      <c r="M682" s="207"/>
      <c r="N682" s="207"/>
      <c r="O682" s="207"/>
      <c r="P682" s="207"/>
      <c r="Q682" s="207"/>
      <c r="R682" s="207"/>
      <c r="S682" s="207"/>
      <c r="T682" s="207"/>
      <c r="U682" s="207"/>
      <c r="V682" s="207"/>
      <c r="W682" s="207"/>
      <c r="X682" s="207"/>
      <c r="Y682" s="207"/>
      <c r="Z682" s="207"/>
      <c r="AA682" s="207"/>
      <c r="AB682" s="207"/>
      <c r="AC682" s="207"/>
      <c r="AD682" s="207"/>
      <c r="AE682" s="207"/>
      <c r="AF682" s="207"/>
      <c r="AG682" s="207"/>
      <c r="AH682" s="207"/>
      <c r="AI682" s="207"/>
      <c r="AJ682" s="207"/>
      <c r="AK682" s="207"/>
      <c r="AL682" s="207"/>
      <c r="AM682" s="207"/>
      <c r="AN682" s="207"/>
      <c r="AO682" s="207"/>
      <c r="AP682" s="207"/>
      <c r="AQ682" s="207"/>
      <c r="AR682" s="207"/>
      <c r="AS682" s="207"/>
      <c r="AT682" s="207"/>
      <c r="AU682" s="207"/>
      <c r="AV682" s="207"/>
      <c r="AW682" s="207"/>
      <c r="AX682" s="207"/>
      <c r="AY682" s="207"/>
      <c r="AZ682" s="207"/>
      <c r="BA682" s="207"/>
    </row>
    <row r="683" ht="18.75" hidden="1" customHeight="1">
      <c r="A683" s="207"/>
      <c r="B683" s="207"/>
      <c r="C683" s="207"/>
      <c r="D683" s="207"/>
      <c r="E683" s="207"/>
      <c r="F683" s="207"/>
      <c r="G683" s="207"/>
      <c r="H683" s="207"/>
      <c r="I683" s="207"/>
      <c r="J683" s="207"/>
      <c r="K683" s="207"/>
      <c r="L683" s="207"/>
      <c r="M683" s="207"/>
      <c r="N683" s="207"/>
      <c r="O683" s="207"/>
      <c r="P683" s="207"/>
      <c r="Q683" s="207"/>
      <c r="R683" s="207"/>
      <c r="S683" s="207"/>
      <c r="T683" s="207"/>
      <c r="U683" s="207"/>
      <c r="V683" s="207"/>
      <c r="W683" s="207"/>
      <c r="X683" s="207"/>
      <c r="Y683" s="207"/>
      <c r="Z683" s="207"/>
      <c r="AA683" s="207"/>
      <c r="AB683" s="207"/>
      <c r="AC683" s="207"/>
      <c r="AD683" s="207"/>
      <c r="AE683" s="207"/>
      <c r="AF683" s="207"/>
      <c r="AG683" s="207"/>
      <c r="AH683" s="207"/>
      <c r="AI683" s="207"/>
      <c r="AJ683" s="207"/>
      <c r="AK683" s="207"/>
      <c r="AL683" s="207"/>
      <c r="AM683" s="207"/>
      <c r="AN683" s="207"/>
      <c r="AO683" s="207"/>
      <c r="AP683" s="207"/>
      <c r="AQ683" s="207"/>
      <c r="AR683" s="207"/>
      <c r="AS683" s="207"/>
      <c r="AT683" s="207"/>
      <c r="AU683" s="207"/>
      <c r="AV683" s="207"/>
      <c r="AW683" s="207"/>
      <c r="AX683" s="207"/>
      <c r="AY683" s="207"/>
      <c r="AZ683" s="207"/>
      <c r="BA683" s="207"/>
    </row>
    <row r="684" ht="18.75" hidden="1" customHeight="1">
      <c r="A684" s="207"/>
      <c r="B684" s="207"/>
      <c r="C684" s="207"/>
      <c r="D684" s="207"/>
      <c r="E684" s="207"/>
      <c r="F684" s="207"/>
      <c r="G684" s="207"/>
      <c r="H684" s="207"/>
      <c r="I684" s="207"/>
      <c r="J684" s="207"/>
      <c r="K684" s="207"/>
      <c r="L684" s="207"/>
      <c r="M684" s="207"/>
      <c r="N684" s="207"/>
      <c r="O684" s="207"/>
      <c r="P684" s="207"/>
      <c r="Q684" s="207"/>
      <c r="R684" s="207"/>
      <c r="S684" s="207"/>
      <c r="T684" s="207"/>
      <c r="U684" s="207"/>
      <c r="V684" s="207"/>
      <c r="W684" s="207"/>
      <c r="X684" s="207"/>
      <c r="Y684" s="207"/>
      <c r="Z684" s="207"/>
      <c r="AA684" s="207"/>
      <c r="AB684" s="207"/>
      <c r="AC684" s="207"/>
      <c r="AD684" s="207"/>
      <c r="AE684" s="207"/>
      <c r="AF684" s="207"/>
      <c r="AG684" s="207"/>
      <c r="AH684" s="207"/>
      <c r="AI684" s="207"/>
      <c r="AJ684" s="207"/>
      <c r="AK684" s="207"/>
      <c r="AL684" s="207"/>
      <c r="AM684" s="207"/>
      <c r="AN684" s="207"/>
      <c r="AO684" s="207"/>
      <c r="AP684" s="207"/>
      <c r="AQ684" s="207"/>
      <c r="AR684" s="207"/>
      <c r="AS684" s="207"/>
      <c r="AT684" s="207"/>
      <c r="AU684" s="207"/>
      <c r="AV684" s="207"/>
      <c r="AW684" s="207"/>
      <c r="AX684" s="207"/>
      <c r="AY684" s="207"/>
      <c r="AZ684" s="207"/>
      <c r="BA684" s="207"/>
    </row>
    <row r="685" ht="18.75" hidden="1" customHeight="1">
      <c r="A685" s="207"/>
      <c r="B685" s="207"/>
      <c r="C685" s="207"/>
      <c r="D685" s="207"/>
      <c r="E685" s="207"/>
      <c r="F685" s="207"/>
      <c r="G685" s="207"/>
      <c r="H685" s="207"/>
      <c r="I685" s="207"/>
      <c r="J685" s="207"/>
      <c r="K685" s="207"/>
      <c r="L685" s="207"/>
      <c r="M685" s="207"/>
      <c r="N685" s="207"/>
      <c r="O685" s="207"/>
      <c r="P685" s="207"/>
      <c r="Q685" s="207"/>
      <c r="R685" s="207"/>
      <c r="S685" s="207"/>
      <c r="T685" s="207"/>
      <c r="U685" s="207"/>
      <c r="V685" s="207"/>
      <c r="W685" s="207"/>
      <c r="X685" s="207"/>
      <c r="Y685" s="207"/>
      <c r="Z685" s="207"/>
      <c r="AA685" s="207"/>
      <c r="AB685" s="207"/>
      <c r="AC685" s="207"/>
      <c r="AD685" s="207"/>
      <c r="AE685" s="207"/>
      <c r="AF685" s="207"/>
      <c r="AG685" s="207"/>
      <c r="AH685" s="207"/>
      <c r="AI685" s="207"/>
      <c r="AJ685" s="207"/>
      <c r="AK685" s="207"/>
      <c r="AL685" s="207"/>
      <c r="AM685" s="207"/>
      <c r="AN685" s="207"/>
      <c r="AO685" s="207"/>
      <c r="AP685" s="207"/>
      <c r="AQ685" s="207"/>
      <c r="AR685" s="207"/>
      <c r="AS685" s="207"/>
      <c r="AT685" s="207"/>
      <c r="AU685" s="207"/>
      <c r="AV685" s="207"/>
      <c r="AW685" s="207"/>
      <c r="AX685" s="207"/>
      <c r="AY685" s="207"/>
      <c r="AZ685" s="207"/>
      <c r="BA685" s="207"/>
    </row>
    <row r="686" ht="18.75" hidden="1" customHeight="1">
      <c r="A686" s="207"/>
      <c r="B686" s="207"/>
      <c r="C686" s="207"/>
      <c r="D686" s="207"/>
      <c r="E686" s="207"/>
      <c r="F686" s="207"/>
      <c r="G686" s="207"/>
      <c r="H686" s="207"/>
      <c r="I686" s="207"/>
      <c r="J686" s="207"/>
      <c r="K686" s="207"/>
      <c r="L686" s="207"/>
      <c r="M686" s="207"/>
      <c r="N686" s="207"/>
      <c r="O686" s="207"/>
      <c r="P686" s="207"/>
      <c r="Q686" s="207"/>
      <c r="R686" s="207"/>
      <c r="S686" s="207"/>
      <c r="T686" s="207"/>
      <c r="U686" s="207"/>
      <c r="V686" s="207"/>
      <c r="W686" s="207"/>
      <c r="X686" s="207"/>
      <c r="Y686" s="207"/>
      <c r="Z686" s="207"/>
      <c r="AA686" s="207"/>
      <c r="AB686" s="207"/>
      <c r="AC686" s="207"/>
      <c r="AD686" s="207"/>
      <c r="AE686" s="207"/>
      <c r="AF686" s="207"/>
      <c r="AG686" s="207"/>
      <c r="AH686" s="207"/>
      <c r="AI686" s="207"/>
      <c r="AJ686" s="207"/>
      <c r="AK686" s="207"/>
      <c r="AL686" s="207"/>
      <c r="AM686" s="207"/>
      <c r="AN686" s="207"/>
      <c r="AO686" s="207"/>
      <c r="AP686" s="207"/>
      <c r="AQ686" s="207"/>
      <c r="AR686" s="207"/>
      <c r="AS686" s="207"/>
      <c r="AT686" s="207"/>
      <c r="AU686" s="207"/>
      <c r="AV686" s="207"/>
      <c r="AW686" s="207"/>
      <c r="AX686" s="207"/>
      <c r="AY686" s="207"/>
      <c r="AZ686" s="207"/>
      <c r="BA686" s="207"/>
    </row>
    <row r="687" ht="18.75" hidden="1" customHeight="1">
      <c r="A687" s="207"/>
      <c r="B687" s="207"/>
      <c r="C687" s="207"/>
      <c r="D687" s="207"/>
      <c r="E687" s="207"/>
      <c r="F687" s="207"/>
      <c r="G687" s="207"/>
      <c r="H687" s="207"/>
      <c r="I687" s="207"/>
      <c r="J687" s="207"/>
      <c r="K687" s="207"/>
      <c r="L687" s="207"/>
      <c r="M687" s="207"/>
      <c r="N687" s="207"/>
      <c r="O687" s="207"/>
      <c r="P687" s="207"/>
      <c r="Q687" s="207"/>
      <c r="R687" s="207"/>
      <c r="S687" s="207"/>
      <c r="T687" s="207"/>
      <c r="U687" s="207"/>
      <c r="V687" s="207"/>
      <c r="W687" s="207"/>
      <c r="X687" s="207"/>
      <c r="Y687" s="207"/>
      <c r="Z687" s="207"/>
      <c r="AA687" s="207"/>
      <c r="AB687" s="207"/>
      <c r="AC687" s="207"/>
      <c r="AD687" s="207"/>
      <c r="AE687" s="207"/>
      <c r="AF687" s="207"/>
      <c r="AG687" s="207"/>
      <c r="AH687" s="207"/>
      <c r="AI687" s="207"/>
      <c r="AJ687" s="207"/>
      <c r="AK687" s="207"/>
      <c r="AL687" s="207"/>
      <c r="AM687" s="207"/>
      <c r="AN687" s="207"/>
      <c r="AO687" s="207"/>
      <c r="AP687" s="207"/>
      <c r="AQ687" s="207"/>
      <c r="AR687" s="207"/>
      <c r="AS687" s="207"/>
      <c r="AT687" s="207"/>
      <c r="AU687" s="207"/>
      <c r="AV687" s="207"/>
      <c r="AW687" s="207"/>
      <c r="AX687" s="207"/>
      <c r="AY687" s="207"/>
      <c r="AZ687" s="207"/>
      <c r="BA687" s="207"/>
    </row>
    <row r="688" ht="18.75" hidden="1" customHeight="1">
      <c r="A688" s="207"/>
      <c r="B688" s="207"/>
      <c r="C688" s="207"/>
      <c r="D688" s="207"/>
      <c r="E688" s="207"/>
      <c r="F688" s="207"/>
      <c r="G688" s="207"/>
      <c r="H688" s="207"/>
      <c r="I688" s="207"/>
      <c r="J688" s="207"/>
      <c r="K688" s="207"/>
      <c r="L688" s="207"/>
      <c r="M688" s="207"/>
      <c r="N688" s="207"/>
      <c r="O688" s="207"/>
      <c r="P688" s="207"/>
      <c r="Q688" s="207"/>
      <c r="R688" s="207"/>
      <c r="S688" s="207"/>
      <c r="T688" s="207"/>
      <c r="U688" s="207"/>
      <c r="V688" s="207"/>
      <c r="W688" s="207"/>
      <c r="X688" s="207"/>
      <c r="Y688" s="207"/>
      <c r="Z688" s="207"/>
      <c r="AA688" s="207"/>
      <c r="AB688" s="207"/>
      <c r="AC688" s="207"/>
      <c r="AD688" s="207"/>
      <c r="AE688" s="207"/>
      <c r="AF688" s="207"/>
      <c r="AG688" s="207"/>
      <c r="AH688" s="207"/>
      <c r="AI688" s="207"/>
      <c r="AJ688" s="207"/>
      <c r="AK688" s="207"/>
      <c r="AL688" s="207"/>
      <c r="AM688" s="207"/>
      <c r="AN688" s="207"/>
      <c r="AO688" s="207"/>
      <c r="AP688" s="207"/>
      <c r="AQ688" s="207"/>
      <c r="AR688" s="207"/>
      <c r="AS688" s="207"/>
      <c r="AT688" s="207"/>
      <c r="AU688" s="207"/>
      <c r="AV688" s="207"/>
      <c r="AW688" s="207"/>
      <c r="AX688" s="207"/>
      <c r="AY688" s="207"/>
      <c r="AZ688" s="207"/>
      <c r="BA688" s="207"/>
    </row>
    <row r="689" ht="18.75" hidden="1" customHeight="1">
      <c r="A689" s="207"/>
      <c r="B689" s="207"/>
      <c r="C689" s="207"/>
      <c r="D689" s="207"/>
      <c r="E689" s="207"/>
      <c r="F689" s="207"/>
      <c r="G689" s="207"/>
      <c r="H689" s="207"/>
      <c r="I689" s="207"/>
      <c r="J689" s="207"/>
      <c r="K689" s="207"/>
      <c r="L689" s="207"/>
      <c r="M689" s="207"/>
      <c r="N689" s="207"/>
      <c r="O689" s="207"/>
      <c r="P689" s="207"/>
      <c r="Q689" s="207"/>
      <c r="R689" s="207"/>
      <c r="S689" s="207"/>
      <c r="T689" s="207"/>
      <c r="U689" s="207"/>
      <c r="V689" s="207"/>
      <c r="W689" s="207"/>
      <c r="X689" s="207"/>
      <c r="Y689" s="207"/>
      <c r="Z689" s="207"/>
      <c r="AA689" s="207"/>
      <c r="AB689" s="207"/>
      <c r="AC689" s="207"/>
      <c r="AD689" s="207"/>
      <c r="AE689" s="207"/>
      <c r="AF689" s="207"/>
      <c r="AG689" s="207"/>
      <c r="AH689" s="207"/>
      <c r="AI689" s="207"/>
      <c r="AJ689" s="207"/>
      <c r="AK689" s="207"/>
      <c r="AL689" s="207"/>
      <c r="AM689" s="207"/>
      <c r="AN689" s="207"/>
      <c r="AO689" s="207"/>
      <c r="AP689" s="207"/>
      <c r="AQ689" s="207"/>
      <c r="AR689" s="207"/>
      <c r="AS689" s="207"/>
      <c r="AT689" s="207"/>
      <c r="AU689" s="207"/>
      <c r="AV689" s="207"/>
      <c r="AW689" s="207"/>
      <c r="AX689" s="207"/>
      <c r="AY689" s="207"/>
      <c r="AZ689" s="207"/>
      <c r="BA689" s="207"/>
    </row>
    <row r="690" ht="18.75" hidden="1" customHeight="1">
      <c r="A690" s="207"/>
      <c r="B690" s="207"/>
      <c r="C690" s="207"/>
      <c r="D690" s="207"/>
      <c r="E690" s="207"/>
      <c r="F690" s="207"/>
      <c r="G690" s="207"/>
      <c r="H690" s="207"/>
      <c r="I690" s="207"/>
      <c r="J690" s="207"/>
      <c r="K690" s="207"/>
      <c r="L690" s="207"/>
      <c r="M690" s="207"/>
      <c r="N690" s="207"/>
      <c r="O690" s="207"/>
      <c r="P690" s="207"/>
      <c r="Q690" s="207"/>
      <c r="R690" s="207"/>
      <c r="S690" s="207"/>
      <c r="T690" s="207"/>
      <c r="U690" s="207"/>
      <c r="V690" s="207"/>
      <c r="W690" s="207"/>
      <c r="X690" s="207"/>
      <c r="Y690" s="207"/>
      <c r="Z690" s="207"/>
      <c r="AA690" s="207"/>
      <c r="AB690" s="207"/>
      <c r="AC690" s="207"/>
      <c r="AD690" s="207"/>
      <c r="AE690" s="207"/>
      <c r="AF690" s="207"/>
      <c r="AG690" s="207"/>
      <c r="AH690" s="207"/>
      <c r="AI690" s="207"/>
      <c r="AJ690" s="207"/>
      <c r="AK690" s="207"/>
      <c r="AL690" s="207"/>
      <c r="AM690" s="207"/>
      <c r="AN690" s="207"/>
      <c r="AO690" s="207"/>
      <c r="AP690" s="207"/>
      <c r="AQ690" s="207"/>
      <c r="AR690" s="207"/>
      <c r="AS690" s="207"/>
      <c r="AT690" s="207"/>
      <c r="AU690" s="207"/>
      <c r="AV690" s="207"/>
      <c r="AW690" s="207"/>
      <c r="AX690" s="207"/>
      <c r="AY690" s="207"/>
      <c r="AZ690" s="207"/>
      <c r="BA690" s="207"/>
    </row>
    <row r="691" ht="18.75" hidden="1" customHeight="1">
      <c r="A691" s="207"/>
      <c r="B691" s="207"/>
      <c r="C691" s="207"/>
      <c r="D691" s="207"/>
      <c r="E691" s="207"/>
      <c r="F691" s="207"/>
      <c r="G691" s="207"/>
      <c r="H691" s="207"/>
      <c r="I691" s="207"/>
      <c r="J691" s="207"/>
      <c r="K691" s="207"/>
      <c r="L691" s="207"/>
      <c r="M691" s="207"/>
      <c r="N691" s="207"/>
      <c r="O691" s="207"/>
      <c r="P691" s="207"/>
      <c r="Q691" s="207"/>
      <c r="R691" s="207"/>
      <c r="S691" s="207"/>
      <c r="T691" s="207"/>
      <c r="U691" s="207"/>
      <c r="V691" s="207"/>
      <c r="W691" s="207"/>
      <c r="X691" s="207"/>
      <c r="Y691" s="207"/>
      <c r="Z691" s="207"/>
      <c r="AA691" s="207"/>
      <c r="AB691" s="207"/>
      <c r="AC691" s="207"/>
      <c r="AD691" s="207"/>
      <c r="AE691" s="207"/>
      <c r="AF691" s="207"/>
      <c r="AG691" s="207"/>
      <c r="AH691" s="207"/>
      <c r="AI691" s="207"/>
      <c r="AJ691" s="207"/>
      <c r="AK691" s="207"/>
      <c r="AL691" s="207"/>
      <c r="AM691" s="207"/>
      <c r="AN691" s="207"/>
      <c r="AO691" s="207"/>
      <c r="AP691" s="207"/>
      <c r="AQ691" s="207"/>
      <c r="AR691" s="207"/>
      <c r="AS691" s="207"/>
      <c r="AT691" s="207"/>
      <c r="AU691" s="207"/>
      <c r="AV691" s="207"/>
      <c r="AW691" s="207"/>
      <c r="AX691" s="207"/>
      <c r="AY691" s="207"/>
      <c r="AZ691" s="207"/>
      <c r="BA691" s="207"/>
    </row>
    <row r="692" ht="18.75" hidden="1" customHeight="1">
      <c r="A692" s="207"/>
      <c r="B692" s="207"/>
      <c r="C692" s="207"/>
      <c r="D692" s="207"/>
      <c r="E692" s="207"/>
      <c r="F692" s="207"/>
      <c r="G692" s="207"/>
      <c r="H692" s="207"/>
      <c r="I692" s="207"/>
      <c r="J692" s="207"/>
      <c r="K692" s="207"/>
      <c r="L692" s="207"/>
      <c r="M692" s="207"/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  <c r="AA692" s="207"/>
      <c r="AB692" s="207"/>
      <c r="AC692" s="207"/>
      <c r="AD692" s="207"/>
      <c r="AE692" s="207"/>
      <c r="AF692" s="207"/>
      <c r="AG692" s="207"/>
      <c r="AH692" s="207"/>
      <c r="AI692" s="207"/>
      <c r="AJ692" s="207"/>
      <c r="AK692" s="207"/>
      <c r="AL692" s="207"/>
      <c r="AM692" s="207"/>
      <c r="AN692" s="207"/>
      <c r="AO692" s="207"/>
      <c r="AP692" s="207"/>
      <c r="AQ692" s="207"/>
      <c r="AR692" s="207"/>
      <c r="AS692" s="207"/>
      <c r="AT692" s="207"/>
      <c r="AU692" s="207"/>
      <c r="AV692" s="207"/>
      <c r="AW692" s="207"/>
      <c r="AX692" s="207"/>
      <c r="AY692" s="207"/>
      <c r="AZ692" s="207"/>
      <c r="BA692" s="207"/>
    </row>
    <row r="693" ht="18.75" hidden="1" customHeight="1">
      <c r="A693" s="207"/>
      <c r="B693" s="207"/>
      <c r="C693" s="207"/>
      <c r="D693" s="207"/>
      <c r="E693" s="207"/>
      <c r="F693" s="207"/>
      <c r="G693" s="207"/>
      <c r="H693" s="207"/>
      <c r="I693" s="207"/>
      <c r="J693" s="207"/>
      <c r="K693" s="207"/>
      <c r="L693" s="207"/>
      <c r="M693" s="207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  <c r="AA693" s="207"/>
      <c r="AB693" s="207"/>
      <c r="AC693" s="207"/>
      <c r="AD693" s="207"/>
      <c r="AE693" s="207"/>
      <c r="AF693" s="207"/>
      <c r="AG693" s="207"/>
      <c r="AH693" s="207"/>
      <c r="AI693" s="207"/>
      <c r="AJ693" s="207"/>
      <c r="AK693" s="207"/>
      <c r="AL693" s="207"/>
      <c r="AM693" s="207"/>
      <c r="AN693" s="207"/>
      <c r="AO693" s="207"/>
      <c r="AP693" s="207"/>
      <c r="AQ693" s="207"/>
      <c r="AR693" s="207"/>
      <c r="AS693" s="207"/>
      <c r="AT693" s="207"/>
      <c r="AU693" s="207"/>
      <c r="AV693" s="207"/>
      <c r="AW693" s="207"/>
      <c r="AX693" s="207"/>
      <c r="AY693" s="207"/>
      <c r="AZ693" s="207"/>
      <c r="BA693" s="207"/>
    </row>
    <row r="694" ht="18.75" hidden="1" customHeight="1">
      <c r="A694" s="207"/>
      <c r="B694" s="207"/>
      <c r="C694" s="207"/>
      <c r="D694" s="207"/>
      <c r="E694" s="207"/>
      <c r="F694" s="207"/>
      <c r="G694" s="207"/>
      <c r="H694" s="207"/>
      <c r="I694" s="207"/>
      <c r="J694" s="207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  <c r="AA694" s="207"/>
      <c r="AB694" s="207"/>
      <c r="AC694" s="207"/>
      <c r="AD694" s="207"/>
      <c r="AE694" s="207"/>
      <c r="AF694" s="207"/>
      <c r="AG694" s="207"/>
      <c r="AH694" s="207"/>
      <c r="AI694" s="207"/>
      <c r="AJ694" s="207"/>
      <c r="AK694" s="207"/>
      <c r="AL694" s="207"/>
      <c r="AM694" s="207"/>
      <c r="AN694" s="207"/>
      <c r="AO694" s="207"/>
      <c r="AP694" s="207"/>
      <c r="AQ694" s="207"/>
      <c r="AR694" s="207"/>
      <c r="AS694" s="207"/>
      <c r="AT694" s="207"/>
      <c r="AU694" s="207"/>
      <c r="AV694" s="207"/>
      <c r="AW694" s="207"/>
      <c r="AX694" s="207"/>
      <c r="AY694" s="207"/>
      <c r="AZ694" s="207"/>
      <c r="BA694" s="207"/>
    </row>
    <row r="695" ht="18.75" hidden="1" customHeight="1">
      <c r="A695" s="207"/>
      <c r="B695" s="207"/>
      <c r="C695" s="207"/>
      <c r="D695" s="207"/>
      <c r="E695" s="207"/>
      <c r="F695" s="207"/>
      <c r="G695" s="207"/>
      <c r="H695" s="207"/>
      <c r="I695" s="207"/>
      <c r="J695" s="207"/>
      <c r="K695" s="207"/>
      <c r="L695" s="207"/>
      <c r="M695" s="207"/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  <c r="AA695" s="207"/>
      <c r="AB695" s="207"/>
      <c r="AC695" s="207"/>
      <c r="AD695" s="207"/>
      <c r="AE695" s="207"/>
      <c r="AF695" s="207"/>
      <c r="AG695" s="207"/>
      <c r="AH695" s="207"/>
      <c r="AI695" s="207"/>
      <c r="AJ695" s="207"/>
      <c r="AK695" s="207"/>
      <c r="AL695" s="207"/>
      <c r="AM695" s="207"/>
      <c r="AN695" s="207"/>
      <c r="AO695" s="207"/>
      <c r="AP695" s="207"/>
      <c r="AQ695" s="207"/>
      <c r="AR695" s="207"/>
      <c r="AS695" s="207"/>
      <c r="AT695" s="207"/>
      <c r="AU695" s="207"/>
      <c r="AV695" s="207"/>
      <c r="AW695" s="207"/>
      <c r="AX695" s="207"/>
      <c r="AY695" s="207"/>
      <c r="AZ695" s="207"/>
      <c r="BA695" s="207"/>
    </row>
    <row r="696" ht="18.75" hidden="1" customHeight="1">
      <c r="A696" s="207"/>
      <c r="B696" s="207"/>
      <c r="C696" s="207"/>
      <c r="D696" s="207"/>
      <c r="E696" s="207"/>
      <c r="F696" s="207"/>
      <c r="G696" s="207"/>
      <c r="H696" s="207"/>
      <c r="I696" s="207"/>
      <c r="J696" s="207"/>
      <c r="K696" s="207"/>
      <c r="L696" s="207"/>
      <c r="M696" s="207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  <c r="AA696" s="207"/>
      <c r="AB696" s="207"/>
      <c r="AC696" s="207"/>
      <c r="AD696" s="207"/>
      <c r="AE696" s="207"/>
      <c r="AF696" s="207"/>
      <c r="AG696" s="207"/>
      <c r="AH696" s="207"/>
      <c r="AI696" s="207"/>
      <c r="AJ696" s="207"/>
      <c r="AK696" s="207"/>
      <c r="AL696" s="207"/>
      <c r="AM696" s="207"/>
      <c r="AN696" s="207"/>
      <c r="AO696" s="207"/>
      <c r="AP696" s="207"/>
      <c r="AQ696" s="207"/>
      <c r="AR696" s="207"/>
      <c r="AS696" s="207"/>
      <c r="AT696" s="207"/>
      <c r="AU696" s="207"/>
      <c r="AV696" s="207"/>
      <c r="AW696" s="207"/>
      <c r="AX696" s="207"/>
      <c r="AY696" s="207"/>
      <c r="AZ696" s="207"/>
      <c r="BA696" s="207"/>
    </row>
    <row r="697" ht="18.75" hidden="1" customHeight="1">
      <c r="A697" s="207"/>
      <c r="B697" s="207"/>
      <c r="C697" s="207"/>
      <c r="D697" s="207"/>
      <c r="E697" s="207"/>
      <c r="F697" s="207"/>
      <c r="G697" s="207"/>
      <c r="H697" s="207"/>
      <c r="I697" s="207"/>
      <c r="J697" s="207"/>
      <c r="K697" s="207"/>
      <c r="L697" s="207"/>
      <c r="M697" s="207"/>
      <c r="N697" s="207"/>
      <c r="O697" s="207"/>
      <c r="P697" s="207"/>
      <c r="Q697" s="207"/>
      <c r="R697" s="207"/>
      <c r="S697" s="207"/>
      <c r="T697" s="207"/>
      <c r="U697" s="207"/>
      <c r="V697" s="207"/>
      <c r="W697" s="207"/>
      <c r="X697" s="207"/>
      <c r="Y697" s="207"/>
      <c r="Z697" s="207"/>
      <c r="AA697" s="207"/>
      <c r="AB697" s="207"/>
      <c r="AC697" s="207"/>
      <c r="AD697" s="207"/>
      <c r="AE697" s="207"/>
      <c r="AF697" s="207"/>
      <c r="AG697" s="207"/>
      <c r="AH697" s="207"/>
      <c r="AI697" s="207"/>
      <c r="AJ697" s="207"/>
      <c r="AK697" s="207"/>
      <c r="AL697" s="207"/>
      <c r="AM697" s="207"/>
      <c r="AN697" s="207"/>
      <c r="AO697" s="207"/>
      <c r="AP697" s="207"/>
      <c r="AQ697" s="207"/>
      <c r="AR697" s="207"/>
      <c r="AS697" s="207"/>
      <c r="AT697" s="207"/>
      <c r="AU697" s="207"/>
      <c r="AV697" s="207"/>
      <c r="AW697" s="207"/>
      <c r="AX697" s="207"/>
      <c r="AY697" s="207"/>
      <c r="AZ697" s="207"/>
      <c r="BA697" s="207"/>
    </row>
    <row r="698" ht="18.75" hidden="1" customHeight="1">
      <c r="A698" s="207"/>
      <c r="B698" s="207"/>
      <c r="C698" s="207"/>
      <c r="D698" s="207"/>
      <c r="E698" s="207"/>
      <c r="F698" s="207"/>
      <c r="G698" s="207"/>
      <c r="H698" s="207"/>
      <c r="I698" s="207"/>
      <c r="J698" s="207"/>
      <c r="K698" s="207"/>
      <c r="L698" s="207"/>
      <c r="M698" s="207"/>
      <c r="N698" s="207"/>
      <c r="O698" s="207"/>
      <c r="P698" s="207"/>
      <c r="Q698" s="207"/>
      <c r="R698" s="207"/>
      <c r="S698" s="207"/>
      <c r="T698" s="207"/>
      <c r="U698" s="207"/>
      <c r="V698" s="207"/>
      <c r="W698" s="207"/>
      <c r="X698" s="207"/>
      <c r="Y698" s="207"/>
      <c r="Z698" s="207"/>
      <c r="AA698" s="207"/>
      <c r="AB698" s="207"/>
      <c r="AC698" s="207"/>
      <c r="AD698" s="207"/>
      <c r="AE698" s="207"/>
      <c r="AF698" s="207"/>
      <c r="AG698" s="207"/>
      <c r="AH698" s="207"/>
      <c r="AI698" s="207"/>
      <c r="AJ698" s="207"/>
      <c r="AK698" s="207"/>
      <c r="AL698" s="207"/>
      <c r="AM698" s="207"/>
      <c r="AN698" s="207"/>
      <c r="AO698" s="207"/>
      <c r="AP698" s="207"/>
      <c r="AQ698" s="207"/>
      <c r="AR698" s="207"/>
      <c r="AS698" s="207"/>
      <c r="AT698" s="207"/>
      <c r="AU698" s="207"/>
      <c r="AV698" s="207"/>
      <c r="AW698" s="207"/>
      <c r="AX698" s="207"/>
      <c r="AY698" s="207"/>
      <c r="AZ698" s="207"/>
      <c r="BA698" s="207"/>
    </row>
    <row r="699" ht="18.75" hidden="1" customHeight="1">
      <c r="A699" s="207"/>
      <c r="B699" s="207"/>
      <c r="C699" s="207"/>
      <c r="D699" s="207"/>
      <c r="E699" s="207"/>
      <c r="F699" s="207"/>
      <c r="G699" s="207"/>
      <c r="H699" s="207"/>
      <c r="I699" s="207"/>
      <c r="J699" s="207"/>
      <c r="K699" s="207"/>
      <c r="L699" s="207"/>
      <c r="M699" s="207"/>
      <c r="N699" s="207"/>
      <c r="O699" s="207"/>
      <c r="P699" s="207"/>
      <c r="Q699" s="207"/>
      <c r="R699" s="207"/>
      <c r="S699" s="207"/>
      <c r="T699" s="207"/>
      <c r="U699" s="207"/>
      <c r="V699" s="207"/>
      <c r="W699" s="207"/>
      <c r="X699" s="207"/>
      <c r="Y699" s="207"/>
      <c r="Z699" s="207"/>
      <c r="AA699" s="207"/>
      <c r="AB699" s="207"/>
      <c r="AC699" s="207"/>
      <c r="AD699" s="207"/>
      <c r="AE699" s="207"/>
      <c r="AF699" s="207"/>
      <c r="AG699" s="207"/>
      <c r="AH699" s="207"/>
      <c r="AI699" s="207"/>
      <c r="AJ699" s="207"/>
      <c r="AK699" s="207"/>
      <c r="AL699" s="207"/>
      <c r="AM699" s="207"/>
      <c r="AN699" s="207"/>
      <c r="AO699" s="207"/>
      <c r="AP699" s="207"/>
      <c r="AQ699" s="207"/>
      <c r="AR699" s="207"/>
      <c r="AS699" s="207"/>
      <c r="AT699" s="207"/>
      <c r="AU699" s="207"/>
      <c r="AV699" s="207"/>
      <c r="AW699" s="207"/>
      <c r="AX699" s="207"/>
      <c r="AY699" s="207"/>
      <c r="AZ699" s="207"/>
      <c r="BA699" s="207"/>
    </row>
    <row r="700" ht="18.75" hidden="1" customHeight="1">
      <c r="A700" s="207"/>
      <c r="B700" s="207"/>
      <c r="C700" s="207"/>
      <c r="D700" s="207"/>
      <c r="E700" s="207"/>
      <c r="F700" s="207"/>
      <c r="G700" s="207"/>
      <c r="H700" s="207"/>
      <c r="I700" s="207"/>
      <c r="J700" s="207"/>
      <c r="K700" s="207"/>
      <c r="L700" s="207"/>
      <c r="M700" s="207"/>
      <c r="N700" s="207"/>
      <c r="O700" s="207"/>
      <c r="P700" s="207"/>
      <c r="Q700" s="207"/>
      <c r="R700" s="207"/>
      <c r="S700" s="207"/>
      <c r="T700" s="207"/>
      <c r="U700" s="207"/>
      <c r="V700" s="207"/>
      <c r="W700" s="207"/>
      <c r="X700" s="207"/>
      <c r="Y700" s="207"/>
      <c r="Z700" s="207"/>
      <c r="AA700" s="207"/>
      <c r="AB700" s="207"/>
      <c r="AC700" s="207"/>
      <c r="AD700" s="207"/>
      <c r="AE700" s="207"/>
      <c r="AF700" s="207"/>
      <c r="AG700" s="207"/>
      <c r="AH700" s="207"/>
      <c r="AI700" s="207"/>
      <c r="AJ700" s="207"/>
      <c r="AK700" s="207"/>
      <c r="AL700" s="207"/>
      <c r="AM700" s="207"/>
      <c r="AN700" s="207"/>
      <c r="AO700" s="207"/>
      <c r="AP700" s="207"/>
      <c r="AQ700" s="207"/>
      <c r="AR700" s="207"/>
      <c r="AS700" s="207"/>
      <c r="AT700" s="207"/>
      <c r="AU700" s="207"/>
      <c r="AV700" s="207"/>
      <c r="AW700" s="207"/>
      <c r="AX700" s="207"/>
      <c r="AY700" s="207"/>
      <c r="AZ700" s="207"/>
      <c r="BA700" s="207"/>
    </row>
    <row r="701" ht="18.75" hidden="1" customHeight="1">
      <c r="A701" s="207"/>
      <c r="B701" s="207"/>
      <c r="C701" s="207"/>
      <c r="D701" s="207"/>
      <c r="E701" s="207"/>
      <c r="F701" s="207"/>
      <c r="G701" s="207"/>
      <c r="H701" s="207"/>
      <c r="I701" s="207"/>
      <c r="J701" s="207"/>
      <c r="K701" s="207"/>
      <c r="L701" s="207"/>
      <c r="M701" s="207"/>
      <c r="N701" s="207"/>
      <c r="O701" s="207"/>
      <c r="P701" s="207"/>
      <c r="Q701" s="207"/>
      <c r="R701" s="207"/>
      <c r="S701" s="207"/>
      <c r="T701" s="207"/>
      <c r="U701" s="207"/>
      <c r="V701" s="207"/>
      <c r="W701" s="207"/>
      <c r="X701" s="207"/>
      <c r="Y701" s="207"/>
      <c r="Z701" s="207"/>
      <c r="AA701" s="207"/>
      <c r="AB701" s="207"/>
      <c r="AC701" s="207"/>
      <c r="AD701" s="207"/>
      <c r="AE701" s="207"/>
      <c r="AF701" s="207"/>
      <c r="AG701" s="207"/>
      <c r="AH701" s="207"/>
      <c r="AI701" s="207"/>
      <c r="AJ701" s="207"/>
      <c r="AK701" s="207"/>
      <c r="AL701" s="207"/>
      <c r="AM701" s="207"/>
      <c r="AN701" s="207"/>
      <c r="AO701" s="207"/>
      <c r="AP701" s="207"/>
      <c r="AQ701" s="207"/>
      <c r="AR701" s="207"/>
      <c r="AS701" s="207"/>
      <c r="AT701" s="207"/>
      <c r="AU701" s="207"/>
      <c r="AV701" s="207"/>
      <c r="AW701" s="207"/>
      <c r="AX701" s="207"/>
      <c r="AY701" s="207"/>
      <c r="AZ701" s="207"/>
      <c r="BA701" s="207"/>
    </row>
    <row r="702" ht="18.75" hidden="1" customHeight="1">
      <c r="A702" s="207"/>
      <c r="B702" s="207"/>
      <c r="C702" s="207"/>
      <c r="D702" s="207"/>
      <c r="E702" s="207"/>
      <c r="F702" s="207"/>
      <c r="G702" s="207"/>
      <c r="H702" s="207"/>
      <c r="I702" s="207"/>
      <c r="J702" s="207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  <c r="AA702" s="207"/>
      <c r="AB702" s="207"/>
      <c r="AC702" s="207"/>
      <c r="AD702" s="207"/>
      <c r="AE702" s="207"/>
      <c r="AF702" s="207"/>
      <c r="AG702" s="207"/>
      <c r="AH702" s="207"/>
      <c r="AI702" s="207"/>
      <c r="AJ702" s="207"/>
      <c r="AK702" s="207"/>
      <c r="AL702" s="207"/>
      <c r="AM702" s="207"/>
      <c r="AN702" s="207"/>
      <c r="AO702" s="207"/>
      <c r="AP702" s="207"/>
      <c r="AQ702" s="207"/>
      <c r="AR702" s="207"/>
      <c r="AS702" s="207"/>
      <c r="AT702" s="207"/>
      <c r="AU702" s="207"/>
      <c r="AV702" s="207"/>
      <c r="AW702" s="207"/>
      <c r="AX702" s="207"/>
      <c r="AY702" s="207"/>
      <c r="AZ702" s="207"/>
      <c r="BA702" s="207"/>
    </row>
    <row r="703" ht="18.75" hidden="1" customHeight="1">
      <c r="A703" s="207"/>
      <c r="B703" s="207"/>
      <c r="C703" s="207"/>
      <c r="D703" s="207"/>
      <c r="E703" s="207"/>
      <c r="F703" s="207"/>
      <c r="G703" s="207"/>
      <c r="H703" s="207"/>
      <c r="I703" s="207"/>
      <c r="J703" s="207"/>
      <c r="K703" s="207"/>
      <c r="L703" s="207"/>
      <c r="M703" s="207"/>
      <c r="N703" s="207"/>
      <c r="O703" s="207"/>
      <c r="P703" s="207"/>
      <c r="Q703" s="207"/>
      <c r="R703" s="207"/>
      <c r="S703" s="207"/>
      <c r="T703" s="207"/>
      <c r="U703" s="207"/>
      <c r="V703" s="207"/>
      <c r="W703" s="207"/>
      <c r="X703" s="207"/>
      <c r="Y703" s="207"/>
      <c r="Z703" s="207"/>
      <c r="AA703" s="207"/>
      <c r="AB703" s="207"/>
      <c r="AC703" s="207"/>
      <c r="AD703" s="207"/>
      <c r="AE703" s="207"/>
      <c r="AF703" s="207"/>
      <c r="AG703" s="207"/>
      <c r="AH703" s="207"/>
      <c r="AI703" s="207"/>
      <c r="AJ703" s="207"/>
      <c r="AK703" s="207"/>
      <c r="AL703" s="207"/>
      <c r="AM703" s="207"/>
      <c r="AN703" s="207"/>
      <c r="AO703" s="207"/>
      <c r="AP703" s="207"/>
      <c r="AQ703" s="207"/>
      <c r="AR703" s="207"/>
      <c r="AS703" s="207"/>
      <c r="AT703" s="207"/>
      <c r="AU703" s="207"/>
      <c r="AV703" s="207"/>
      <c r="AW703" s="207"/>
      <c r="AX703" s="207"/>
      <c r="AY703" s="207"/>
      <c r="AZ703" s="207"/>
      <c r="BA703" s="207"/>
    </row>
    <row r="704" ht="18.75" hidden="1" customHeight="1">
      <c r="A704" s="207"/>
      <c r="B704" s="207"/>
      <c r="C704" s="207"/>
      <c r="D704" s="207"/>
      <c r="E704" s="207"/>
      <c r="F704" s="207"/>
      <c r="G704" s="207"/>
      <c r="H704" s="207"/>
      <c r="I704" s="207"/>
      <c r="J704" s="207"/>
      <c r="K704" s="207"/>
      <c r="L704" s="207"/>
      <c r="M704" s="207"/>
      <c r="N704" s="207"/>
      <c r="O704" s="207"/>
      <c r="P704" s="207"/>
      <c r="Q704" s="207"/>
      <c r="R704" s="207"/>
      <c r="S704" s="207"/>
      <c r="T704" s="207"/>
      <c r="U704" s="207"/>
      <c r="V704" s="207"/>
      <c r="W704" s="207"/>
      <c r="X704" s="207"/>
      <c r="Y704" s="207"/>
      <c r="Z704" s="207"/>
      <c r="AA704" s="207"/>
      <c r="AB704" s="207"/>
      <c r="AC704" s="207"/>
      <c r="AD704" s="207"/>
      <c r="AE704" s="207"/>
      <c r="AF704" s="207"/>
      <c r="AG704" s="207"/>
      <c r="AH704" s="207"/>
      <c r="AI704" s="207"/>
      <c r="AJ704" s="207"/>
      <c r="AK704" s="207"/>
      <c r="AL704" s="207"/>
      <c r="AM704" s="207"/>
      <c r="AN704" s="207"/>
      <c r="AO704" s="207"/>
      <c r="AP704" s="207"/>
      <c r="AQ704" s="207"/>
      <c r="AR704" s="207"/>
      <c r="AS704" s="207"/>
      <c r="AT704" s="207"/>
      <c r="AU704" s="207"/>
      <c r="AV704" s="207"/>
      <c r="AW704" s="207"/>
      <c r="AX704" s="207"/>
      <c r="AY704" s="207"/>
      <c r="AZ704" s="207"/>
      <c r="BA704" s="207"/>
    </row>
    <row r="705" ht="18.75" hidden="1" customHeight="1">
      <c r="A705" s="207"/>
      <c r="B705" s="207"/>
      <c r="C705" s="207"/>
      <c r="D705" s="207"/>
      <c r="E705" s="207"/>
      <c r="F705" s="207"/>
      <c r="G705" s="207"/>
      <c r="H705" s="207"/>
      <c r="I705" s="207"/>
      <c r="J705" s="207"/>
      <c r="K705" s="207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  <c r="AA705" s="207"/>
      <c r="AB705" s="207"/>
      <c r="AC705" s="207"/>
      <c r="AD705" s="207"/>
      <c r="AE705" s="207"/>
      <c r="AF705" s="207"/>
      <c r="AG705" s="207"/>
      <c r="AH705" s="207"/>
      <c r="AI705" s="207"/>
      <c r="AJ705" s="207"/>
      <c r="AK705" s="207"/>
      <c r="AL705" s="207"/>
      <c r="AM705" s="207"/>
      <c r="AN705" s="207"/>
      <c r="AO705" s="207"/>
      <c r="AP705" s="207"/>
      <c r="AQ705" s="207"/>
      <c r="AR705" s="207"/>
      <c r="AS705" s="207"/>
      <c r="AT705" s="207"/>
      <c r="AU705" s="207"/>
      <c r="AV705" s="207"/>
      <c r="AW705" s="207"/>
      <c r="AX705" s="207"/>
      <c r="AY705" s="207"/>
      <c r="AZ705" s="207"/>
      <c r="BA705" s="207"/>
    </row>
    <row r="706" ht="18.75" hidden="1" customHeight="1">
      <c r="A706" s="207"/>
      <c r="B706" s="207"/>
      <c r="C706" s="207"/>
      <c r="D706" s="207"/>
      <c r="E706" s="207"/>
      <c r="F706" s="207"/>
      <c r="G706" s="207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  <c r="AA706" s="207"/>
      <c r="AB706" s="207"/>
      <c r="AC706" s="207"/>
      <c r="AD706" s="207"/>
      <c r="AE706" s="207"/>
      <c r="AF706" s="207"/>
      <c r="AG706" s="207"/>
      <c r="AH706" s="207"/>
      <c r="AI706" s="207"/>
      <c r="AJ706" s="207"/>
      <c r="AK706" s="207"/>
      <c r="AL706" s="207"/>
      <c r="AM706" s="207"/>
      <c r="AN706" s="207"/>
      <c r="AO706" s="207"/>
      <c r="AP706" s="207"/>
      <c r="AQ706" s="207"/>
      <c r="AR706" s="207"/>
      <c r="AS706" s="207"/>
      <c r="AT706" s="207"/>
      <c r="AU706" s="207"/>
      <c r="AV706" s="207"/>
      <c r="AW706" s="207"/>
      <c r="AX706" s="207"/>
      <c r="AY706" s="207"/>
      <c r="AZ706" s="207"/>
      <c r="BA706" s="207"/>
    </row>
    <row r="707" ht="18.75" hidden="1" customHeight="1">
      <c r="A707" s="207"/>
      <c r="B707" s="207"/>
      <c r="C707" s="207"/>
      <c r="D707" s="207"/>
      <c r="E707" s="207"/>
      <c r="F707" s="207"/>
      <c r="G707" s="207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  <c r="AA707" s="207"/>
      <c r="AB707" s="207"/>
      <c r="AC707" s="207"/>
      <c r="AD707" s="207"/>
      <c r="AE707" s="207"/>
      <c r="AF707" s="207"/>
      <c r="AG707" s="207"/>
      <c r="AH707" s="207"/>
      <c r="AI707" s="207"/>
      <c r="AJ707" s="207"/>
      <c r="AK707" s="207"/>
      <c r="AL707" s="207"/>
      <c r="AM707" s="207"/>
      <c r="AN707" s="207"/>
      <c r="AO707" s="207"/>
      <c r="AP707" s="207"/>
      <c r="AQ707" s="207"/>
      <c r="AR707" s="207"/>
      <c r="AS707" s="207"/>
      <c r="AT707" s="207"/>
      <c r="AU707" s="207"/>
      <c r="AV707" s="207"/>
      <c r="AW707" s="207"/>
      <c r="AX707" s="207"/>
      <c r="AY707" s="207"/>
      <c r="AZ707" s="207"/>
      <c r="BA707" s="207"/>
    </row>
    <row r="708" ht="18.75" hidden="1" customHeight="1">
      <c r="A708" s="207"/>
      <c r="B708" s="207"/>
      <c r="C708" s="207"/>
      <c r="D708" s="207"/>
      <c r="E708" s="207"/>
      <c r="F708" s="207"/>
      <c r="G708" s="207"/>
      <c r="H708" s="207"/>
      <c r="I708" s="207"/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  <c r="AA708" s="207"/>
      <c r="AB708" s="207"/>
      <c r="AC708" s="207"/>
      <c r="AD708" s="207"/>
      <c r="AE708" s="207"/>
      <c r="AF708" s="207"/>
      <c r="AG708" s="207"/>
      <c r="AH708" s="207"/>
      <c r="AI708" s="207"/>
      <c r="AJ708" s="207"/>
      <c r="AK708" s="207"/>
      <c r="AL708" s="207"/>
      <c r="AM708" s="207"/>
      <c r="AN708" s="207"/>
      <c r="AO708" s="207"/>
      <c r="AP708" s="207"/>
      <c r="AQ708" s="207"/>
      <c r="AR708" s="207"/>
      <c r="AS708" s="207"/>
      <c r="AT708" s="207"/>
      <c r="AU708" s="207"/>
      <c r="AV708" s="207"/>
      <c r="AW708" s="207"/>
      <c r="AX708" s="207"/>
      <c r="AY708" s="207"/>
      <c r="AZ708" s="207"/>
      <c r="BA708" s="207"/>
    </row>
    <row r="709" ht="18.75" hidden="1" customHeight="1">
      <c r="A709" s="207"/>
      <c r="B709" s="207"/>
      <c r="C709" s="207"/>
      <c r="D709" s="207"/>
      <c r="E709" s="207"/>
      <c r="F709" s="207"/>
      <c r="G709" s="207"/>
      <c r="H709" s="207"/>
      <c r="I709" s="207"/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  <c r="AA709" s="207"/>
      <c r="AB709" s="207"/>
      <c r="AC709" s="207"/>
      <c r="AD709" s="207"/>
      <c r="AE709" s="207"/>
      <c r="AF709" s="207"/>
      <c r="AG709" s="207"/>
      <c r="AH709" s="207"/>
      <c r="AI709" s="207"/>
      <c r="AJ709" s="207"/>
      <c r="AK709" s="207"/>
      <c r="AL709" s="207"/>
      <c r="AM709" s="207"/>
      <c r="AN709" s="207"/>
      <c r="AO709" s="207"/>
      <c r="AP709" s="207"/>
      <c r="AQ709" s="207"/>
      <c r="AR709" s="207"/>
      <c r="AS709" s="207"/>
      <c r="AT709" s="207"/>
      <c r="AU709" s="207"/>
      <c r="AV709" s="207"/>
      <c r="AW709" s="207"/>
      <c r="AX709" s="207"/>
      <c r="AY709" s="207"/>
      <c r="AZ709" s="207"/>
      <c r="BA709" s="207"/>
    </row>
    <row r="710" ht="18.75" hidden="1" customHeight="1">
      <c r="A710" s="207"/>
      <c r="B710" s="207"/>
      <c r="C710" s="207"/>
      <c r="D710" s="207"/>
      <c r="E710" s="207"/>
      <c r="F710" s="207"/>
      <c r="G710" s="207"/>
      <c r="H710" s="207"/>
      <c r="I710" s="207"/>
      <c r="J710" s="207"/>
      <c r="K710" s="207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  <c r="AA710" s="207"/>
      <c r="AB710" s="207"/>
      <c r="AC710" s="207"/>
      <c r="AD710" s="207"/>
      <c r="AE710" s="207"/>
      <c r="AF710" s="207"/>
      <c r="AG710" s="207"/>
      <c r="AH710" s="207"/>
      <c r="AI710" s="207"/>
      <c r="AJ710" s="207"/>
      <c r="AK710" s="207"/>
      <c r="AL710" s="207"/>
      <c r="AM710" s="207"/>
      <c r="AN710" s="207"/>
      <c r="AO710" s="207"/>
      <c r="AP710" s="207"/>
      <c r="AQ710" s="207"/>
      <c r="AR710" s="207"/>
      <c r="AS710" s="207"/>
      <c r="AT710" s="207"/>
      <c r="AU710" s="207"/>
      <c r="AV710" s="207"/>
      <c r="AW710" s="207"/>
      <c r="AX710" s="207"/>
      <c r="AY710" s="207"/>
      <c r="AZ710" s="207"/>
      <c r="BA710" s="207"/>
    </row>
    <row r="711" ht="18.75" hidden="1" customHeight="1">
      <c r="A711" s="207"/>
      <c r="B711" s="207"/>
      <c r="C711" s="207"/>
      <c r="D711" s="207"/>
      <c r="E711" s="207"/>
      <c r="F711" s="207"/>
      <c r="G711" s="207"/>
      <c r="H711" s="207"/>
      <c r="I711" s="207"/>
      <c r="J711" s="207"/>
      <c r="K711" s="207"/>
      <c r="L711" s="207"/>
      <c r="M711" s="207"/>
      <c r="N711" s="207"/>
      <c r="O711" s="207"/>
      <c r="P711" s="207"/>
      <c r="Q711" s="207"/>
      <c r="R711" s="207"/>
      <c r="S711" s="207"/>
      <c r="T711" s="207"/>
      <c r="U711" s="207"/>
      <c r="V711" s="207"/>
      <c r="W711" s="207"/>
      <c r="X711" s="207"/>
      <c r="Y711" s="207"/>
      <c r="Z711" s="207"/>
      <c r="AA711" s="207"/>
      <c r="AB711" s="207"/>
      <c r="AC711" s="207"/>
      <c r="AD711" s="207"/>
      <c r="AE711" s="207"/>
      <c r="AF711" s="207"/>
      <c r="AG711" s="207"/>
      <c r="AH711" s="207"/>
      <c r="AI711" s="207"/>
      <c r="AJ711" s="207"/>
      <c r="AK711" s="207"/>
      <c r="AL711" s="207"/>
      <c r="AM711" s="207"/>
      <c r="AN711" s="207"/>
      <c r="AO711" s="207"/>
      <c r="AP711" s="207"/>
      <c r="AQ711" s="207"/>
      <c r="AR711" s="207"/>
      <c r="AS711" s="207"/>
      <c r="AT711" s="207"/>
      <c r="AU711" s="207"/>
      <c r="AV711" s="207"/>
      <c r="AW711" s="207"/>
      <c r="AX711" s="207"/>
      <c r="AY711" s="207"/>
      <c r="AZ711" s="207"/>
      <c r="BA711" s="207"/>
    </row>
    <row r="712" ht="18.75" hidden="1" customHeight="1">
      <c r="A712" s="207"/>
      <c r="B712" s="207"/>
      <c r="C712" s="207"/>
      <c r="D712" s="207"/>
      <c r="E712" s="207"/>
      <c r="F712" s="207"/>
      <c r="G712" s="207"/>
      <c r="H712" s="207"/>
      <c r="I712" s="207"/>
      <c r="J712" s="207"/>
      <c r="K712" s="207"/>
      <c r="L712" s="207"/>
      <c r="M712" s="207"/>
      <c r="N712" s="207"/>
      <c r="O712" s="207"/>
      <c r="P712" s="207"/>
      <c r="Q712" s="207"/>
      <c r="R712" s="207"/>
      <c r="S712" s="207"/>
      <c r="T712" s="207"/>
      <c r="U712" s="207"/>
      <c r="V712" s="207"/>
      <c r="W712" s="207"/>
      <c r="X712" s="207"/>
      <c r="Y712" s="207"/>
      <c r="Z712" s="207"/>
      <c r="AA712" s="207"/>
      <c r="AB712" s="207"/>
      <c r="AC712" s="207"/>
      <c r="AD712" s="207"/>
      <c r="AE712" s="207"/>
      <c r="AF712" s="207"/>
      <c r="AG712" s="207"/>
      <c r="AH712" s="207"/>
      <c r="AI712" s="207"/>
      <c r="AJ712" s="207"/>
      <c r="AK712" s="207"/>
      <c r="AL712" s="207"/>
      <c r="AM712" s="207"/>
      <c r="AN712" s="207"/>
      <c r="AO712" s="207"/>
      <c r="AP712" s="207"/>
      <c r="AQ712" s="207"/>
      <c r="AR712" s="207"/>
      <c r="AS712" s="207"/>
      <c r="AT712" s="207"/>
      <c r="AU712" s="207"/>
      <c r="AV712" s="207"/>
      <c r="AW712" s="207"/>
      <c r="AX712" s="207"/>
      <c r="AY712" s="207"/>
      <c r="AZ712" s="207"/>
      <c r="BA712" s="207"/>
    </row>
    <row r="713" ht="18.75" hidden="1" customHeight="1">
      <c r="A713" s="207"/>
      <c r="B713" s="207"/>
      <c r="C713" s="207"/>
      <c r="D713" s="207"/>
      <c r="E713" s="207"/>
      <c r="F713" s="207"/>
      <c r="G713" s="207"/>
      <c r="H713" s="207"/>
      <c r="I713" s="207"/>
      <c r="J713" s="207"/>
      <c r="K713" s="207"/>
      <c r="L713" s="207"/>
      <c r="M713" s="207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207"/>
      <c r="Y713" s="207"/>
      <c r="Z713" s="207"/>
      <c r="AA713" s="207"/>
      <c r="AB713" s="207"/>
      <c r="AC713" s="207"/>
      <c r="AD713" s="207"/>
      <c r="AE713" s="207"/>
      <c r="AF713" s="207"/>
      <c r="AG713" s="207"/>
      <c r="AH713" s="207"/>
      <c r="AI713" s="207"/>
      <c r="AJ713" s="207"/>
      <c r="AK713" s="207"/>
      <c r="AL713" s="207"/>
      <c r="AM713" s="207"/>
      <c r="AN713" s="207"/>
      <c r="AO713" s="207"/>
      <c r="AP713" s="207"/>
      <c r="AQ713" s="207"/>
      <c r="AR713" s="207"/>
      <c r="AS713" s="207"/>
      <c r="AT713" s="207"/>
      <c r="AU713" s="207"/>
      <c r="AV713" s="207"/>
      <c r="AW713" s="207"/>
      <c r="AX713" s="207"/>
      <c r="AY713" s="207"/>
      <c r="AZ713" s="207"/>
      <c r="BA713" s="207"/>
    </row>
    <row r="714" ht="18.75" hidden="1" customHeight="1">
      <c r="A714" s="207"/>
      <c r="B714" s="207"/>
      <c r="C714" s="207"/>
      <c r="D714" s="207"/>
      <c r="E714" s="207"/>
      <c r="F714" s="207"/>
      <c r="G714" s="207"/>
      <c r="H714" s="207"/>
      <c r="I714" s="207"/>
      <c r="J714" s="207"/>
      <c r="K714" s="207"/>
      <c r="L714" s="207"/>
      <c r="M714" s="207"/>
      <c r="N714" s="207"/>
      <c r="O714" s="207"/>
      <c r="P714" s="207"/>
      <c r="Q714" s="207"/>
      <c r="R714" s="207"/>
      <c r="S714" s="207"/>
      <c r="T714" s="207"/>
      <c r="U714" s="207"/>
      <c r="V714" s="207"/>
      <c r="W714" s="207"/>
      <c r="X714" s="207"/>
      <c r="Y714" s="207"/>
      <c r="Z714" s="207"/>
      <c r="AA714" s="207"/>
      <c r="AB714" s="207"/>
      <c r="AC714" s="207"/>
      <c r="AD714" s="207"/>
      <c r="AE714" s="207"/>
      <c r="AF714" s="207"/>
      <c r="AG714" s="207"/>
      <c r="AH714" s="207"/>
      <c r="AI714" s="207"/>
      <c r="AJ714" s="207"/>
      <c r="AK714" s="207"/>
      <c r="AL714" s="207"/>
      <c r="AM714" s="207"/>
      <c r="AN714" s="207"/>
      <c r="AO714" s="207"/>
      <c r="AP714" s="207"/>
      <c r="AQ714" s="207"/>
      <c r="AR714" s="207"/>
      <c r="AS714" s="207"/>
      <c r="AT714" s="207"/>
      <c r="AU714" s="207"/>
      <c r="AV714" s="207"/>
      <c r="AW714" s="207"/>
      <c r="AX714" s="207"/>
      <c r="AY714" s="207"/>
      <c r="AZ714" s="207"/>
      <c r="BA714" s="207"/>
    </row>
    <row r="715" ht="18.75" hidden="1" customHeight="1">
      <c r="A715" s="207"/>
      <c r="B715" s="207"/>
      <c r="C715" s="207"/>
      <c r="D715" s="207"/>
      <c r="E715" s="207"/>
      <c r="F715" s="207"/>
      <c r="G715" s="207"/>
      <c r="H715" s="207"/>
      <c r="I715" s="207"/>
      <c r="J715" s="207"/>
      <c r="K715" s="207"/>
      <c r="L715" s="207"/>
      <c r="M715" s="207"/>
      <c r="N715" s="207"/>
      <c r="O715" s="207"/>
      <c r="P715" s="207"/>
      <c r="Q715" s="207"/>
      <c r="R715" s="207"/>
      <c r="S715" s="207"/>
      <c r="T715" s="207"/>
      <c r="U715" s="207"/>
      <c r="V715" s="207"/>
      <c r="W715" s="207"/>
      <c r="X715" s="207"/>
      <c r="Y715" s="207"/>
      <c r="Z715" s="207"/>
      <c r="AA715" s="207"/>
      <c r="AB715" s="207"/>
      <c r="AC715" s="207"/>
      <c r="AD715" s="207"/>
      <c r="AE715" s="207"/>
      <c r="AF715" s="207"/>
      <c r="AG715" s="207"/>
      <c r="AH715" s="207"/>
      <c r="AI715" s="207"/>
      <c r="AJ715" s="207"/>
      <c r="AK715" s="207"/>
      <c r="AL715" s="207"/>
      <c r="AM715" s="207"/>
      <c r="AN715" s="207"/>
      <c r="AO715" s="207"/>
      <c r="AP715" s="207"/>
      <c r="AQ715" s="207"/>
      <c r="AR715" s="207"/>
      <c r="AS715" s="207"/>
      <c r="AT715" s="207"/>
      <c r="AU715" s="207"/>
      <c r="AV715" s="207"/>
      <c r="AW715" s="207"/>
      <c r="AX715" s="207"/>
      <c r="AY715" s="207"/>
      <c r="AZ715" s="207"/>
      <c r="BA715" s="207"/>
    </row>
    <row r="716" ht="18.75" hidden="1" customHeight="1">
      <c r="A716" s="207"/>
      <c r="B716" s="207"/>
      <c r="C716" s="207"/>
      <c r="D716" s="207"/>
      <c r="E716" s="207"/>
      <c r="F716" s="207"/>
      <c r="G716" s="207"/>
      <c r="H716" s="207"/>
      <c r="I716" s="207"/>
      <c r="J716" s="207"/>
      <c r="K716" s="207"/>
      <c r="L716" s="207"/>
      <c r="M716" s="207"/>
      <c r="N716" s="207"/>
      <c r="O716" s="207"/>
      <c r="P716" s="207"/>
      <c r="Q716" s="207"/>
      <c r="R716" s="207"/>
      <c r="S716" s="207"/>
      <c r="T716" s="207"/>
      <c r="U716" s="207"/>
      <c r="V716" s="207"/>
      <c r="W716" s="207"/>
      <c r="X716" s="207"/>
      <c r="Y716" s="207"/>
      <c r="Z716" s="207"/>
      <c r="AA716" s="207"/>
      <c r="AB716" s="207"/>
      <c r="AC716" s="207"/>
      <c r="AD716" s="207"/>
      <c r="AE716" s="207"/>
      <c r="AF716" s="207"/>
      <c r="AG716" s="207"/>
      <c r="AH716" s="207"/>
      <c r="AI716" s="207"/>
      <c r="AJ716" s="207"/>
      <c r="AK716" s="207"/>
      <c r="AL716" s="207"/>
      <c r="AM716" s="207"/>
      <c r="AN716" s="207"/>
      <c r="AO716" s="207"/>
      <c r="AP716" s="207"/>
      <c r="AQ716" s="207"/>
      <c r="AR716" s="207"/>
      <c r="AS716" s="207"/>
      <c r="AT716" s="207"/>
      <c r="AU716" s="207"/>
      <c r="AV716" s="207"/>
      <c r="AW716" s="207"/>
      <c r="AX716" s="207"/>
      <c r="AY716" s="207"/>
      <c r="AZ716" s="207"/>
      <c r="BA716" s="207"/>
    </row>
    <row r="717" ht="18.75" hidden="1" customHeight="1">
      <c r="A717" s="207"/>
      <c r="B717" s="207"/>
      <c r="C717" s="207"/>
      <c r="D717" s="207"/>
      <c r="E717" s="207"/>
      <c r="F717" s="207"/>
      <c r="G717" s="207"/>
      <c r="H717" s="207"/>
      <c r="I717" s="207"/>
      <c r="J717" s="207"/>
      <c r="K717" s="207"/>
      <c r="L717" s="207"/>
      <c r="M717" s="207"/>
      <c r="N717" s="207"/>
      <c r="O717" s="207"/>
      <c r="P717" s="207"/>
      <c r="Q717" s="207"/>
      <c r="R717" s="207"/>
      <c r="S717" s="207"/>
      <c r="T717" s="207"/>
      <c r="U717" s="207"/>
      <c r="V717" s="207"/>
      <c r="W717" s="207"/>
      <c r="X717" s="207"/>
      <c r="Y717" s="207"/>
      <c r="Z717" s="207"/>
      <c r="AA717" s="207"/>
      <c r="AB717" s="207"/>
      <c r="AC717" s="207"/>
      <c r="AD717" s="207"/>
      <c r="AE717" s="207"/>
      <c r="AF717" s="207"/>
      <c r="AG717" s="207"/>
      <c r="AH717" s="207"/>
      <c r="AI717" s="207"/>
      <c r="AJ717" s="207"/>
      <c r="AK717" s="207"/>
      <c r="AL717" s="207"/>
      <c r="AM717" s="207"/>
      <c r="AN717" s="207"/>
      <c r="AO717" s="207"/>
      <c r="AP717" s="207"/>
      <c r="AQ717" s="207"/>
      <c r="AR717" s="207"/>
      <c r="AS717" s="207"/>
      <c r="AT717" s="207"/>
      <c r="AU717" s="207"/>
      <c r="AV717" s="207"/>
      <c r="AW717" s="207"/>
      <c r="AX717" s="207"/>
      <c r="AY717" s="207"/>
      <c r="AZ717" s="207"/>
      <c r="BA717" s="207"/>
    </row>
    <row r="718" ht="18.75" hidden="1" customHeight="1">
      <c r="A718" s="207"/>
      <c r="B718" s="207"/>
      <c r="C718" s="207"/>
      <c r="D718" s="207"/>
      <c r="E718" s="207"/>
      <c r="F718" s="207"/>
      <c r="G718" s="207"/>
      <c r="H718" s="207"/>
      <c r="I718" s="207"/>
      <c r="J718" s="207"/>
      <c r="K718" s="207"/>
      <c r="L718" s="207"/>
      <c r="M718" s="207"/>
      <c r="N718" s="207"/>
      <c r="O718" s="207"/>
      <c r="P718" s="207"/>
      <c r="Q718" s="207"/>
      <c r="R718" s="207"/>
      <c r="S718" s="207"/>
      <c r="T718" s="207"/>
      <c r="U718" s="207"/>
      <c r="V718" s="207"/>
      <c r="W718" s="207"/>
      <c r="X718" s="207"/>
      <c r="Y718" s="207"/>
      <c r="Z718" s="207"/>
      <c r="AA718" s="207"/>
      <c r="AB718" s="207"/>
      <c r="AC718" s="207"/>
      <c r="AD718" s="207"/>
      <c r="AE718" s="207"/>
      <c r="AF718" s="207"/>
      <c r="AG718" s="207"/>
      <c r="AH718" s="207"/>
      <c r="AI718" s="207"/>
      <c r="AJ718" s="207"/>
      <c r="AK718" s="207"/>
      <c r="AL718" s="207"/>
      <c r="AM718" s="207"/>
      <c r="AN718" s="207"/>
      <c r="AO718" s="207"/>
      <c r="AP718" s="207"/>
      <c r="AQ718" s="207"/>
      <c r="AR718" s="207"/>
      <c r="AS718" s="207"/>
      <c r="AT718" s="207"/>
      <c r="AU718" s="207"/>
      <c r="AV718" s="207"/>
      <c r="AW718" s="207"/>
      <c r="AX718" s="207"/>
      <c r="AY718" s="207"/>
      <c r="AZ718" s="207"/>
      <c r="BA718" s="207"/>
    </row>
    <row r="719" ht="18.75" hidden="1" customHeight="1">
      <c r="A719" s="207"/>
      <c r="B719" s="207"/>
      <c r="C719" s="207"/>
      <c r="D719" s="207"/>
      <c r="E719" s="207"/>
      <c r="F719" s="207"/>
      <c r="G719" s="207"/>
      <c r="H719" s="207"/>
      <c r="I719" s="207"/>
      <c r="J719" s="207"/>
      <c r="K719" s="207"/>
      <c r="L719" s="207"/>
      <c r="M719" s="207"/>
      <c r="N719" s="207"/>
      <c r="O719" s="207"/>
      <c r="P719" s="207"/>
      <c r="Q719" s="207"/>
      <c r="R719" s="207"/>
      <c r="S719" s="207"/>
      <c r="T719" s="207"/>
      <c r="U719" s="207"/>
      <c r="V719" s="207"/>
      <c r="W719" s="207"/>
      <c r="X719" s="207"/>
      <c r="Y719" s="207"/>
      <c r="Z719" s="207"/>
      <c r="AA719" s="207"/>
      <c r="AB719" s="207"/>
      <c r="AC719" s="207"/>
      <c r="AD719" s="207"/>
      <c r="AE719" s="207"/>
      <c r="AF719" s="207"/>
      <c r="AG719" s="207"/>
      <c r="AH719" s="207"/>
      <c r="AI719" s="207"/>
      <c r="AJ719" s="207"/>
      <c r="AK719" s="207"/>
      <c r="AL719" s="207"/>
      <c r="AM719" s="207"/>
      <c r="AN719" s="207"/>
      <c r="AO719" s="207"/>
      <c r="AP719" s="207"/>
      <c r="AQ719" s="207"/>
      <c r="AR719" s="207"/>
      <c r="AS719" s="207"/>
      <c r="AT719" s="207"/>
      <c r="AU719" s="207"/>
      <c r="AV719" s="207"/>
      <c r="AW719" s="207"/>
      <c r="AX719" s="207"/>
      <c r="AY719" s="207"/>
      <c r="AZ719" s="207"/>
      <c r="BA719" s="207"/>
    </row>
    <row r="720" ht="18.75" hidden="1" customHeight="1">
      <c r="A720" s="207"/>
      <c r="B720" s="207"/>
      <c r="C720" s="207"/>
      <c r="D720" s="207"/>
      <c r="E720" s="207"/>
      <c r="F720" s="207"/>
      <c r="G720" s="207"/>
      <c r="H720" s="207"/>
      <c r="I720" s="207"/>
      <c r="J720" s="207"/>
      <c r="K720" s="207"/>
      <c r="L720" s="207"/>
      <c r="M720" s="207"/>
      <c r="N720" s="207"/>
      <c r="O720" s="207"/>
      <c r="P720" s="207"/>
      <c r="Q720" s="207"/>
      <c r="R720" s="207"/>
      <c r="S720" s="207"/>
      <c r="T720" s="207"/>
      <c r="U720" s="207"/>
      <c r="V720" s="207"/>
      <c r="W720" s="207"/>
      <c r="X720" s="207"/>
      <c r="Y720" s="207"/>
      <c r="Z720" s="207"/>
      <c r="AA720" s="207"/>
      <c r="AB720" s="207"/>
      <c r="AC720" s="207"/>
      <c r="AD720" s="207"/>
      <c r="AE720" s="207"/>
      <c r="AF720" s="207"/>
      <c r="AG720" s="207"/>
      <c r="AH720" s="207"/>
      <c r="AI720" s="207"/>
      <c r="AJ720" s="207"/>
      <c r="AK720" s="207"/>
      <c r="AL720" s="207"/>
      <c r="AM720" s="207"/>
      <c r="AN720" s="207"/>
      <c r="AO720" s="207"/>
      <c r="AP720" s="207"/>
      <c r="AQ720" s="207"/>
      <c r="AR720" s="207"/>
      <c r="AS720" s="207"/>
      <c r="AT720" s="207"/>
      <c r="AU720" s="207"/>
      <c r="AV720" s="207"/>
      <c r="AW720" s="207"/>
      <c r="AX720" s="207"/>
      <c r="AY720" s="207"/>
      <c r="AZ720" s="207"/>
      <c r="BA720" s="207"/>
    </row>
    <row r="721" ht="18.75" hidden="1" customHeight="1">
      <c r="A721" s="207"/>
      <c r="B721" s="207"/>
      <c r="C721" s="207"/>
      <c r="D721" s="207"/>
      <c r="E721" s="207"/>
      <c r="F721" s="207"/>
      <c r="G721" s="207"/>
      <c r="H721" s="207"/>
      <c r="I721" s="207"/>
      <c r="J721" s="207"/>
      <c r="K721" s="207"/>
      <c r="L721" s="207"/>
      <c r="M721" s="207"/>
      <c r="N721" s="207"/>
      <c r="O721" s="207"/>
      <c r="P721" s="207"/>
      <c r="Q721" s="207"/>
      <c r="R721" s="207"/>
      <c r="S721" s="207"/>
      <c r="T721" s="207"/>
      <c r="U721" s="207"/>
      <c r="V721" s="207"/>
      <c r="W721" s="207"/>
      <c r="X721" s="207"/>
      <c r="Y721" s="207"/>
      <c r="Z721" s="207"/>
      <c r="AA721" s="207"/>
      <c r="AB721" s="207"/>
      <c r="AC721" s="207"/>
      <c r="AD721" s="207"/>
      <c r="AE721" s="207"/>
      <c r="AF721" s="207"/>
      <c r="AG721" s="207"/>
      <c r="AH721" s="207"/>
      <c r="AI721" s="207"/>
      <c r="AJ721" s="207"/>
      <c r="AK721" s="207"/>
      <c r="AL721" s="207"/>
      <c r="AM721" s="207"/>
      <c r="AN721" s="207"/>
      <c r="AO721" s="207"/>
      <c r="AP721" s="207"/>
      <c r="AQ721" s="207"/>
      <c r="AR721" s="207"/>
      <c r="AS721" s="207"/>
      <c r="AT721" s="207"/>
      <c r="AU721" s="207"/>
      <c r="AV721" s="207"/>
      <c r="AW721" s="207"/>
      <c r="AX721" s="207"/>
      <c r="AY721" s="207"/>
      <c r="AZ721" s="207"/>
      <c r="BA721" s="207"/>
    </row>
    <row r="722" ht="18.75" hidden="1" customHeight="1">
      <c r="A722" s="207"/>
      <c r="B722" s="207"/>
      <c r="C722" s="207"/>
      <c r="D722" s="207"/>
      <c r="E722" s="207"/>
      <c r="F722" s="207"/>
      <c r="G722" s="207"/>
      <c r="H722" s="207"/>
      <c r="I722" s="207"/>
      <c r="J722" s="207"/>
      <c r="K722" s="207"/>
      <c r="L722" s="207"/>
      <c r="M722" s="207"/>
      <c r="N722" s="207"/>
      <c r="O722" s="207"/>
      <c r="P722" s="207"/>
      <c r="Q722" s="207"/>
      <c r="R722" s="207"/>
      <c r="S722" s="207"/>
      <c r="T722" s="207"/>
      <c r="U722" s="207"/>
      <c r="V722" s="207"/>
      <c r="W722" s="207"/>
      <c r="X722" s="207"/>
      <c r="Y722" s="207"/>
      <c r="Z722" s="207"/>
      <c r="AA722" s="207"/>
      <c r="AB722" s="207"/>
      <c r="AC722" s="207"/>
      <c r="AD722" s="207"/>
      <c r="AE722" s="207"/>
      <c r="AF722" s="207"/>
      <c r="AG722" s="207"/>
      <c r="AH722" s="207"/>
      <c r="AI722" s="207"/>
      <c r="AJ722" s="207"/>
      <c r="AK722" s="207"/>
      <c r="AL722" s="207"/>
      <c r="AM722" s="207"/>
      <c r="AN722" s="207"/>
      <c r="AO722" s="207"/>
      <c r="AP722" s="207"/>
      <c r="AQ722" s="207"/>
      <c r="AR722" s="207"/>
      <c r="AS722" s="207"/>
      <c r="AT722" s="207"/>
      <c r="AU722" s="207"/>
      <c r="AV722" s="207"/>
      <c r="AW722" s="207"/>
      <c r="AX722" s="207"/>
      <c r="AY722" s="207"/>
      <c r="AZ722" s="207"/>
      <c r="BA722" s="207"/>
    </row>
    <row r="723" ht="18.75" hidden="1" customHeight="1">
      <c r="A723" s="207"/>
      <c r="B723" s="207"/>
      <c r="C723" s="207"/>
      <c r="D723" s="207"/>
      <c r="E723" s="207"/>
      <c r="F723" s="207"/>
      <c r="G723" s="207"/>
      <c r="H723" s="207"/>
      <c r="I723" s="207"/>
      <c r="J723" s="207"/>
      <c r="K723" s="207"/>
      <c r="L723" s="207"/>
      <c r="M723" s="207"/>
      <c r="N723" s="207"/>
      <c r="O723" s="207"/>
      <c r="P723" s="207"/>
      <c r="Q723" s="207"/>
      <c r="R723" s="207"/>
      <c r="S723" s="207"/>
      <c r="T723" s="207"/>
      <c r="U723" s="207"/>
      <c r="V723" s="207"/>
      <c r="W723" s="207"/>
      <c r="X723" s="207"/>
      <c r="Y723" s="207"/>
      <c r="Z723" s="207"/>
      <c r="AA723" s="207"/>
      <c r="AB723" s="207"/>
      <c r="AC723" s="207"/>
      <c r="AD723" s="207"/>
      <c r="AE723" s="207"/>
      <c r="AF723" s="207"/>
      <c r="AG723" s="207"/>
      <c r="AH723" s="207"/>
      <c r="AI723" s="207"/>
      <c r="AJ723" s="207"/>
      <c r="AK723" s="207"/>
      <c r="AL723" s="207"/>
      <c r="AM723" s="207"/>
      <c r="AN723" s="207"/>
      <c r="AO723" s="207"/>
      <c r="AP723" s="207"/>
      <c r="AQ723" s="207"/>
      <c r="AR723" s="207"/>
      <c r="AS723" s="207"/>
      <c r="AT723" s="207"/>
      <c r="AU723" s="207"/>
      <c r="AV723" s="207"/>
      <c r="AW723" s="207"/>
      <c r="AX723" s="207"/>
      <c r="AY723" s="207"/>
      <c r="AZ723" s="207"/>
      <c r="BA723" s="207"/>
    </row>
    <row r="724" ht="18.75" hidden="1" customHeight="1">
      <c r="A724" s="207"/>
      <c r="B724" s="207"/>
      <c r="C724" s="207"/>
      <c r="D724" s="207"/>
      <c r="E724" s="207"/>
      <c r="F724" s="207"/>
      <c r="G724" s="207"/>
      <c r="H724" s="207"/>
      <c r="I724" s="207"/>
      <c r="J724" s="207"/>
      <c r="K724" s="207"/>
      <c r="L724" s="207"/>
      <c r="M724" s="207"/>
      <c r="N724" s="207"/>
      <c r="O724" s="207"/>
      <c r="P724" s="207"/>
      <c r="Q724" s="207"/>
      <c r="R724" s="207"/>
      <c r="S724" s="207"/>
      <c r="T724" s="207"/>
      <c r="U724" s="207"/>
      <c r="V724" s="207"/>
      <c r="W724" s="207"/>
      <c r="X724" s="207"/>
      <c r="Y724" s="207"/>
      <c r="Z724" s="207"/>
      <c r="AA724" s="207"/>
      <c r="AB724" s="207"/>
      <c r="AC724" s="207"/>
      <c r="AD724" s="207"/>
      <c r="AE724" s="207"/>
      <c r="AF724" s="207"/>
      <c r="AG724" s="207"/>
      <c r="AH724" s="207"/>
      <c r="AI724" s="207"/>
      <c r="AJ724" s="207"/>
      <c r="AK724" s="207"/>
      <c r="AL724" s="207"/>
      <c r="AM724" s="207"/>
      <c r="AN724" s="207"/>
      <c r="AO724" s="207"/>
      <c r="AP724" s="207"/>
      <c r="AQ724" s="207"/>
      <c r="AR724" s="207"/>
      <c r="AS724" s="207"/>
      <c r="AT724" s="207"/>
      <c r="AU724" s="207"/>
      <c r="AV724" s="207"/>
      <c r="AW724" s="207"/>
      <c r="AX724" s="207"/>
      <c r="AY724" s="207"/>
      <c r="AZ724" s="207"/>
      <c r="BA724" s="207"/>
    </row>
    <row r="725" ht="18.75" hidden="1" customHeight="1">
      <c r="A725" s="207"/>
      <c r="B725" s="207"/>
      <c r="C725" s="207"/>
      <c r="D725" s="207"/>
      <c r="E725" s="207"/>
      <c r="F725" s="207"/>
      <c r="G725" s="207"/>
      <c r="H725" s="207"/>
      <c r="I725" s="207"/>
      <c r="J725" s="207"/>
      <c r="K725" s="207"/>
      <c r="L725" s="207"/>
      <c r="M725" s="207"/>
      <c r="N725" s="207"/>
      <c r="O725" s="207"/>
      <c r="P725" s="207"/>
      <c r="Q725" s="207"/>
      <c r="R725" s="207"/>
      <c r="S725" s="207"/>
      <c r="T725" s="207"/>
      <c r="U725" s="207"/>
      <c r="V725" s="207"/>
      <c r="W725" s="207"/>
      <c r="X725" s="207"/>
      <c r="Y725" s="207"/>
      <c r="Z725" s="207"/>
      <c r="AA725" s="207"/>
      <c r="AB725" s="207"/>
      <c r="AC725" s="207"/>
      <c r="AD725" s="207"/>
      <c r="AE725" s="207"/>
      <c r="AF725" s="207"/>
      <c r="AG725" s="207"/>
      <c r="AH725" s="207"/>
      <c r="AI725" s="207"/>
      <c r="AJ725" s="207"/>
      <c r="AK725" s="207"/>
      <c r="AL725" s="207"/>
      <c r="AM725" s="207"/>
      <c r="AN725" s="207"/>
      <c r="AO725" s="207"/>
      <c r="AP725" s="207"/>
      <c r="AQ725" s="207"/>
      <c r="AR725" s="207"/>
      <c r="AS725" s="207"/>
      <c r="AT725" s="207"/>
      <c r="AU725" s="207"/>
      <c r="AV725" s="207"/>
      <c r="AW725" s="207"/>
      <c r="AX725" s="207"/>
      <c r="AY725" s="207"/>
      <c r="AZ725" s="207"/>
      <c r="BA725" s="207"/>
    </row>
    <row r="726" ht="18.75" hidden="1" customHeight="1">
      <c r="A726" s="207"/>
      <c r="B726" s="207"/>
      <c r="C726" s="207"/>
      <c r="D726" s="207"/>
      <c r="E726" s="207"/>
      <c r="F726" s="207"/>
      <c r="G726" s="207"/>
      <c r="H726" s="207"/>
      <c r="I726" s="207"/>
      <c r="J726" s="207"/>
      <c r="K726" s="207"/>
      <c r="L726" s="207"/>
      <c r="M726" s="207"/>
      <c r="N726" s="207"/>
      <c r="O726" s="207"/>
      <c r="P726" s="207"/>
      <c r="Q726" s="207"/>
      <c r="R726" s="207"/>
      <c r="S726" s="207"/>
      <c r="T726" s="207"/>
      <c r="U726" s="207"/>
      <c r="V726" s="207"/>
      <c r="W726" s="207"/>
      <c r="X726" s="207"/>
      <c r="Y726" s="207"/>
      <c r="Z726" s="207"/>
      <c r="AA726" s="207"/>
      <c r="AB726" s="207"/>
      <c r="AC726" s="207"/>
      <c r="AD726" s="207"/>
      <c r="AE726" s="207"/>
      <c r="AF726" s="207"/>
      <c r="AG726" s="207"/>
      <c r="AH726" s="207"/>
      <c r="AI726" s="207"/>
      <c r="AJ726" s="207"/>
      <c r="AK726" s="207"/>
      <c r="AL726" s="207"/>
      <c r="AM726" s="207"/>
      <c r="AN726" s="207"/>
      <c r="AO726" s="207"/>
      <c r="AP726" s="207"/>
      <c r="AQ726" s="207"/>
      <c r="AR726" s="207"/>
      <c r="AS726" s="207"/>
      <c r="AT726" s="207"/>
      <c r="AU726" s="207"/>
      <c r="AV726" s="207"/>
      <c r="AW726" s="207"/>
      <c r="AX726" s="207"/>
      <c r="AY726" s="207"/>
      <c r="AZ726" s="207"/>
      <c r="BA726" s="207"/>
    </row>
    <row r="727" ht="18.75" hidden="1" customHeight="1">
      <c r="A727" s="207"/>
      <c r="B727" s="207"/>
      <c r="C727" s="207"/>
      <c r="D727" s="207"/>
      <c r="E727" s="207"/>
      <c r="F727" s="207"/>
      <c r="G727" s="207"/>
      <c r="H727" s="207"/>
      <c r="I727" s="207"/>
      <c r="J727" s="207"/>
      <c r="K727" s="207"/>
      <c r="L727" s="207"/>
      <c r="M727" s="207"/>
      <c r="N727" s="207"/>
      <c r="O727" s="207"/>
      <c r="P727" s="207"/>
      <c r="Q727" s="207"/>
      <c r="R727" s="207"/>
      <c r="S727" s="207"/>
      <c r="T727" s="207"/>
      <c r="U727" s="207"/>
      <c r="V727" s="207"/>
      <c r="W727" s="207"/>
      <c r="X727" s="207"/>
      <c r="Y727" s="207"/>
      <c r="Z727" s="207"/>
      <c r="AA727" s="207"/>
      <c r="AB727" s="207"/>
      <c r="AC727" s="207"/>
      <c r="AD727" s="207"/>
      <c r="AE727" s="207"/>
      <c r="AF727" s="207"/>
      <c r="AG727" s="207"/>
      <c r="AH727" s="207"/>
      <c r="AI727" s="207"/>
      <c r="AJ727" s="207"/>
      <c r="AK727" s="207"/>
      <c r="AL727" s="207"/>
      <c r="AM727" s="207"/>
      <c r="AN727" s="207"/>
      <c r="AO727" s="207"/>
      <c r="AP727" s="207"/>
      <c r="AQ727" s="207"/>
      <c r="AR727" s="207"/>
      <c r="AS727" s="207"/>
      <c r="AT727" s="207"/>
      <c r="AU727" s="207"/>
      <c r="AV727" s="207"/>
      <c r="AW727" s="207"/>
      <c r="AX727" s="207"/>
      <c r="AY727" s="207"/>
      <c r="AZ727" s="207"/>
      <c r="BA727" s="207"/>
    </row>
    <row r="728" ht="18.75" hidden="1" customHeight="1">
      <c r="A728" s="207"/>
      <c r="B728" s="207"/>
      <c r="C728" s="207"/>
      <c r="D728" s="207"/>
      <c r="E728" s="207"/>
      <c r="F728" s="207"/>
      <c r="G728" s="207"/>
      <c r="H728" s="207"/>
      <c r="I728" s="207"/>
      <c r="J728" s="207"/>
      <c r="K728" s="207"/>
      <c r="L728" s="207"/>
      <c r="M728" s="207"/>
      <c r="N728" s="207"/>
      <c r="O728" s="207"/>
      <c r="P728" s="207"/>
      <c r="Q728" s="207"/>
      <c r="R728" s="207"/>
      <c r="S728" s="207"/>
      <c r="T728" s="207"/>
      <c r="U728" s="207"/>
      <c r="V728" s="207"/>
      <c r="W728" s="207"/>
      <c r="X728" s="207"/>
      <c r="Y728" s="207"/>
      <c r="Z728" s="207"/>
      <c r="AA728" s="207"/>
      <c r="AB728" s="207"/>
      <c r="AC728" s="207"/>
      <c r="AD728" s="207"/>
      <c r="AE728" s="207"/>
      <c r="AF728" s="207"/>
      <c r="AG728" s="207"/>
      <c r="AH728" s="207"/>
      <c r="AI728" s="207"/>
      <c r="AJ728" s="207"/>
      <c r="AK728" s="207"/>
      <c r="AL728" s="207"/>
      <c r="AM728" s="207"/>
      <c r="AN728" s="207"/>
      <c r="AO728" s="207"/>
      <c r="AP728" s="207"/>
      <c r="AQ728" s="207"/>
      <c r="AR728" s="207"/>
      <c r="AS728" s="207"/>
      <c r="AT728" s="207"/>
      <c r="AU728" s="207"/>
      <c r="AV728" s="207"/>
      <c r="AW728" s="207"/>
      <c r="AX728" s="207"/>
      <c r="AY728" s="207"/>
      <c r="AZ728" s="207"/>
      <c r="BA728" s="207"/>
    </row>
    <row r="729" ht="18.75" hidden="1" customHeight="1">
      <c r="A729" s="207"/>
      <c r="B729" s="207"/>
      <c r="C729" s="207"/>
      <c r="D729" s="207"/>
      <c r="E729" s="207"/>
      <c r="F729" s="207"/>
      <c r="G729" s="207"/>
      <c r="H729" s="207"/>
      <c r="I729" s="207"/>
      <c r="J729" s="207"/>
      <c r="K729" s="207"/>
      <c r="L729" s="207"/>
      <c r="M729" s="207"/>
      <c r="N729" s="207"/>
      <c r="O729" s="207"/>
      <c r="P729" s="207"/>
      <c r="Q729" s="207"/>
      <c r="R729" s="207"/>
      <c r="S729" s="207"/>
      <c r="T729" s="207"/>
      <c r="U729" s="207"/>
      <c r="V729" s="207"/>
      <c r="W729" s="207"/>
      <c r="X729" s="207"/>
      <c r="Y729" s="207"/>
      <c r="Z729" s="207"/>
      <c r="AA729" s="207"/>
      <c r="AB729" s="207"/>
      <c r="AC729" s="207"/>
      <c r="AD729" s="207"/>
      <c r="AE729" s="207"/>
      <c r="AF729" s="207"/>
      <c r="AG729" s="207"/>
      <c r="AH729" s="207"/>
      <c r="AI729" s="207"/>
      <c r="AJ729" s="207"/>
      <c r="AK729" s="207"/>
      <c r="AL729" s="207"/>
      <c r="AM729" s="207"/>
      <c r="AN729" s="207"/>
      <c r="AO729" s="207"/>
      <c r="AP729" s="207"/>
      <c r="AQ729" s="207"/>
      <c r="AR729" s="207"/>
      <c r="AS729" s="207"/>
      <c r="AT729" s="207"/>
      <c r="AU729" s="207"/>
      <c r="AV729" s="207"/>
      <c r="AW729" s="207"/>
      <c r="AX729" s="207"/>
      <c r="AY729" s="207"/>
      <c r="AZ729" s="207"/>
      <c r="BA729" s="207"/>
    </row>
    <row r="730" ht="18.75" hidden="1" customHeight="1">
      <c r="A730" s="207"/>
      <c r="B730" s="207"/>
      <c r="C730" s="207"/>
      <c r="D730" s="207"/>
      <c r="E730" s="207"/>
      <c r="F730" s="207"/>
      <c r="G730" s="207"/>
      <c r="H730" s="207"/>
      <c r="I730" s="207"/>
      <c r="J730" s="207"/>
      <c r="K730" s="207"/>
      <c r="L730" s="207"/>
      <c r="M730" s="207"/>
      <c r="N730" s="207"/>
      <c r="O730" s="207"/>
      <c r="P730" s="207"/>
      <c r="Q730" s="207"/>
      <c r="R730" s="207"/>
      <c r="S730" s="207"/>
      <c r="T730" s="207"/>
      <c r="U730" s="207"/>
      <c r="V730" s="207"/>
      <c r="W730" s="207"/>
      <c r="X730" s="207"/>
      <c r="Y730" s="207"/>
      <c r="Z730" s="207"/>
      <c r="AA730" s="207"/>
      <c r="AB730" s="207"/>
      <c r="AC730" s="207"/>
      <c r="AD730" s="207"/>
      <c r="AE730" s="207"/>
      <c r="AF730" s="207"/>
      <c r="AG730" s="207"/>
      <c r="AH730" s="207"/>
      <c r="AI730" s="207"/>
      <c r="AJ730" s="207"/>
      <c r="AK730" s="207"/>
      <c r="AL730" s="207"/>
      <c r="AM730" s="207"/>
      <c r="AN730" s="207"/>
      <c r="AO730" s="207"/>
      <c r="AP730" s="207"/>
      <c r="AQ730" s="207"/>
      <c r="AR730" s="207"/>
      <c r="AS730" s="207"/>
      <c r="AT730" s="207"/>
      <c r="AU730" s="207"/>
      <c r="AV730" s="207"/>
      <c r="AW730" s="207"/>
      <c r="AX730" s="207"/>
      <c r="AY730" s="207"/>
      <c r="AZ730" s="207"/>
      <c r="BA730" s="207"/>
    </row>
    <row r="731" ht="18.75" hidden="1" customHeight="1">
      <c r="A731" s="207"/>
      <c r="B731" s="207"/>
      <c r="C731" s="207"/>
      <c r="D731" s="207"/>
      <c r="E731" s="207"/>
      <c r="F731" s="207"/>
      <c r="G731" s="207"/>
      <c r="H731" s="207"/>
      <c r="I731" s="207"/>
      <c r="J731" s="207"/>
      <c r="K731" s="207"/>
      <c r="L731" s="207"/>
      <c r="M731" s="207"/>
      <c r="N731" s="207"/>
      <c r="O731" s="207"/>
      <c r="P731" s="207"/>
      <c r="Q731" s="207"/>
      <c r="R731" s="207"/>
      <c r="S731" s="207"/>
      <c r="T731" s="207"/>
      <c r="U731" s="207"/>
      <c r="V731" s="207"/>
      <c r="W731" s="207"/>
      <c r="X731" s="207"/>
      <c r="Y731" s="207"/>
      <c r="Z731" s="207"/>
      <c r="AA731" s="207"/>
      <c r="AB731" s="207"/>
      <c r="AC731" s="207"/>
      <c r="AD731" s="207"/>
      <c r="AE731" s="207"/>
      <c r="AF731" s="207"/>
      <c r="AG731" s="207"/>
      <c r="AH731" s="207"/>
      <c r="AI731" s="207"/>
      <c r="AJ731" s="207"/>
      <c r="AK731" s="207"/>
      <c r="AL731" s="207"/>
      <c r="AM731" s="207"/>
      <c r="AN731" s="207"/>
      <c r="AO731" s="207"/>
      <c r="AP731" s="207"/>
      <c r="AQ731" s="207"/>
      <c r="AR731" s="207"/>
      <c r="AS731" s="207"/>
      <c r="AT731" s="207"/>
      <c r="AU731" s="207"/>
      <c r="AV731" s="207"/>
      <c r="AW731" s="207"/>
      <c r="AX731" s="207"/>
      <c r="AY731" s="207"/>
      <c r="AZ731" s="207"/>
      <c r="BA731" s="207"/>
    </row>
    <row r="732" ht="18.75" hidden="1" customHeight="1">
      <c r="A732" s="207"/>
      <c r="B732" s="207"/>
      <c r="C732" s="207"/>
      <c r="D732" s="207"/>
      <c r="E732" s="207"/>
      <c r="F732" s="207"/>
      <c r="G732" s="207"/>
      <c r="H732" s="207"/>
      <c r="I732" s="207"/>
      <c r="J732" s="207"/>
      <c r="K732" s="207"/>
      <c r="L732" s="207"/>
      <c r="M732" s="207"/>
      <c r="N732" s="207"/>
      <c r="O732" s="207"/>
      <c r="P732" s="207"/>
      <c r="Q732" s="207"/>
      <c r="R732" s="207"/>
      <c r="S732" s="207"/>
      <c r="T732" s="207"/>
      <c r="U732" s="207"/>
      <c r="V732" s="207"/>
      <c r="W732" s="207"/>
      <c r="X732" s="207"/>
      <c r="Y732" s="207"/>
      <c r="Z732" s="207"/>
      <c r="AA732" s="207"/>
      <c r="AB732" s="207"/>
      <c r="AC732" s="207"/>
      <c r="AD732" s="207"/>
      <c r="AE732" s="207"/>
      <c r="AF732" s="207"/>
      <c r="AG732" s="207"/>
      <c r="AH732" s="207"/>
      <c r="AI732" s="207"/>
      <c r="AJ732" s="207"/>
      <c r="AK732" s="207"/>
      <c r="AL732" s="207"/>
      <c r="AM732" s="207"/>
      <c r="AN732" s="207"/>
      <c r="AO732" s="207"/>
      <c r="AP732" s="207"/>
      <c r="AQ732" s="207"/>
      <c r="AR732" s="207"/>
      <c r="AS732" s="207"/>
      <c r="AT732" s="207"/>
      <c r="AU732" s="207"/>
      <c r="AV732" s="207"/>
      <c r="AW732" s="207"/>
      <c r="AX732" s="207"/>
      <c r="AY732" s="207"/>
      <c r="AZ732" s="207"/>
      <c r="BA732" s="207"/>
    </row>
    <row r="733" ht="18.75" hidden="1" customHeight="1">
      <c r="A733" s="207"/>
      <c r="B733" s="207"/>
      <c r="C733" s="207"/>
      <c r="D733" s="207"/>
      <c r="E733" s="207"/>
      <c r="F733" s="207"/>
      <c r="G733" s="207"/>
      <c r="H733" s="207"/>
      <c r="I733" s="207"/>
      <c r="J733" s="207"/>
      <c r="K733" s="207"/>
      <c r="L733" s="207"/>
      <c r="M733" s="207"/>
      <c r="N733" s="207"/>
      <c r="O733" s="207"/>
      <c r="P733" s="207"/>
      <c r="Q733" s="207"/>
      <c r="R733" s="207"/>
      <c r="S733" s="207"/>
      <c r="T733" s="207"/>
      <c r="U733" s="207"/>
      <c r="V733" s="207"/>
      <c r="W733" s="207"/>
      <c r="X733" s="207"/>
      <c r="Y733" s="207"/>
      <c r="Z733" s="207"/>
      <c r="AA733" s="207"/>
      <c r="AB733" s="207"/>
      <c r="AC733" s="207"/>
      <c r="AD733" s="207"/>
      <c r="AE733" s="207"/>
      <c r="AF733" s="207"/>
      <c r="AG733" s="207"/>
      <c r="AH733" s="207"/>
      <c r="AI733" s="207"/>
      <c r="AJ733" s="207"/>
      <c r="AK733" s="207"/>
      <c r="AL733" s="207"/>
      <c r="AM733" s="207"/>
      <c r="AN733" s="207"/>
      <c r="AO733" s="207"/>
      <c r="AP733" s="207"/>
      <c r="AQ733" s="207"/>
      <c r="AR733" s="207"/>
      <c r="AS733" s="207"/>
      <c r="AT733" s="207"/>
      <c r="AU733" s="207"/>
      <c r="AV733" s="207"/>
      <c r="AW733" s="207"/>
      <c r="AX733" s="207"/>
      <c r="AY733" s="207"/>
      <c r="AZ733" s="207"/>
      <c r="BA733" s="207"/>
    </row>
    <row r="734" ht="18.75" hidden="1" customHeight="1">
      <c r="A734" s="207"/>
      <c r="B734" s="207"/>
      <c r="C734" s="207"/>
      <c r="D734" s="207"/>
      <c r="E734" s="207"/>
      <c r="F734" s="207"/>
      <c r="G734" s="207"/>
      <c r="H734" s="207"/>
      <c r="I734" s="207"/>
      <c r="J734" s="207"/>
      <c r="K734" s="207"/>
      <c r="L734" s="207"/>
      <c r="M734" s="207"/>
      <c r="N734" s="207"/>
      <c r="O734" s="207"/>
      <c r="P734" s="207"/>
      <c r="Q734" s="207"/>
      <c r="R734" s="207"/>
      <c r="S734" s="207"/>
      <c r="T734" s="207"/>
      <c r="U734" s="207"/>
      <c r="V734" s="207"/>
      <c r="W734" s="207"/>
      <c r="X734" s="207"/>
      <c r="Y734" s="207"/>
      <c r="Z734" s="207"/>
      <c r="AA734" s="207"/>
      <c r="AB734" s="207"/>
      <c r="AC734" s="207"/>
      <c r="AD734" s="207"/>
      <c r="AE734" s="207"/>
      <c r="AF734" s="207"/>
      <c r="AG734" s="207"/>
      <c r="AH734" s="207"/>
      <c r="AI734" s="207"/>
      <c r="AJ734" s="207"/>
      <c r="AK734" s="207"/>
      <c r="AL734" s="207"/>
      <c r="AM734" s="207"/>
      <c r="AN734" s="207"/>
      <c r="AO734" s="207"/>
      <c r="AP734" s="207"/>
      <c r="AQ734" s="207"/>
      <c r="AR734" s="207"/>
      <c r="AS734" s="207"/>
      <c r="AT734" s="207"/>
      <c r="AU734" s="207"/>
      <c r="AV734" s="207"/>
      <c r="AW734" s="207"/>
      <c r="AX734" s="207"/>
      <c r="AY734" s="207"/>
      <c r="AZ734" s="207"/>
      <c r="BA734" s="207"/>
    </row>
    <row r="735" ht="18.75" hidden="1" customHeight="1">
      <c r="A735" s="207"/>
      <c r="B735" s="207"/>
      <c r="C735" s="207"/>
      <c r="D735" s="207"/>
      <c r="E735" s="207"/>
      <c r="F735" s="207"/>
      <c r="G735" s="207"/>
      <c r="H735" s="207"/>
      <c r="I735" s="207"/>
      <c r="J735" s="207"/>
      <c r="K735" s="207"/>
      <c r="L735" s="207"/>
      <c r="M735" s="207"/>
      <c r="N735" s="207"/>
      <c r="O735" s="207"/>
      <c r="P735" s="207"/>
      <c r="Q735" s="207"/>
      <c r="R735" s="207"/>
      <c r="S735" s="207"/>
      <c r="T735" s="207"/>
      <c r="U735" s="207"/>
      <c r="V735" s="207"/>
      <c r="W735" s="207"/>
      <c r="X735" s="207"/>
      <c r="Y735" s="207"/>
      <c r="Z735" s="207"/>
      <c r="AA735" s="207"/>
      <c r="AB735" s="207"/>
      <c r="AC735" s="207"/>
      <c r="AD735" s="207"/>
      <c r="AE735" s="207"/>
      <c r="AF735" s="207"/>
      <c r="AG735" s="207"/>
      <c r="AH735" s="207"/>
      <c r="AI735" s="207"/>
      <c r="AJ735" s="207"/>
      <c r="AK735" s="207"/>
      <c r="AL735" s="207"/>
      <c r="AM735" s="207"/>
      <c r="AN735" s="207"/>
      <c r="AO735" s="207"/>
      <c r="AP735" s="207"/>
      <c r="AQ735" s="207"/>
      <c r="AR735" s="207"/>
      <c r="AS735" s="207"/>
      <c r="AT735" s="207"/>
      <c r="AU735" s="207"/>
      <c r="AV735" s="207"/>
      <c r="AW735" s="207"/>
      <c r="AX735" s="207"/>
      <c r="AY735" s="207"/>
      <c r="AZ735" s="207"/>
      <c r="BA735" s="207"/>
    </row>
    <row r="736" ht="18.75" hidden="1" customHeight="1">
      <c r="A736" s="207"/>
      <c r="B736" s="207"/>
      <c r="C736" s="207"/>
      <c r="D736" s="207"/>
      <c r="E736" s="207"/>
      <c r="F736" s="207"/>
      <c r="G736" s="207"/>
      <c r="H736" s="207"/>
      <c r="I736" s="207"/>
      <c r="J736" s="207"/>
      <c r="K736" s="207"/>
      <c r="L736" s="207"/>
      <c r="M736" s="207"/>
      <c r="N736" s="207"/>
      <c r="O736" s="207"/>
      <c r="P736" s="207"/>
      <c r="Q736" s="207"/>
      <c r="R736" s="207"/>
      <c r="S736" s="207"/>
      <c r="T736" s="207"/>
      <c r="U736" s="207"/>
      <c r="V736" s="207"/>
      <c r="W736" s="207"/>
      <c r="X736" s="207"/>
      <c r="Y736" s="207"/>
      <c r="Z736" s="207"/>
      <c r="AA736" s="207"/>
      <c r="AB736" s="207"/>
      <c r="AC736" s="207"/>
      <c r="AD736" s="207"/>
      <c r="AE736" s="207"/>
      <c r="AF736" s="207"/>
      <c r="AG736" s="207"/>
      <c r="AH736" s="207"/>
      <c r="AI736" s="207"/>
      <c r="AJ736" s="207"/>
      <c r="AK736" s="207"/>
      <c r="AL736" s="207"/>
      <c r="AM736" s="207"/>
      <c r="AN736" s="207"/>
      <c r="AO736" s="207"/>
      <c r="AP736" s="207"/>
      <c r="AQ736" s="207"/>
      <c r="AR736" s="207"/>
      <c r="AS736" s="207"/>
      <c r="AT736" s="207"/>
      <c r="AU736" s="207"/>
      <c r="AV736" s="207"/>
      <c r="AW736" s="207"/>
      <c r="AX736" s="207"/>
      <c r="AY736" s="207"/>
      <c r="AZ736" s="207"/>
      <c r="BA736" s="207"/>
    </row>
    <row r="737" ht="18.75" hidden="1" customHeight="1">
      <c r="A737" s="207"/>
      <c r="B737" s="207"/>
      <c r="C737" s="207"/>
      <c r="D737" s="207"/>
      <c r="E737" s="207"/>
      <c r="F737" s="207"/>
      <c r="G737" s="207"/>
      <c r="H737" s="207"/>
      <c r="I737" s="207"/>
      <c r="J737" s="207"/>
      <c r="K737" s="207"/>
      <c r="L737" s="207"/>
      <c r="M737" s="207"/>
      <c r="N737" s="207"/>
      <c r="O737" s="207"/>
      <c r="P737" s="207"/>
      <c r="Q737" s="207"/>
      <c r="R737" s="207"/>
      <c r="S737" s="207"/>
      <c r="T737" s="207"/>
      <c r="U737" s="207"/>
      <c r="V737" s="207"/>
      <c r="W737" s="207"/>
      <c r="X737" s="207"/>
      <c r="Y737" s="207"/>
      <c r="Z737" s="207"/>
      <c r="AA737" s="207"/>
      <c r="AB737" s="207"/>
      <c r="AC737" s="207"/>
      <c r="AD737" s="207"/>
      <c r="AE737" s="207"/>
      <c r="AF737" s="207"/>
      <c r="AG737" s="207"/>
      <c r="AH737" s="207"/>
      <c r="AI737" s="207"/>
      <c r="AJ737" s="207"/>
      <c r="AK737" s="207"/>
      <c r="AL737" s="207"/>
      <c r="AM737" s="207"/>
      <c r="AN737" s="207"/>
      <c r="AO737" s="207"/>
      <c r="AP737" s="207"/>
      <c r="AQ737" s="207"/>
      <c r="AR737" s="207"/>
      <c r="AS737" s="207"/>
      <c r="AT737" s="207"/>
      <c r="AU737" s="207"/>
      <c r="AV737" s="207"/>
      <c r="AW737" s="207"/>
      <c r="AX737" s="207"/>
      <c r="AY737" s="207"/>
      <c r="AZ737" s="207"/>
      <c r="BA737" s="207"/>
    </row>
    <row r="738" ht="18.75" hidden="1" customHeight="1">
      <c r="A738" s="207"/>
      <c r="B738" s="207"/>
      <c r="C738" s="207"/>
      <c r="D738" s="207"/>
      <c r="E738" s="207"/>
      <c r="F738" s="207"/>
      <c r="G738" s="207"/>
      <c r="H738" s="207"/>
      <c r="I738" s="207"/>
      <c r="J738" s="207"/>
      <c r="K738" s="207"/>
      <c r="L738" s="207"/>
      <c r="M738" s="207"/>
      <c r="N738" s="207"/>
      <c r="O738" s="207"/>
      <c r="P738" s="207"/>
      <c r="Q738" s="207"/>
      <c r="R738" s="207"/>
      <c r="S738" s="207"/>
      <c r="T738" s="207"/>
      <c r="U738" s="207"/>
      <c r="V738" s="207"/>
      <c r="W738" s="207"/>
      <c r="X738" s="207"/>
      <c r="Y738" s="207"/>
      <c r="Z738" s="207"/>
      <c r="AA738" s="207"/>
      <c r="AB738" s="207"/>
      <c r="AC738" s="207"/>
      <c r="AD738" s="207"/>
      <c r="AE738" s="207"/>
      <c r="AF738" s="207"/>
      <c r="AG738" s="207"/>
      <c r="AH738" s="207"/>
      <c r="AI738" s="207"/>
      <c r="AJ738" s="207"/>
      <c r="AK738" s="207"/>
      <c r="AL738" s="207"/>
      <c r="AM738" s="207"/>
      <c r="AN738" s="207"/>
      <c r="AO738" s="207"/>
      <c r="AP738" s="207"/>
      <c r="AQ738" s="207"/>
      <c r="AR738" s="207"/>
      <c r="AS738" s="207"/>
      <c r="AT738" s="207"/>
      <c r="AU738" s="207"/>
      <c r="AV738" s="207"/>
      <c r="AW738" s="207"/>
      <c r="AX738" s="207"/>
      <c r="AY738" s="207"/>
      <c r="AZ738" s="207"/>
      <c r="BA738" s="207"/>
    </row>
    <row r="739" ht="18.75" hidden="1" customHeight="1">
      <c r="A739" s="207"/>
      <c r="B739" s="207"/>
      <c r="C739" s="207"/>
      <c r="D739" s="207"/>
      <c r="E739" s="207"/>
      <c r="F739" s="207"/>
      <c r="G739" s="207"/>
      <c r="H739" s="207"/>
      <c r="I739" s="207"/>
      <c r="J739" s="207"/>
      <c r="K739" s="207"/>
      <c r="L739" s="207"/>
      <c r="M739" s="207"/>
      <c r="N739" s="207"/>
      <c r="O739" s="207"/>
      <c r="P739" s="207"/>
      <c r="Q739" s="207"/>
      <c r="R739" s="207"/>
      <c r="S739" s="207"/>
      <c r="T739" s="207"/>
      <c r="U739" s="207"/>
      <c r="V739" s="207"/>
      <c r="W739" s="207"/>
      <c r="X739" s="207"/>
      <c r="Y739" s="207"/>
      <c r="Z739" s="207"/>
      <c r="AA739" s="207"/>
      <c r="AB739" s="207"/>
      <c r="AC739" s="207"/>
      <c r="AD739" s="207"/>
      <c r="AE739" s="207"/>
      <c r="AF739" s="207"/>
      <c r="AG739" s="207"/>
      <c r="AH739" s="207"/>
      <c r="AI739" s="207"/>
      <c r="AJ739" s="207"/>
      <c r="AK739" s="207"/>
      <c r="AL739" s="207"/>
      <c r="AM739" s="207"/>
      <c r="AN739" s="207"/>
      <c r="AO739" s="207"/>
      <c r="AP739" s="207"/>
      <c r="AQ739" s="207"/>
      <c r="AR739" s="207"/>
      <c r="AS739" s="207"/>
      <c r="AT739" s="207"/>
      <c r="AU739" s="207"/>
      <c r="AV739" s="207"/>
      <c r="AW739" s="207"/>
      <c r="AX739" s="207"/>
      <c r="AY739" s="207"/>
      <c r="AZ739" s="207"/>
      <c r="BA739" s="207"/>
    </row>
    <row r="740" ht="18.75" hidden="1" customHeight="1">
      <c r="A740" s="207"/>
      <c r="B740" s="207"/>
      <c r="C740" s="207"/>
      <c r="D740" s="207"/>
      <c r="E740" s="207"/>
      <c r="F740" s="207"/>
      <c r="G740" s="207"/>
      <c r="H740" s="207"/>
      <c r="I740" s="207"/>
      <c r="J740" s="207"/>
      <c r="K740" s="207"/>
      <c r="L740" s="207"/>
      <c r="M740" s="207"/>
      <c r="N740" s="207"/>
      <c r="O740" s="207"/>
      <c r="P740" s="207"/>
      <c r="Q740" s="207"/>
      <c r="R740" s="207"/>
      <c r="S740" s="207"/>
      <c r="T740" s="207"/>
      <c r="U740" s="207"/>
      <c r="V740" s="207"/>
      <c r="W740" s="207"/>
      <c r="X740" s="207"/>
      <c r="Y740" s="207"/>
      <c r="Z740" s="207"/>
      <c r="AA740" s="207"/>
      <c r="AB740" s="207"/>
      <c r="AC740" s="207"/>
      <c r="AD740" s="207"/>
      <c r="AE740" s="207"/>
      <c r="AF740" s="207"/>
      <c r="AG740" s="207"/>
      <c r="AH740" s="207"/>
      <c r="AI740" s="207"/>
      <c r="AJ740" s="207"/>
      <c r="AK740" s="207"/>
      <c r="AL740" s="207"/>
      <c r="AM740" s="207"/>
      <c r="AN740" s="207"/>
      <c r="AO740" s="207"/>
      <c r="AP740" s="207"/>
      <c r="AQ740" s="207"/>
      <c r="AR740" s="207"/>
      <c r="AS740" s="207"/>
      <c r="AT740" s="207"/>
      <c r="AU740" s="207"/>
      <c r="AV740" s="207"/>
      <c r="AW740" s="207"/>
      <c r="AX740" s="207"/>
      <c r="AY740" s="207"/>
      <c r="AZ740" s="207"/>
      <c r="BA740" s="207"/>
    </row>
    <row r="741" ht="18.75" hidden="1" customHeight="1">
      <c r="A741" s="207"/>
      <c r="B741" s="207"/>
      <c r="C741" s="207"/>
      <c r="D741" s="207"/>
      <c r="E741" s="207"/>
      <c r="F741" s="207"/>
      <c r="G741" s="207"/>
      <c r="H741" s="207"/>
      <c r="I741" s="207"/>
      <c r="J741" s="207"/>
      <c r="K741" s="207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  <c r="AA741" s="207"/>
      <c r="AB741" s="207"/>
      <c r="AC741" s="207"/>
      <c r="AD741" s="207"/>
      <c r="AE741" s="207"/>
      <c r="AF741" s="207"/>
      <c r="AG741" s="207"/>
      <c r="AH741" s="207"/>
      <c r="AI741" s="207"/>
      <c r="AJ741" s="207"/>
      <c r="AK741" s="207"/>
      <c r="AL741" s="207"/>
      <c r="AM741" s="207"/>
      <c r="AN741" s="207"/>
      <c r="AO741" s="207"/>
      <c r="AP741" s="207"/>
      <c r="AQ741" s="207"/>
      <c r="AR741" s="207"/>
      <c r="AS741" s="207"/>
      <c r="AT741" s="207"/>
      <c r="AU741" s="207"/>
      <c r="AV741" s="207"/>
      <c r="AW741" s="207"/>
      <c r="AX741" s="207"/>
      <c r="AY741" s="207"/>
      <c r="AZ741" s="207"/>
      <c r="BA741" s="207"/>
    </row>
    <row r="742" ht="18.75" hidden="1" customHeight="1">
      <c r="A742" s="207"/>
      <c r="B742" s="207"/>
      <c r="C742" s="207"/>
      <c r="D742" s="207"/>
      <c r="E742" s="207"/>
      <c r="F742" s="207"/>
      <c r="G742" s="207"/>
      <c r="H742" s="207"/>
      <c r="I742" s="207"/>
      <c r="J742" s="207"/>
      <c r="K742" s="207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  <c r="AA742" s="207"/>
      <c r="AB742" s="207"/>
      <c r="AC742" s="207"/>
      <c r="AD742" s="207"/>
      <c r="AE742" s="207"/>
      <c r="AF742" s="207"/>
      <c r="AG742" s="207"/>
      <c r="AH742" s="207"/>
      <c r="AI742" s="207"/>
      <c r="AJ742" s="207"/>
      <c r="AK742" s="207"/>
      <c r="AL742" s="207"/>
      <c r="AM742" s="207"/>
      <c r="AN742" s="207"/>
      <c r="AO742" s="207"/>
      <c r="AP742" s="207"/>
      <c r="AQ742" s="207"/>
      <c r="AR742" s="207"/>
      <c r="AS742" s="207"/>
      <c r="AT742" s="207"/>
      <c r="AU742" s="207"/>
      <c r="AV742" s="207"/>
      <c r="AW742" s="207"/>
      <c r="AX742" s="207"/>
      <c r="AY742" s="207"/>
      <c r="AZ742" s="207"/>
      <c r="BA742" s="207"/>
    </row>
    <row r="743" ht="18.75" hidden="1" customHeight="1">
      <c r="A743" s="207"/>
      <c r="B743" s="207"/>
      <c r="C743" s="207"/>
      <c r="D743" s="207"/>
      <c r="E743" s="207"/>
      <c r="F743" s="207"/>
      <c r="G743" s="207"/>
      <c r="H743" s="207"/>
      <c r="I743" s="207"/>
      <c r="J743" s="207"/>
      <c r="K743" s="207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  <c r="AA743" s="207"/>
      <c r="AB743" s="207"/>
      <c r="AC743" s="207"/>
      <c r="AD743" s="207"/>
      <c r="AE743" s="207"/>
      <c r="AF743" s="207"/>
      <c r="AG743" s="207"/>
      <c r="AH743" s="207"/>
      <c r="AI743" s="207"/>
      <c r="AJ743" s="207"/>
      <c r="AK743" s="207"/>
      <c r="AL743" s="207"/>
      <c r="AM743" s="207"/>
      <c r="AN743" s="207"/>
      <c r="AO743" s="207"/>
      <c r="AP743" s="207"/>
      <c r="AQ743" s="207"/>
      <c r="AR743" s="207"/>
      <c r="AS743" s="207"/>
      <c r="AT743" s="207"/>
      <c r="AU743" s="207"/>
      <c r="AV743" s="207"/>
      <c r="AW743" s="207"/>
      <c r="AX743" s="207"/>
      <c r="AY743" s="207"/>
      <c r="AZ743" s="207"/>
      <c r="BA743" s="207"/>
    </row>
    <row r="744" ht="18.75" hidden="1" customHeight="1">
      <c r="A744" s="207"/>
      <c r="B744" s="207"/>
      <c r="C744" s="207"/>
      <c r="D744" s="207"/>
      <c r="E744" s="207"/>
      <c r="F744" s="207"/>
      <c r="G744" s="207"/>
      <c r="H744" s="207"/>
      <c r="I744" s="207"/>
      <c r="J744" s="207"/>
      <c r="K744" s="207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  <c r="AA744" s="207"/>
      <c r="AB744" s="207"/>
      <c r="AC744" s="207"/>
      <c r="AD744" s="207"/>
      <c r="AE744" s="207"/>
      <c r="AF744" s="207"/>
      <c r="AG744" s="207"/>
      <c r="AH744" s="207"/>
      <c r="AI744" s="207"/>
      <c r="AJ744" s="207"/>
      <c r="AK744" s="207"/>
      <c r="AL744" s="207"/>
      <c r="AM744" s="207"/>
      <c r="AN744" s="207"/>
      <c r="AO744" s="207"/>
      <c r="AP744" s="207"/>
      <c r="AQ744" s="207"/>
      <c r="AR744" s="207"/>
      <c r="AS744" s="207"/>
      <c r="AT744" s="207"/>
      <c r="AU744" s="207"/>
      <c r="AV744" s="207"/>
      <c r="AW744" s="207"/>
      <c r="AX744" s="207"/>
      <c r="AY744" s="207"/>
      <c r="AZ744" s="207"/>
      <c r="BA744" s="207"/>
    </row>
    <row r="745" ht="18.75" hidden="1" customHeight="1">
      <c r="A745" s="207"/>
      <c r="B745" s="207"/>
      <c r="C745" s="207"/>
      <c r="D745" s="207"/>
      <c r="E745" s="207"/>
      <c r="F745" s="207"/>
      <c r="G745" s="207"/>
      <c r="H745" s="207"/>
      <c r="I745" s="207"/>
      <c r="J745" s="207"/>
      <c r="K745" s="207"/>
      <c r="L745" s="207"/>
      <c r="M745" s="207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  <c r="AA745" s="207"/>
      <c r="AB745" s="207"/>
      <c r="AC745" s="207"/>
      <c r="AD745" s="207"/>
      <c r="AE745" s="207"/>
      <c r="AF745" s="207"/>
      <c r="AG745" s="207"/>
      <c r="AH745" s="207"/>
      <c r="AI745" s="207"/>
      <c r="AJ745" s="207"/>
      <c r="AK745" s="207"/>
      <c r="AL745" s="207"/>
      <c r="AM745" s="207"/>
      <c r="AN745" s="207"/>
      <c r="AO745" s="207"/>
      <c r="AP745" s="207"/>
      <c r="AQ745" s="207"/>
      <c r="AR745" s="207"/>
      <c r="AS745" s="207"/>
      <c r="AT745" s="207"/>
      <c r="AU745" s="207"/>
      <c r="AV745" s="207"/>
      <c r="AW745" s="207"/>
      <c r="AX745" s="207"/>
      <c r="AY745" s="207"/>
      <c r="AZ745" s="207"/>
      <c r="BA745" s="207"/>
    </row>
    <row r="746" ht="18.75" hidden="1" customHeight="1">
      <c r="A746" s="207"/>
      <c r="B746" s="207"/>
      <c r="C746" s="207"/>
      <c r="D746" s="207"/>
      <c r="E746" s="207"/>
      <c r="F746" s="207"/>
      <c r="G746" s="207"/>
      <c r="H746" s="207"/>
      <c r="I746" s="207"/>
      <c r="J746" s="207"/>
      <c r="K746" s="207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  <c r="AA746" s="207"/>
      <c r="AB746" s="207"/>
      <c r="AC746" s="207"/>
      <c r="AD746" s="207"/>
      <c r="AE746" s="207"/>
      <c r="AF746" s="207"/>
      <c r="AG746" s="207"/>
      <c r="AH746" s="207"/>
      <c r="AI746" s="207"/>
      <c r="AJ746" s="207"/>
      <c r="AK746" s="207"/>
      <c r="AL746" s="207"/>
      <c r="AM746" s="207"/>
      <c r="AN746" s="207"/>
      <c r="AO746" s="207"/>
      <c r="AP746" s="207"/>
      <c r="AQ746" s="207"/>
      <c r="AR746" s="207"/>
      <c r="AS746" s="207"/>
      <c r="AT746" s="207"/>
      <c r="AU746" s="207"/>
      <c r="AV746" s="207"/>
      <c r="AW746" s="207"/>
      <c r="AX746" s="207"/>
      <c r="AY746" s="207"/>
      <c r="AZ746" s="207"/>
      <c r="BA746" s="207"/>
    </row>
    <row r="747" ht="18.75" hidden="1" customHeight="1">
      <c r="A747" s="207"/>
      <c r="B747" s="207"/>
      <c r="C747" s="207"/>
      <c r="D747" s="207"/>
      <c r="E747" s="207"/>
      <c r="F747" s="207"/>
      <c r="G747" s="207"/>
      <c r="H747" s="207"/>
      <c r="I747" s="207"/>
      <c r="J747" s="207"/>
      <c r="K747" s="207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  <c r="AA747" s="207"/>
      <c r="AB747" s="207"/>
      <c r="AC747" s="207"/>
      <c r="AD747" s="207"/>
      <c r="AE747" s="207"/>
      <c r="AF747" s="207"/>
      <c r="AG747" s="207"/>
      <c r="AH747" s="207"/>
      <c r="AI747" s="207"/>
      <c r="AJ747" s="207"/>
      <c r="AK747" s="207"/>
      <c r="AL747" s="207"/>
      <c r="AM747" s="207"/>
      <c r="AN747" s="207"/>
      <c r="AO747" s="207"/>
      <c r="AP747" s="207"/>
      <c r="AQ747" s="207"/>
      <c r="AR747" s="207"/>
      <c r="AS747" s="207"/>
      <c r="AT747" s="207"/>
      <c r="AU747" s="207"/>
      <c r="AV747" s="207"/>
      <c r="AW747" s="207"/>
      <c r="AX747" s="207"/>
      <c r="AY747" s="207"/>
      <c r="AZ747" s="207"/>
      <c r="BA747" s="207"/>
    </row>
    <row r="748" ht="18.75" hidden="1" customHeight="1">
      <c r="A748" s="207"/>
      <c r="B748" s="207"/>
      <c r="C748" s="207"/>
      <c r="D748" s="207"/>
      <c r="E748" s="207"/>
      <c r="F748" s="207"/>
      <c r="G748" s="207"/>
      <c r="H748" s="207"/>
      <c r="I748" s="207"/>
      <c r="J748" s="207"/>
      <c r="K748" s="207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  <c r="AA748" s="207"/>
      <c r="AB748" s="207"/>
      <c r="AC748" s="207"/>
      <c r="AD748" s="207"/>
      <c r="AE748" s="207"/>
      <c r="AF748" s="207"/>
      <c r="AG748" s="207"/>
      <c r="AH748" s="207"/>
      <c r="AI748" s="207"/>
      <c r="AJ748" s="207"/>
      <c r="AK748" s="207"/>
      <c r="AL748" s="207"/>
      <c r="AM748" s="207"/>
      <c r="AN748" s="207"/>
      <c r="AO748" s="207"/>
      <c r="AP748" s="207"/>
      <c r="AQ748" s="207"/>
      <c r="AR748" s="207"/>
      <c r="AS748" s="207"/>
      <c r="AT748" s="207"/>
      <c r="AU748" s="207"/>
      <c r="AV748" s="207"/>
      <c r="AW748" s="207"/>
      <c r="AX748" s="207"/>
      <c r="AY748" s="207"/>
      <c r="AZ748" s="207"/>
      <c r="BA748" s="207"/>
    </row>
    <row r="749" ht="18.75" hidden="1" customHeight="1">
      <c r="A749" s="207"/>
      <c r="B749" s="207"/>
      <c r="C749" s="207"/>
      <c r="D749" s="207"/>
      <c r="E749" s="207"/>
      <c r="F749" s="207"/>
      <c r="G749" s="207"/>
      <c r="H749" s="207"/>
      <c r="I749" s="207"/>
      <c r="J749" s="207"/>
      <c r="K749" s="207"/>
      <c r="L749" s="207"/>
      <c r="M749" s="207"/>
      <c r="N749" s="207"/>
      <c r="O749" s="207"/>
      <c r="P749" s="207"/>
      <c r="Q749" s="207"/>
      <c r="R749" s="207"/>
      <c r="S749" s="207"/>
      <c r="T749" s="207"/>
      <c r="U749" s="207"/>
      <c r="V749" s="207"/>
      <c r="W749" s="207"/>
      <c r="X749" s="207"/>
      <c r="Y749" s="207"/>
      <c r="Z749" s="207"/>
      <c r="AA749" s="207"/>
      <c r="AB749" s="207"/>
      <c r="AC749" s="207"/>
      <c r="AD749" s="207"/>
      <c r="AE749" s="207"/>
      <c r="AF749" s="207"/>
      <c r="AG749" s="207"/>
      <c r="AH749" s="207"/>
      <c r="AI749" s="207"/>
      <c r="AJ749" s="207"/>
      <c r="AK749" s="207"/>
      <c r="AL749" s="207"/>
      <c r="AM749" s="207"/>
      <c r="AN749" s="207"/>
      <c r="AO749" s="207"/>
      <c r="AP749" s="207"/>
      <c r="AQ749" s="207"/>
      <c r="AR749" s="207"/>
      <c r="AS749" s="207"/>
      <c r="AT749" s="207"/>
      <c r="AU749" s="207"/>
      <c r="AV749" s="207"/>
      <c r="AW749" s="207"/>
      <c r="AX749" s="207"/>
      <c r="AY749" s="207"/>
      <c r="AZ749" s="207"/>
      <c r="BA749" s="207"/>
    </row>
    <row r="750" ht="18.75" hidden="1" customHeight="1">
      <c r="A750" s="207"/>
      <c r="B750" s="207"/>
      <c r="C750" s="207"/>
      <c r="D750" s="207"/>
      <c r="E750" s="207"/>
      <c r="F750" s="207"/>
      <c r="G750" s="207"/>
      <c r="H750" s="207"/>
      <c r="I750" s="207"/>
      <c r="J750" s="207"/>
      <c r="K750" s="207"/>
      <c r="L750" s="207"/>
      <c r="M750" s="207"/>
      <c r="N750" s="207"/>
      <c r="O750" s="207"/>
      <c r="P750" s="207"/>
      <c r="Q750" s="207"/>
      <c r="R750" s="207"/>
      <c r="S750" s="207"/>
      <c r="T750" s="207"/>
      <c r="U750" s="207"/>
      <c r="V750" s="207"/>
      <c r="W750" s="207"/>
      <c r="X750" s="207"/>
      <c r="Y750" s="207"/>
      <c r="Z750" s="207"/>
      <c r="AA750" s="207"/>
      <c r="AB750" s="207"/>
      <c r="AC750" s="207"/>
      <c r="AD750" s="207"/>
      <c r="AE750" s="207"/>
      <c r="AF750" s="207"/>
      <c r="AG750" s="207"/>
      <c r="AH750" s="207"/>
      <c r="AI750" s="207"/>
      <c r="AJ750" s="207"/>
      <c r="AK750" s="207"/>
      <c r="AL750" s="207"/>
      <c r="AM750" s="207"/>
      <c r="AN750" s="207"/>
      <c r="AO750" s="207"/>
      <c r="AP750" s="207"/>
      <c r="AQ750" s="207"/>
      <c r="AR750" s="207"/>
      <c r="AS750" s="207"/>
      <c r="AT750" s="207"/>
      <c r="AU750" s="207"/>
      <c r="AV750" s="207"/>
      <c r="AW750" s="207"/>
      <c r="AX750" s="207"/>
      <c r="AY750" s="207"/>
      <c r="AZ750" s="207"/>
      <c r="BA750" s="207"/>
    </row>
    <row r="751" ht="18.75" hidden="1" customHeight="1">
      <c r="A751" s="207"/>
      <c r="B751" s="207"/>
      <c r="C751" s="207"/>
      <c r="D751" s="207"/>
      <c r="E751" s="207"/>
      <c r="F751" s="207"/>
      <c r="G751" s="207"/>
      <c r="H751" s="207"/>
      <c r="I751" s="207"/>
      <c r="J751" s="207"/>
      <c r="K751" s="207"/>
      <c r="L751" s="207"/>
      <c r="M751" s="207"/>
      <c r="N751" s="207"/>
      <c r="O751" s="207"/>
      <c r="P751" s="207"/>
      <c r="Q751" s="207"/>
      <c r="R751" s="207"/>
      <c r="S751" s="207"/>
      <c r="T751" s="207"/>
      <c r="U751" s="207"/>
      <c r="V751" s="207"/>
      <c r="W751" s="207"/>
      <c r="X751" s="207"/>
      <c r="Y751" s="207"/>
      <c r="Z751" s="207"/>
      <c r="AA751" s="207"/>
      <c r="AB751" s="207"/>
      <c r="AC751" s="207"/>
      <c r="AD751" s="207"/>
      <c r="AE751" s="207"/>
      <c r="AF751" s="207"/>
      <c r="AG751" s="207"/>
      <c r="AH751" s="207"/>
      <c r="AI751" s="207"/>
      <c r="AJ751" s="207"/>
      <c r="AK751" s="207"/>
      <c r="AL751" s="207"/>
      <c r="AM751" s="207"/>
      <c r="AN751" s="207"/>
      <c r="AO751" s="207"/>
      <c r="AP751" s="207"/>
      <c r="AQ751" s="207"/>
      <c r="AR751" s="207"/>
      <c r="AS751" s="207"/>
      <c r="AT751" s="207"/>
      <c r="AU751" s="207"/>
      <c r="AV751" s="207"/>
      <c r="AW751" s="207"/>
      <c r="AX751" s="207"/>
      <c r="AY751" s="207"/>
      <c r="AZ751" s="207"/>
      <c r="BA751" s="207"/>
    </row>
    <row r="752" ht="18.75" hidden="1" customHeight="1">
      <c r="A752" s="207"/>
      <c r="B752" s="207"/>
      <c r="C752" s="207"/>
      <c r="D752" s="207"/>
      <c r="E752" s="207"/>
      <c r="F752" s="207"/>
      <c r="G752" s="207"/>
      <c r="H752" s="207"/>
      <c r="I752" s="207"/>
      <c r="J752" s="207"/>
      <c r="K752" s="207"/>
      <c r="L752" s="207"/>
      <c r="M752" s="207"/>
      <c r="N752" s="207"/>
      <c r="O752" s="207"/>
      <c r="P752" s="207"/>
      <c r="Q752" s="207"/>
      <c r="R752" s="207"/>
      <c r="S752" s="207"/>
      <c r="T752" s="207"/>
      <c r="U752" s="207"/>
      <c r="V752" s="207"/>
      <c r="W752" s="207"/>
      <c r="X752" s="207"/>
      <c r="Y752" s="207"/>
      <c r="Z752" s="207"/>
      <c r="AA752" s="207"/>
      <c r="AB752" s="207"/>
      <c r="AC752" s="207"/>
      <c r="AD752" s="207"/>
      <c r="AE752" s="207"/>
      <c r="AF752" s="207"/>
      <c r="AG752" s="207"/>
      <c r="AH752" s="207"/>
      <c r="AI752" s="207"/>
      <c r="AJ752" s="207"/>
      <c r="AK752" s="207"/>
      <c r="AL752" s="207"/>
      <c r="AM752" s="207"/>
      <c r="AN752" s="207"/>
      <c r="AO752" s="207"/>
      <c r="AP752" s="207"/>
      <c r="AQ752" s="207"/>
      <c r="AR752" s="207"/>
      <c r="AS752" s="207"/>
      <c r="AT752" s="207"/>
      <c r="AU752" s="207"/>
      <c r="AV752" s="207"/>
      <c r="AW752" s="207"/>
      <c r="AX752" s="207"/>
      <c r="AY752" s="207"/>
      <c r="AZ752" s="207"/>
      <c r="BA752" s="207"/>
    </row>
    <row r="753" ht="18.75" hidden="1" customHeight="1">
      <c r="A753" s="207"/>
      <c r="B753" s="207"/>
      <c r="C753" s="207"/>
      <c r="D753" s="207"/>
      <c r="E753" s="207"/>
      <c r="F753" s="207"/>
      <c r="G753" s="207"/>
      <c r="H753" s="207"/>
      <c r="I753" s="207"/>
      <c r="J753" s="207"/>
      <c r="K753" s="207"/>
      <c r="L753" s="207"/>
      <c r="M753" s="207"/>
      <c r="N753" s="207"/>
      <c r="O753" s="207"/>
      <c r="P753" s="207"/>
      <c r="Q753" s="207"/>
      <c r="R753" s="207"/>
      <c r="S753" s="207"/>
      <c r="T753" s="207"/>
      <c r="U753" s="207"/>
      <c r="V753" s="207"/>
      <c r="W753" s="207"/>
      <c r="X753" s="207"/>
      <c r="Y753" s="207"/>
      <c r="Z753" s="207"/>
      <c r="AA753" s="207"/>
      <c r="AB753" s="207"/>
      <c r="AC753" s="207"/>
      <c r="AD753" s="207"/>
      <c r="AE753" s="207"/>
      <c r="AF753" s="207"/>
      <c r="AG753" s="207"/>
      <c r="AH753" s="207"/>
      <c r="AI753" s="207"/>
      <c r="AJ753" s="207"/>
      <c r="AK753" s="207"/>
      <c r="AL753" s="207"/>
      <c r="AM753" s="207"/>
      <c r="AN753" s="207"/>
      <c r="AO753" s="207"/>
      <c r="AP753" s="207"/>
      <c r="AQ753" s="207"/>
      <c r="AR753" s="207"/>
      <c r="AS753" s="207"/>
      <c r="AT753" s="207"/>
      <c r="AU753" s="207"/>
      <c r="AV753" s="207"/>
      <c r="AW753" s="207"/>
      <c r="AX753" s="207"/>
      <c r="AY753" s="207"/>
      <c r="AZ753" s="207"/>
      <c r="BA753" s="207"/>
    </row>
    <row r="754" ht="18.75" hidden="1" customHeight="1">
      <c r="A754" s="207"/>
      <c r="B754" s="207"/>
      <c r="C754" s="207"/>
      <c r="D754" s="207"/>
      <c r="E754" s="207"/>
      <c r="F754" s="207"/>
      <c r="G754" s="207"/>
      <c r="H754" s="207"/>
      <c r="I754" s="207"/>
      <c r="J754" s="207"/>
      <c r="K754" s="207"/>
      <c r="L754" s="207"/>
      <c r="M754" s="207"/>
      <c r="N754" s="207"/>
      <c r="O754" s="207"/>
      <c r="P754" s="207"/>
      <c r="Q754" s="207"/>
      <c r="R754" s="207"/>
      <c r="S754" s="207"/>
      <c r="T754" s="207"/>
      <c r="U754" s="207"/>
      <c r="V754" s="207"/>
      <c r="W754" s="207"/>
      <c r="X754" s="207"/>
      <c r="Y754" s="207"/>
      <c r="Z754" s="207"/>
      <c r="AA754" s="207"/>
      <c r="AB754" s="207"/>
      <c r="AC754" s="207"/>
      <c r="AD754" s="207"/>
      <c r="AE754" s="207"/>
      <c r="AF754" s="207"/>
      <c r="AG754" s="207"/>
      <c r="AH754" s="207"/>
      <c r="AI754" s="207"/>
      <c r="AJ754" s="207"/>
      <c r="AK754" s="207"/>
      <c r="AL754" s="207"/>
      <c r="AM754" s="207"/>
      <c r="AN754" s="207"/>
      <c r="AO754" s="207"/>
      <c r="AP754" s="207"/>
      <c r="AQ754" s="207"/>
      <c r="AR754" s="207"/>
      <c r="AS754" s="207"/>
      <c r="AT754" s="207"/>
      <c r="AU754" s="207"/>
      <c r="AV754" s="207"/>
      <c r="AW754" s="207"/>
      <c r="AX754" s="207"/>
      <c r="AY754" s="207"/>
      <c r="AZ754" s="207"/>
      <c r="BA754" s="207"/>
    </row>
    <row r="755" ht="18.75" hidden="1" customHeight="1">
      <c r="A755" s="207"/>
      <c r="B755" s="207"/>
      <c r="C755" s="207"/>
      <c r="D755" s="207"/>
      <c r="E755" s="207"/>
      <c r="F755" s="207"/>
      <c r="G755" s="207"/>
      <c r="H755" s="207"/>
      <c r="I755" s="207"/>
      <c r="J755" s="207"/>
      <c r="K755" s="207"/>
      <c r="L755" s="207"/>
      <c r="M755" s="207"/>
      <c r="N755" s="207"/>
      <c r="O755" s="207"/>
      <c r="P755" s="207"/>
      <c r="Q755" s="207"/>
      <c r="R755" s="207"/>
      <c r="S755" s="207"/>
      <c r="T755" s="207"/>
      <c r="U755" s="207"/>
      <c r="V755" s="207"/>
      <c r="W755" s="207"/>
      <c r="X755" s="207"/>
      <c r="Y755" s="207"/>
      <c r="Z755" s="207"/>
      <c r="AA755" s="207"/>
      <c r="AB755" s="207"/>
      <c r="AC755" s="207"/>
      <c r="AD755" s="207"/>
      <c r="AE755" s="207"/>
      <c r="AF755" s="207"/>
      <c r="AG755" s="207"/>
      <c r="AH755" s="207"/>
      <c r="AI755" s="207"/>
      <c r="AJ755" s="207"/>
      <c r="AK755" s="207"/>
      <c r="AL755" s="207"/>
      <c r="AM755" s="207"/>
      <c r="AN755" s="207"/>
      <c r="AO755" s="207"/>
      <c r="AP755" s="207"/>
      <c r="AQ755" s="207"/>
      <c r="AR755" s="207"/>
      <c r="AS755" s="207"/>
      <c r="AT755" s="207"/>
      <c r="AU755" s="207"/>
      <c r="AV755" s="207"/>
      <c r="AW755" s="207"/>
      <c r="AX755" s="207"/>
      <c r="AY755" s="207"/>
      <c r="AZ755" s="207"/>
      <c r="BA755" s="207"/>
    </row>
    <row r="756" ht="18.75" hidden="1" customHeight="1">
      <c r="A756" s="207"/>
      <c r="B756" s="207"/>
      <c r="C756" s="207"/>
      <c r="D756" s="207"/>
      <c r="E756" s="207"/>
      <c r="F756" s="207"/>
      <c r="G756" s="207"/>
      <c r="H756" s="207"/>
      <c r="I756" s="207"/>
      <c r="J756" s="207"/>
      <c r="K756" s="207"/>
      <c r="L756" s="207"/>
      <c r="M756" s="207"/>
      <c r="N756" s="207"/>
      <c r="O756" s="207"/>
      <c r="P756" s="207"/>
      <c r="Q756" s="207"/>
      <c r="R756" s="207"/>
      <c r="S756" s="207"/>
      <c r="T756" s="207"/>
      <c r="U756" s="207"/>
      <c r="V756" s="207"/>
      <c r="W756" s="207"/>
      <c r="X756" s="207"/>
      <c r="Y756" s="207"/>
      <c r="Z756" s="207"/>
      <c r="AA756" s="207"/>
      <c r="AB756" s="207"/>
      <c r="AC756" s="207"/>
      <c r="AD756" s="207"/>
      <c r="AE756" s="207"/>
      <c r="AF756" s="207"/>
      <c r="AG756" s="207"/>
      <c r="AH756" s="207"/>
      <c r="AI756" s="207"/>
      <c r="AJ756" s="207"/>
      <c r="AK756" s="207"/>
      <c r="AL756" s="207"/>
      <c r="AM756" s="207"/>
      <c r="AN756" s="207"/>
      <c r="AO756" s="207"/>
      <c r="AP756" s="207"/>
      <c r="AQ756" s="207"/>
      <c r="AR756" s="207"/>
      <c r="AS756" s="207"/>
      <c r="AT756" s="207"/>
      <c r="AU756" s="207"/>
      <c r="AV756" s="207"/>
      <c r="AW756" s="207"/>
      <c r="AX756" s="207"/>
      <c r="AY756" s="207"/>
      <c r="AZ756" s="207"/>
      <c r="BA756" s="207"/>
    </row>
    <row r="757" ht="18.75" hidden="1" customHeight="1">
      <c r="A757" s="207"/>
      <c r="B757" s="207"/>
      <c r="C757" s="207"/>
      <c r="D757" s="207"/>
      <c r="E757" s="207"/>
      <c r="F757" s="207"/>
      <c r="G757" s="207"/>
      <c r="H757" s="207"/>
      <c r="I757" s="207"/>
      <c r="J757" s="207"/>
      <c r="K757" s="207"/>
      <c r="L757" s="207"/>
      <c r="M757" s="207"/>
      <c r="N757" s="207"/>
      <c r="O757" s="207"/>
      <c r="P757" s="207"/>
      <c r="Q757" s="207"/>
      <c r="R757" s="207"/>
      <c r="S757" s="207"/>
      <c r="T757" s="207"/>
      <c r="U757" s="207"/>
      <c r="V757" s="207"/>
      <c r="W757" s="207"/>
      <c r="X757" s="207"/>
      <c r="Y757" s="207"/>
      <c r="Z757" s="207"/>
      <c r="AA757" s="207"/>
      <c r="AB757" s="207"/>
      <c r="AC757" s="207"/>
      <c r="AD757" s="207"/>
      <c r="AE757" s="207"/>
      <c r="AF757" s="207"/>
      <c r="AG757" s="207"/>
      <c r="AH757" s="207"/>
      <c r="AI757" s="207"/>
      <c r="AJ757" s="207"/>
      <c r="AK757" s="207"/>
      <c r="AL757" s="207"/>
      <c r="AM757" s="207"/>
      <c r="AN757" s="207"/>
      <c r="AO757" s="207"/>
      <c r="AP757" s="207"/>
      <c r="AQ757" s="207"/>
      <c r="AR757" s="207"/>
      <c r="AS757" s="207"/>
      <c r="AT757" s="207"/>
      <c r="AU757" s="207"/>
      <c r="AV757" s="207"/>
      <c r="AW757" s="207"/>
      <c r="AX757" s="207"/>
      <c r="AY757" s="207"/>
      <c r="AZ757" s="207"/>
      <c r="BA757" s="207"/>
    </row>
    <row r="758" ht="18.75" hidden="1" customHeight="1">
      <c r="A758" s="207"/>
      <c r="B758" s="207"/>
      <c r="C758" s="207"/>
      <c r="D758" s="207"/>
      <c r="E758" s="207"/>
      <c r="F758" s="207"/>
      <c r="G758" s="207"/>
      <c r="H758" s="207"/>
      <c r="I758" s="207"/>
      <c r="J758" s="207"/>
      <c r="K758" s="207"/>
      <c r="L758" s="207"/>
      <c r="M758" s="207"/>
      <c r="N758" s="207"/>
      <c r="O758" s="207"/>
      <c r="P758" s="207"/>
      <c r="Q758" s="207"/>
      <c r="R758" s="207"/>
      <c r="S758" s="207"/>
      <c r="T758" s="207"/>
      <c r="U758" s="207"/>
      <c r="V758" s="207"/>
      <c r="W758" s="207"/>
      <c r="X758" s="207"/>
      <c r="Y758" s="207"/>
      <c r="Z758" s="207"/>
      <c r="AA758" s="207"/>
      <c r="AB758" s="207"/>
      <c r="AC758" s="207"/>
      <c r="AD758" s="207"/>
      <c r="AE758" s="207"/>
      <c r="AF758" s="207"/>
      <c r="AG758" s="207"/>
      <c r="AH758" s="207"/>
      <c r="AI758" s="207"/>
      <c r="AJ758" s="207"/>
      <c r="AK758" s="207"/>
      <c r="AL758" s="207"/>
      <c r="AM758" s="207"/>
      <c r="AN758" s="207"/>
      <c r="AO758" s="207"/>
      <c r="AP758" s="207"/>
      <c r="AQ758" s="207"/>
      <c r="AR758" s="207"/>
      <c r="AS758" s="207"/>
      <c r="AT758" s="207"/>
      <c r="AU758" s="207"/>
      <c r="AV758" s="207"/>
      <c r="AW758" s="207"/>
      <c r="AX758" s="207"/>
      <c r="AY758" s="207"/>
      <c r="AZ758" s="207"/>
      <c r="BA758" s="207"/>
    </row>
    <row r="759" ht="18.75" hidden="1" customHeight="1">
      <c r="A759" s="207"/>
      <c r="B759" s="207"/>
      <c r="C759" s="207"/>
      <c r="D759" s="207"/>
      <c r="E759" s="207"/>
      <c r="F759" s="207"/>
      <c r="G759" s="207"/>
      <c r="H759" s="207"/>
      <c r="I759" s="207"/>
      <c r="J759" s="207"/>
      <c r="K759" s="207"/>
      <c r="L759" s="207"/>
      <c r="M759" s="207"/>
      <c r="N759" s="207"/>
      <c r="O759" s="207"/>
      <c r="P759" s="207"/>
      <c r="Q759" s="207"/>
      <c r="R759" s="207"/>
      <c r="S759" s="207"/>
      <c r="T759" s="207"/>
      <c r="U759" s="207"/>
      <c r="V759" s="207"/>
      <c r="W759" s="207"/>
      <c r="X759" s="207"/>
      <c r="Y759" s="207"/>
      <c r="Z759" s="207"/>
      <c r="AA759" s="207"/>
      <c r="AB759" s="207"/>
      <c r="AC759" s="207"/>
      <c r="AD759" s="207"/>
      <c r="AE759" s="207"/>
      <c r="AF759" s="207"/>
      <c r="AG759" s="207"/>
      <c r="AH759" s="207"/>
      <c r="AI759" s="207"/>
      <c r="AJ759" s="207"/>
      <c r="AK759" s="207"/>
      <c r="AL759" s="207"/>
      <c r="AM759" s="207"/>
      <c r="AN759" s="207"/>
      <c r="AO759" s="207"/>
      <c r="AP759" s="207"/>
      <c r="AQ759" s="207"/>
      <c r="AR759" s="207"/>
      <c r="AS759" s="207"/>
      <c r="AT759" s="207"/>
      <c r="AU759" s="207"/>
      <c r="AV759" s="207"/>
      <c r="AW759" s="207"/>
      <c r="AX759" s="207"/>
      <c r="AY759" s="207"/>
      <c r="AZ759" s="207"/>
      <c r="BA759" s="207"/>
    </row>
    <row r="760" ht="18.75" hidden="1" customHeight="1">
      <c r="A760" s="207"/>
      <c r="B760" s="207"/>
      <c r="C760" s="207"/>
      <c r="D760" s="207"/>
      <c r="E760" s="207"/>
      <c r="F760" s="207"/>
      <c r="G760" s="207"/>
      <c r="H760" s="207"/>
      <c r="I760" s="207"/>
      <c r="J760" s="207"/>
      <c r="K760" s="207"/>
      <c r="L760" s="207"/>
      <c r="M760" s="207"/>
      <c r="N760" s="207"/>
      <c r="O760" s="207"/>
      <c r="P760" s="207"/>
      <c r="Q760" s="207"/>
      <c r="R760" s="207"/>
      <c r="S760" s="207"/>
      <c r="T760" s="207"/>
      <c r="U760" s="207"/>
      <c r="V760" s="207"/>
      <c r="W760" s="207"/>
      <c r="X760" s="207"/>
      <c r="Y760" s="207"/>
      <c r="Z760" s="207"/>
      <c r="AA760" s="207"/>
      <c r="AB760" s="207"/>
      <c r="AC760" s="207"/>
      <c r="AD760" s="207"/>
      <c r="AE760" s="207"/>
      <c r="AF760" s="207"/>
      <c r="AG760" s="207"/>
      <c r="AH760" s="207"/>
      <c r="AI760" s="207"/>
      <c r="AJ760" s="207"/>
      <c r="AK760" s="207"/>
      <c r="AL760" s="207"/>
      <c r="AM760" s="207"/>
      <c r="AN760" s="207"/>
      <c r="AO760" s="207"/>
      <c r="AP760" s="207"/>
      <c r="AQ760" s="207"/>
      <c r="AR760" s="207"/>
      <c r="AS760" s="207"/>
      <c r="AT760" s="207"/>
      <c r="AU760" s="207"/>
      <c r="AV760" s="207"/>
      <c r="AW760" s="207"/>
      <c r="AX760" s="207"/>
      <c r="AY760" s="207"/>
      <c r="AZ760" s="207"/>
      <c r="BA760" s="207"/>
    </row>
    <row r="761" ht="18.75" hidden="1" customHeight="1">
      <c r="A761" s="207"/>
      <c r="B761" s="207"/>
      <c r="C761" s="207"/>
      <c r="D761" s="207"/>
      <c r="E761" s="207"/>
      <c r="F761" s="207"/>
      <c r="G761" s="207"/>
      <c r="H761" s="207"/>
      <c r="I761" s="207"/>
      <c r="J761" s="207"/>
      <c r="K761" s="207"/>
      <c r="L761" s="207"/>
      <c r="M761" s="207"/>
      <c r="N761" s="207"/>
      <c r="O761" s="207"/>
      <c r="P761" s="207"/>
      <c r="Q761" s="207"/>
      <c r="R761" s="207"/>
      <c r="S761" s="207"/>
      <c r="T761" s="207"/>
      <c r="U761" s="207"/>
      <c r="V761" s="207"/>
      <c r="W761" s="207"/>
      <c r="X761" s="207"/>
      <c r="Y761" s="207"/>
      <c r="Z761" s="207"/>
      <c r="AA761" s="207"/>
      <c r="AB761" s="207"/>
      <c r="AC761" s="207"/>
      <c r="AD761" s="207"/>
      <c r="AE761" s="207"/>
      <c r="AF761" s="207"/>
      <c r="AG761" s="207"/>
      <c r="AH761" s="207"/>
      <c r="AI761" s="207"/>
      <c r="AJ761" s="207"/>
      <c r="AK761" s="207"/>
      <c r="AL761" s="207"/>
      <c r="AM761" s="207"/>
      <c r="AN761" s="207"/>
      <c r="AO761" s="207"/>
      <c r="AP761" s="207"/>
      <c r="AQ761" s="207"/>
      <c r="AR761" s="207"/>
      <c r="AS761" s="207"/>
      <c r="AT761" s="207"/>
      <c r="AU761" s="207"/>
      <c r="AV761" s="207"/>
      <c r="AW761" s="207"/>
      <c r="AX761" s="207"/>
      <c r="AY761" s="207"/>
      <c r="AZ761" s="207"/>
      <c r="BA761" s="207"/>
    </row>
    <row r="762" ht="18.75" hidden="1" customHeight="1">
      <c r="A762" s="207"/>
      <c r="B762" s="207"/>
      <c r="C762" s="207"/>
      <c r="D762" s="207"/>
      <c r="E762" s="207"/>
      <c r="F762" s="207"/>
      <c r="G762" s="207"/>
      <c r="H762" s="207"/>
      <c r="I762" s="207"/>
      <c r="J762" s="207"/>
      <c r="K762" s="207"/>
      <c r="L762" s="207"/>
      <c r="M762" s="207"/>
      <c r="N762" s="207"/>
      <c r="O762" s="207"/>
      <c r="P762" s="207"/>
      <c r="Q762" s="207"/>
      <c r="R762" s="207"/>
      <c r="S762" s="207"/>
      <c r="T762" s="207"/>
      <c r="U762" s="207"/>
      <c r="V762" s="207"/>
      <c r="W762" s="207"/>
      <c r="X762" s="207"/>
      <c r="Y762" s="207"/>
      <c r="Z762" s="207"/>
      <c r="AA762" s="207"/>
      <c r="AB762" s="207"/>
      <c r="AC762" s="207"/>
      <c r="AD762" s="207"/>
      <c r="AE762" s="207"/>
      <c r="AF762" s="207"/>
      <c r="AG762" s="207"/>
      <c r="AH762" s="207"/>
      <c r="AI762" s="207"/>
      <c r="AJ762" s="207"/>
      <c r="AK762" s="207"/>
      <c r="AL762" s="207"/>
      <c r="AM762" s="207"/>
      <c r="AN762" s="207"/>
      <c r="AO762" s="207"/>
      <c r="AP762" s="207"/>
      <c r="AQ762" s="207"/>
      <c r="AR762" s="207"/>
      <c r="AS762" s="207"/>
      <c r="AT762" s="207"/>
      <c r="AU762" s="207"/>
      <c r="AV762" s="207"/>
      <c r="AW762" s="207"/>
      <c r="AX762" s="207"/>
      <c r="AY762" s="207"/>
      <c r="AZ762" s="207"/>
      <c r="BA762" s="207"/>
    </row>
    <row r="763" ht="18.75" hidden="1" customHeight="1">
      <c r="A763" s="207"/>
      <c r="B763" s="207"/>
      <c r="C763" s="207"/>
      <c r="D763" s="207"/>
      <c r="E763" s="207"/>
      <c r="F763" s="207"/>
      <c r="G763" s="207"/>
      <c r="H763" s="207"/>
      <c r="I763" s="207"/>
      <c r="J763" s="207"/>
      <c r="K763" s="207"/>
      <c r="L763" s="207"/>
      <c r="M763" s="207"/>
      <c r="N763" s="207"/>
      <c r="O763" s="207"/>
      <c r="P763" s="207"/>
      <c r="Q763" s="207"/>
      <c r="R763" s="207"/>
      <c r="S763" s="207"/>
      <c r="T763" s="207"/>
      <c r="U763" s="207"/>
      <c r="V763" s="207"/>
      <c r="W763" s="207"/>
      <c r="X763" s="207"/>
      <c r="Y763" s="207"/>
      <c r="Z763" s="207"/>
      <c r="AA763" s="207"/>
      <c r="AB763" s="207"/>
      <c r="AC763" s="207"/>
      <c r="AD763" s="207"/>
      <c r="AE763" s="207"/>
      <c r="AF763" s="207"/>
      <c r="AG763" s="207"/>
      <c r="AH763" s="207"/>
      <c r="AI763" s="207"/>
      <c r="AJ763" s="207"/>
      <c r="AK763" s="207"/>
      <c r="AL763" s="207"/>
      <c r="AM763" s="207"/>
      <c r="AN763" s="207"/>
      <c r="AO763" s="207"/>
      <c r="AP763" s="207"/>
      <c r="AQ763" s="207"/>
      <c r="AR763" s="207"/>
      <c r="AS763" s="207"/>
      <c r="AT763" s="207"/>
      <c r="AU763" s="207"/>
      <c r="AV763" s="207"/>
      <c r="AW763" s="207"/>
      <c r="AX763" s="207"/>
      <c r="AY763" s="207"/>
      <c r="AZ763" s="207"/>
      <c r="BA763" s="207"/>
    </row>
    <row r="764" ht="18.75" hidden="1" customHeight="1">
      <c r="A764" s="207"/>
      <c r="B764" s="207"/>
      <c r="C764" s="207"/>
      <c r="D764" s="207"/>
      <c r="E764" s="207"/>
      <c r="F764" s="207"/>
      <c r="G764" s="207"/>
      <c r="H764" s="207"/>
      <c r="I764" s="207"/>
      <c r="J764" s="207"/>
      <c r="K764" s="207"/>
      <c r="L764" s="207"/>
      <c r="M764" s="207"/>
      <c r="N764" s="207"/>
      <c r="O764" s="207"/>
      <c r="P764" s="207"/>
      <c r="Q764" s="207"/>
      <c r="R764" s="207"/>
      <c r="S764" s="207"/>
      <c r="T764" s="207"/>
      <c r="U764" s="207"/>
      <c r="V764" s="207"/>
      <c r="W764" s="207"/>
      <c r="X764" s="207"/>
      <c r="Y764" s="207"/>
      <c r="Z764" s="207"/>
      <c r="AA764" s="207"/>
      <c r="AB764" s="207"/>
      <c r="AC764" s="207"/>
      <c r="AD764" s="207"/>
      <c r="AE764" s="207"/>
      <c r="AF764" s="207"/>
      <c r="AG764" s="207"/>
      <c r="AH764" s="207"/>
      <c r="AI764" s="207"/>
      <c r="AJ764" s="207"/>
      <c r="AK764" s="207"/>
      <c r="AL764" s="207"/>
      <c r="AM764" s="207"/>
      <c r="AN764" s="207"/>
      <c r="AO764" s="207"/>
      <c r="AP764" s="207"/>
      <c r="AQ764" s="207"/>
      <c r="AR764" s="207"/>
      <c r="AS764" s="207"/>
      <c r="AT764" s="207"/>
      <c r="AU764" s="207"/>
      <c r="AV764" s="207"/>
      <c r="AW764" s="207"/>
      <c r="AX764" s="207"/>
      <c r="AY764" s="207"/>
      <c r="AZ764" s="207"/>
      <c r="BA764" s="207"/>
    </row>
    <row r="765" ht="18.75" hidden="1" customHeight="1">
      <c r="A765" s="207"/>
      <c r="B765" s="207"/>
      <c r="C765" s="207"/>
      <c r="D765" s="207"/>
      <c r="E765" s="207"/>
      <c r="F765" s="207"/>
      <c r="G765" s="207"/>
      <c r="H765" s="207"/>
      <c r="I765" s="207"/>
      <c r="J765" s="207"/>
      <c r="K765" s="207"/>
      <c r="L765" s="207"/>
      <c r="M765" s="207"/>
      <c r="N765" s="207"/>
      <c r="O765" s="207"/>
      <c r="P765" s="207"/>
      <c r="Q765" s="207"/>
      <c r="R765" s="207"/>
      <c r="S765" s="207"/>
      <c r="T765" s="207"/>
      <c r="U765" s="207"/>
      <c r="V765" s="207"/>
      <c r="W765" s="207"/>
      <c r="X765" s="207"/>
      <c r="Y765" s="207"/>
      <c r="Z765" s="207"/>
      <c r="AA765" s="207"/>
      <c r="AB765" s="207"/>
      <c r="AC765" s="207"/>
      <c r="AD765" s="207"/>
      <c r="AE765" s="207"/>
      <c r="AF765" s="207"/>
      <c r="AG765" s="207"/>
      <c r="AH765" s="207"/>
      <c r="AI765" s="207"/>
      <c r="AJ765" s="207"/>
      <c r="AK765" s="207"/>
      <c r="AL765" s="207"/>
      <c r="AM765" s="207"/>
      <c r="AN765" s="207"/>
      <c r="AO765" s="207"/>
      <c r="AP765" s="207"/>
      <c r="AQ765" s="207"/>
      <c r="AR765" s="207"/>
      <c r="AS765" s="207"/>
      <c r="AT765" s="207"/>
      <c r="AU765" s="207"/>
      <c r="AV765" s="207"/>
      <c r="AW765" s="207"/>
      <c r="AX765" s="207"/>
      <c r="AY765" s="207"/>
      <c r="AZ765" s="207"/>
      <c r="BA765" s="207"/>
    </row>
    <row r="766" ht="18.75" hidden="1" customHeight="1">
      <c r="A766" s="207"/>
      <c r="B766" s="207"/>
      <c r="C766" s="207"/>
      <c r="D766" s="207"/>
      <c r="E766" s="207"/>
      <c r="F766" s="207"/>
      <c r="G766" s="207"/>
      <c r="H766" s="207"/>
      <c r="I766" s="207"/>
      <c r="J766" s="207"/>
      <c r="K766" s="207"/>
      <c r="L766" s="207"/>
      <c r="M766" s="207"/>
      <c r="N766" s="207"/>
      <c r="O766" s="207"/>
      <c r="P766" s="207"/>
      <c r="Q766" s="207"/>
      <c r="R766" s="207"/>
      <c r="S766" s="207"/>
      <c r="T766" s="207"/>
      <c r="U766" s="207"/>
      <c r="V766" s="207"/>
      <c r="W766" s="207"/>
      <c r="X766" s="207"/>
      <c r="Y766" s="207"/>
      <c r="Z766" s="207"/>
      <c r="AA766" s="207"/>
      <c r="AB766" s="207"/>
      <c r="AC766" s="207"/>
      <c r="AD766" s="207"/>
      <c r="AE766" s="207"/>
      <c r="AF766" s="207"/>
      <c r="AG766" s="207"/>
      <c r="AH766" s="207"/>
      <c r="AI766" s="207"/>
      <c r="AJ766" s="207"/>
      <c r="AK766" s="207"/>
      <c r="AL766" s="207"/>
      <c r="AM766" s="207"/>
      <c r="AN766" s="207"/>
      <c r="AO766" s="207"/>
      <c r="AP766" s="207"/>
      <c r="AQ766" s="207"/>
      <c r="AR766" s="207"/>
      <c r="AS766" s="207"/>
      <c r="AT766" s="207"/>
      <c r="AU766" s="207"/>
      <c r="AV766" s="207"/>
      <c r="AW766" s="207"/>
      <c r="AX766" s="207"/>
      <c r="AY766" s="207"/>
      <c r="AZ766" s="207"/>
      <c r="BA766" s="207"/>
    </row>
    <row r="767" ht="18.75" hidden="1" customHeight="1">
      <c r="A767" s="207"/>
      <c r="B767" s="207"/>
      <c r="C767" s="207"/>
      <c r="D767" s="207"/>
      <c r="E767" s="207"/>
      <c r="F767" s="207"/>
      <c r="G767" s="207"/>
      <c r="H767" s="207"/>
      <c r="I767" s="207"/>
      <c r="J767" s="207"/>
      <c r="K767" s="207"/>
      <c r="L767" s="207"/>
      <c r="M767" s="207"/>
      <c r="N767" s="207"/>
      <c r="O767" s="207"/>
      <c r="P767" s="207"/>
      <c r="Q767" s="207"/>
      <c r="R767" s="207"/>
      <c r="S767" s="207"/>
      <c r="T767" s="207"/>
      <c r="U767" s="207"/>
      <c r="V767" s="207"/>
      <c r="W767" s="207"/>
      <c r="X767" s="207"/>
      <c r="Y767" s="207"/>
      <c r="Z767" s="207"/>
      <c r="AA767" s="207"/>
      <c r="AB767" s="207"/>
      <c r="AC767" s="207"/>
      <c r="AD767" s="207"/>
      <c r="AE767" s="207"/>
      <c r="AF767" s="207"/>
      <c r="AG767" s="207"/>
      <c r="AH767" s="207"/>
      <c r="AI767" s="207"/>
      <c r="AJ767" s="207"/>
      <c r="AK767" s="207"/>
      <c r="AL767" s="207"/>
      <c r="AM767" s="207"/>
      <c r="AN767" s="207"/>
      <c r="AO767" s="207"/>
      <c r="AP767" s="207"/>
      <c r="AQ767" s="207"/>
      <c r="AR767" s="207"/>
      <c r="AS767" s="207"/>
      <c r="AT767" s="207"/>
      <c r="AU767" s="207"/>
      <c r="AV767" s="207"/>
      <c r="AW767" s="207"/>
      <c r="AX767" s="207"/>
      <c r="AY767" s="207"/>
      <c r="AZ767" s="207"/>
      <c r="BA767" s="207"/>
    </row>
    <row r="768" ht="18.75" hidden="1" customHeight="1">
      <c r="A768" s="207"/>
      <c r="B768" s="207"/>
      <c r="C768" s="207"/>
      <c r="D768" s="207"/>
      <c r="E768" s="207"/>
      <c r="F768" s="207"/>
      <c r="G768" s="207"/>
      <c r="H768" s="207"/>
      <c r="I768" s="207"/>
      <c r="J768" s="207"/>
      <c r="K768" s="207"/>
      <c r="L768" s="207"/>
      <c r="M768" s="207"/>
      <c r="N768" s="207"/>
      <c r="O768" s="207"/>
      <c r="P768" s="207"/>
      <c r="Q768" s="207"/>
      <c r="R768" s="207"/>
      <c r="S768" s="207"/>
      <c r="T768" s="207"/>
      <c r="U768" s="207"/>
      <c r="V768" s="207"/>
      <c r="W768" s="207"/>
      <c r="X768" s="207"/>
      <c r="Y768" s="207"/>
      <c r="Z768" s="207"/>
      <c r="AA768" s="207"/>
      <c r="AB768" s="207"/>
      <c r="AC768" s="207"/>
      <c r="AD768" s="207"/>
      <c r="AE768" s="207"/>
      <c r="AF768" s="207"/>
      <c r="AG768" s="207"/>
      <c r="AH768" s="207"/>
      <c r="AI768" s="207"/>
      <c r="AJ768" s="207"/>
      <c r="AK768" s="207"/>
      <c r="AL768" s="207"/>
      <c r="AM768" s="207"/>
      <c r="AN768" s="207"/>
      <c r="AO768" s="207"/>
      <c r="AP768" s="207"/>
      <c r="AQ768" s="207"/>
      <c r="AR768" s="207"/>
      <c r="AS768" s="207"/>
      <c r="AT768" s="207"/>
      <c r="AU768" s="207"/>
      <c r="AV768" s="207"/>
      <c r="AW768" s="207"/>
      <c r="AX768" s="207"/>
      <c r="AY768" s="207"/>
      <c r="AZ768" s="207"/>
      <c r="BA768" s="207"/>
    </row>
    <row r="769" ht="18.75" hidden="1" customHeight="1">
      <c r="A769" s="207"/>
      <c r="B769" s="207"/>
      <c r="C769" s="207"/>
      <c r="D769" s="207"/>
      <c r="E769" s="207"/>
      <c r="F769" s="207"/>
      <c r="G769" s="207"/>
      <c r="H769" s="207"/>
      <c r="I769" s="207"/>
      <c r="J769" s="207"/>
      <c r="K769" s="207"/>
      <c r="L769" s="207"/>
      <c r="M769" s="207"/>
      <c r="N769" s="207"/>
      <c r="O769" s="207"/>
      <c r="P769" s="207"/>
      <c r="Q769" s="207"/>
      <c r="R769" s="207"/>
      <c r="S769" s="207"/>
      <c r="T769" s="207"/>
      <c r="U769" s="207"/>
      <c r="V769" s="207"/>
      <c r="W769" s="207"/>
      <c r="X769" s="207"/>
      <c r="Y769" s="207"/>
      <c r="Z769" s="207"/>
      <c r="AA769" s="207"/>
      <c r="AB769" s="207"/>
      <c r="AC769" s="207"/>
      <c r="AD769" s="207"/>
      <c r="AE769" s="207"/>
      <c r="AF769" s="207"/>
      <c r="AG769" s="207"/>
      <c r="AH769" s="207"/>
      <c r="AI769" s="207"/>
      <c r="AJ769" s="207"/>
      <c r="AK769" s="207"/>
      <c r="AL769" s="207"/>
      <c r="AM769" s="207"/>
      <c r="AN769" s="207"/>
      <c r="AO769" s="207"/>
      <c r="AP769" s="207"/>
      <c r="AQ769" s="207"/>
      <c r="AR769" s="207"/>
      <c r="AS769" s="207"/>
      <c r="AT769" s="207"/>
      <c r="AU769" s="207"/>
      <c r="AV769" s="207"/>
      <c r="AW769" s="207"/>
      <c r="AX769" s="207"/>
      <c r="AY769" s="207"/>
      <c r="AZ769" s="207"/>
      <c r="BA769" s="207"/>
    </row>
    <row r="770" ht="18.75" hidden="1" customHeight="1">
      <c r="A770" s="207"/>
      <c r="B770" s="207"/>
      <c r="C770" s="207"/>
      <c r="D770" s="207"/>
      <c r="E770" s="207"/>
      <c r="F770" s="207"/>
      <c r="G770" s="207"/>
      <c r="H770" s="207"/>
      <c r="I770" s="207"/>
      <c r="J770" s="207"/>
      <c r="K770" s="207"/>
      <c r="L770" s="207"/>
      <c r="M770" s="207"/>
      <c r="N770" s="207"/>
      <c r="O770" s="207"/>
      <c r="P770" s="207"/>
      <c r="Q770" s="207"/>
      <c r="R770" s="207"/>
      <c r="S770" s="207"/>
      <c r="T770" s="207"/>
      <c r="U770" s="207"/>
      <c r="V770" s="207"/>
      <c r="W770" s="207"/>
      <c r="X770" s="207"/>
      <c r="Y770" s="207"/>
      <c r="Z770" s="207"/>
      <c r="AA770" s="207"/>
      <c r="AB770" s="207"/>
      <c r="AC770" s="207"/>
      <c r="AD770" s="207"/>
      <c r="AE770" s="207"/>
      <c r="AF770" s="207"/>
      <c r="AG770" s="207"/>
      <c r="AH770" s="207"/>
      <c r="AI770" s="207"/>
      <c r="AJ770" s="207"/>
      <c r="AK770" s="207"/>
      <c r="AL770" s="207"/>
      <c r="AM770" s="207"/>
      <c r="AN770" s="207"/>
      <c r="AO770" s="207"/>
      <c r="AP770" s="207"/>
      <c r="AQ770" s="207"/>
      <c r="AR770" s="207"/>
      <c r="AS770" s="207"/>
      <c r="AT770" s="207"/>
      <c r="AU770" s="207"/>
      <c r="AV770" s="207"/>
      <c r="AW770" s="207"/>
      <c r="AX770" s="207"/>
      <c r="AY770" s="207"/>
      <c r="AZ770" s="207"/>
      <c r="BA770" s="207"/>
    </row>
    <row r="771" ht="18.75" hidden="1" customHeight="1">
      <c r="A771" s="207"/>
      <c r="B771" s="207"/>
      <c r="C771" s="207"/>
      <c r="D771" s="207"/>
      <c r="E771" s="207"/>
      <c r="F771" s="207"/>
      <c r="G771" s="207"/>
      <c r="H771" s="207"/>
      <c r="I771" s="207"/>
      <c r="J771" s="207"/>
      <c r="K771" s="207"/>
      <c r="L771" s="207"/>
      <c r="M771" s="207"/>
      <c r="N771" s="207"/>
      <c r="O771" s="207"/>
      <c r="P771" s="207"/>
      <c r="Q771" s="207"/>
      <c r="R771" s="207"/>
      <c r="S771" s="207"/>
      <c r="T771" s="207"/>
      <c r="U771" s="207"/>
      <c r="V771" s="207"/>
      <c r="W771" s="207"/>
      <c r="X771" s="207"/>
      <c r="Y771" s="207"/>
      <c r="Z771" s="207"/>
      <c r="AA771" s="207"/>
      <c r="AB771" s="207"/>
      <c r="AC771" s="207"/>
      <c r="AD771" s="207"/>
      <c r="AE771" s="207"/>
      <c r="AF771" s="207"/>
      <c r="AG771" s="207"/>
      <c r="AH771" s="207"/>
      <c r="AI771" s="207"/>
      <c r="AJ771" s="207"/>
      <c r="AK771" s="207"/>
      <c r="AL771" s="207"/>
      <c r="AM771" s="207"/>
      <c r="AN771" s="207"/>
      <c r="AO771" s="207"/>
      <c r="AP771" s="207"/>
      <c r="AQ771" s="207"/>
      <c r="AR771" s="207"/>
      <c r="AS771" s="207"/>
      <c r="AT771" s="207"/>
      <c r="AU771" s="207"/>
      <c r="AV771" s="207"/>
      <c r="AW771" s="207"/>
      <c r="AX771" s="207"/>
      <c r="AY771" s="207"/>
      <c r="AZ771" s="207"/>
      <c r="BA771" s="207"/>
    </row>
    <row r="772" ht="18.75" hidden="1" customHeight="1">
      <c r="A772" s="207"/>
      <c r="B772" s="207"/>
      <c r="C772" s="207"/>
      <c r="D772" s="207"/>
      <c r="E772" s="207"/>
      <c r="F772" s="207"/>
      <c r="G772" s="207"/>
      <c r="H772" s="207"/>
      <c r="I772" s="207"/>
      <c r="J772" s="207"/>
      <c r="K772" s="207"/>
      <c r="L772" s="207"/>
      <c r="M772" s="207"/>
      <c r="N772" s="207"/>
      <c r="O772" s="207"/>
      <c r="P772" s="207"/>
      <c r="Q772" s="207"/>
      <c r="R772" s="207"/>
      <c r="S772" s="207"/>
      <c r="T772" s="207"/>
      <c r="U772" s="207"/>
      <c r="V772" s="207"/>
      <c r="W772" s="207"/>
      <c r="X772" s="207"/>
      <c r="Y772" s="207"/>
      <c r="Z772" s="207"/>
      <c r="AA772" s="207"/>
      <c r="AB772" s="207"/>
      <c r="AC772" s="207"/>
      <c r="AD772" s="207"/>
      <c r="AE772" s="207"/>
      <c r="AF772" s="207"/>
      <c r="AG772" s="207"/>
      <c r="AH772" s="207"/>
      <c r="AI772" s="207"/>
      <c r="AJ772" s="207"/>
      <c r="AK772" s="207"/>
      <c r="AL772" s="207"/>
      <c r="AM772" s="207"/>
      <c r="AN772" s="207"/>
      <c r="AO772" s="207"/>
      <c r="AP772" s="207"/>
      <c r="AQ772" s="207"/>
      <c r="AR772" s="207"/>
      <c r="AS772" s="207"/>
      <c r="AT772" s="207"/>
      <c r="AU772" s="207"/>
      <c r="AV772" s="207"/>
      <c r="AW772" s="207"/>
      <c r="AX772" s="207"/>
      <c r="AY772" s="207"/>
      <c r="AZ772" s="207"/>
      <c r="BA772" s="207"/>
    </row>
    <row r="773" ht="18.75" hidden="1" customHeight="1">
      <c r="A773" s="207"/>
      <c r="B773" s="207"/>
      <c r="C773" s="207"/>
      <c r="D773" s="207"/>
      <c r="E773" s="207"/>
      <c r="F773" s="207"/>
      <c r="G773" s="207"/>
      <c r="H773" s="207"/>
      <c r="I773" s="207"/>
      <c r="J773" s="207"/>
      <c r="K773" s="207"/>
      <c r="L773" s="207"/>
      <c r="M773" s="207"/>
      <c r="N773" s="207"/>
      <c r="O773" s="207"/>
      <c r="P773" s="207"/>
      <c r="Q773" s="207"/>
      <c r="R773" s="207"/>
      <c r="S773" s="207"/>
      <c r="T773" s="207"/>
      <c r="U773" s="207"/>
      <c r="V773" s="207"/>
      <c r="W773" s="207"/>
      <c r="X773" s="207"/>
      <c r="Y773" s="207"/>
      <c r="Z773" s="207"/>
      <c r="AA773" s="207"/>
      <c r="AB773" s="207"/>
      <c r="AC773" s="207"/>
      <c r="AD773" s="207"/>
      <c r="AE773" s="207"/>
      <c r="AF773" s="207"/>
      <c r="AG773" s="207"/>
      <c r="AH773" s="207"/>
      <c r="AI773" s="207"/>
      <c r="AJ773" s="207"/>
      <c r="AK773" s="207"/>
      <c r="AL773" s="207"/>
      <c r="AM773" s="207"/>
      <c r="AN773" s="207"/>
      <c r="AO773" s="207"/>
      <c r="AP773" s="207"/>
      <c r="AQ773" s="207"/>
      <c r="AR773" s="207"/>
      <c r="AS773" s="207"/>
      <c r="AT773" s="207"/>
      <c r="AU773" s="207"/>
      <c r="AV773" s="207"/>
      <c r="AW773" s="207"/>
      <c r="AX773" s="207"/>
      <c r="AY773" s="207"/>
      <c r="AZ773" s="207"/>
      <c r="BA773" s="207"/>
    </row>
    <row r="774" ht="18.75" hidden="1" customHeight="1">
      <c r="A774" s="207"/>
      <c r="B774" s="207"/>
      <c r="C774" s="207"/>
      <c r="D774" s="207"/>
      <c r="E774" s="207"/>
      <c r="F774" s="207"/>
      <c r="G774" s="207"/>
      <c r="H774" s="207"/>
      <c r="I774" s="207"/>
      <c r="J774" s="207"/>
      <c r="K774" s="207"/>
      <c r="L774" s="207"/>
      <c r="M774" s="207"/>
      <c r="N774" s="207"/>
      <c r="O774" s="207"/>
      <c r="P774" s="207"/>
      <c r="Q774" s="207"/>
      <c r="R774" s="207"/>
      <c r="S774" s="207"/>
      <c r="T774" s="207"/>
      <c r="U774" s="207"/>
      <c r="V774" s="207"/>
      <c r="W774" s="207"/>
      <c r="X774" s="207"/>
      <c r="Y774" s="207"/>
      <c r="Z774" s="207"/>
      <c r="AA774" s="207"/>
      <c r="AB774" s="207"/>
      <c r="AC774" s="207"/>
      <c r="AD774" s="207"/>
      <c r="AE774" s="207"/>
      <c r="AF774" s="207"/>
      <c r="AG774" s="207"/>
      <c r="AH774" s="207"/>
      <c r="AI774" s="207"/>
      <c r="AJ774" s="207"/>
      <c r="AK774" s="207"/>
      <c r="AL774" s="207"/>
      <c r="AM774" s="207"/>
      <c r="AN774" s="207"/>
      <c r="AO774" s="207"/>
      <c r="AP774" s="207"/>
      <c r="AQ774" s="207"/>
      <c r="AR774" s="207"/>
      <c r="AS774" s="207"/>
      <c r="AT774" s="207"/>
      <c r="AU774" s="207"/>
      <c r="AV774" s="207"/>
      <c r="AW774" s="207"/>
      <c r="AX774" s="207"/>
      <c r="AY774" s="207"/>
      <c r="AZ774" s="207"/>
      <c r="BA774" s="207"/>
    </row>
    <row r="775" ht="18.75" hidden="1" customHeight="1">
      <c r="A775" s="207"/>
      <c r="B775" s="207"/>
      <c r="C775" s="207"/>
      <c r="D775" s="207"/>
      <c r="E775" s="207"/>
      <c r="F775" s="207"/>
      <c r="G775" s="207"/>
      <c r="H775" s="207"/>
      <c r="I775" s="207"/>
      <c r="J775" s="207"/>
      <c r="K775" s="207"/>
      <c r="L775" s="207"/>
      <c r="M775" s="207"/>
      <c r="N775" s="207"/>
      <c r="O775" s="207"/>
      <c r="P775" s="207"/>
      <c r="Q775" s="207"/>
      <c r="R775" s="207"/>
      <c r="S775" s="207"/>
      <c r="T775" s="207"/>
      <c r="U775" s="207"/>
      <c r="V775" s="207"/>
      <c r="W775" s="207"/>
      <c r="X775" s="207"/>
      <c r="Y775" s="207"/>
      <c r="Z775" s="207"/>
      <c r="AA775" s="207"/>
      <c r="AB775" s="207"/>
      <c r="AC775" s="207"/>
      <c r="AD775" s="207"/>
      <c r="AE775" s="207"/>
      <c r="AF775" s="207"/>
      <c r="AG775" s="207"/>
      <c r="AH775" s="207"/>
      <c r="AI775" s="207"/>
      <c r="AJ775" s="207"/>
      <c r="AK775" s="207"/>
      <c r="AL775" s="207"/>
      <c r="AM775" s="207"/>
      <c r="AN775" s="207"/>
      <c r="AO775" s="207"/>
      <c r="AP775" s="207"/>
      <c r="AQ775" s="207"/>
      <c r="AR775" s="207"/>
      <c r="AS775" s="207"/>
      <c r="AT775" s="207"/>
      <c r="AU775" s="207"/>
      <c r="AV775" s="207"/>
      <c r="AW775" s="207"/>
      <c r="AX775" s="207"/>
      <c r="AY775" s="207"/>
      <c r="AZ775" s="207"/>
      <c r="BA775" s="207"/>
    </row>
    <row r="776" ht="18.75" hidden="1" customHeight="1">
      <c r="A776" s="207"/>
      <c r="B776" s="207"/>
      <c r="C776" s="207"/>
      <c r="D776" s="207"/>
      <c r="E776" s="207"/>
      <c r="F776" s="207"/>
      <c r="G776" s="207"/>
      <c r="H776" s="207"/>
      <c r="I776" s="207"/>
      <c r="J776" s="207"/>
      <c r="K776" s="207"/>
      <c r="L776" s="207"/>
      <c r="M776" s="207"/>
      <c r="N776" s="207"/>
      <c r="O776" s="207"/>
      <c r="P776" s="207"/>
      <c r="Q776" s="207"/>
      <c r="R776" s="207"/>
      <c r="S776" s="207"/>
      <c r="T776" s="207"/>
      <c r="U776" s="207"/>
      <c r="V776" s="207"/>
      <c r="W776" s="207"/>
      <c r="X776" s="207"/>
      <c r="Y776" s="207"/>
      <c r="Z776" s="207"/>
      <c r="AA776" s="207"/>
      <c r="AB776" s="207"/>
      <c r="AC776" s="207"/>
      <c r="AD776" s="207"/>
      <c r="AE776" s="207"/>
      <c r="AF776" s="207"/>
      <c r="AG776" s="207"/>
      <c r="AH776" s="207"/>
      <c r="AI776" s="207"/>
      <c r="AJ776" s="207"/>
      <c r="AK776" s="207"/>
      <c r="AL776" s="207"/>
      <c r="AM776" s="207"/>
      <c r="AN776" s="207"/>
      <c r="AO776" s="207"/>
      <c r="AP776" s="207"/>
      <c r="AQ776" s="207"/>
      <c r="AR776" s="207"/>
      <c r="AS776" s="207"/>
      <c r="AT776" s="207"/>
      <c r="AU776" s="207"/>
      <c r="AV776" s="207"/>
      <c r="AW776" s="207"/>
      <c r="AX776" s="207"/>
      <c r="AY776" s="207"/>
      <c r="AZ776" s="207"/>
      <c r="BA776" s="207"/>
    </row>
    <row r="777" ht="18.75" hidden="1" customHeight="1">
      <c r="A777" s="207"/>
      <c r="B777" s="207"/>
      <c r="C777" s="207"/>
      <c r="D777" s="207"/>
      <c r="E777" s="207"/>
      <c r="F777" s="207"/>
      <c r="G777" s="207"/>
      <c r="H777" s="207"/>
      <c r="I777" s="207"/>
      <c r="J777" s="207"/>
      <c r="K777" s="207"/>
      <c r="L777" s="207"/>
      <c r="M777" s="207"/>
      <c r="N777" s="207"/>
      <c r="O777" s="207"/>
      <c r="P777" s="207"/>
      <c r="Q777" s="207"/>
      <c r="R777" s="207"/>
      <c r="S777" s="207"/>
      <c r="T777" s="207"/>
      <c r="U777" s="207"/>
      <c r="V777" s="207"/>
      <c r="W777" s="207"/>
      <c r="X777" s="207"/>
      <c r="Y777" s="207"/>
      <c r="Z777" s="207"/>
      <c r="AA777" s="207"/>
      <c r="AB777" s="207"/>
      <c r="AC777" s="207"/>
      <c r="AD777" s="207"/>
      <c r="AE777" s="207"/>
      <c r="AF777" s="207"/>
      <c r="AG777" s="207"/>
      <c r="AH777" s="207"/>
      <c r="AI777" s="207"/>
      <c r="AJ777" s="207"/>
      <c r="AK777" s="207"/>
      <c r="AL777" s="207"/>
      <c r="AM777" s="207"/>
      <c r="AN777" s="207"/>
      <c r="AO777" s="207"/>
      <c r="AP777" s="207"/>
      <c r="AQ777" s="207"/>
      <c r="AR777" s="207"/>
      <c r="AS777" s="207"/>
      <c r="AT777" s="207"/>
      <c r="AU777" s="207"/>
      <c r="AV777" s="207"/>
      <c r="AW777" s="207"/>
      <c r="AX777" s="207"/>
      <c r="AY777" s="207"/>
      <c r="AZ777" s="207"/>
      <c r="BA777" s="207"/>
    </row>
    <row r="778" ht="18.75" hidden="1" customHeight="1">
      <c r="A778" s="207"/>
      <c r="B778" s="207"/>
      <c r="C778" s="207"/>
      <c r="D778" s="207"/>
      <c r="E778" s="207"/>
      <c r="F778" s="207"/>
      <c r="G778" s="207"/>
      <c r="H778" s="207"/>
      <c r="I778" s="207"/>
      <c r="J778" s="207"/>
      <c r="K778" s="207"/>
      <c r="L778" s="207"/>
      <c r="M778" s="207"/>
      <c r="N778" s="207"/>
      <c r="O778" s="207"/>
      <c r="P778" s="207"/>
      <c r="Q778" s="207"/>
      <c r="R778" s="207"/>
      <c r="S778" s="207"/>
      <c r="T778" s="207"/>
      <c r="U778" s="207"/>
      <c r="V778" s="207"/>
      <c r="W778" s="207"/>
      <c r="X778" s="207"/>
      <c r="Y778" s="207"/>
      <c r="Z778" s="207"/>
      <c r="AA778" s="207"/>
      <c r="AB778" s="207"/>
      <c r="AC778" s="207"/>
      <c r="AD778" s="207"/>
      <c r="AE778" s="207"/>
      <c r="AF778" s="207"/>
      <c r="AG778" s="207"/>
      <c r="AH778" s="207"/>
      <c r="AI778" s="207"/>
      <c r="AJ778" s="207"/>
      <c r="AK778" s="207"/>
      <c r="AL778" s="207"/>
      <c r="AM778" s="207"/>
      <c r="AN778" s="207"/>
      <c r="AO778" s="207"/>
      <c r="AP778" s="207"/>
      <c r="AQ778" s="207"/>
      <c r="AR778" s="207"/>
      <c r="AS778" s="207"/>
      <c r="AT778" s="207"/>
      <c r="AU778" s="207"/>
      <c r="AV778" s="207"/>
      <c r="AW778" s="207"/>
      <c r="AX778" s="207"/>
      <c r="AY778" s="207"/>
      <c r="AZ778" s="207"/>
      <c r="BA778" s="207"/>
    </row>
    <row r="779" ht="18.75" hidden="1" customHeight="1">
      <c r="A779" s="207"/>
      <c r="B779" s="207"/>
      <c r="C779" s="207"/>
      <c r="D779" s="207"/>
      <c r="E779" s="207"/>
      <c r="F779" s="207"/>
      <c r="G779" s="207"/>
      <c r="H779" s="207"/>
      <c r="I779" s="207"/>
      <c r="J779" s="207"/>
      <c r="K779" s="207"/>
      <c r="L779" s="207"/>
      <c r="M779" s="207"/>
      <c r="N779" s="207"/>
      <c r="O779" s="207"/>
      <c r="P779" s="207"/>
      <c r="Q779" s="207"/>
      <c r="R779" s="207"/>
      <c r="S779" s="207"/>
      <c r="T779" s="207"/>
      <c r="U779" s="207"/>
      <c r="V779" s="207"/>
      <c r="W779" s="207"/>
      <c r="X779" s="207"/>
      <c r="Y779" s="207"/>
      <c r="Z779" s="207"/>
      <c r="AA779" s="207"/>
      <c r="AB779" s="207"/>
      <c r="AC779" s="207"/>
      <c r="AD779" s="207"/>
      <c r="AE779" s="207"/>
      <c r="AF779" s="207"/>
      <c r="AG779" s="207"/>
      <c r="AH779" s="207"/>
      <c r="AI779" s="207"/>
      <c r="AJ779" s="207"/>
      <c r="AK779" s="207"/>
      <c r="AL779" s="207"/>
      <c r="AM779" s="207"/>
      <c r="AN779" s="207"/>
      <c r="AO779" s="207"/>
      <c r="AP779" s="207"/>
      <c r="AQ779" s="207"/>
      <c r="AR779" s="207"/>
      <c r="AS779" s="207"/>
      <c r="AT779" s="207"/>
      <c r="AU779" s="207"/>
      <c r="AV779" s="207"/>
      <c r="AW779" s="207"/>
      <c r="AX779" s="207"/>
      <c r="AY779" s="207"/>
      <c r="AZ779" s="207"/>
      <c r="BA779" s="207"/>
    </row>
    <row r="780" ht="18.75" hidden="1" customHeight="1">
      <c r="A780" s="207"/>
      <c r="B780" s="207"/>
      <c r="C780" s="207"/>
      <c r="D780" s="207"/>
      <c r="E780" s="207"/>
      <c r="F780" s="207"/>
      <c r="G780" s="207"/>
      <c r="H780" s="207"/>
      <c r="I780" s="207"/>
      <c r="J780" s="207"/>
      <c r="K780" s="207"/>
      <c r="L780" s="207"/>
      <c r="M780" s="207"/>
      <c r="N780" s="207"/>
      <c r="O780" s="207"/>
      <c r="P780" s="207"/>
      <c r="Q780" s="207"/>
      <c r="R780" s="207"/>
      <c r="S780" s="207"/>
      <c r="T780" s="207"/>
      <c r="U780" s="207"/>
      <c r="V780" s="207"/>
      <c r="W780" s="207"/>
      <c r="X780" s="207"/>
      <c r="Y780" s="207"/>
      <c r="Z780" s="207"/>
      <c r="AA780" s="207"/>
      <c r="AB780" s="207"/>
      <c r="AC780" s="207"/>
      <c r="AD780" s="207"/>
      <c r="AE780" s="207"/>
      <c r="AF780" s="207"/>
      <c r="AG780" s="207"/>
      <c r="AH780" s="207"/>
      <c r="AI780" s="207"/>
      <c r="AJ780" s="207"/>
      <c r="AK780" s="207"/>
      <c r="AL780" s="207"/>
      <c r="AM780" s="207"/>
      <c r="AN780" s="207"/>
      <c r="AO780" s="207"/>
      <c r="AP780" s="207"/>
      <c r="AQ780" s="207"/>
      <c r="AR780" s="207"/>
      <c r="AS780" s="207"/>
      <c r="AT780" s="207"/>
      <c r="AU780" s="207"/>
      <c r="AV780" s="207"/>
      <c r="AW780" s="207"/>
      <c r="AX780" s="207"/>
      <c r="AY780" s="207"/>
      <c r="AZ780" s="207"/>
      <c r="BA780" s="207"/>
    </row>
    <row r="781" ht="18.75" hidden="1" customHeight="1">
      <c r="A781" s="207"/>
      <c r="B781" s="207"/>
      <c r="C781" s="207"/>
      <c r="D781" s="207"/>
      <c r="E781" s="207"/>
      <c r="F781" s="207"/>
      <c r="G781" s="207"/>
      <c r="H781" s="207"/>
      <c r="I781" s="207"/>
      <c r="J781" s="207"/>
      <c r="K781" s="207"/>
      <c r="L781" s="207"/>
      <c r="M781" s="207"/>
      <c r="N781" s="207"/>
      <c r="O781" s="207"/>
      <c r="P781" s="207"/>
      <c r="Q781" s="207"/>
      <c r="R781" s="207"/>
      <c r="S781" s="207"/>
      <c r="T781" s="207"/>
      <c r="U781" s="207"/>
      <c r="V781" s="207"/>
      <c r="W781" s="207"/>
      <c r="X781" s="207"/>
      <c r="Y781" s="207"/>
      <c r="Z781" s="207"/>
      <c r="AA781" s="207"/>
      <c r="AB781" s="207"/>
      <c r="AC781" s="207"/>
      <c r="AD781" s="207"/>
      <c r="AE781" s="207"/>
      <c r="AF781" s="207"/>
      <c r="AG781" s="207"/>
      <c r="AH781" s="207"/>
      <c r="AI781" s="207"/>
      <c r="AJ781" s="207"/>
      <c r="AK781" s="207"/>
      <c r="AL781" s="207"/>
      <c r="AM781" s="207"/>
      <c r="AN781" s="207"/>
      <c r="AO781" s="207"/>
      <c r="AP781" s="207"/>
      <c r="AQ781" s="207"/>
      <c r="AR781" s="207"/>
      <c r="AS781" s="207"/>
      <c r="AT781" s="207"/>
      <c r="AU781" s="207"/>
      <c r="AV781" s="207"/>
      <c r="AW781" s="207"/>
      <c r="AX781" s="207"/>
      <c r="AY781" s="207"/>
      <c r="AZ781" s="207"/>
      <c r="BA781" s="207"/>
    </row>
    <row r="782" ht="18.75" hidden="1" customHeight="1">
      <c r="A782" s="207"/>
      <c r="B782" s="207"/>
      <c r="C782" s="207"/>
      <c r="D782" s="207"/>
      <c r="E782" s="207"/>
      <c r="F782" s="207"/>
      <c r="G782" s="207"/>
      <c r="H782" s="207"/>
      <c r="I782" s="207"/>
      <c r="J782" s="207"/>
      <c r="K782" s="207"/>
      <c r="L782" s="207"/>
      <c r="M782" s="207"/>
      <c r="N782" s="207"/>
      <c r="O782" s="207"/>
      <c r="P782" s="207"/>
      <c r="Q782" s="207"/>
      <c r="R782" s="207"/>
      <c r="S782" s="207"/>
      <c r="T782" s="207"/>
      <c r="U782" s="207"/>
      <c r="V782" s="207"/>
      <c r="W782" s="207"/>
      <c r="X782" s="207"/>
      <c r="Y782" s="207"/>
      <c r="Z782" s="207"/>
      <c r="AA782" s="207"/>
      <c r="AB782" s="207"/>
      <c r="AC782" s="207"/>
      <c r="AD782" s="207"/>
      <c r="AE782" s="207"/>
      <c r="AF782" s="207"/>
      <c r="AG782" s="207"/>
      <c r="AH782" s="207"/>
      <c r="AI782" s="207"/>
      <c r="AJ782" s="207"/>
      <c r="AK782" s="207"/>
      <c r="AL782" s="207"/>
      <c r="AM782" s="207"/>
      <c r="AN782" s="207"/>
      <c r="AO782" s="207"/>
      <c r="AP782" s="207"/>
      <c r="AQ782" s="207"/>
      <c r="AR782" s="207"/>
      <c r="AS782" s="207"/>
      <c r="AT782" s="207"/>
      <c r="AU782" s="207"/>
      <c r="AV782" s="207"/>
      <c r="AW782" s="207"/>
      <c r="AX782" s="207"/>
      <c r="AY782" s="207"/>
      <c r="AZ782" s="207"/>
      <c r="BA782" s="207"/>
    </row>
    <row r="783" ht="18.75" hidden="1" customHeight="1">
      <c r="A783" s="207"/>
      <c r="B783" s="207"/>
      <c r="C783" s="207"/>
      <c r="D783" s="207"/>
      <c r="E783" s="207"/>
      <c r="F783" s="207"/>
      <c r="G783" s="207"/>
      <c r="H783" s="207"/>
      <c r="I783" s="207"/>
      <c r="J783" s="207"/>
      <c r="K783" s="207"/>
      <c r="L783" s="207"/>
      <c r="M783" s="207"/>
      <c r="N783" s="207"/>
      <c r="O783" s="207"/>
      <c r="P783" s="207"/>
      <c r="Q783" s="207"/>
      <c r="R783" s="207"/>
      <c r="S783" s="207"/>
      <c r="T783" s="207"/>
      <c r="U783" s="207"/>
      <c r="V783" s="207"/>
      <c r="W783" s="207"/>
      <c r="X783" s="207"/>
      <c r="Y783" s="207"/>
      <c r="Z783" s="207"/>
      <c r="AA783" s="207"/>
      <c r="AB783" s="207"/>
      <c r="AC783" s="207"/>
      <c r="AD783" s="207"/>
      <c r="AE783" s="207"/>
      <c r="AF783" s="207"/>
      <c r="AG783" s="207"/>
      <c r="AH783" s="207"/>
      <c r="AI783" s="207"/>
      <c r="AJ783" s="207"/>
      <c r="AK783" s="207"/>
      <c r="AL783" s="207"/>
      <c r="AM783" s="207"/>
      <c r="AN783" s="207"/>
      <c r="AO783" s="207"/>
      <c r="AP783" s="207"/>
      <c r="AQ783" s="207"/>
      <c r="AR783" s="207"/>
      <c r="AS783" s="207"/>
      <c r="AT783" s="207"/>
      <c r="AU783" s="207"/>
      <c r="AV783" s="207"/>
      <c r="AW783" s="207"/>
      <c r="AX783" s="207"/>
      <c r="AY783" s="207"/>
      <c r="AZ783" s="207"/>
      <c r="BA783" s="207"/>
    </row>
    <row r="784" ht="18.75" hidden="1" customHeight="1">
      <c r="A784" s="207"/>
      <c r="B784" s="207"/>
      <c r="C784" s="207"/>
      <c r="D784" s="207"/>
      <c r="E784" s="207"/>
      <c r="F784" s="207"/>
      <c r="G784" s="207"/>
      <c r="H784" s="207"/>
      <c r="I784" s="207"/>
      <c r="J784" s="207"/>
      <c r="K784" s="207"/>
      <c r="L784" s="207"/>
      <c r="M784" s="207"/>
      <c r="N784" s="207"/>
      <c r="O784" s="207"/>
      <c r="P784" s="207"/>
      <c r="Q784" s="207"/>
      <c r="R784" s="207"/>
      <c r="S784" s="207"/>
      <c r="T784" s="207"/>
      <c r="U784" s="207"/>
      <c r="V784" s="207"/>
      <c r="W784" s="207"/>
      <c r="X784" s="207"/>
      <c r="Y784" s="207"/>
      <c r="Z784" s="207"/>
      <c r="AA784" s="207"/>
      <c r="AB784" s="207"/>
      <c r="AC784" s="207"/>
      <c r="AD784" s="207"/>
      <c r="AE784" s="207"/>
      <c r="AF784" s="207"/>
      <c r="AG784" s="207"/>
      <c r="AH784" s="207"/>
      <c r="AI784" s="207"/>
      <c r="AJ784" s="207"/>
      <c r="AK784" s="207"/>
      <c r="AL784" s="207"/>
      <c r="AM784" s="207"/>
      <c r="AN784" s="207"/>
      <c r="AO784" s="207"/>
      <c r="AP784" s="207"/>
      <c r="AQ784" s="207"/>
      <c r="AR784" s="207"/>
      <c r="AS784" s="207"/>
      <c r="AT784" s="207"/>
      <c r="AU784" s="207"/>
      <c r="AV784" s="207"/>
      <c r="AW784" s="207"/>
      <c r="AX784" s="207"/>
      <c r="AY784" s="207"/>
      <c r="AZ784" s="207"/>
      <c r="BA784" s="207"/>
    </row>
    <row r="785" ht="18.75" hidden="1" customHeight="1">
      <c r="A785" s="207"/>
      <c r="B785" s="207"/>
      <c r="C785" s="207"/>
      <c r="D785" s="207"/>
      <c r="E785" s="207"/>
      <c r="F785" s="207"/>
      <c r="G785" s="207"/>
      <c r="H785" s="207"/>
      <c r="I785" s="207"/>
      <c r="J785" s="207"/>
      <c r="K785" s="207"/>
      <c r="L785" s="207"/>
      <c r="M785" s="207"/>
      <c r="N785" s="207"/>
      <c r="O785" s="207"/>
      <c r="P785" s="207"/>
      <c r="Q785" s="207"/>
      <c r="R785" s="207"/>
      <c r="S785" s="207"/>
      <c r="T785" s="207"/>
      <c r="U785" s="207"/>
      <c r="V785" s="207"/>
      <c r="W785" s="207"/>
      <c r="X785" s="207"/>
      <c r="Y785" s="207"/>
      <c r="Z785" s="207"/>
      <c r="AA785" s="207"/>
      <c r="AB785" s="207"/>
      <c r="AC785" s="207"/>
      <c r="AD785" s="207"/>
      <c r="AE785" s="207"/>
      <c r="AF785" s="207"/>
      <c r="AG785" s="207"/>
      <c r="AH785" s="207"/>
      <c r="AI785" s="207"/>
      <c r="AJ785" s="207"/>
      <c r="AK785" s="207"/>
      <c r="AL785" s="207"/>
      <c r="AM785" s="207"/>
      <c r="AN785" s="207"/>
      <c r="AO785" s="207"/>
      <c r="AP785" s="207"/>
      <c r="AQ785" s="207"/>
      <c r="AR785" s="207"/>
      <c r="AS785" s="207"/>
      <c r="AT785" s="207"/>
      <c r="AU785" s="207"/>
      <c r="AV785" s="207"/>
      <c r="AW785" s="207"/>
      <c r="AX785" s="207"/>
      <c r="AY785" s="207"/>
      <c r="AZ785" s="207"/>
      <c r="BA785" s="207"/>
    </row>
    <row r="786" ht="18.75" hidden="1" customHeight="1">
      <c r="A786" s="207"/>
      <c r="B786" s="207"/>
      <c r="C786" s="207"/>
      <c r="D786" s="207"/>
      <c r="E786" s="207"/>
      <c r="F786" s="207"/>
      <c r="G786" s="207"/>
      <c r="H786" s="207"/>
      <c r="I786" s="207"/>
      <c r="J786" s="207"/>
      <c r="K786" s="207"/>
      <c r="L786" s="207"/>
      <c r="M786" s="207"/>
      <c r="N786" s="207"/>
      <c r="O786" s="207"/>
      <c r="P786" s="207"/>
      <c r="Q786" s="207"/>
      <c r="R786" s="207"/>
      <c r="S786" s="207"/>
      <c r="T786" s="207"/>
      <c r="U786" s="207"/>
      <c r="V786" s="207"/>
      <c r="W786" s="207"/>
      <c r="X786" s="207"/>
      <c r="Y786" s="207"/>
      <c r="Z786" s="207"/>
      <c r="AA786" s="207"/>
      <c r="AB786" s="207"/>
      <c r="AC786" s="207"/>
      <c r="AD786" s="207"/>
      <c r="AE786" s="207"/>
      <c r="AF786" s="207"/>
      <c r="AG786" s="207"/>
      <c r="AH786" s="207"/>
      <c r="AI786" s="207"/>
      <c r="AJ786" s="207"/>
      <c r="AK786" s="207"/>
      <c r="AL786" s="207"/>
      <c r="AM786" s="207"/>
      <c r="AN786" s="207"/>
      <c r="AO786" s="207"/>
      <c r="AP786" s="207"/>
      <c r="AQ786" s="207"/>
      <c r="AR786" s="207"/>
      <c r="AS786" s="207"/>
      <c r="AT786" s="207"/>
      <c r="AU786" s="207"/>
      <c r="AV786" s="207"/>
      <c r="AW786" s="207"/>
      <c r="AX786" s="207"/>
      <c r="AY786" s="207"/>
      <c r="AZ786" s="207"/>
      <c r="BA786" s="207"/>
    </row>
    <row r="787" ht="18.75" hidden="1" customHeight="1">
      <c r="A787" s="207"/>
      <c r="B787" s="207"/>
      <c r="C787" s="207"/>
      <c r="D787" s="207"/>
      <c r="E787" s="207"/>
      <c r="F787" s="207"/>
      <c r="G787" s="207"/>
      <c r="H787" s="207"/>
      <c r="I787" s="207"/>
      <c r="J787" s="207"/>
      <c r="K787" s="207"/>
      <c r="L787" s="207"/>
      <c r="M787" s="207"/>
      <c r="N787" s="207"/>
      <c r="O787" s="207"/>
      <c r="P787" s="207"/>
      <c r="Q787" s="207"/>
      <c r="R787" s="207"/>
      <c r="S787" s="207"/>
      <c r="T787" s="207"/>
      <c r="U787" s="207"/>
      <c r="V787" s="207"/>
      <c r="W787" s="207"/>
      <c r="X787" s="207"/>
      <c r="Y787" s="207"/>
      <c r="Z787" s="207"/>
      <c r="AA787" s="207"/>
      <c r="AB787" s="207"/>
      <c r="AC787" s="207"/>
      <c r="AD787" s="207"/>
      <c r="AE787" s="207"/>
      <c r="AF787" s="207"/>
      <c r="AG787" s="207"/>
      <c r="AH787" s="207"/>
      <c r="AI787" s="207"/>
      <c r="AJ787" s="207"/>
      <c r="AK787" s="207"/>
      <c r="AL787" s="207"/>
      <c r="AM787" s="207"/>
      <c r="AN787" s="207"/>
      <c r="AO787" s="207"/>
      <c r="AP787" s="207"/>
      <c r="AQ787" s="207"/>
      <c r="AR787" s="207"/>
      <c r="AS787" s="207"/>
      <c r="AT787" s="207"/>
      <c r="AU787" s="207"/>
      <c r="AV787" s="207"/>
      <c r="AW787" s="207"/>
      <c r="AX787" s="207"/>
      <c r="AY787" s="207"/>
      <c r="AZ787" s="207"/>
      <c r="BA787" s="207"/>
    </row>
    <row r="788" ht="18.75" hidden="1" customHeight="1">
      <c r="A788" s="207"/>
      <c r="B788" s="207"/>
      <c r="C788" s="207"/>
      <c r="D788" s="207"/>
      <c r="E788" s="207"/>
      <c r="F788" s="207"/>
      <c r="G788" s="207"/>
      <c r="H788" s="207"/>
      <c r="I788" s="207"/>
      <c r="J788" s="207"/>
      <c r="K788" s="207"/>
      <c r="L788" s="207"/>
      <c r="M788" s="207"/>
      <c r="N788" s="207"/>
      <c r="O788" s="207"/>
      <c r="P788" s="207"/>
      <c r="Q788" s="207"/>
      <c r="R788" s="207"/>
      <c r="S788" s="207"/>
      <c r="T788" s="207"/>
      <c r="U788" s="207"/>
      <c r="V788" s="207"/>
      <c r="W788" s="207"/>
      <c r="X788" s="207"/>
      <c r="Y788" s="207"/>
      <c r="Z788" s="207"/>
      <c r="AA788" s="207"/>
      <c r="AB788" s="207"/>
      <c r="AC788" s="207"/>
      <c r="AD788" s="207"/>
      <c r="AE788" s="207"/>
      <c r="AF788" s="207"/>
      <c r="AG788" s="207"/>
      <c r="AH788" s="207"/>
      <c r="AI788" s="207"/>
      <c r="AJ788" s="207"/>
      <c r="AK788" s="207"/>
      <c r="AL788" s="207"/>
      <c r="AM788" s="207"/>
      <c r="AN788" s="207"/>
      <c r="AO788" s="207"/>
      <c r="AP788" s="207"/>
      <c r="AQ788" s="207"/>
      <c r="AR788" s="207"/>
      <c r="AS788" s="207"/>
      <c r="AT788" s="207"/>
      <c r="AU788" s="207"/>
      <c r="AV788" s="207"/>
      <c r="AW788" s="207"/>
      <c r="AX788" s="207"/>
      <c r="AY788" s="207"/>
      <c r="AZ788" s="207"/>
      <c r="BA788" s="207"/>
    </row>
    <row r="789" ht="18.75" hidden="1" customHeight="1">
      <c r="A789" s="207"/>
      <c r="B789" s="207"/>
      <c r="C789" s="207"/>
      <c r="D789" s="207"/>
      <c r="E789" s="207"/>
      <c r="F789" s="207"/>
      <c r="G789" s="207"/>
      <c r="H789" s="207"/>
      <c r="I789" s="207"/>
      <c r="J789" s="207"/>
      <c r="K789" s="207"/>
      <c r="L789" s="207"/>
      <c r="M789" s="207"/>
      <c r="N789" s="207"/>
      <c r="O789" s="207"/>
      <c r="P789" s="207"/>
      <c r="Q789" s="207"/>
      <c r="R789" s="207"/>
      <c r="S789" s="207"/>
      <c r="T789" s="207"/>
      <c r="U789" s="207"/>
      <c r="V789" s="207"/>
      <c r="W789" s="207"/>
      <c r="X789" s="207"/>
      <c r="Y789" s="207"/>
      <c r="Z789" s="207"/>
      <c r="AA789" s="207"/>
      <c r="AB789" s="207"/>
      <c r="AC789" s="207"/>
      <c r="AD789" s="207"/>
      <c r="AE789" s="207"/>
      <c r="AF789" s="207"/>
      <c r="AG789" s="207"/>
      <c r="AH789" s="207"/>
      <c r="AI789" s="207"/>
      <c r="AJ789" s="207"/>
      <c r="AK789" s="207"/>
      <c r="AL789" s="207"/>
      <c r="AM789" s="207"/>
      <c r="AN789" s="207"/>
      <c r="AO789" s="207"/>
      <c r="AP789" s="207"/>
      <c r="AQ789" s="207"/>
      <c r="AR789" s="207"/>
      <c r="AS789" s="207"/>
      <c r="AT789" s="207"/>
      <c r="AU789" s="207"/>
      <c r="AV789" s="207"/>
      <c r="AW789" s="207"/>
      <c r="AX789" s="207"/>
      <c r="AY789" s="207"/>
      <c r="AZ789" s="207"/>
      <c r="BA789" s="207"/>
    </row>
    <row r="790" ht="18.75" hidden="1" customHeight="1">
      <c r="A790" s="207"/>
      <c r="B790" s="207"/>
      <c r="C790" s="207"/>
      <c r="D790" s="207"/>
      <c r="E790" s="207"/>
      <c r="F790" s="207"/>
      <c r="G790" s="207"/>
      <c r="H790" s="207"/>
      <c r="I790" s="207"/>
      <c r="J790" s="207"/>
      <c r="K790" s="207"/>
      <c r="L790" s="207"/>
      <c r="M790" s="207"/>
      <c r="N790" s="207"/>
      <c r="O790" s="207"/>
      <c r="P790" s="207"/>
      <c r="Q790" s="207"/>
      <c r="R790" s="207"/>
      <c r="S790" s="207"/>
      <c r="T790" s="207"/>
      <c r="U790" s="207"/>
      <c r="V790" s="207"/>
      <c r="W790" s="207"/>
      <c r="X790" s="207"/>
      <c r="Y790" s="207"/>
      <c r="Z790" s="207"/>
      <c r="AA790" s="207"/>
      <c r="AB790" s="207"/>
      <c r="AC790" s="207"/>
      <c r="AD790" s="207"/>
      <c r="AE790" s="207"/>
      <c r="AF790" s="207"/>
      <c r="AG790" s="207"/>
      <c r="AH790" s="207"/>
      <c r="AI790" s="207"/>
      <c r="AJ790" s="207"/>
      <c r="AK790" s="207"/>
      <c r="AL790" s="207"/>
      <c r="AM790" s="207"/>
      <c r="AN790" s="207"/>
      <c r="AO790" s="207"/>
      <c r="AP790" s="207"/>
      <c r="AQ790" s="207"/>
      <c r="AR790" s="207"/>
      <c r="AS790" s="207"/>
      <c r="AT790" s="207"/>
      <c r="AU790" s="207"/>
      <c r="AV790" s="207"/>
      <c r="AW790" s="207"/>
      <c r="AX790" s="207"/>
      <c r="AY790" s="207"/>
      <c r="AZ790" s="207"/>
      <c r="BA790" s="207"/>
    </row>
    <row r="791" ht="18.75" hidden="1" customHeight="1">
      <c r="A791" s="207"/>
      <c r="B791" s="207"/>
      <c r="C791" s="207"/>
      <c r="D791" s="207"/>
      <c r="E791" s="207"/>
      <c r="F791" s="207"/>
      <c r="G791" s="207"/>
      <c r="H791" s="207"/>
      <c r="I791" s="207"/>
      <c r="J791" s="207"/>
      <c r="K791" s="207"/>
      <c r="L791" s="207"/>
      <c r="M791" s="207"/>
      <c r="N791" s="207"/>
      <c r="O791" s="207"/>
      <c r="P791" s="207"/>
      <c r="Q791" s="207"/>
      <c r="R791" s="207"/>
      <c r="S791" s="207"/>
      <c r="T791" s="207"/>
      <c r="U791" s="207"/>
      <c r="V791" s="207"/>
      <c r="W791" s="207"/>
      <c r="X791" s="207"/>
      <c r="Y791" s="207"/>
      <c r="Z791" s="207"/>
      <c r="AA791" s="207"/>
      <c r="AB791" s="207"/>
      <c r="AC791" s="207"/>
      <c r="AD791" s="207"/>
      <c r="AE791" s="207"/>
      <c r="AF791" s="207"/>
      <c r="AG791" s="207"/>
      <c r="AH791" s="207"/>
      <c r="AI791" s="207"/>
      <c r="AJ791" s="207"/>
      <c r="AK791" s="207"/>
      <c r="AL791" s="207"/>
      <c r="AM791" s="207"/>
      <c r="AN791" s="207"/>
      <c r="AO791" s="207"/>
      <c r="AP791" s="207"/>
      <c r="AQ791" s="207"/>
      <c r="AR791" s="207"/>
      <c r="AS791" s="207"/>
      <c r="AT791" s="207"/>
      <c r="AU791" s="207"/>
      <c r="AV791" s="207"/>
      <c r="AW791" s="207"/>
      <c r="AX791" s="207"/>
      <c r="AY791" s="207"/>
      <c r="AZ791" s="207"/>
      <c r="BA791" s="207"/>
    </row>
    <row r="792" ht="18.75" hidden="1" customHeight="1">
      <c r="A792" s="207"/>
      <c r="B792" s="207"/>
      <c r="C792" s="207"/>
      <c r="D792" s="207"/>
      <c r="E792" s="207"/>
      <c r="F792" s="207"/>
      <c r="G792" s="207"/>
      <c r="H792" s="207"/>
      <c r="I792" s="207"/>
      <c r="J792" s="207"/>
      <c r="K792" s="207"/>
      <c r="L792" s="207"/>
      <c r="M792" s="207"/>
      <c r="N792" s="207"/>
      <c r="O792" s="207"/>
      <c r="P792" s="207"/>
      <c r="Q792" s="207"/>
      <c r="R792" s="207"/>
      <c r="S792" s="207"/>
      <c r="T792" s="207"/>
      <c r="U792" s="207"/>
      <c r="V792" s="207"/>
      <c r="W792" s="207"/>
      <c r="X792" s="207"/>
      <c r="Y792" s="207"/>
      <c r="Z792" s="207"/>
      <c r="AA792" s="207"/>
      <c r="AB792" s="207"/>
      <c r="AC792" s="207"/>
      <c r="AD792" s="207"/>
      <c r="AE792" s="207"/>
      <c r="AF792" s="207"/>
      <c r="AG792" s="207"/>
      <c r="AH792" s="207"/>
      <c r="AI792" s="207"/>
      <c r="AJ792" s="207"/>
      <c r="AK792" s="207"/>
      <c r="AL792" s="207"/>
      <c r="AM792" s="207"/>
      <c r="AN792" s="207"/>
      <c r="AO792" s="207"/>
      <c r="AP792" s="207"/>
      <c r="AQ792" s="207"/>
      <c r="AR792" s="207"/>
      <c r="AS792" s="207"/>
      <c r="AT792" s="207"/>
      <c r="AU792" s="207"/>
      <c r="AV792" s="207"/>
      <c r="AW792" s="207"/>
      <c r="AX792" s="207"/>
      <c r="AY792" s="207"/>
      <c r="AZ792" s="207"/>
      <c r="BA792" s="207"/>
    </row>
    <row r="793" ht="18.75" hidden="1" customHeight="1">
      <c r="A793" s="207"/>
      <c r="B793" s="207"/>
      <c r="C793" s="207"/>
      <c r="D793" s="207"/>
      <c r="E793" s="207"/>
      <c r="F793" s="207"/>
      <c r="G793" s="207"/>
      <c r="H793" s="207"/>
      <c r="I793" s="207"/>
      <c r="J793" s="207"/>
      <c r="K793" s="207"/>
      <c r="L793" s="207"/>
      <c r="M793" s="207"/>
      <c r="N793" s="207"/>
      <c r="O793" s="207"/>
      <c r="P793" s="207"/>
      <c r="Q793" s="207"/>
      <c r="R793" s="207"/>
      <c r="S793" s="207"/>
      <c r="T793" s="207"/>
      <c r="U793" s="207"/>
      <c r="V793" s="207"/>
      <c r="W793" s="207"/>
      <c r="X793" s="207"/>
      <c r="Y793" s="207"/>
      <c r="Z793" s="207"/>
      <c r="AA793" s="207"/>
      <c r="AB793" s="207"/>
      <c r="AC793" s="207"/>
      <c r="AD793" s="207"/>
      <c r="AE793" s="207"/>
      <c r="AF793" s="207"/>
      <c r="AG793" s="207"/>
      <c r="AH793" s="207"/>
      <c r="AI793" s="207"/>
      <c r="AJ793" s="207"/>
      <c r="AK793" s="207"/>
      <c r="AL793" s="207"/>
      <c r="AM793" s="207"/>
      <c r="AN793" s="207"/>
      <c r="AO793" s="207"/>
      <c r="AP793" s="207"/>
      <c r="AQ793" s="207"/>
      <c r="AR793" s="207"/>
      <c r="AS793" s="207"/>
      <c r="AT793" s="207"/>
      <c r="AU793" s="207"/>
      <c r="AV793" s="207"/>
      <c r="AW793" s="207"/>
      <c r="AX793" s="207"/>
      <c r="AY793" s="207"/>
      <c r="AZ793" s="207"/>
      <c r="BA793" s="207"/>
    </row>
    <row r="794" ht="18.75" hidden="1" customHeight="1">
      <c r="A794" s="207"/>
      <c r="B794" s="207"/>
      <c r="C794" s="207"/>
      <c r="D794" s="207"/>
      <c r="E794" s="207"/>
      <c r="F794" s="207"/>
      <c r="G794" s="207"/>
      <c r="H794" s="207"/>
      <c r="I794" s="207"/>
      <c r="J794" s="207"/>
      <c r="K794" s="207"/>
      <c r="L794" s="207"/>
      <c r="M794" s="207"/>
      <c r="N794" s="207"/>
      <c r="O794" s="207"/>
      <c r="P794" s="207"/>
      <c r="Q794" s="207"/>
      <c r="R794" s="207"/>
      <c r="S794" s="207"/>
      <c r="T794" s="207"/>
      <c r="U794" s="207"/>
      <c r="V794" s="207"/>
      <c r="W794" s="207"/>
      <c r="X794" s="207"/>
      <c r="Y794" s="207"/>
      <c r="Z794" s="207"/>
      <c r="AA794" s="207"/>
      <c r="AB794" s="207"/>
      <c r="AC794" s="207"/>
      <c r="AD794" s="207"/>
      <c r="AE794" s="207"/>
      <c r="AF794" s="207"/>
      <c r="AG794" s="207"/>
      <c r="AH794" s="207"/>
      <c r="AI794" s="207"/>
      <c r="AJ794" s="207"/>
      <c r="AK794" s="207"/>
      <c r="AL794" s="207"/>
      <c r="AM794" s="207"/>
      <c r="AN794" s="207"/>
      <c r="AO794" s="207"/>
      <c r="AP794" s="207"/>
      <c r="AQ794" s="207"/>
      <c r="AR794" s="207"/>
      <c r="AS794" s="207"/>
      <c r="AT794" s="207"/>
      <c r="AU794" s="207"/>
      <c r="AV794" s="207"/>
      <c r="AW794" s="207"/>
      <c r="AX794" s="207"/>
      <c r="AY794" s="207"/>
      <c r="AZ794" s="207"/>
      <c r="BA794" s="207"/>
    </row>
    <row r="795" ht="18.75" hidden="1" customHeight="1">
      <c r="A795" s="207"/>
      <c r="B795" s="207"/>
      <c r="C795" s="207"/>
      <c r="D795" s="207"/>
      <c r="E795" s="207"/>
      <c r="F795" s="207"/>
      <c r="G795" s="207"/>
      <c r="H795" s="207"/>
      <c r="I795" s="207"/>
      <c r="J795" s="207"/>
      <c r="K795" s="207"/>
      <c r="L795" s="207"/>
      <c r="M795" s="207"/>
      <c r="N795" s="207"/>
      <c r="O795" s="207"/>
      <c r="P795" s="207"/>
      <c r="Q795" s="207"/>
      <c r="R795" s="207"/>
      <c r="S795" s="207"/>
      <c r="T795" s="207"/>
      <c r="U795" s="207"/>
      <c r="V795" s="207"/>
      <c r="W795" s="207"/>
      <c r="X795" s="207"/>
      <c r="Y795" s="207"/>
      <c r="Z795" s="207"/>
      <c r="AA795" s="207"/>
      <c r="AB795" s="207"/>
      <c r="AC795" s="207"/>
      <c r="AD795" s="207"/>
      <c r="AE795" s="207"/>
      <c r="AF795" s="207"/>
      <c r="AG795" s="207"/>
      <c r="AH795" s="207"/>
      <c r="AI795" s="207"/>
      <c r="AJ795" s="207"/>
      <c r="AK795" s="207"/>
      <c r="AL795" s="207"/>
      <c r="AM795" s="207"/>
      <c r="AN795" s="207"/>
      <c r="AO795" s="207"/>
      <c r="AP795" s="207"/>
      <c r="AQ795" s="207"/>
      <c r="AR795" s="207"/>
      <c r="AS795" s="207"/>
      <c r="AT795" s="207"/>
      <c r="AU795" s="207"/>
      <c r="AV795" s="207"/>
      <c r="AW795" s="207"/>
      <c r="AX795" s="207"/>
      <c r="AY795" s="207"/>
      <c r="AZ795" s="207"/>
      <c r="BA795" s="207"/>
    </row>
    <row r="796" ht="18.75" hidden="1" customHeight="1">
      <c r="A796" s="207"/>
      <c r="B796" s="207"/>
      <c r="C796" s="207"/>
      <c r="D796" s="207"/>
      <c r="E796" s="207"/>
      <c r="F796" s="207"/>
      <c r="G796" s="207"/>
      <c r="H796" s="207"/>
      <c r="I796" s="207"/>
      <c r="J796" s="207"/>
      <c r="K796" s="207"/>
      <c r="L796" s="207"/>
      <c r="M796" s="207"/>
      <c r="N796" s="207"/>
      <c r="O796" s="207"/>
      <c r="P796" s="207"/>
      <c r="Q796" s="207"/>
      <c r="R796" s="207"/>
      <c r="S796" s="207"/>
      <c r="T796" s="207"/>
      <c r="U796" s="207"/>
      <c r="V796" s="207"/>
      <c r="W796" s="207"/>
      <c r="X796" s="207"/>
      <c r="Y796" s="207"/>
      <c r="Z796" s="207"/>
      <c r="AA796" s="207"/>
      <c r="AB796" s="207"/>
      <c r="AC796" s="207"/>
      <c r="AD796" s="207"/>
      <c r="AE796" s="207"/>
      <c r="AF796" s="207"/>
      <c r="AG796" s="207"/>
      <c r="AH796" s="207"/>
      <c r="AI796" s="207"/>
      <c r="AJ796" s="207"/>
      <c r="AK796" s="207"/>
      <c r="AL796" s="207"/>
      <c r="AM796" s="207"/>
      <c r="AN796" s="207"/>
      <c r="AO796" s="207"/>
      <c r="AP796" s="207"/>
      <c r="AQ796" s="207"/>
      <c r="AR796" s="207"/>
      <c r="AS796" s="207"/>
      <c r="AT796" s="207"/>
      <c r="AU796" s="207"/>
      <c r="AV796" s="207"/>
      <c r="AW796" s="207"/>
      <c r="AX796" s="207"/>
      <c r="AY796" s="207"/>
      <c r="AZ796" s="207"/>
      <c r="BA796" s="207"/>
    </row>
    <row r="797" ht="18.75" hidden="1" customHeight="1">
      <c r="A797" s="207"/>
      <c r="B797" s="207"/>
      <c r="C797" s="207"/>
      <c r="D797" s="207"/>
      <c r="E797" s="207"/>
      <c r="F797" s="207"/>
      <c r="G797" s="207"/>
      <c r="H797" s="207"/>
      <c r="I797" s="207"/>
      <c r="J797" s="207"/>
      <c r="K797" s="207"/>
      <c r="L797" s="207"/>
      <c r="M797" s="207"/>
      <c r="N797" s="207"/>
      <c r="O797" s="207"/>
      <c r="P797" s="207"/>
      <c r="Q797" s="207"/>
      <c r="R797" s="207"/>
      <c r="S797" s="207"/>
      <c r="T797" s="207"/>
      <c r="U797" s="207"/>
      <c r="V797" s="207"/>
      <c r="W797" s="207"/>
      <c r="X797" s="207"/>
      <c r="Y797" s="207"/>
      <c r="Z797" s="207"/>
      <c r="AA797" s="207"/>
      <c r="AB797" s="207"/>
      <c r="AC797" s="207"/>
      <c r="AD797" s="207"/>
      <c r="AE797" s="207"/>
      <c r="AF797" s="207"/>
      <c r="AG797" s="207"/>
      <c r="AH797" s="207"/>
      <c r="AI797" s="207"/>
      <c r="AJ797" s="207"/>
      <c r="AK797" s="207"/>
      <c r="AL797" s="207"/>
      <c r="AM797" s="207"/>
      <c r="AN797" s="207"/>
      <c r="AO797" s="207"/>
      <c r="AP797" s="207"/>
      <c r="AQ797" s="207"/>
      <c r="AR797" s="207"/>
      <c r="AS797" s="207"/>
      <c r="AT797" s="207"/>
      <c r="AU797" s="207"/>
      <c r="AV797" s="207"/>
      <c r="AW797" s="207"/>
      <c r="AX797" s="207"/>
      <c r="AY797" s="207"/>
      <c r="AZ797" s="207"/>
      <c r="BA797" s="207"/>
    </row>
    <row r="798" ht="18.75" hidden="1" customHeight="1">
      <c r="A798" s="207"/>
      <c r="B798" s="207"/>
      <c r="C798" s="207"/>
      <c r="D798" s="207"/>
      <c r="E798" s="207"/>
      <c r="F798" s="207"/>
      <c r="G798" s="207"/>
      <c r="H798" s="207"/>
      <c r="I798" s="207"/>
      <c r="J798" s="207"/>
      <c r="K798" s="207"/>
      <c r="L798" s="207"/>
      <c r="M798" s="207"/>
      <c r="N798" s="207"/>
      <c r="O798" s="207"/>
      <c r="P798" s="207"/>
      <c r="Q798" s="207"/>
      <c r="R798" s="207"/>
      <c r="S798" s="207"/>
      <c r="T798" s="207"/>
      <c r="U798" s="207"/>
      <c r="V798" s="207"/>
      <c r="W798" s="207"/>
      <c r="X798" s="207"/>
      <c r="Y798" s="207"/>
      <c r="Z798" s="207"/>
      <c r="AA798" s="207"/>
      <c r="AB798" s="207"/>
      <c r="AC798" s="207"/>
      <c r="AD798" s="207"/>
      <c r="AE798" s="207"/>
      <c r="AF798" s="207"/>
      <c r="AG798" s="207"/>
      <c r="AH798" s="207"/>
      <c r="AI798" s="207"/>
      <c r="AJ798" s="207"/>
      <c r="AK798" s="207"/>
      <c r="AL798" s="207"/>
      <c r="AM798" s="207"/>
      <c r="AN798" s="207"/>
      <c r="AO798" s="207"/>
      <c r="AP798" s="207"/>
      <c r="AQ798" s="207"/>
      <c r="AR798" s="207"/>
      <c r="AS798" s="207"/>
      <c r="AT798" s="207"/>
      <c r="AU798" s="207"/>
      <c r="AV798" s="207"/>
      <c r="AW798" s="207"/>
      <c r="AX798" s="207"/>
      <c r="AY798" s="207"/>
      <c r="AZ798" s="207"/>
      <c r="BA798" s="207"/>
    </row>
    <row r="799" ht="18.75" hidden="1" customHeight="1">
      <c r="A799" s="207"/>
      <c r="B799" s="207"/>
      <c r="C799" s="207"/>
      <c r="D799" s="207"/>
      <c r="E799" s="207"/>
      <c r="F799" s="207"/>
      <c r="G799" s="207"/>
      <c r="H799" s="207"/>
      <c r="I799" s="207"/>
      <c r="J799" s="207"/>
      <c r="K799" s="207"/>
      <c r="L799" s="207"/>
      <c r="M799" s="207"/>
      <c r="N799" s="207"/>
      <c r="O799" s="207"/>
      <c r="P799" s="207"/>
      <c r="Q799" s="207"/>
      <c r="R799" s="207"/>
      <c r="S799" s="207"/>
      <c r="T799" s="207"/>
      <c r="U799" s="207"/>
      <c r="V799" s="207"/>
      <c r="W799" s="207"/>
      <c r="X799" s="207"/>
      <c r="Y799" s="207"/>
      <c r="Z799" s="207"/>
      <c r="AA799" s="207"/>
      <c r="AB799" s="207"/>
      <c r="AC799" s="207"/>
      <c r="AD799" s="207"/>
      <c r="AE799" s="207"/>
      <c r="AF799" s="207"/>
      <c r="AG799" s="207"/>
      <c r="AH799" s="207"/>
      <c r="AI799" s="207"/>
      <c r="AJ799" s="207"/>
      <c r="AK799" s="207"/>
      <c r="AL799" s="207"/>
      <c r="AM799" s="207"/>
      <c r="AN799" s="207"/>
      <c r="AO799" s="207"/>
      <c r="AP799" s="207"/>
      <c r="AQ799" s="207"/>
      <c r="AR799" s="207"/>
      <c r="AS799" s="207"/>
      <c r="AT799" s="207"/>
      <c r="AU799" s="207"/>
      <c r="AV799" s="207"/>
      <c r="AW799" s="207"/>
      <c r="AX799" s="207"/>
      <c r="AY799" s="207"/>
      <c r="AZ799" s="207"/>
      <c r="BA799" s="207"/>
    </row>
    <row r="800" ht="18.75" hidden="1" customHeight="1">
      <c r="A800" s="207"/>
      <c r="B800" s="207"/>
      <c r="C800" s="207"/>
      <c r="D800" s="207"/>
      <c r="E800" s="207"/>
      <c r="F800" s="207"/>
      <c r="G800" s="207"/>
      <c r="H800" s="207"/>
      <c r="I800" s="207"/>
      <c r="J800" s="207"/>
      <c r="K800" s="207"/>
      <c r="L800" s="207"/>
      <c r="M800" s="207"/>
      <c r="N800" s="207"/>
      <c r="O800" s="207"/>
      <c r="P800" s="207"/>
      <c r="Q800" s="207"/>
      <c r="R800" s="207"/>
      <c r="S800" s="207"/>
      <c r="T800" s="207"/>
      <c r="U800" s="207"/>
      <c r="V800" s="207"/>
      <c r="W800" s="207"/>
      <c r="X800" s="207"/>
      <c r="Y800" s="207"/>
      <c r="Z800" s="207"/>
      <c r="AA800" s="207"/>
      <c r="AB800" s="207"/>
      <c r="AC800" s="207"/>
      <c r="AD800" s="207"/>
      <c r="AE800" s="207"/>
      <c r="AF800" s="207"/>
      <c r="AG800" s="207"/>
      <c r="AH800" s="207"/>
      <c r="AI800" s="207"/>
      <c r="AJ800" s="207"/>
      <c r="AK800" s="207"/>
      <c r="AL800" s="207"/>
      <c r="AM800" s="207"/>
      <c r="AN800" s="207"/>
      <c r="AO800" s="207"/>
      <c r="AP800" s="207"/>
      <c r="AQ800" s="207"/>
      <c r="AR800" s="207"/>
      <c r="AS800" s="207"/>
      <c r="AT800" s="207"/>
      <c r="AU800" s="207"/>
      <c r="AV800" s="207"/>
      <c r="AW800" s="207"/>
      <c r="AX800" s="207"/>
      <c r="AY800" s="207"/>
      <c r="AZ800" s="207"/>
      <c r="BA800" s="207"/>
    </row>
    <row r="801" ht="18.75" hidden="1" customHeight="1">
      <c r="A801" s="207"/>
      <c r="B801" s="207"/>
      <c r="C801" s="207"/>
      <c r="D801" s="207"/>
      <c r="E801" s="207"/>
      <c r="F801" s="207"/>
      <c r="G801" s="207"/>
      <c r="H801" s="207"/>
      <c r="I801" s="207"/>
      <c r="J801" s="207"/>
      <c r="K801" s="207"/>
      <c r="L801" s="207"/>
      <c r="M801" s="207"/>
      <c r="N801" s="207"/>
      <c r="O801" s="207"/>
      <c r="P801" s="207"/>
      <c r="Q801" s="207"/>
      <c r="R801" s="207"/>
      <c r="S801" s="207"/>
      <c r="T801" s="207"/>
      <c r="U801" s="207"/>
      <c r="V801" s="207"/>
      <c r="W801" s="207"/>
      <c r="X801" s="207"/>
      <c r="Y801" s="207"/>
      <c r="Z801" s="207"/>
      <c r="AA801" s="207"/>
      <c r="AB801" s="207"/>
      <c r="AC801" s="207"/>
      <c r="AD801" s="207"/>
      <c r="AE801" s="207"/>
      <c r="AF801" s="207"/>
      <c r="AG801" s="207"/>
      <c r="AH801" s="207"/>
      <c r="AI801" s="207"/>
      <c r="AJ801" s="207"/>
      <c r="AK801" s="207"/>
      <c r="AL801" s="207"/>
      <c r="AM801" s="207"/>
      <c r="AN801" s="207"/>
      <c r="AO801" s="207"/>
      <c r="AP801" s="207"/>
      <c r="AQ801" s="207"/>
      <c r="AR801" s="207"/>
      <c r="AS801" s="207"/>
      <c r="AT801" s="207"/>
      <c r="AU801" s="207"/>
      <c r="AV801" s="207"/>
      <c r="AW801" s="207"/>
      <c r="AX801" s="207"/>
      <c r="AY801" s="207"/>
      <c r="AZ801" s="207"/>
      <c r="BA801" s="207"/>
    </row>
    <row r="802" ht="18.75" hidden="1" customHeight="1">
      <c r="A802" s="207"/>
      <c r="B802" s="207"/>
      <c r="C802" s="207"/>
      <c r="D802" s="207"/>
      <c r="E802" s="207"/>
      <c r="F802" s="207"/>
      <c r="G802" s="207"/>
      <c r="H802" s="207"/>
      <c r="I802" s="207"/>
      <c r="J802" s="207"/>
      <c r="K802" s="207"/>
      <c r="L802" s="207"/>
      <c r="M802" s="207"/>
      <c r="N802" s="207"/>
      <c r="O802" s="207"/>
      <c r="P802" s="207"/>
      <c r="Q802" s="207"/>
      <c r="R802" s="207"/>
      <c r="S802" s="207"/>
      <c r="T802" s="207"/>
      <c r="U802" s="207"/>
      <c r="V802" s="207"/>
      <c r="W802" s="207"/>
      <c r="X802" s="207"/>
      <c r="Y802" s="207"/>
      <c r="Z802" s="207"/>
      <c r="AA802" s="207"/>
      <c r="AB802" s="207"/>
      <c r="AC802" s="207"/>
      <c r="AD802" s="207"/>
      <c r="AE802" s="207"/>
      <c r="AF802" s="207"/>
      <c r="AG802" s="207"/>
      <c r="AH802" s="207"/>
      <c r="AI802" s="207"/>
      <c r="AJ802" s="207"/>
      <c r="AK802" s="207"/>
      <c r="AL802" s="207"/>
      <c r="AM802" s="207"/>
      <c r="AN802" s="207"/>
      <c r="AO802" s="207"/>
      <c r="AP802" s="207"/>
      <c r="AQ802" s="207"/>
      <c r="AR802" s="207"/>
      <c r="AS802" s="207"/>
      <c r="AT802" s="207"/>
      <c r="AU802" s="207"/>
      <c r="AV802" s="207"/>
      <c r="AW802" s="207"/>
      <c r="AX802" s="207"/>
      <c r="AY802" s="207"/>
      <c r="AZ802" s="207"/>
      <c r="BA802" s="207"/>
    </row>
    <row r="803" ht="18.75" hidden="1" customHeight="1">
      <c r="A803" s="207"/>
      <c r="B803" s="207"/>
      <c r="C803" s="207"/>
      <c r="D803" s="207"/>
      <c r="E803" s="207"/>
      <c r="F803" s="207"/>
      <c r="G803" s="207"/>
      <c r="H803" s="207"/>
      <c r="I803" s="207"/>
      <c r="J803" s="207"/>
      <c r="K803" s="207"/>
      <c r="L803" s="207"/>
      <c r="M803" s="207"/>
      <c r="N803" s="207"/>
      <c r="O803" s="207"/>
      <c r="P803" s="207"/>
      <c r="Q803" s="207"/>
      <c r="R803" s="207"/>
      <c r="S803" s="207"/>
      <c r="T803" s="207"/>
      <c r="U803" s="207"/>
      <c r="V803" s="207"/>
      <c r="W803" s="207"/>
      <c r="X803" s="207"/>
      <c r="Y803" s="207"/>
      <c r="Z803" s="207"/>
      <c r="AA803" s="207"/>
      <c r="AB803" s="207"/>
      <c r="AC803" s="207"/>
      <c r="AD803" s="207"/>
      <c r="AE803" s="207"/>
      <c r="AF803" s="207"/>
      <c r="AG803" s="207"/>
      <c r="AH803" s="207"/>
      <c r="AI803" s="207"/>
      <c r="AJ803" s="207"/>
      <c r="AK803" s="207"/>
      <c r="AL803" s="207"/>
      <c r="AM803" s="207"/>
      <c r="AN803" s="207"/>
      <c r="AO803" s="207"/>
      <c r="AP803" s="207"/>
      <c r="AQ803" s="207"/>
      <c r="AR803" s="207"/>
      <c r="AS803" s="207"/>
      <c r="AT803" s="207"/>
      <c r="AU803" s="207"/>
      <c r="AV803" s="207"/>
      <c r="AW803" s="207"/>
      <c r="AX803" s="207"/>
      <c r="AY803" s="207"/>
      <c r="AZ803" s="207"/>
      <c r="BA803" s="207"/>
    </row>
    <row r="804" ht="18.75" hidden="1" customHeight="1">
      <c r="A804" s="207"/>
      <c r="B804" s="207"/>
      <c r="C804" s="207"/>
      <c r="D804" s="207"/>
      <c r="E804" s="207"/>
      <c r="F804" s="207"/>
      <c r="G804" s="207"/>
      <c r="H804" s="207"/>
      <c r="I804" s="207"/>
      <c r="J804" s="207"/>
      <c r="K804" s="207"/>
      <c r="L804" s="207"/>
      <c r="M804" s="207"/>
      <c r="N804" s="207"/>
      <c r="O804" s="207"/>
      <c r="P804" s="207"/>
      <c r="Q804" s="207"/>
      <c r="R804" s="207"/>
      <c r="S804" s="207"/>
      <c r="T804" s="207"/>
      <c r="U804" s="207"/>
      <c r="V804" s="207"/>
      <c r="W804" s="207"/>
      <c r="X804" s="207"/>
      <c r="Y804" s="207"/>
      <c r="Z804" s="207"/>
      <c r="AA804" s="207"/>
      <c r="AB804" s="207"/>
      <c r="AC804" s="207"/>
      <c r="AD804" s="207"/>
      <c r="AE804" s="207"/>
      <c r="AF804" s="207"/>
      <c r="AG804" s="207"/>
      <c r="AH804" s="207"/>
      <c r="AI804" s="207"/>
      <c r="AJ804" s="207"/>
      <c r="AK804" s="207"/>
      <c r="AL804" s="207"/>
      <c r="AM804" s="207"/>
      <c r="AN804" s="207"/>
      <c r="AO804" s="207"/>
      <c r="AP804" s="207"/>
      <c r="AQ804" s="207"/>
      <c r="AR804" s="207"/>
      <c r="AS804" s="207"/>
      <c r="AT804" s="207"/>
      <c r="AU804" s="207"/>
      <c r="AV804" s="207"/>
      <c r="AW804" s="207"/>
      <c r="AX804" s="207"/>
      <c r="AY804" s="207"/>
      <c r="AZ804" s="207"/>
      <c r="BA804" s="207"/>
    </row>
    <row r="805" ht="18.75" hidden="1" customHeight="1">
      <c r="A805" s="207"/>
      <c r="B805" s="207"/>
      <c r="C805" s="207"/>
      <c r="D805" s="207"/>
      <c r="E805" s="207"/>
      <c r="F805" s="207"/>
      <c r="G805" s="207"/>
      <c r="H805" s="207"/>
      <c r="I805" s="207"/>
      <c r="J805" s="207"/>
      <c r="K805" s="207"/>
      <c r="L805" s="207"/>
      <c r="M805" s="207"/>
      <c r="N805" s="207"/>
      <c r="O805" s="207"/>
      <c r="P805" s="207"/>
      <c r="Q805" s="207"/>
      <c r="R805" s="207"/>
      <c r="S805" s="207"/>
      <c r="T805" s="207"/>
      <c r="U805" s="207"/>
      <c r="V805" s="207"/>
      <c r="W805" s="207"/>
      <c r="X805" s="207"/>
      <c r="Y805" s="207"/>
      <c r="Z805" s="207"/>
      <c r="AA805" s="207"/>
      <c r="AB805" s="207"/>
      <c r="AC805" s="207"/>
      <c r="AD805" s="207"/>
      <c r="AE805" s="207"/>
      <c r="AF805" s="207"/>
      <c r="AG805" s="207"/>
      <c r="AH805" s="207"/>
      <c r="AI805" s="207"/>
      <c r="AJ805" s="207"/>
      <c r="AK805" s="207"/>
      <c r="AL805" s="207"/>
      <c r="AM805" s="207"/>
      <c r="AN805" s="207"/>
      <c r="AO805" s="207"/>
      <c r="AP805" s="207"/>
      <c r="AQ805" s="207"/>
      <c r="AR805" s="207"/>
      <c r="AS805" s="207"/>
      <c r="AT805" s="207"/>
      <c r="AU805" s="207"/>
      <c r="AV805" s="207"/>
      <c r="AW805" s="207"/>
      <c r="AX805" s="207"/>
      <c r="AY805" s="207"/>
      <c r="AZ805" s="207"/>
      <c r="BA805" s="207"/>
    </row>
    <row r="806" ht="18.75" hidden="1" customHeight="1">
      <c r="A806" s="207"/>
      <c r="B806" s="207"/>
      <c r="C806" s="207"/>
      <c r="D806" s="207"/>
      <c r="E806" s="207"/>
      <c r="F806" s="207"/>
      <c r="G806" s="207"/>
      <c r="H806" s="207"/>
      <c r="I806" s="207"/>
      <c r="J806" s="207"/>
      <c r="K806" s="207"/>
      <c r="L806" s="207"/>
      <c r="M806" s="207"/>
      <c r="N806" s="207"/>
      <c r="O806" s="207"/>
      <c r="P806" s="207"/>
      <c r="Q806" s="207"/>
      <c r="R806" s="207"/>
      <c r="S806" s="207"/>
      <c r="T806" s="207"/>
      <c r="U806" s="207"/>
      <c r="V806" s="207"/>
      <c r="W806" s="207"/>
      <c r="X806" s="207"/>
      <c r="Y806" s="207"/>
      <c r="Z806" s="207"/>
      <c r="AA806" s="207"/>
      <c r="AB806" s="207"/>
      <c r="AC806" s="207"/>
      <c r="AD806" s="207"/>
      <c r="AE806" s="207"/>
      <c r="AF806" s="207"/>
      <c r="AG806" s="207"/>
      <c r="AH806" s="207"/>
      <c r="AI806" s="207"/>
      <c r="AJ806" s="207"/>
      <c r="AK806" s="207"/>
      <c r="AL806" s="207"/>
      <c r="AM806" s="207"/>
      <c r="AN806" s="207"/>
      <c r="AO806" s="207"/>
      <c r="AP806" s="207"/>
      <c r="AQ806" s="207"/>
      <c r="AR806" s="207"/>
      <c r="AS806" s="207"/>
      <c r="AT806" s="207"/>
      <c r="AU806" s="207"/>
      <c r="AV806" s="207"/>
      <c r="AW806" s="207"/>
      <c r="AX806" s="207"/>
      <c r="AY806" s="207"/>
      <c r="AZ806" s="207"/>
      <c r="BA806" s="207"/>
    </row>
    <row r="807" ht="18.75" hidden="1" customHeight="1">
      <c r="A807" s="207"/>
      <c r="B807" s="207"/>
      <c r="C807" s="207"/>
      <c r="D807" s="207"/>
      <c r="E807" s="207"/>
      <c r="F807" s="207"/>
      <c r="G807" s="207"/>
      <c r="H807" s="207"/>
      <c r="I807" s="207"/>
      <c r="J807" s="207"/>
      <c r="K807" s="207"/>
      <c r="L807" s="207"/>
      <c r="M807" s="207"/>
      <c r="N807" s="207"/>
      <c r="O807" s="207"/>
      <c r="P807" s="207"/>
      <c r="Q807" s="207"/>
      <c r="R807" s="207"/>
      <c r="S807" s="207"/>
      <c r="T807" s="207"/>
      <c r="U807" s="207"/>
      <c r="V807" s="207"/>
      <c r="W807" s="207"/>
      <c r="X807" s="207"/>
      <c r="Y807" s="207"/>
      <c r="Z807" s="207"/>
      <c r="AA807" s="207"/>
      <c r="AB807" s="207"/>
      <c r="AC807" s="207"/>
      <c r="AD807" s="207"/>
      <c r="AE807" s="207"/>
      <c r="AF807" s="207"/>
      <c r="AG807" s="207"/>
      <c r="AH807" s="207"/>
      <c r="AI807" s="207"/>
      <c r="AJ807" s="207"/>
      <c r="AK807" s="207"/>
      <c r="AL807" s="207"/>
      <c r="AM807" s="207"/>
      <c r="AN807" s="207"/>
      <c r="AO807" s="207"/>
      <c r="AP807" s="207"/>
      <c r="AQ807" s="207"/>
      <c r="AR807" s="207"/>
      <c r="AS807" s="207"/>
      <c r="AT807" s="207"/>
      <c r="AU807" s="207"/>
      <c r="AV807" s="207"/>
      <c r="AW807" s="207"/>
      <c r="AX807" s="207"/>
      <c r="AY807" s="207"/>
      <c r="AZ807" s="207"/>
      <c r="BA807" s="207"/>
    </row>
    <row r="808" ht="18.75" hidden="1" customHeight="1">
      <c r="A808" s="207"/>
      <c r="B808" s="207"/>
      <c r="C808" s="207"/>
      <c r="D808" s="207"/>
      <c r="E808" s="207"/>
      <c r="F808" s="207"/>
      <c r="G808" s="207"/>
      <c r="H808" s="207"/>
      <c r="I808" s="207"/>
      <c r="J808" s="207"/>
      <c r="K808" s="207"/>
      <c r="L808" s="207"/>
      <c r="M808" s="207"/>
      <c r="N808" s="207"/>
      <c r="O808" s="207"/>
      <c r="P808" s="207"/>
      <c r="Q808" s="207"/>
      <c r="R808" s="207"/>
      <c r="S808" s="207"/>
      <c r="T808" s="207"/>
      <c r="U808" s="207"/>
      <c r="V808" s="207"/>
      <c r="W808" s="207"/>
      <c r="X808" s="207"/>
      <c r="Y808" s="207"/>
      <c r="Z808" s="207"/>
      <c r="AA808" s="207"/>
      <c r="AB808" s="207"/>
      <c r="AC808" s="207"/>
      <c r="AD808" s="207"/>
      <c r="AE808" s="207"/>
      <c r="AF808" s="207"/>
      <c r="AG808" s="207"/>
      <c r="AH808" s="207"/>
      <c r="AI808" s="207"/>
      <c r="AJ808" s="207"/>
      <c r="AK808" s="207"/>
      <c r="AL808" s="207"/>
      <c r="AM808" s="207"/>
      <c r="AN808" s="207"/>
      <c r="AO808" s="207"/>
      <c r="AP808" s="207"/>
      <c r="AQ808" s="207"/>
      <c r="AR808" s="207"/>
      <c r="AS808" s="207"/>
      <c r="AT808" s="207"/>
      <c r="AU808" s="207"/>
      <c r="AV808" s="207"/>
      <c r="AW808" s="207"/>
      <c r="AX808" s="207"/>
      <c r="AY808" s="207"/>
      <c r="AZ808" s="207"/>
      <c r="BA808" s="207"/>
    </row>
    <row r="809" ht="18.75" hidden="1" customHeight="1">
      <c r="A809" s="207"/>
      <c r="B809" s="207"/>
      <c r="C809" s="207"/>
      <c r="D809" s="207"/>
      <c r="E809" s="207"/>
      <c r="F809" s="207"/>
      <c r="G809" s="207"/>
      <c r="H809" s="207"/>
      <c r="I809" s="207"/>
      <c r="J809" s="207"/>
      <c r="K809" s="207"/>
      <c r="L809" s="207"/>
      <c r="M809" s="207"/>
      <c r="N809" s="207"/>
      <c r="O809" s="207"/>
      <c r="P809" s="207"/>
      <c r="Q809" s="207"/>
      <c r="R809" s="207"/>
      <c r="S809" s="207"/>
      <c r="T809" s="207"/>
      <c r="U809" s="207"/>
      <c r="V809" s="207"/>
      <c r="W809" s="207"/>
      <c r="X809" s="207"/>
      <c r="Y809" s="207"/>
      <c r="Z809" s="207"/>
      <c r="AA809" s="207"/>
      <c r="AB809" s="207"/>
      <c r="AC809" s="207"/>
      <c r="AD809" s="207"/>
      <c r="AE809" s="207"/>
      <c r="AF809" s="207"/>
      <c r="AG809" s="207"/>
      <c r="AH809" s="207"/>
      <c r="AI809" s="207"/>
      <c r="AJ809" s="207"/>
      <c r="AK809" s="207"/>
      <c r="AL809" s="207"/>
      <c r="AM809" s="207"/>
      <c r="AN809" s="207"/>
      <c r="AO809" s="207"/>
      <c r="AP809" s="207"/>
      <c r="AQ809" s="207"/>
      <c r="AR809" s="207"/>
      <c r="AS809" s="207"/>
      <c r="AT809" s="207"/>
      <c r="AU809" s="207"/>
      <c r="AV809" s="207"/>
      <c r="AW809" s="207"/>
      <c r="AX809" s="207"/>
      <c r="AY809" s="207"/>
      <c r="AZ809" s="207"/>
      <c r="BA809" s="207"/>
    </row>
    <row r="810" ht="18.75" hidden="1" customHeight="1">
      <c r="A810" s="207"/>
      <c r="B810" s="207"/>
      <c r="C810" s="207"/>
      <c r="D810" s="207"/>
      <c r="E810" s="207"/>
      <c r="F810" s="207"/>
      <c r="G810" s="207"/>
      <c r="H810" s="207"/>
      <c r="I810" s="207"/>
      <c r="J810" s="207"/>
      <c r="K810" s="207"/>
      <c r="L810" s="207"/>
      <c r="M810" s="207"/>
      <c r="N810" s="207"/>
      <c r="O810" s="207"/>
      <c r="P810" s="207"/>
      <c r="Q810" s="207"/>
      <c r="R810" s="207"/>
      <c r="S810" s="207"/>
      <c r="T810" s="207"/>
      <c r="U810" s="207"/>
      <c r="V810" s="207"/>
      <c r="W810" s="207"/>
      <c r="X810" s="207"/>
      <c r="Y810" s="207"/>
      <c r="Z810" s="207"/>
      <c r="AA810" s="207"/>
      <c r="AB810" s="207"/>
      <c r="AC810" s="207"/>
      <c r="AD810" s="207"/>
      <c r="AE810" s="207"/>
      <c r="AF810" s="207"/>
      <c r="AG810" s="207"/>
      <c r="AH810" s="207"/>
      <c r="AI810" s="207"/>
      <c r="AJ810" s="207"/>
      <c r="AK810" s="207"/>
      <c r="AL810" s="207"/>
      <c r="AM810" s="207"/>
      <c r="AN810" s="207"/>
      <c r="AO810" s="207"/>
      <c r="AP810" s="207"/>
      <c r="AQ810" s="207"/>
      <c r="AR810" s="207"/>
      <c r="AS810" s="207"/>
      <c r="AT810" s="207"/>
      <c r="AU810" s="207"/>
      <c r="AV810" s="207"/>
      <c r="AW810" s="207"/>
      <c r="AX810" s="207"/>
      <c r="AY810" s="207"/>
      <c r="AZ810" s="207"/>
      <c r="BA810" s="207"/>
    </row>
    <row r="811" ht="18.75" hidden="1" customHeight="1">
      <c r="A811" s="207"/>
      <c r="B811" s="207"/>
      <c r="C811" s="207"/>
      <c r="D811" s="207"/>
      <c r="E811" s="207"/>
      <c r="F811" s="207"/>
      <c r="G811" s="207"/>
      <c r="H811" s="207"/>
      <c r="I811" s="207"/>
      <c r="J811" s="207"/>
      <c r="K811" s="207"/>
      <c r="L811" s="207"/>
      <c r="M811" s="207"/>
      <c r="N811" s="207"/>
      <c r="O811" s="207"/>
      <c r="P811" s="207"/>
      <c r="Q811" s="207"/>
      <c r="R811" s="207"/>
      <c r="S811" s="207"/>
      <c r="T811" s="207"/>
      <c r="U811" s="207"/>
      <c r="V811" s="207"/>
      <c r="W811" s="207"/>
      <c r="X811" s="207"/>
      <c r="Y811" s="207"/>
      <c r="Z811" s="207"/>
      <c r="AA811" s="207"/>
      <c r="AB811" s="207"/>
      <c r="AC811" s="207"/>
      <c r="AD811" s="207"/>
      <c r="AE811" s="207"/>
      <c r="AF811" s="207"/>
      <c r="AG811" s="207"/>
      <c r="AH811" s="207"/>
      <c r="AI811" s="207"/>
      <c r="AJ811" s="207"/>
      <c r="AK811" s="207"/>
      <c r="AL811" s="207"/>
      <c r="AM811" s="207"/>
      <c r="AN811" s="207"/>
      <c r="AO811" s="207"/>
      <c r="AP811" s="207"/>
      <c r="AQ811" s="207"/>
      <c r="AR811" s="207"/>
      <c r="AS811" s="207"/>
      <c r="AT811" s="207"/>
      <c r="AU811" s="207"/>
      <c r="AV811" s="207"/>
      <c r="AW811" s="207"/>
      <c r="AX811" s="207"/>
      <c r="AY811" s="207"/>
      <c r="AZ811" s="207"/>
      <c r="BA811" s="207"/>
    </row>
    <row r="812" ht="18.75" hidden="1" customHeight="1">
      <c r="A812" s="207"/>
      <c r="B812" s="207"/>
      <c r="C812" s="207"/>
      <c r="D812" s="207"/>
      <c r="E812" s="207"/>
      <c r="F812" s="207"/>
      <c r="G812" s="207"/>
      <c r="H812" s="207"/>
      <c r="I812" s="207"/>
      <c r="J812" s="207"/>
      <c r="K812" s="207"/>
      <c r="L812" s="207"/>
      <c r="M812" s="207"/>
      <c r="N812" s="207"/>
      <c r="O812" s="207"/>
      <c r="P812" s="207"/>
      <c r="Q812" s="207"/>
      <c r="R812" s="207"/>
      <c r="S812" s="207"/>
      <c r="T812" s="207"/>
      <c r="U812" s="207"/>
      <c r="V812" s="207"/>
      <c r="W812" s="207"/>
      <c r="X812" s="207"/>
      <c r="Y812" s="207"/>
      <c r="Z812" s="207"/>
      <c r="AA812" s="207"/>
      <c r="AB812" s="207"/>
      <c r="AC812" s="207"/>
      <c r="AD812" s="207"/>
      <c r="AE812" s="207"/>
      <c r="AF812" s="207"/>
      <c r="AG812" s="207"/>
      <c r="AH812" s="207"/>
      <c r="AI812" s="207"/>
      <c r="AJ812" s="207"/>
      <c r="AK812" s="207"/>
      <c r="AL812" s="207"/>
      <c r="AM812" s="207"/>
      <c r="AN812" s="207"/>
      <c r="AO812" s="207"/>
      <c r="AP812" s="207"/>
      <c r="AQ812" s="207"/>
      <c r="AR812" s="207"/>
      <c r="AS812" s="207"/>
      <c r="AT812" s="207"/>
      <c r="AU812" s="207"/>
      <c r="AV812" s="207"/>
      <c r="AW812" s="207"/>
      <c r="AX812" s="207"/>
      <c r="AY812" s="207"/>
      <c r="AZ812" s="207"/>
      <c r="BA812" s="207"/>
    </row>
    <row r="813" ht="18.75" hidden="1" customHeight="1">
      <c r="A813" s="207"/>
      <c r="B813" s="207"/>
      <c r="C813" s="207"/>
      <c r="D813" s="207"/>
      <c r="E813" s="207"/>
      <c r="F813" s="207"/>
      <c r="G813" s="207"/>
      <c r="H813" s="207"/>
      <c r="I813" s="207"/>
      <c r="J813" s="207"/>
      <c r="K813" s="207"/>
      <c r="L813" s="207"/>
      <c r="M813" s="207"/>
      <c r="N813" s="207"/>
      <c r="O813" s="207"/>
      <c r="P813" s="207"/>
      <c r="Q813" s="207"/>
      <c r="R813" s="207"/>
      <c r="S813" s="207"/>
      <c r="T813" s="207"/>
      <c r="U813" s="207"/>
      <c r="V813" s="207"/>
      <c r="W813" s="207"/>
      <c r="X813" s="207"/>
      <c r="Y813" s="207"/>
      <c r="Z813" s="207"/>
      <c r="AA813" s="207"/>
      <c r="AB813" s="207"/>
      <c r="AC813" s="207"/>
      <c r="AD813" s="207"/>
      <c r="AE813" s="207"/>
      <c r="AF813" s="207"/>
      <c r="AG813" s="207"/>
      <c r="AH813" s="207"/>
      <c r="AI813" s="207"/>
      <c r="AJ813" s="207"/>
      <c r="AK813" s="207"/>
      <c r="AL813" s="207"/>
      <c r="AM813" s="207"/>
      <c r="AN813" s="207"/>
      <c r="AO813" s="207"/>
      <c r="AP813" s="207"/>
      <c r="AQ813" s="207"/>
      <c r="AR813" s="207"/>
      <c r="AS813" s="207"/>
      <c r="AT813" s="207"/>
      <c r="AU813" s="207"/>
      <c r="AV813" s="207"/>
      <c r="AW813" s="207"/>
      <c r="AX813" s="207"/>
      <c r="AY813" s="207"/>
      <c r="AZ813" s="207"/>
      <c r="BA813" s="207"/>
    </row>
    <row r="814" ht="18.75" hidden="1" customHeight="1">
      <c r="A814" s="207"/>
      <c r="B814" s="207"/>
      <c r="C814" s="207"/>
      <c r="D814" s="207"/>
      <c r="E814" s="207"/>
      <c r="F814" s="207"/>
      <c r="G814" s="207"/>
      <c r="H814" s="207"/>
      <c r="I814" s="207"/>
      <c r="J814" s="207"/>
      <c r="K814" s="207"/>
      <c r="L814" s="207"/>
      <c r="M814" s="207"/>
      <c r="N814" s="207"/>
      <c r="O814" s="207"/>
      <c r="P814" s="207"/>
      <c r="Q814" s="207"/>
      <c r="R814" s="207"/>
      <c r="S814" s="207"/>
      <c r="T814" s="207"/>
      <c r="U814" s="207"/>
      <c r="V814" s="207"/>
      <c r="W814" s="207"/>
      <c r="X814" s="207"/>
      <c r="Y814" s="207"/>
      <c r="Z814" s="207"/>
      <c r="AA814" s="207"/>
      <c r="AB814" s="207"/>
      <c r="AC814" s="207"/>
      <c r="AD814" s="207"/>
      <c r="AE814" s="207"/>
      <c r="AF814" s="207"/>
      <c r="AG814" s="207"/>
      <c r="AH814" s="207"/>
      <c r="AI814" s="207"/>
      <c r="AJ814" s="207"/>
      <c r="AK814" s="207"/>
      <c r="AL814" s="207"/>
      <c r="AM814" s="207"/>
      <c r="AN814" s="207"/>
      <c r="AO814" s="207"/>
      <c r="AP814" s="207"/>
      <c r="AQ814" s="207"/>
      <c r="AR814" s="207"/>
      <c r="AS814" s="207"/>
      <c r="AT814" s="207"/>
      <c r="AU814" s="207"/>
      <c r="AV814" s="207"/>
      <c r="AW814" s="207"/>
      <c r="AX814" s="207"/>
      <c r="AY814" s="207"/>
      <c r="AZ814" s="207"/>
      <c r="BA814" s="207"/>
    </row>
    <row r="815" ht="18.75" hidden="1" customHeight="1">
      <c r="A815" s="207"/>
      <c r="B815" s="207"/>
      <c r="C815" s="207"/>
      <c r="D815" s="207"/>
      <c r="E815" s="207"/>
      <c r="F815" s="207"/>
      <c r="G815" s="207"/>
      <c r="H815" s="207"/>
      <c r="I815" s="207"/>
      <c r="J815" s="207"/>
      <c r="K815" s="207"/>
      <c r="L815" s="207"/>
      <c r="M815" s="207"/>
      <c r="N815" s="207"/>
      <c r="O815" s="207"/>
      <c r="P815" s="207"/>
      <c r="Q815" s="207"/>
      <c r="R815" s="207"/>
      <c r="S815" s="207"/>
      <c r="T815" s="207"/>
      <c r="U815" s="207"/>
      <c r="V815" s="207"/>
      <c r="W815" s="207"/>
      <c r="X815" s="207"/>
      <c r="Y815" s="207"/>
      <c r="Z815" s="207"/>
      <c r="AA815" s="207"/>
      <c r="AB815" s="207"/>
      <c r="AC815" s="207"/>
      <c r="AD815" s="207"/>
      <c r="AE815" s="207"/>
      <c r="AF815" s="207"/>
      <c r="AG815" s="207"/>
      <c r="AH815" s="207"/>
      <c r="AI815" s="207"/>
      <c r="AJ815" s="207"/>
      <c r="AK815" s="207"/>
      <c r="AL815" s="207"/>
      <c r="AM815" s="207"/>
      <c r="AN815" s="207"/>
      <c r="AO815" s="207"/>
      <c r="AP815" s="207"/>
      <c r="AQ815" s="207"/>
      <c r="AR815" s="207"/>
      <c r="AS815" s="207"/>
      <c r="AT815" s="207"/>
      <c r="AU815" s="207"/>
      <c r="AV815" s="207"/>
      <c r="AW815" s="207"/>
      <c r="AX815" s="207"/>
      <c r="AY815" s="207"/>
      <c r="AZ815" s="207"/>
      <c r="BA815" s="207"/>
    </row>
    <row r="816" ht="18.75" hidden="1" customHeight="1">
      <c r="A816" s="207"/>
      <c r="B816" s="207"/>
      <c r="C816" s="207"/>
      <c r="D816" s="207"/>
      <c r="E816" s="207"/>
      <c r="F816" s="207"/>
      <c r="G816" s="207"/>
      <c r="H816" s="207"/>
      <c r="I816" s="207"/>
      <c r="J816" s="207"/>
      <c r="K816" s="207"/>
      <c r="L816" s="207"/>
      <c r="M816" s="207"/>
      <c r="N816" s="207"/>
      <c r="O816" s="207"/>
      <c r="P816" s="207"/>
      <c r="Q816" s="207"/>
      <c r="R816" s="207"/>
      <c r="S816" s="207"/>
      <c r="T816" s="207"/>
      <c r="U816" s="207"/>
      <c r="V816" s="207"/>
      <c r="W816" s="207"/>
      <c r="X816" s="207"/>
      <c r="Y816" s="207"/>
      <c r="Z816" s="207"/>
      <c r="AA816" s="207"/>
      <c r="AB816" s="207"/>
      <c r="AC816" s="207"/>
      <c r="AD816" s="207"/>
      <c r="AE816" s="207"/>
      <c r="AF816" s="207"/>
      <c r="AG816" s="207"/>
      <c r="AH816" s="207"/>
      <c r="AI816" s="207"/>
      <c r="AJ816" s="207"/>
      <c r="AK816" s="207"/>
      <c r="AL816" s="207"/>
      <c r="AM816" s="207"/>
      <c r="AN816" s="207"/>
      <c r="AO816" s="207"/>
      <c r="AP816" s="207"/>
      <c r="AQ816" s="207"/>
      <c r="AR816" s="207"/>
      <c r="AS816" s="207"/>
      <c r="AT816" s="207"/>
      <c r="AU816" s="207"/>
      <c r="AV816" s="207"/>
      <c r="AW816" s="207"/>
      <c r="AX816" s="207"/>
      <c r="AY816" s="207"/>
      <c r="AZ816" s="207"/>
      <c r="BA816" s="207"/>
    </row>
    <row r="817" ht="18.75" hidden="1" customHeight="1">
      <c r="A817" s="207"/>
      <c r="B817" s="207"/>
      <c r="C817" s="207"/>
      <c r="D817" s="207"/>
      <c r="E817" s="207"/>
      <c r="F817" s="207"/>
      <c r="G817" s="207"/>
      <c r="H817" s="207"/>
      <c r="I817" s="207"/>
      <c r="J817" s="207"/>
      <c r="K817" s="207"/>
      <c r="L817" s="207"/>
      <c r="M817" s="207"/>
      <c r="N817" s="207"/>
      <c r="O817" s="207"/>
      <c r="P817" s="207"/>
      <c r="Q817" s="207"/>
      <c r="R817" s="207"/>
      <c r="S817" s="207"/>
      <c r="T817" s="207"/>
      <c r="U817" s="207"/>
      <c r="V817" s="207"/>
      <c r="W817" s="207"/>
      <c r="X817" s="207"/>
      <c r="Y817" s="207"/>
      <c r="Z817" s="207"/>
      <c r="AA817" s="207"/>
      <c r="AB817" s="207"/>
      <c r="AC817" s="207"/>
      <c r="AD817" s="207"/>
      <c r="AE817" s="207"/>
      <c r="AF817" s="207"/>
      <c r="AG817" s="207"/>
      <c r="AH817" s="207"/>
      <c r="AI817" s="207"/>
      <c r="AJ817" s="207"/>
      <c r="AK817" s="207"/>
      <c r="AL817" s="207"/>
      <c r="AM817" s="207"/>
      <c r="AN817" s="207"/>
      <c r="AO817" s="207"/>
      <c r="AP817" s="207"/>
      <c r="AQ817" s="207"/>
      <c r="AR817" s="207"/>
      <c r="AS817" s="207"/>
      <c r="AT817" s="207"/>
      <c r="AU817" s="207"/>
      <c r="AV817" s="207"/>
      <c r="AW817" s="207"/>
      <c r="AX817" s="207"/>
      <c r="AY817" s="207"/>
      <c r="AZ817" s="207"/>
      <c r="BA817" s="207"/>
    </row>
    <row r="818" ht="18.75" hidden="1" customHeight="1">
      <c r="A818" s="207"/>
      <c r="B818" s="207"/>
      <c r="C818" s="207"/>
      <c r="D818" s="207"/>
      <c r="E818" s="207"/>
      <c r="F818" s="207"/>
      <c r="G818" s="207"/>
      <c r="H818" s="207"/>
      <c r="I818" s="207"/>
      <c r="J818" s="207"/>
      <c r="K818" s="207"/>
      <c r="L818" s="207"/>
      <c r="M818" s="207"/>
      <c r="N818" s="207"/>
      <c r="O818" s="207"/>
      <c r="P818" s="207"/>
      <c r="Q818" s="207"/>
      <c r="R818" s="207"/>
      <c r="S818" s="207"/>
      <c r="T818" s="207"/>
      <c r="U818" s="207"/>
      <c r="V818" s="207"/>
      <c r="W818" s="207"/>
      <c r="X818" s="207"/>
      <c r="Y818" s="207"/>
      <c r="Z818" s="207"/>
      <c r="AA818" s="207"/>
      <c r="AB818" s="207"/>
      <c r="AC818" s="207"/>
      <c r="AD818" s="207"/>
      <c r="AE818" s="207"/>
      <c r="AF818" s="207"/>
      <c r="AG818" s="207"/>
      <c r="AH818" s="207"/>
      <c r="AI818" s="207"/>
      <c r="AJ818" s="207"/>
      <c r="AK818" s="207"/>
      <c r="AL818" s="207"/>
      <c r="AM818" s="207"/>
      <c r="AN818" s="207"/>
      <c r="AO818" s="207"/>
      <c r="AP818" s="207"/>
      <c r="AQ818" s="207"/>
      <c r="AR818" s="207"/>
      <c r="AS818" s="207"/>
      <c r="AT818" s="207"/>
      <c r="AU818" s="207"/>
      <c r="AV818" s="207"/>
      <c r="AW818" s="207"/>
      <c r="AX818" s="207"/>
      <c r="AY818" s="207"/>
      <c r="AZ818" s="207"/>
      <c r="BA818" s="207"/>
    </row>
    <row r="819" ht="18.75" hidden="1" customHeight="1">
      <c r="A819" s="207"/>
      <c r="B819" s="207"/>
      <c r="C819" s="207"/>
      <c r="D819" s="207"/>
      <c r="E819" s="207"/>
      <c r="F819" s="207"/>
      <c r="G819" s="207"/>
      <c r="H819" s="207"/>
      <c r="I819" s="207"/>
      <c r="J819" s="207"/>
      <c r="K819" s="207"/>
      <c r="L819" s="207"/>
      <c r="M819" s="207"/>
      <c r="N819" s="207"/>
      <c r="O819" s="207"/>
      <c r="P819" s="207"/>
      <c r="Q819" s="207"/>
      <c r="R819" s="207"/>
      <c r="S819" s="207"/>
      <c r="T819" s="207"/>
      <c r="U819" s="207"/>
      <c r="V819" s="207"/>
      <c r="W819" s="207"/>
      <c r="X819" s="207"/>
      <c r="Y819" s="207"/>
      <c r="Z819" s="207"/>
      <c r="AA819" s="207"/>
      <c r="AB819" s="207"/>
      <c r="AC819" s="207"/>
      <c r="AD819" s="207"/>
      <c r="AE819" s="207"/>
      <c r="AF819" s="207"/>
      <c r="AG819" s="207"/>
      <c r="AH819" s="207"/>
      <c r="AI819" s="207"/>
      <c r="AJ819" s="207"/>
      <c r="AK819" s="207"/>
      <c r="AL819" s="207"/>
      <c r="AM819" s="207"/>
      <c r="AN819" s="207"/>
      <c r="AO819" s="207"/>
      <c r="AP819" s="207"/>
      <c r="AQ819" s="207"/>
      <c r="AR819" s="207"/>
      <c r="AS819" s="207"/>
      <c r="AT819" s="207"/>
      <c r="AU819" s="207"/>
      <c r="AV819" s="207"/>
      <c r="AW819" s="207"/>
      <c r="AX819" s="207"/>
      <c r="AY819" s="207"/>
      <c r="AZ819" s="207"/>
      <c r="BA819" s="207"/>
    </row>
    <row r="820" ht="18.75" hidden="1" customHeight="1">
      <c r="A820" s="207"/>
      <c r="B820" s="207"/>
      <c r="C820" s="207"/>
      <c r="D820" s="207"/>
      <c r="E820" s="207"/>
      <c r="F820" s="207"/>
      <c r="G820" s="207"/>
      <c r="H820" s="207"/>
      <c r="I820" s="207"/>
      <c r="J820" s="207"/>
      <c r="K820" s="207"/>
      <c r="L820" s="207"/>
      <c r="M820" s="207"/>
      <c r="N820" s="207"/>
      <c r="O820" s="207"/>
      <c r="P820" s="207"/>
      <c r="Q820" s="207"/>
      <c r="R820" s="207"/>
      <c r="S820" s="207"/>
      <c r="T820" s="207"/>
      <c r="U820" s="207"/>
      <c r="V820" s="207"/>
      <c r="W820" s="207"/>
      <c r="X820" s="207"/>
      <c r="Y820" s="207"/>
      <c r="Z820" s="207"/>
      <c r="AA820" s="207"/>
      <c r="AB820" s="207"/>
      <c r="AC820" s="207"/>
      <c r="AD820" s="207"/>
      <c r="AE820" s="207"/>
      <c r="AF820" s="207"/>
      <c r="AG820" s="207"/>
      <c r="AH820" s="207"/>
      <c r="AI820" s="207"/>
      <c r="AJ820" s="207"/>
      <c r="AK820" s="207"/>
      <c r="AL820" s="207"/>
      <c r="AM820" s="207"/>
      <c r="AN820" s="207"/>
      <c r="AO820" s="207"/>
      <c r="AP820" s="207"/>
      <c r="AQ820" s="207"/>
      <c r="AR820" s="207"/>
      <c r="AS820" s="207"/>
      <c r="AT820" s="207"/>
      <c r="AU820" s="207"/>
      <c r="AV820" s="207"/>
      <c r="AW820" s="207"/>
      <c r="AX820" s="207"/>
      <c r="AY820" s="207"/>
      <c r="AZ820" s="207"/>
      <c r="BA820" s="207"/>
    </row>
    <row r="821" ht="18.75" hidden="1" customHeight="1">
      <c r="A821" s="207"/>
      <c r="B821" s="207"/>
      <c r="C821" s="207"/>
      <c r="D821" s="207"/>
      <c r="E821" s="207"/>
      <c r="F821" s="207"/>
      <c r="G821" s="207"/>
      <c r="H821" s="207"/>
      <c r="I821" s="207"/>
      <c r="J821" s="207"/>
      <c r="K821" s="207"/>
      <c r="L821" s="207"/>
      <c r="M821" s="207"/>
      <c r="N821" s="207"/>
      <c r="O821" s="207"/>
      <c r="P821" s="207"/>
      <c r="Q821" s="207"/>
      <c r="R821" s="207"/>
      <c r="S821" s="207"/>
      <c r="T821" s="207"/>
      <c r="U821" s="207"/>
      <c r="V821" s="207"/>
      <c r="W821" s="207"/>
      <c r="X821" s="207"/>
      <c r="Y821" s="207"/>
      <c r="Z821" s="207"/>
      <c r="AA821" s="207"/>
      <c r="AB821" s="207"/>
      <c r="AC821" s="207"/>
      <c r="AD821" s="207"/>
      <c r="AE821" s="207"/>
      <c r="AF821" s="207"/>
      <c r="AG821" s="207"/>
      <c r="AH821" s="207"/>
      <c r="AI821" s="207"/>
      <c r="AJ821" s="207"/>
      <c r="AK821" s="207"/>
      <c r="AL821" s="207"/>
      <c r="AM821" s="207"/>
      <c r="AN821" s="207"/>
      <c r="AO821" s="207"/>
      <c r="AP821" s="207"/>
      <c r="AQ821" s="207"/>
      <c r="AR821" s="207"/>
      <c r="AS821" s="207"/>
      <c r="AT821" s="207"/>
      <c r="AU821" s="207"/>
      <c r="AV821" s="207"/>
      <c r="AW821" s="207"/>
      <c r="AX821" s="207"/>
      <c r="AY821" s="207"/>
      <c r="AZ821" s="207"/>
      <c r="BA821" s="207"/>
    </row>
    <row r="822" ht="18.75" hidden="1" customHeight="1">
      <c r="A822" s="207"/>
      <c r="B822" s="207"/>
      <c r="C822" s="207"/>
      <c r="D822" s="207"/>
      <c r="E822" s="207"/>
      <c r="F822" s="207"/>
      <c r="G822" s="207"/>
      <c r="H822" s="207"/>
      <c r="I822" s="207"/>
      <c r="J822" s="207"/>
      <c r="K822" s="207"/>
      <c r="L822" s="207"/>
      <c r="M822" s="207"/>
      <c r="N822" s="207"/>
      <c r="O822" s="207"/>
      <c r="P822" s="207"/>
      <c r="Q822" s="207"/>
      <c r="R822" s="207"/>
      <c r="S822" s="207"/>
      <c r="T822" s="207"/>
      <c r="U822" s="207"/>
      <c r="V822" s="207"/>
      <c r="W822" s="207"/>
      <c r="X822" s="207"/>
      <c r="Y822" s="207"/>
      <c r="Z822" s="207"/>
      <c r="AA822" s="207"/>
      <c r="AB822" s="207"/>
      <c r="AC822" s="207"/>
      <c r="AD822" s="207"/>
      <c r="AE822" s="207"/>
      <c r="AF822" s="207"/>
      <c r="AG822" s="207"/>
      <c r="AH822" s="207"/>
      <c r="AI822" s="207"/>
      <c r="AJ822" s="207"/>
      <c r="AK822" s="207"/>
      <c r="AL822" s="207"/>
      <c r="AM822" s="207"/>
      <c r="AN822" s="207"/>
      <c r="AO822" s="207"/>
      <c r="AP822" s="207"/>
      <c r="AQ822" s="207"/>
      <c r="AR822" s="207"/>
      <c r="AS822" s="207"/>
      <c r="AT822" s="207"/>
      <c r="AU822" s="207"/>
      <c r="AV822" s="207"/>
      <c r="AW822" s="207"/>
      <c r="AX822" s="207"/>
      <c r="AY822" s="207"/>
      <c r="AZ822" s="207"/>
      <c r="BA822" s="207"/>
    </row>
    <row r="823" ht="18.75" hidden="1" customHeight="1">
      <c r="A823" s="207"/>
      <c r="B823" s="207"/>
      <c r="C823" s="207"/>
      <c r="D823" s="207"/>
      <c r="E823" s="207"/>
      <c r="F823" s="207"/>
      <c r="G823" s="207"/>
      <c r="H823" s="207"/>
      <c r="I823" s="207"/>
      <c r="J823" s="207"/>
      <c r="K823" s="207"/>
      <c r="L823" s="207"/>
      <c r="M823" s="207"/>
      <c r="N823" s="207"/>
      <c r="O823" s="207"/>
      <c r="P823" s="207"/>
      <c r="Q823" s="207"/>
      <c r="R823" s="207"/>
      <c r="S823" s="207"/>
      <c r="T823" s="207"/>
      <c r="U823" s="207"/>
      <c r="V823" s="207"/>
      <c r="W823" s="207"/>
      <c r="X823" s="207"/>
      <c r="Y823" s="207"/>
      <c r="Z823" s="207"/>
      <c r="AA823" s="207"/>
      <c r="AB823" s="207"/>
      <c r="AC823" s="207"/>
      <c r="AD823" s="207"/>
      <c r="AE823" s="207"/>
      <c r="AF823" s="207"/>
      <c r="AG823" s="207"/>
      <c r="AH823" s="207"/>
      <c r="AI823" s="207"/>
      <c r="AJ823" s="207"/>
      <c r="AK823" s="207"/>
      <c r="AL823" s="207"/>
      <c r="AM823" s="207"/>
      <c r="AN823" s="207"/>
      <c r="AO823" s="207"/>
      <c r="AP823" s="207"/>
      <c r="AQ823" s="207"/>
      <c r="AR823" s="207"/>
      <c r="AS823" s="207"/>
      <c r="AT823" s="207"/>
      <c r="AU823" s="207"/>
      <c r="AV823" s="207"/>
      <c r="AW823" s="207"/>
      <c r="AX823" s="207"/>
      <c r="AY823" s="207"/>
      <c r="AZ823" s="207"/>
      <c r="BA823" s="207"/>
    </row>
    <row r="824" ht="18.75" hidden="1" customHeight="1">
      <c r="A824" s="207"/>
      <c r="B824" s="207"/>
      <c r="C824" s="207"/>
      <c r="D824" s="207"/>
      <c r="E824" s="207"/>
      <c r="F824" s="207"/>
      <c r="G824" s="207"/>
      <c r="H824" s="207"/>
      <c r="I824" s="207"/>
      <c r="J824" s="207"/>
      <c r="K824" s="207"/>
      <c r="L824" s="207"/>
      <c r="M824" s="207"/>
      <c r="N824" s="207"/>
      <c r="O824" s="207"/>
      <c r="P824" s="207"/>
      <c r="Q824" s="207"/>
      <c r="R824" s="207"/>
      <c r="S824" s="207"/>
      <c r="T824" s="207"/>
      <c r="U824" s="207"/>
      <c r="V824" s="207"/>
      <c r="W824" s="207"/>
      <c r="X824" s="207"/>
      <c r="Y824" s="207"/>
      <c r="Z824" s="207"/>
      <c r="AA824" s="207"/>
      <c r="AB824" s="207"/>
      <c r="AC824" s="207"/>
      <c r="AD824" s="207"/>
      <c r="AE824" s="207"/>
      <c r="AF824" s="207"/>
      <c r="AG824" s="207"/>
      <c r="AH824" s="207"/>
      <c r="AI824" s="207"/>
      <c r="AJ824" s="207"/>
      <c r="AK824" s="207"/>
      <c r="AL824" s="207"/>
      <c r="AM824" s="207"/>
      <c r="AN824" s="207"/>
      <c r="AO824" s="207"/>
      <c r="AP824" s="207"/>
      <c r="AQ824" s="207"/>
      <c r="AR824" s="207"/>
      <c r="AS824" s="207"/>
      <c r="AT824" s="207"/>
      <c r="AU824" s="207"/>
      <c r="AV824" s="207"/>
      <c r="AW824" s="207"/>
      <c r="AX824" s="207"/>
      <c r="AY824" s="207"/>
      <c r="AZ824" s="207"/>
      <c r="BA824" s="207"/>
    </row>
    <row r="825" ht="18.75" hidden="1" customHeight="1">
      <c r="A825" s="207"/>
      <c r="B825" s="207"/>
      <c r="C825" s="207"/>
      <c r="D825" s="207"/>
      <c r="E825" s="207"/>
      <c r="F825" s="207"/>
      <c r="G825" s="207"/>
      <c r="H825" s="207"/>
      <c r="I825" s="207"/>
      <c r="J825" s="207"/>
      <c r="K825" s="207"/>
      <c r="L825" s="207"/>
      <c r="M825" s="207"/>
      <c r="N825" s="207"/>
      <c r="O825" s="207"/>
      <c r="P825" s="207"/>
      <c r="Q825" s="207"/>
      <c r="R825" s="207"/>
      <c r="S825" s="207"/>
      <c r="T825" s="207"/>
      <c r="U825" s="207"/>
      <c r="V825" s="207"/>
      <c r="W825" s="207"/>
      <c r="X825" s="207"/>
      <c r="Y825" s="207"/>
      <c r="Z825" s="207"/>
      <c r="AA825" s="207"/>
      <c r="AB825" s="207"/>
      <c r="AC825" s="207"/>
      <c r="AD825" s="207"/>
      <c r="AE825" s="207"/>
      <c r="AF825" s="207"/>
      <c r="AG825" s="207"/>
      <c r="AH825" s="207"/>
      <c r="AI825" s="207"/>
      <c r="AJ825" s="207"/>
      <c r="AK825" s="207"/>
      <c r="AL825" s="207"/>
      <c r="AM825" s="207"/>
      <c r="AN825" s="207"/>
      <c r="AO825" s="207"/>
      <c r="AP825" s="207"/>
      <c r="AQ825" s="207"/>
      <c r="AR825" s="207"/>
      <c r="AS825" s="207"/>
      <c r="AT825" s="207"/>
      <c r="AU825" s="207"/>
      <c r="AV825" s="207"/>
      <c r="AW825" s="207"/>
      <c r="AX825" s="207"/>
      <c r="AY825" s="207"/>
      <c r="AZ825" s="207"/>
      <c r="BA825" s="207"/>
    </row>
    <row r="826" ht="18.75" hidden="1" customHeight="1">
      <c r="A826" s="207"/>
      <c r="B826" s="207"/>
      <c r="C826" s="207"/>
      <c r="D826" s="207"/>
      <c r="E826" s="207"/>
      <c r="F826" s="207"/>
      <c r="G826" s="207"/>
      <c r="H826" s="207"/>
      <c r="I826" s="207"/>
      <c r="J826" s="207"/>
      <c r="K826" s="207"/>
      <c r="L826" s="207"/>
      <c r="M826" s="207"/>
      <c r="N826" s="207"/>
      <c r="O826" s="207"/>
      <c r="P826" s="207"/>
      <c r="Q826" s="207"/>
      <c r="R826" s="207"/>
      <c r="S826" s="207"/>
      <c r="T826" s="207"/>
      <c r="U826" s="207"/>
      <c r="V826" s="207"/>
      <c r="W826" s="207"/>
      <c r="X826" s="207"/>
      <c r="Y826" s="207"/>
      <c r="Z826" s="207"/>
      <c r="AA826" s="207"/>
      <c r="AB826" s="207"/>
      <c r="AC826" s="207"/>
      <c r="AD826" s="207"/>
      <c r="AE826" s="207"/>
      <c r="AF826" s="207"/>
      <c r="AG826" s="207"/>
      <c r="AH826" s="207"/>
      <c r="AI826" s="207"/>
      <c r="AJ826" s="207"/>
      <c r="AK826" s="207"/>
      <c r="AL826" s="207"/>
      <c r="AM826" s="207"/>
      <c r="AN826" s="207"/>
      <c r="AO826" s="207"/>
      <c r="AP826" s="207"/>
      <c r="AQ826" s="207"/>
      <c r="AR826" s="207"/>
      <c r="AS826" s="207"/>
      <c r="AT826" s="207"/>
      <c r="AU826" s="207"/>
      <c r="AV826" s="207"/>
      <c r="AW826" s="207"/>
      <c r="AX826" s="207"/>
      <c r="AY826" s="207"/>
      <c r="AZ826" s="207"/>
      <c r="BA826" s="207"/>
    </row>
    <row r="827" ht="18.75" hidden="1" customHeight="1">
      <c r="A827" s="207"/>
      <c r="B827" s="207"/>
      <c r="C827" s="207"/>
      <c r="D827" s="207"/>
      <c r="E827" s="207"/>
      <c r="F827" s="207"/>
      <c r="G827" s="207"/>
      <c r="H827" s="207"/>
      <c r="I827" s="207"/>
      <c r="J827" s="207"/>
      <c r="K827" s="207"/>
      <c r="L827" s="207"/>
      <c r="M827" s="207"/>
      <c r="N827" s="207"/>
      <c r="O827" s="207"/>
      <c r="P827" s="207"/>
      <c r="Q827" s="207"/>
      <c r="R827" s="207"/>
      <c r="S827" s="207"/>
      <c r="T827" s="207"/>
      <c r="U827" s="207"/>
      <c r="V827" s="207"/>
      <c r="W827" s="207"/>
      <c r="X827" s="207"/>
      <c r="Y827" s="207"/>
      <c r="Z827" s="207"/>
      <c r="AA827" s="207"/>
      <c r="AB827" s="207"/>
      <c r="AC827" s="207"/>
      <c r="AD827" s="207"/>
      <c r="AE827" s="207"/>
      <c r="AF827" s="207"/>
      <c r="AG827" s="207"/>
      <c r="AH827" s="207"/>
      <c r="AI827" s="207"/>
      <c r="AJ827" s="207"/>
      <c r="AK827" s="207"/>
      <c r="AL827" s="207"/>
      <c r="AM827" s="207"/>
      <c r="AN827" s="207"/>
      <c r="AO827" s="207"/>
      <c r="AP827" s="207"/>
      <c r="AQ827" s="207"/>
      <c r="AR827" s="207"/>
      <c r="AS827" s="207"/>
      <c r="AT827" s="207"/>
      <c r="AU827" s="207"/>
      <c r="AV827" s="207"/>
      <c r="AW827" s="207"/>
      <c r="AX827" s="207"/>
      <c r="AY827" s="207"/>
      <c r="AZ827" s="207"/>
      <c r="BA827" s="207"/>
    </row>
    <row r="828" ht="18.75" hidden="1" customHeight="1">
      <c r="A828" s="207"/>
      <c r="B828" s="207"/>
      <c r="C828" s="207"/>
      <c r="D828" s="207"/>
      <c r="E828" s="207"/>
      <c r="F828" s="207"/>
      <c r="G828" s="207"/>
      <c r="H828" s="207"/>
      <c r="I828" s="207"/>
      <c r="J828" s="207"/>
      <c r="K828" s="207"/>
      <c r="L828" s="207"/>
      <c r="M828" s="207"/>
      <c r="N828" s="207"/>
      <c r="O828" s="207"/>
      <c r="P828" s="207"/>
      <c r="Q828" s="207"/>
      <c r="R828" s="207"/>
      <c r="S828" s="207"/>
      <c r="T828" s="207"/>
      <c r="U828" s="207"/>
      <c r="V828" s="207"/>
      <c r="W828" s="207"/>
      <c r="X828" s="207"/>
      <c r="Y828" s="207"/>
      <c r="Z828" s="207"/>
      <c r="AA828" s="207"/>
      <c r="AB828" s="207"/>
      <c r="AC828" s="207"/>
      <c r="AD828" s="207"/>
      <c r="AE828" s="207"/>
      <c r="AF828" s="207"/>
      <c r="AG828" s="207"/>
      <c r="AH828" s="207"/>
      <c r="AI828" s="207"/>
      <c r="AJ828" s="207"/>
      <c r="AK828" s="207"/>
      <c r="AL828" s="207"/>
      <c r="AM828" s="207"/>
      <c r="AN828" s="207"/>
      <c r="AO828" s="207"/>
      <c r="AP828" s="207"/>
      <c r="AQ828" s="207"/>
      <c r="AR828" s="207"/>
      <c r="AS828" s="207"/>
      <c r="AT828" s="207"/>
      <c r="AU828" s="207"/>
      <c r="AV828" s="207"/>
      <c r="AW828" s="207"/>
      <c r="AX828" s="207"/>
      <c r="AY828" s="207"/>
      <c r="AZ828" s="207"/>
      <c r="BA828" s="207"/>
    </row>
    <row r="829" ht="18.75" hidden="1" customHeight="1">
      <c r="A829" s="207"/>
      <c r="B829" s="207"/>
      <c r="C829" s="207"/>
      <c r="D829" s="207"/>
      <c r="E829" s="207"/>
      <c r="F829" s="207"/>
      <c r="G829" s="207"/>
      <c r="H829" s="207"/>
      <c r="I829" s="207"/>
      <c r="J829" s="207"/>
      <c r="K829" s="207"/>
      <c r="L829" s="207"/>
      <c r="M829" s="207"/>
      <c r="N829" s="207"/>
      <c r="O829" s="207"/>
      <c r="P829" s="207"/>
      <c r="Q829" s="207"/>
      <c r="R829" s="207"/>
      <c r="S829" s="207"/>
      <c r="T829" s="207"/>
      <c r="U829" s="207"/>
      <c r="V829" s="207"/>
      <c r="W829" s="207"/>
      <c r="X829" s="207"/>
      <c r="Y829" s="207"/>
      <c r="Z829" s="207"/>
      <c r="AA829" s="207"/>
      <c r="AB829" s="207"/>
      <c r="AC829" s="207"/>
      <c r="AD829" s="207"/>
      <c r="AE829" s="207"/>
      <c r="AF829" s="207"/>
      <c r="AG829" s="207"/>
      <c r="AH829" s="207"/>
      <c r="AI829" s="207"/>
      <c r="AJ829" s="207"/>
      <c r="AK829" s="207"/>
      <c r="AL829" s="207"/>
      <c r="AM829" s="207"/>
      <c r="AN829" s="207"/>
      <c r="AO829" s="207"/>
      <c r="AP829" s="207"/>
      <c r="AQ829" s="207"/>
      <c r="AR829" s="207"/>
      <c r="AS829" s="207"/>
      <c r="AT829" s="207"/>
      <c r="AU829" s="207"/>
      <c r="AV829" s="207"/>
      <c r="AW829" s="207"/>
      <c r="AX829" s="207"/>
      <c r="AY829" s="207"/>
      <c r="AZ829" s="207"/>
      <c r="BA829" s="207"/>
    </row>
    <row r="830" ht="18.75" hidden="1" customHeight="1">
      <c r="A830" s="207"/>
      <c r="B830" s="207"/>
      <c r="C830" s="207"/>
      <c r="D830" s="207"/>
      <c r="E830" s="207"/>
      <c r="F830" s="207"/>
      <c r="G830" s="207"/>
      <c r="H830" s="207"/>
      <c r="I830" s="207"/>
      <c r="J830" s="207"/>
      <c r="K830" s="207"/>
      <c r="L830" s="207"/>
      <c r="M830" s="207"/>
      <c r="N830" s="207"/>
      <c r="O830" s="207"/>
      <c r="P830" s="207"/>
      <c r="Q830" s="207"/>
      <c r="R830" s="207"/>
      <c r="S830" s="207"/>
      <c r="T830" s="207"/>
      <c r="U830" s="207"/>
      <c r="V830" s="207"/>
      <c r="W830" s="207"/>
      <c r="X830" s="207"/>
      <c r="Y830" s="207"/>
      <c r="Z830" s="207"/>
      <c r="AA830" s="207"/>
      <c r="AB830" s="207"/>
      <c r="AC830" s="207"/>
      <c r="AD830" s="207"/>
      <c r="AE830" s="207"/>
      <c r="AF830" s="207"/>
      <c r="AG830" s="207"/>
      <c r="AH830" s="207"/>
      <c r="AI830" s="207"/>
      <c r="AJ830" s="207"/>
      <c r="AK830" s="207"/>
      <c r="AL830" s="207"/>
      <c r="AM830" s="207"/>
      <c r="AN830" s="207"/>
      <c r="AO830" s="207"/>
      <c r="AP830" s="207"/>
      <c r="AQ830" s="207"/>
      <c r="AR830" s="207"/>
      <c r="AS830" s="207"/>
      <c r="AT830" s="207"/>
      <c r="AU830" s="207"/>
      <c r="AV830" s="207"/>
      <c r="AW830" s="207"/>
      <c r="AX830" s="207"/>
      <c r="AY830" s="207"/>
      <c r="AZ830" s="207"/>
      <c r="BA830" s="207"/>
    </row>
    <row r="831" ht="18.75" hidden="1" customHeight="1">
      <c r="A831" s="207"/>
      <c r="B831" s="207"/>
      <c r="C831" s="207"/>
      <c r="D831" s="207"/>
      <c r="E831" s="207"/>
      <c r="F831" s="207"/>
      <c r="G831" s="207"/>
      <c r="H831" s="207"/>
      <c r="I831" s="207"/>
      <c r="J831" s="207"/>
      <c r="K831" s="207"/>
      <c r="L831" s="207"/>
      <c r="M831" s="207"/>
      <c r="N831" s="207"/>
      <c r="O831" s="207"/>
      <c r="P831" s="207"/>
      <c r="Q831" s="207"/>
      <c r="R831" s="207"/>
      <c r="S831" s="207"/>
      <c r="T831" s="207"/>
      <c r="U831" s="207"/>
      <c r="V831" s="207"/>
      <c r="W831" s="207"/>
      <c r="X831" s="207"/>
      <c r="Y831" s="207"/>
      <c r="Z831" s="207"/>
      <c r="AA831" s="207"/>
      <c r="AB831" s="207"/>
      <c r="AC831" s="207"/>
      <c r="AD831" s="207"/>
      <c r="AE831" s="207"/>
      <c r="AF831" s="207"/>
      <c r="AG831" s="207"/>
      <c r="AH831" s="207"/>
      <c r="AI831" s="207"/>
      <c r="AJ831" s="207"/>
      <c r="AK831" s="207"/>
      <c r="AL831" s="207"/>
      <c r="AM831" s="207"/>
      <c r="AN831" s="207"/>
      <c r="AO831" s="207"/>
      <c r="AP831" s="207"/>
      <c r="AQ831" s="207"/>
      <c r="AR831" s="207"/>
      <c r="AS831" s="207"/>
      <c r="AT831" s="207"/>
      <c r="AU831" s="207"/>
      <c r="AV831" s="207"/>
      <c r="AW831" s="207"/>
      <c r="AX831" s="207"/>
      <c r="AY831" s="207"/>
      <c r="AZ831" s="207"/>
      <c r="BA831" s="207"/>
    </row>
    <row r="832" ht="18.75" hidden="1" customHeight="1">
      <c r="A832" s="207"/>
      <c r="B832" s="207"/>
      <c r="C832" s="207"/>
      <c r="D832" s="207"/>
      <c r="E832" s="207"/>
      <c r="F832" s="207"/>
      <c r="G832" s="207"/>
      <c r="H832" s="207"/>
      <c r="I832" s="207"/>
      <c r="J832" s="207"/>
      <c r="K832" s="207"/>
      <c r="L832" s="207"/>
      <c r="M832" s="207"/>
      <c r="N832" s="207"/>
      <c r="O832" s="207"/>
      <c r="P832" s="207"/>
      <c r="Q832" s="207"/>
      <c r="R832" s="207"/>
      <c r="S832" s="207"/>
      <c r="T832" s="207"/>
      <c r="U832" s="207"/>
      <c r="V832" s="207"/>
      <c r="W832" s="207"/>
      <c r="X832" s="207"/>
      <c r="Y832" s="207"/>
      <c r="Z832" s="207"/>
      <c r="AA832" s="207"/>
      <c r="AB832" s="207"/>
      <c r="AC832" s="207"/>
      <c r="AD832" s="207"/>
      <c r="AE832" s="207"/>
      <c r="AF832" s="207"/>
      <c r="AG832" s="207"/>
      <c r="AH832" s="207"/>
      <c r="AI832" s="207"/>
      <c r="AJ832" s="207"/>
      <c r="AK832" s="207"/>
      <c r="AL832" s="207"/>
      <c r="AM832" s="207"/>
      <c r="AN832" s="207"/>
      <c r="AO832" s="207"/>
      <c r="AP832" s="207"/>
      <c r="AQ832" s="207"/>
      <c r="AR832" s="207"/>
      <c r="AS832" s="207"/>
      <c r="AT832" s="207"/>
      <c r="AU832" s="207"/>
      <c r="AV832" s="207"/>
      <c r="AW832" s="207"/>
      <c r="AX832" s="207"/>
      <c r="AY832" s="207"/>
      <c r="AZ832" s="207"/>
      <c r="BA832" s="207"/>
    </row>
    <row r="833" ht="18.75" hidden="1" customHeight="1">
      <c r="A833" s="207"/>
      <c r="B833" s="207"/>
      <c r="C833" s="207"/>
      <c r="D833" s="207"/>
      <c r="E833" s="207"/>
      <c r="F833" s="207"/>
      <c r="G833" s="207"/>
      <c r="H833" s="207"/>
      <c r="I833" s="207"/>
      <c r="J833" s="207"/>
      <c r="K833" s="207"/>
      <c r="L833" s="207"/>
      <c r="M833" s="207"/>
      <c r="N833" s="207"/>
      <c r="O833" s="207"/>
      <c r="P833" s="207"/>
      <c r="Q833" s="207"/>
      <c r="R833" s="207"/>
      <c r="S833" s="207"/>
      <c r="T833" s="207"/>
      <c r="U833" s="207"/>
      <c r="V833" s="207"/>
      <c r="W833" s="207"/>
      <c r="X833" s="207"/>
      <c r="Y833" s="207"/>
      <c r="Z833" s="207"/>
      <c r="AA833" s="207"/>
      <c r="AB833" s="207"/>
      <c r="AC833" s="207"/>
      <c r="AD833" s="207"/>
      <c r="AE833" s="207"/>
      <c r="AF833" s="207"/>
      <c r="AG833" s="207"/>
      <c r="AH833" s="207"/>
      <c r="AI833" s="207"/>
      <c r="AJ833" s="207"/>
      <c r="AK833" s="207"/>
      <c r="AL833" s="207"/>
      <c r="AM833" s="207"/>
      <c r="AN833" s="207"/>
      <c r="AO833" s="207"/>
      <c r="AP833" s="207"/>
      <c r="AQ833" s="207"/>
      <c r="AR833" s="207"/>
      <c r="AS833" s="207"/>
      <c r="AT833" s="207"/>
      <c r="AU833" s="207"/>
      <c r="AV833" s="207"/>
      <c r="AW833" s="207"/>
      <c r="AX833" s="207"/>
      <c r="AY833" s="207"/>
      <c r="AZ833" s="207"/>
      <c r="BA833" s="207"/>
    </row>
    <row r="834" ht="18.75" hidden="1" customHeight="1">
      <c r="A834" s="207"/>
      <c r="B834" s="207"/>
      <c r="C834" s="207"/>
      <c r="D834" s="207"/>
      <c r="E834" s="207"/>
      <c r="F834" s="207"/>
      <c r="G834" s="207"/>
      <c r="H834" s="207"/>
      <c r="I834" s="207"/>
      <c r="J834" s="207"/>
      <c r="K834" s="207"/>
      <c r="L834" s="207"/>
      <c r="M834" s="207"/>
      <c r="N834" s="207"/>
      <c r="O834" s="207"/>
      <c r="P834" s="207"/>
      <c r="Q834" s="207"/>
      <c r="R834" s="207"/>
      <c r="S834" s="207"/>
      <c r="T834" s="207"/>
      <c r="U834" s="207"/>
      <c r="V834" s="207"/>
      <c r="W834" s="207"/>
      <c r="X834" s="207"/>
      <c r="Y834" s="207"/>
      <c r="Z834" s="207"/>
      <c r="AA834" s="207"/>
      <c r="AB834" s="207"/>
      <c r="AC834" s="207"/>
      <c r="AD834" s="207"/>
      <c r="AE834" s="207"/>
      <c r="AF834" s="207"/>
      <c r="AG834" s="207"/>
      <c r="AH834" s="207"/>
      <c r="AI834" s="207"/>
      <c r="AJ834" s="207"/>
      <c r="AK834" s="207"/>
      <c r="AL834" s="207"/>
      <c r="AM834" s="207"/>
      <c r="AN834" s="207"/>
      <c r="AO834" s="207"/>
      <c r="AP834" s="207"/>
      <c r="AQ834" s="207"/>
      <c r="AR834" s="207"/>
      <c r="AS834" s="207"/>
      <c r="AT834" s="207"/>
      <c r="AU834" s="207"/>
      <c r="AV834" s="207"/>
      <c r="AW834" s="207"/>
      <c r="AX834" s="207"/>
      <c r="AY834" s="207"/>
      <c r="AZ834" s="207"/>
      <c r="BA834" s="207"/>
    </row>
    <row r="835" ht="18.75" hidden="1" customHeight="1">
      <c r="A835" s="207"/>
      <c r="B835" s="207"/>
      <c r="C835" s="207"/>
      <c r="D835" s="207"/>
      <c r="E835" s="207"/>
      <c r="F835" s="207"/>
      <c r="G835" s="207"/>
      <c r="H835" s="207"/>
      <c r="I835" s="207"/>
      <c r="J835" s="207"/>
      <c r="K835" s="207"/>
      <c r="L835" s="207"/>
      <c r="M835" s="207"/>
      <c r="N835" s="207"/>
      <c r="O835" s="207"/>
      <c r="P835" s="207"/>
      <c r="Q835" s="207"/>
      <c r="R835" s="207"/>
      <c r="S835" s="207"/>
      <c r="T835" s="207"/>
      <c r="U835" s="207"/>
      <c r="V835" s="207"/>
      <c r="W835" s="207"/>
      <c r="X835" s="207"/>
      <c r="Y835" s="207"/>
      <c r="Z835" s="207"/>
      <c r="AA835" s="207"/>
      <c r="AB835" s="207"/>
      <c r="AC835" s="207"/>
      <c r="AD835" s="207"/>
      <c r="AE835" s="207"/>
      <c r="AF835" s="207"/>
      <c r="AG835" s="207"/>
      <c r="AH835" s="207"/>
      <c r="AI835" s="207"/>
      <c r="AJ835" s="207"/>
      <c r="AK835" s="207"/>
      <c r="AL835" s="207"/>
      <c r="AM835" s="207"/>
      <c r="AN835" s="207"/>
      <c r="AO835" s="207"/>
      <c r="AP835" s="207"/>
      <c r="AQ835" s="207"/>
      <c r="AR835" s="207"/>
      <c r="AS835" s="207"/>
      <c r="AT835" s="207"/>
      <c r="AU835" s="207"/>
      <c r="AV835" s="207"/>
      <c r="AW835" s="207"/>
      <c r="AX835" s="207"/>
      <c r="AY835" s="207"/>
      <c r="AZ835" s="207"/>
      <c r="BA835" s="207"/>
    </row>
    <row r="836" ht="18.75" hidden="1" customHeight="1">
      <c r="A836" s="207"/>
      <c r="B836" s="207"/>
      <c r="C836" s="207"/>
      <c r="D836" s="207"/>
      <c r="E836" s="207"/>
      <c r="F836" s="207"/>
      <c r="G836" s="207"/>
      <c r="H836" s="207"/>
      <c r="I836" s="207"/>
      <c r="J836" s="207"/>
      <c r="K836" s="207"/>
      <c r="L836" s="207"/>
      <c r="M836" s="207"/>
      <c r="N836" s="207"/>
      <c r="O836" s="207"/>
      <c r="P836" s="207"/>
      <c r="Q836" s="207"/>
      <c r="R836" s="207"/>
      <c r="S836" s="207"/>
      <c r="T836" s="207"/>
      <c r="U836" s="207"/>
      <c r="V836" s="207"/>
      <c r="W836" s="207"/>
      <c r="X836" s="207"/>
      <c r="Y836" s="207"/>
      <c r="Z836" s="207"/>
      <c r="AA836" s="207"/>
      <c r="AB836" s="207"/>
      <c r="AC836" s="207"/>
      <c r="AD836" s="207"/>
      <c r="AE836" s="207"/>
      <c r="AF836" s="207"/>
      <c r="AG836" s="207"/>
      <c r="AH836" s="207"/>
      <c r="AI836" s="207"/>
      <c r="AJ836" s="207"/>
      <c r="AK836" s="207"/>
      <c r="AL836" s="207"/>
      <c r="AM836" s="207"/>
      <c r="AN836" s="207"/>
      <c r="AO836" s="207"/>
      <c r="AP836" s="207"/>
      <c r="AQ836" s="207"/>
      <c r="AR836" s="207"/>
      <c r="AS836" s="207"/>
      <c r="AT836" s="207"/>
      <c r="AU836" s="207"/>
      <c r="AV836" s="207"/>
      <c r="AW836" s="207"/>
      <c r="AX836" s="207"/>
      <c r="AY836" s="207"/>
      <c r="AZ836" s="207"/>
      <c r="BA836" s="207"/>
    </row>
    <row r="837" ht="18.75" hidden="1" customHeight="1">
      <c r="A837" s="207"/>
      <c r="B837" s="207"/>
      <c r="C837" s="207"/>
      <c r="D837" s="207"/>
      <c r="E837" s="207"/>
      <c r="F837" s="207"/>
      <c r="G837" s="207"/>
      <c r="H837" s="207"/>
      <c r="I837" s="207"/>
      <c r="J837" s="207"/>
      <c r="K837" s="207"/>
      <c r="L837" s="207"/>
      <c r="M837" s="207"/>
      <c r="N837" s="207"/>
      <c r="O837" s="207"/>
      <c r="P837" s="207"/>
      <c r="Q837" s="207"/>
      <c r="R837" s="207"/>
      <c r="S837" s="207"/>
      <c r="T837" s="207"/>
      <c r="U837" s="207"/>
      <c r="V837" s="207"/>
      <c r="W837" s="207"/>
      <c r="X837" s="207"/>
      <c r="Y837" s="207"/>
      <c r="Z837" s="207"/>
      <c r="AA837" s="207"/>
      <c r="AB837" s="207"/>
      <c r="AC837" s="207"/>
      <c r="AD837" s="207"/>
      <c r="AE837" s="207"/>
      <c r="AF837" s="207"/>
      <c r="AG837" s="207"/>
      <c r="AH837" s="207"/>
      <c r="AI837" s="207"/>
      <c r="AJ837" s="207"/>
      <c r="AK837" s="207"/>
      <c r="AL837" s="207"/>
      <c r="AM837" s="207"/>
      <c r="AN837" s="207"/>
      <c r="AO837" s="207"/>
      <c r="AP837" s="207"/>
      <c r="AQ837" s="207"/>
      <c r="AR837" s="207"/>
      <c r="AS837" s="207"/>
      <c r="AT837" s="207"/>
      <c r="AU837" s="207"/>
      <c r="AV837" s="207"/>
      <c r="AW837" s="207"/>
      <c r="AX837" s="207"/>
      <c r="AY837" s="207"/>
      <c r="AZ837" s="207"/>
      <c r="BA837" s="207"/>
    </row>
    <row r="838" ht="18.75" hidden="1" customHeight="1">
      <c r="A838" s="207"/>
      <c r="B838" s="207"/>
      <c r="C838" s="207"/>
      <c r="D838" s="207"/>
      <c r="E838" s="207"/>
      <c r="F838" s="207"/>
      <c r="G838" s="207"/>
      <c r="H838" s="207"/>
      <c r="I838" s="207"/>
      <c r="J838" s="207"/>
      <c r="K838" s="207"/>
      <c r="L838" s="207"/>
      <c r="M838" s="207"/>
      <c r="N838" s="207"/>
      <c r="O838" s="207"/>
      <c r="P838" s="207"/>
      <c r="Q838" s="207"/>
      <c r="R838" s="207"/>
      <c r="S838" s="207"/>
      <c r="T838" s="207"/>
      <c r="U838" s="207"/>
      <c r="V838" s="207"/>
      <c r="W838" s="207"/>
      <c r="X838" s="207"/>
      <c r="Y838" s="207"/>
      <c r="Z838" s="207"/>
      <c r="AA838" s="207"/>
      <c r="AB838" s="207"/>
      <c r="AC838" s="207"/>
      <c r="AD838" s="207"/>
      <c r="AE838" s="207"/>
      <c r="AF838" s="207"/>
      <c r="AG838" s="207"/>
      <c r="AH838" s="207"/>
      <c r="AI838" s="207"/>
      <c r="AJ838" s="207"/>
      <c r="AK838" s="207"/>
      <c r="AL838" s="207"/>
      <c r="AM838" s="207"/>
      <c r="AN838" s="207"/>
      <c r="AO838" s="207"/>
      <c r="AP838" s="207"/>
      <c r="AQ838" s="207"/>
      <c r="AR838" s="207"/>
      <c r="AS838" s="207"/>
      <c r="AT838" s="207"/>
      <c r="AU838" s="207"/>
      <c r="AV838" s="207"/>
      <c r="AW838" s="207"/>
      <c r="AX838" s="207"/>
      <c r="AY838" s="207"/>
      <c r="AZ838" s="207"/>
      <c r="BA838" s="207"/>
    </row>
    <row r="839" ht="18.75" hidden="1" customHeight="1">
      <c r="A839" s="207"/>
      <c r="B839" s="207"/>
      <c r="C839" s="207"/>
      <c r="D839" s="207"/>
      <c r="E839" s="207"/>
      <c r="F839" s="207"/>
      <c r="G839" s="207"/>
      <c r="H839" s="207"/>
      <c r="I839" s="207"/>
      <c r="J839" s="207"/>
      <c r="K839" s="207"/>
      <c r="L839" s="207"/>
      <c r="M839" s="207"/>
      <c r="N839" s="207"/>
      <c r="O839" s="207"/>
      <c r="P839" s="207"/>
      <c r="Q839" s="207"/>
      <c r="R839" s="207"/>
      <c r="S839" s="207"/>
      <c r="T839" s="207"/>
      <c r="U839" s="207"/>
      <c r="V839" s="207"/>
      <c r="W839" s="207"/>
      <c r="X839" s="207"/>
      <c r="Y839" s="207"/>
      <c r="Z839" s="207"/>
      <c r="AA839" s="207"/>
      <c r="AB839" s="207"/>
      <c r="AC839" s="207"/>
      <c r="AD839" s="207"/>
      <c r="AE839" s="207"/>
      <c r="AF839" s="207"/>
      <c r="AG839" s="207"/>
      <c r="AH839" s="207"/>
      <c r="AI839" s="207"/>
      <c r="AJ839" s="207"/>
      <c r="AK839" s="207"/>
      <c r="AL839" s="207"/>
      <c r="AM839" s="207"/>
      <c r="AN839" s="207"/>
      <c r="AO839" s="207"/>
      <c r="AP839" s="207"/>
      <c r="AQ839" s="207"/>
      <c r="AR839" s="207"/>
      <c r="AS839" s="207"/>
      <c r="AT839" s="207"/>
      <c r="AU839" s="207"/>
      <c r="AV839" s="207"/>
      <c r="AW839" s="207"/>
      <c r="AX839" s="207"/>
      <c r="AY839" s="207"/>
      <c r="AZ839" s="207"/>
      <c r="BA839" s="207"/>
    </row>
    <row r="840" ht="18.75" hidden="1" customHeight="1">
      <c r="A840" s="207"/>
      <c r="B840" s="207"/>
      <c r="C840" s="207"/>
      <c r="D840" s="207"/>
      <c r="E840" s="207"/>
      <c r="F840" s="207"/>
      <c r="G840" s="207"/>
      <c r="H840" s="207"/>
      <c r="I840" s="207"/>
      <c r="J840" s="207"/>
      <c r="K840" s="207"/>
      <c r="L840" s="207"/>
      <c r="M840" s="207"/>
      <c r="N840" s="207"/>
      <c r="O840" s="207"/>
      <c r="P840" s="207"/>
      <c r="Q840" s="207"/>
      <c r="R840" s="207"/>
      <c r="S840" s="207"/>
      <c r="T840" s="207"/>
      <c r="U840" s="207"/>
      <c r="V840" s="207"/>
      <c r="W840" s="207"/>
      <c r="X840" s="207"/>
      <c r="Y840" s="207"/>
      <c r="Z840" s="207"/>
      <c r="AA840" s="207"/>
      <c r="AB840" s="207"/>
      <c r="AC840" s="207"/>
      <c r="AD840" s="207"/>
      <c r="AE840" s="207"/>
      <c r="AF840" s="207"/>
      <c r="AG840" s="207"/>
      <c r="AH840" s="207"/>
      <c r="AI840" s="207"/>
      <c r="AJ840" s="207"/>
      <c r="AK840" s="207"/>
      <c r="AL840" s="207"/>
      <c r="AM840" s="207"/>
      <c r="AN840" s="207"/>
      <c r="AO840" s="207"/>
      <c r="AP840" s="207"/>
      <c r="AQ840" s="207"/>
      <c r="AR840" s="207"/>
      <c r="AS840" s="207"/>
      <c r="AT840" s="207"/>
      <c r="AU840" s="207"/>
      <c r="AV840" s="207"/>
      <c r="AW840" s="207"/>
      <c r="AX840" s="207"/>
      <c r="AY840" s="207"/>
      <c r="AZ840" s="207"/>
      <c r="BA840" s="207"/>
    </row>
    <row r="841" ht="18.75" hidden="1" customHeight="1">
      <c r="A841" s="207"/>
      <c r="B841" s="207"/>
      <c r="C841" s="207"/>
      <c r="D841" s="207"/>
      <c r="E841" s="207"/>
      <c r="F841" s="207"/>
      <c r="G841" s="207"/>
      <c r="H841" s="207"/>
      <c r="I841" s="207"/>
      <c r="J841" s="207"/>
      <c r="K841" s="207"/>
      <c r="L841" s="207"/>
      <c r="M841" s="207"/>
      <c r="N841" s="207"/>
      <c r="O841" s="207"/>
      <c r="P841" s="207"/>
      <c r="Q841" s="207"/>
      <c r="R841" s="207"/>
      <c r="S841" s="207"/>
      <c r="T841" s="207"/>
      <c r="U841" s="207"/>
      <c r="V841" s="207"/>
      <c r="W841" s="207"/>
      <c r="X841" s="207"/>
      <c r="Y841" s="207"/>
      <c r="Z841" s="207"/>
      <c r="AA841" s="207"/>
      <c r="AB841" s="207"/>
      <c r="AC841" s="207"/>
      <c r="AD841" s="207"/>
      <c r="AE841" s="207"/>
      <c r="AF841" s="207"/>
      <c r="AG841" s="207"/>
      <c r="AH841" s="207"/>
      <c r="AI841" s="207"/>
      <c r="AJ841" s="207"/>
      <c r="AK841" s="207"/>
      <c r="AL841" s="207"/>
      <c r="AM841" s="207"/>
      <c r="AN841" s="207"/>
      <c r="AO841" s="207"/>
      <c r="AP841" s="207"/>
      <c r="AQ841" s="207"/>
      <c r="AR841" s="207"/>
      <c r="AS841" s="207"/>
      <c r="AT841" s="207"/>
      <c r="AU841" s="207"/>
      <c r="AV841" s="207"/>
      <c r="AW841" s="207"/>
      <c r="AX841" s="207"/>
      <c r="AY841" s="207"/>
      <c r="AZ841" s="207"/>
      <c r="BA841" s="207"/>
    </row>
    <row r="842" ht="18.75" hidden="1" customHeight="1">
      <c r="A842" s="207"/>
      <c r="B842" s="207"/>
      <c r="C842" s="207"/>
      <c r="D842" s="207"/>
      <c r="E842" s="207"/>
      <c r="F842" s="207"/>
      <c r="G842" s="207"/>
      <c r="H842" s="207"/>
      <c r="I842" s="207"/>
      <c r="J842" s="207"/>
      <c r="K842" s="207"/>
      <c r="L842" s="207"/>
      <c r="M842" s="207"/>
      <c r="N842" s="207"/>
      <c r="O842" s="207"/>
      <c r="P842" s="207"/>
      <c r="Q842" s="207"/>
      <c r="R842" s="207"/>
      <c r="S842" s="207"/>
      <c r="T842" s="207"/>
      <c r="U842" s="207"/>
      <c r="V842" s="207"/>
      <c r="W842" s="207"/>
      <c r="X842" s="207"/>
      <c r="Y842" s="207"/>
      <c r="Z842" s="207"/>
      <c r="AA842" s="207"/>
      <c r="AB842" s="207"/>
      <c r="AC842" s="207"/>
      <c r="AD842" s="207"/>
      <c r="AE842" s="207"/>
      <c r="AF842" s="207"/>
      <c r="AG842" s="207"/>
      <c r="AH842" s="207"/>
      <c r="AI842" s="207"/>
      <c r="AJ842" s="207"/>
      <c r="AK842" s="207"/>
      <c r="AL842" s="207"/>
      <c r="AM842" s="207"/>
      <c r="AN842" s="207"/>
      <c r="AO842" s="207"/>
      <c r="AP842" s="207"/>
      <c r="AQ842" s="207"/>
      <c r="AR842" s="207"/>
      <c r="AS842" s="207"/>
      <c r="AT842" s="207"/>
      <c r="AU842" s="207"/>
      <c r="AV842" s="207"/>
      <c r="AW842" s="207"/>
      <c r="AX842" s="207"/>
      <c r="AY842" s="207"/>
      <c r="AZ842" s="207"/>
      <c r="BA842" s="207"/>
    </row>
    <row r="843" ht="18.75" hidden="1" customHeight="1">
      <c r="A843" s="207"/>
      <c r="B843" s="207"/>
      <c r="C843" s="207"/>
      <c r="D843" s="207"/>
      <c r="E843" s="207"/>
      <c r="F843" s="207"/>
      <c r="G843" s="207"/>
      <c r="H843" s="207"/>
      <c r="I843" s="207"/>
      <c r="J843" s="207"/>
      <c r="K843" s="207"/>
      <c r="L843" s="207"/>
      <c r="M843" s="207"/>
      <c r="N843" s="207"/>
      <c r="O843" s="207"/>
      <c r="P843" s="207"/>
      <c r="Q843" s="207"/>
      <c r="R843" s="207"/>
      <c r="S843" s="207"/>
      <c r="T843" s="207"/>
      <c r="U843" s="207"/>
      <c r="V843" s="207"/>
      <c r="W843" s="207"/>
      <c r="X843" s="207"/>
      <c r="Y843" s="207"/>
      <c r="Z843" s="207"/>
      <c r="AA843" s="207"/>
      <c r="AB843" s="207"/>
      <c r="AC843" s="207"/>
      <c r="AD843" s="207"/>
      <c r="AE843" s="207"/>
      <c r="AF843" s="207"/>
      <c r="AG843" s="207"/>
      <c r="AH843" s="207"/>
      <c r="AI843" s="207"/>
      <c r="AJ843" s="207"/>
      <c r="AK843" s="207"/>
      <c r="AL843" s="207"/>
      <c r="AM843" s="207"/>
      <c r="AN843" s="207"/>
      <c r="AO843" s="207"/>
      <c r="AP843" s="207"/>
      <c r="AQ843" s="207"/>
      <c r="AR843" s="207"/>
      <c r="AS843" s="207"/>
      <c r="AT843" s="207"/>
      <c r="AU843" s="207"/>
      <c r="AV843" s="207"/>
      <c r="AW843" s="207"/>
      <c r="AX843" s="207"/>
      <c r="AY843" s="207"/>
      <c r="AZ843" s="207"/>
      <c r="BA843" s="207"/>
    </row>
    <row r="844" ht="18.75" hidden="1" customHeight="1">
      <c r="A844" s="207"/>
      <c r="B844" s="207"/>
      <c r="C844" s="207"/>
      <c r="D844" s="207"/>
      <c r="E844" s="207"/>
      <c r="F844" s="207"/>
      <c r="G844" s="207"/>
      <c r="H844" s="207"/>
      <c r="I844" s="207"/>
      <c r="J844" s="207"/>
      <c r="K844" s="207"/>
      <c r="L844" s="207"/>
      <c r="M844" s="207"/>
      <c r="N844" s="207"/>
      <c r="O844" s="207"/>
      <c r="P844" s="207"/>
      <c r="Q844" s="207"/>
      <c r="R844" s="207"/>
      <c r="S844" s="207"/>
      <c r="T844" s="207"/>
      <c r="U844" s="207"/>
      <c r="V844" s="207"/>
      <c r="W844" s="207"/>
      <c r="X844" s="207"/>
      <c r="Y844" s="207"/>
      <c r="Z844" s="207"/>
      <c r="AA844" s="207"/>
      <c r="AB844" s="207"/>
      <c r="AC844" s="207"/>
      <c r="AD844" s="207"/>
      <c r="AE844" s="207"/>
      <c r="AF844" s="207"/>
      <c r="AG844" s="207"/>
      <c r="AH844" s="207"/>
      <c r="AI844" s="207"/>
      <c r="AJ844" s="207"/>
      <c r="AK844" s="207"/>
      <c r="AL844" s="207"/>
      <c r="AM844" s="207"/>
      <c r="AN844" s="207"/>
      <c r="AO844" s="207"/>
      <c r="AP844" s="207"/>
      <c r="AQ844" s="207"/>
      <c r="AR844" s="207"/>
      <c r="AS844" s="207"/>
      <c r="AT844" s="207"/>
      <c r="AU844" s="207"/>
      <c r="AV844" s="207"/>
      <c r="AW844" s="207"/>
      <c r="AX844" s="207"/>
      <c r="AY844" s="207"/>
      <c r="AZ844" s="207"/>
      <c r="BA844" s="207"/>
    </row>
    <row r="845" ht="18.75" hidden="1" customHeight="1">
      <c r="A845" s="207"/>
      <c r="B845" s="207"/>
      <c r="C845" s="207"/>
      <c r="D845" s="207"/>
      <c r="E845" s="207"/>
      <c r="F845" s="207"/>
      <c r="G845" s="207"/>
      <c r="H845" s="207"/>
      <c r="I845" s="207"/>
      <c r="J845" s="207"/>
      <c r="K845" s="207"/>
      <c r="L845" s="207"/>
      <c r="M845" s="207"/>
      <c r="N845" s="207"/>
      <c r="O845" s="207"/>
      <c r="P845" s="207"/>
      <c r="Q845" s="207"/>
      <c r="R845" s="207"/>
      <c r="S845" s="207"/>
      <c r="T845" s="207"/>
      <c r="U845" s="207"/>
      <c r="V845" s="207"/>
      <c r="W845" s="207"/>
      <c r="X845" s="207"/>
      <c r="Y845" s="207"/>
      <c r="Z845" s="207"/>
      <c r="AA845" s="207"/>
      <c r="AB845" s="207"/>
      <c r="AC845" s="207"/>
      <c r="AD845" s="207"/>
      <c r="AE845" s="207"/>
      <c r="AF845" s="207"/>
      <c r="AG845" s="207"/>
      <c r="AH845" s="207"/>
      <c r="AI845" s="207"/>
      <c r="AJ845" s="207"/>
      <c r="AK845" s="207"/>
      <c r="AL845" s="207"/>
      <c r="AM845" s="207"/>
      <c r="AN845" s="207"/>
      <c r="AO845" s="207"/>
      <c r="AP845" s="207"/>
      <c r="AQ845" s="207"/>
      <c r="AR845" s="207"/>
      <c r="AS845" s="207"/>
      <c r="AT845" s="207"/>
      <c r="AU845" s="207"/>
      <c r="AV845" s="207"/>
      <c r="AW845" s="207"/>
      <c r="AX845" s="207"/>
      <c r="AY845" s="207"/>
      <c r="AZ845" s="207"/>
      <c r="BA845" s="207"/>
    </row>
    <row r="846" ht="18.75" hidden="1" customHeight="1">
      <c r="A846" s="207"/>
      <c r="B846" s="207"/>
      <c r="C846" s="207"/>
      <c r="D846" s="207"/>
      <c r="E846" s="207"/>
      <c r="F846" s="207"/>
      <c r="G846" s="207"/>
      <c r="H846" s="207"/>
      <c r="I846" s="207"/>
      <c r="J846" s="207"/>
      <c r="K846" s="207"/>
      <c r="L846" s="207"/>
      <c r="M846" s="207"/>
      <c r="N846" s="207"/>
      <c r="O846" s="207"/>
      <c r="P846" s="207"/>
      <c r="Q846" s="207"/>
      <c r="R846" s="207"/>
      <c r="S846" s="207"/>
      <c r="T846" s="207"/>
      <c r="U846" s="207"/>
      <c r="V846" s="207"/>
      <c r="W846" s="207"/>
      <c r="X846" s="207"/>
      <c r="Y846" s="207"/>
      <c r="Z846" s="207"/>
      <c r="AA846" s="207"/>
      <c r="AB846" s="207"/>
      <c r="AC846" s="207"/>
      <c r="AD846" s="207"/>
      <c r="AE846" s="207"/>
      <c r="AF846" s="207"/>
      <c r="AG846" s="207"/>
      <c r="AH846" s="207"/>
      <c r="AI846" s="207"/>
      <c r="AJ846" s="207"/>
      <c r="AK846" s="207"/>
      <c r="AL846" s="207"/>
      <c r="AM846" s="207"/>
      <c r="AN846" s="207"/>
      <c r="AO846" s="207"/>
      <c r="AP846" s="207"/>
      <c r="AQ846" s="207"/>
      <c r="AR846" s="207"/>
      <c r="AS846" s="207"/>
      <c r="AT846" s="207"/>
      <c r="AU846" s="207"/>
      <c r="AV846" s="207"/>
      <c r="AW846" s="207"/>
      <c r="AX846" s="207"/>
      <c r="AY846" s="207"/>
      <c r="AZ846" s="207"/>
      <c r="BA846" s="207"/>
    </row>
    <row r="847" ht="18.75" hidden="1" customHeight="1">
      <c r="A847" s="207"/>
      <c r="B847" s="207"/>
      <c r="C847" s="207"/>
      <c r="D847" s="207"/>
      <c r="E847" s="207"/>
      <c r="F847" s="207"/>
      <c r="G847" s="207"/>
      <c r="H847" s="207"/>
      <c r="I847" s="207"/>
      <c r="J847" s="207"/>
      <c r="K847" s="207"/>
      <c r="L847" s="207"/>
      <c r="M847" s="207"/>
      <c r="N847" s="207"/>
      <c r="O847" s="207"/>
      <c r="P847" s="207"/>
      <c r="Q847" s="207"/>
      <c r="R847" s="207"/>
      <c r="S847" s="207"/>
      <c r="T847" s="207"/>
      <c r="U847" s="207"/>
      <c r="V847" s="207"/>
      <c r="W847" s="207"/>
      <c r="X847" s="207"/>
      <c r="Y847" s="207"/>
      <c r="Z847" s="207"/>
      <c r="AA847" s="207"/>
      <c r="AB847" s="207"/>
      <c r="AC847" s="207"/>
      <c r="AD847" s="207"/>
      <c r="AE847" s="207"/>
      <c r="AF847" s="207"/>
      <c r="AG847" s="207"/>
      <c r="AH847" s="207"/>
      <c r="AI847" s="207"/>
      <c r="AJ847" s="207"/>
      <c r="AK847" s="207"/>
      <c r="AL847" s="207"/>
      <c r="AM847" s="207"/>
      <c r="AN847" s="207"/>
      <c r="AO847" s="207"/>
      <c r="AP847" s="207"/>
      <c r="AQ847" s="207"/>
      <c r="AR847" s="207"/>
      <c r="AS847" s="207"/>
      <c r="AT847" s="207"/>
      <c r="AU847" s="207"/>
      <c r="AV847" s="207"/>
      <c r="AW847" s="207"/>
      <c r="AX847" s="207"/>
      <c r="AY847" s="207"/>
      <c r="AZ847" s="207"/>
      <c r="BA847" s="207"/>
    </row>
    <row r="848" ht="18.75" hidden="1" customHeight="1">
      <c r="A848" s="207"/>
      <c r="B848" s="207"/>
      <c r="C848" s="207"/>
      <c r="D848" s="207"/>
      <c r="E848" s="207"/>
      <c r="F848" s="207"/>
      <c r="G848" s="207"/>
      <c r="H848" s="207"/>
      <c r="I848" s="207"/>
      <c r="J848" s="207"/>
      <c r="K848" s="207"/>
      <c r="L848" s="207"/>
      <c r="M848" s="207"/>
      <c r="N848" s="207"/>
      <c r="O848" s="207"/>
      <c r="P848" s="207"/>
      <c r="Q848" s="207"/>
      <c r="R848" s="207"/>
      <c r="S848" s="207"/>
      <c r="T848" s="207"/>
      <c r="U848" s="207"/>
      <c r="V848" s="207"/>
      <c r="W848" s="207"/>
      <c r="X848" s="207"/>
      <c r="Y848" s="207"/>
      <c r="Z848" s="207"/>
      <c r="AA848" s="207"/>
      <c r="AB848" s="207"/>
      <c r="AC848" s="207"/>
      <c r="AD848" s="207"/>
      <c r="AE848" s="207"/>
      <c r="AF848" s="207"/>
      <c r="AG848" s="207"/>
      <c r="AH848" s="207"/>
      <c r="AI848" s="207"/>
      <c r="AJ848" s="207"/>
      <c r="AK848" s="207"/>
      <c r="AL848" s="207"/>
      <c r="AM848" s="207"/>
      <c r="AN848" s="207"/>
      <c r="AO848" s="207"/>
      <c r="AP848" s="207"/>
      <c r="AQ848" s="207"/>
      <c r="AR848" s="207"/>
      <c r="AS848" s="207"/>
      <c r="AT848" s="207"/>
      <c r="AU848" s="207"/>
      <c r="AV848" s="207"/>
      <c r="AW848" s="207"/>
      <c r="AX848" s="207"/>
      <c r="AY848" s="207"/>
      <c r="AZ848" s="207"/>
      <c r="BA848" s="207"/>
    </row>
    <row r="849" ht="18.75" hidden="1" customHeight="1">
      <c r="A849" s="207"/>
      <c r="B849" s="207"/>
      <c r="C849" s="207"/>
      <c r="D849" s="207"/>
      <c r="E849" s="207"/>
      <c r="F849" s="207"/>
      <c r="G849" s="207"/>
      <c r="H849" s="207"/>
      <c r="I849" s="207"/>
      <c r="J849" s="207"/>
      <c r="K849" s="207"/>
      <c r="L849" s="207"/>
      <c r="M849" s="207"/>
      <c r="N849" s="207"/>
      <c r="O849" s="207"/>
      <c r="P849" s="207"/>
      <c r="Q849" s="207"/>
      <c r="R849" s="207"/>
      <c r="S849" s="207"/>
      <c r="T849" s="207"/>
      <c r="U849" s="207"/>
      <c r="V849" s="207"/>
      <c r="W849" s="207"/>
      <c r="X849" s="207"/>
      <c r="Y849" s="207"/>
      <c r="Z849" s="207"/>
      <c r="AA849" s="207"/>
      <c r="AB849" s="207"/>
      <c r="AC849" s="207"/>
      <c r="AD849" s="207"/>
      <c r="AE849" s="207"/>
      <c r="AF849" s="207"/>
      <c r="AG849" s="207"/>
      <c r="AH849" s="207"/>
      <c r="AI849" s="207"/>
      <c r="AJ849" s="207"/>
      <c r="AK849" s="207"/>
      <c r="AL849" s="207"/>
      <c r="AM849" s="207"/>
      <c r="AN849" s="207"/>
      <c r="AO849" s="207"/>
      <c r="AP849" s="207"/>
      <c r="AQ849" s="207"/>
      <c r="AR849" s="207"/>
      <c r="AS849" s="207"/>
      <c r="AT849" s="207"/>
      <c r="AU849" s="207"/>
      <c r="AV849" s="207"/>
      <c r="AW849" s="207"/>
      <c r="AX849" s="207"/>
      <c r="AY849" s="207"/>
      <c r="AZ849" s="207"/>
      <c r="BA849" s="207"/>
    </row>
    <row r="850" ht="18.75" hidden="1" customHeight="1">
      <c r="A850" s="207"/>
      <c r="B850" s="207"/>
      <c r="C850" s="207"/>
      <c r="D850" s="207"/>
      <c r="E850" s="207"/>
      <c r="F850" s="207"/>
      <c r="G850" s="207"/>
      <c r="H850" s="207"/>
      <c r="I850" s="207"/>
      <c r="J850" s="207"/>
      <c r="K850" s="207"/>
      <c r="L850" s="207"/>
      <c r="M850" s="207"/>
      <c r="N850" s="207"/>
      <c r="O850" s="207"/>
      <c r="P850" s="207"/>
      <c r="Q850" s="207"/>
      <c r="R850" s="207"/>
      <c r="S850" s="207"/>
      <c r="T850" s="207"/>
      <c r="U850" s="207"/>
      <c r="V850" s="207"/>
      <c r="W850" s="207"/>
      <c r="X850" s="207"/>
      <c r="Y850" s="207"/>
      <c r="Z850" s="207"/>
      <c r="AA850" s="207"/>
      <c r="AB850" s="207"/>
      <c r="AC850" s="207"/>
      <c r="AD850" s="207"/>
      <c r="AE850" s="207"/>
      <c r="AF850" s="207"/>
      <c r="AG850" s="207"/>
      <c r="AH850" s="207"/>
      <c r="AI850" s="207"/>
      <c r="AJ850" s="207"/>
      <c r="AK850" s="207"/>
      <c r="AL850" s="207"/>
      <c r="AM850" s="207"/>
      <c r="AN850" s="207"/>
      <c r="AO850" s="207"/>
      <c r="AP850" s="207"/>
      <c r="AQ850" s="207"/>
      <c r="AR850" s="207"/>
      <c r="AS850" s="207"/>
      <c r="AT850" s="207"/>
      <c r="AU850" s="207"/>
      <c r="AV850" s="207"/>
      <c r="AW850" s="207"/>
      <c r="AX850" s="207"/>
      <c r="AY850" s="207"/>
      <c r="AZ850" s="207"/>
      <c r="BA850" s="207"/>
    </row>
    <row r="851" ht="18.75" hidden="1" customHeight="1">
      <c r="A851" s="207"/>
      <c r="B851" s="207"/>
      <c r="C851" s="207"/>
      <c r="D851" s="207"/>
      <c r="E851" s="207"/>
      <c r="F851" s="207"/>
      <c r="G851" s="207"/>
      <c r="H851" s="207"/>
      <c r="I851" s="207"/>
      <c r="J851" s="207"/>
      <c r="K851" s="207"/>
      <c r="L851" s="207"/>
      <c r="M851" s="207"/>
      <c r="N851" s="207"/>
      <c r="O851" s="207"/>
      <c r="P851" s="207"/>
      <c r="Q851" s="207"/>
      <c r="R851" s="207"/>
      <c r="S851" s="207"/>
      <c r="T851" s="207"/>
      <c r="U851" s="207"/>
      <c r="V851" s="207"/>
      <c r="W851" s="207"/>
      <c r="X851" s="207"/>
      <c r="Y851" s="207"/>
      <c r="Z851" s="207"/>
      <c r="AA851" s="207"/>
      <c r="AB851" s="207"/>
      <c r="AC851" s="207"/>
      <c r="AD851" s="207"/>
      <c r="AE851" s="207"/>
      <c r="AF851" s="207"/>
      <c r="AG851" s="207"/>
      <c r="AH851" s="207"/>
      <c r="AI851" s="207"/>
      <c r="AJ851" s="207"/>
      <c r="AK851" s="207"/>
      <c r="AL851" s="207"/>
      <c r="AM851" s="207"/>
      <c r="AN851" s="207"/>
      <c r="AO851" s="207"/>
      <c r="AP851" s="207"/>
      <c r="AQ851" s="207"/>
      <c r="AR851" s="207"/>
      <c r="AS851" s="207"/>
      <c r="AT851" s="207"/>
      <c r="AU851" s="207"/>
      <c r="AV851" s="207"/>
      <c r="AW851" s="207"/>
      <c r="AX851" s="207"/>
      <c r="AY851" s="207"/>
      <c r="AZ851" s="207"/>
      <c r="BA851" s="207"/>
    </row>
    <row r="852" ht="18.75" hidden="1" customHeight="1">
      <c r="A852" s="207"/>
      <c r="B852" s="207"/>
      <c r="C852" s="207"/>
      <c r="D852" s="207"/>
      <c r="E852" s="207"/>
      <c r="F852" s="207"/>
      <c r="G852" s="207"/>
      <c r="H852" s="207"/>
      <c r="I852" s="207"/>
      <c r="J852" s="207"/>
      <c r="K852" s="207"/>
      <c r="L852" s="207"/>
      <c r="M852" s="207"/>
      <c r="N852" s="207"/>
      <c r="O852" s="207"/>
      <c r="P852" s="207"/>
      <c r="Q852" s="207"/>
      <c r="R852" s="207"/>
      <c r="S852" s="207"/>
      <c r="T852" s="207"/>
      <c r="U852" s="207"/>
      <c r="V852" s="207"/>
      <c r="W852" s="207"/>
      <c r="X852" s="207"/>
      <c r="Y852" s="207"/>
      <c r="Z852" s="207"/>
      <c r="AA852" s="207"/>
      <c r="AB852" s="207"/>
      <c r="AC852" s="207"/>
      <c r="AD852" s="207"/>
      <c r="AE852" s="207"/>
      <c r="AF852" s="207"/>
      <c r="AG852" s="207"/>
      <c r="AH852" s="207"/>
      <c r="AI852" s="207"/>
      <c r="AJ852" s="207"/>
      <c r="AK852" s="207"/>
      <c r="AL852" s="207"/>
      <c r="AM852" s="207"/>
      <c r="AN852" s="207"/>
      <c r="AO852" s="207"/>
      <c r="AP852" s="207"/>
      <c r="AQ852" s="207"/>
      <c r="AR852" s="207"/>
      <c r="AS852" s="207"/>
      <c r="AT852" s="207"/>
      <c r="AU852" s="207"/>
      <c r="AV852" s="207"/>
      <c r="AW852" s="207"/>
      <c r="AX852" s="207"/>
      <c r="AY852" s="207"/>
      <c r="AZ852" s="207"/>
      <c r="BA852" s="207"/>
    </row>
    <row r="853" ht="18.75" hidden="1" customHeight="1">
      <c r="A853" s="207"/>
      <c r="B853" s="207"/>
      <c r="C853" s="207"/>
      <c r="D853" s="207"/>
      <c r="E853" s="207"/>
      <c r="F853" s="207"/>
      <c r="G853" s="207"/>
      <c r="H853" s="207"/>
      <c r="I853" s="207"/>
      <c r="J853" s="207"/>
      <c r="K853" s="207"/>
      <c r="L853" s="207"/>
      <c r="M853" s="207"/>
      <c r="N853" s="207"/>
      <c r="O853" s="207"/>
      <c r="P853" s="207"/>
      <c r="Q853" s="207"/>
      <c r="R853" s="207"/>
      <c r="S853" s="207"/>
      <c r="T853" s="207"/>
      <c r="U853" s="207"/>
      <c r="V853" s="207"/>
      <c r="W853" s="207"/>
      <c r="X853" s="207"/>
      <c r="Y853" s="207"/>
      <c r="Z853" s="207"/>
      <c r="AA853" s="207"/>
      <c r="AB853" s="207"/>
      <c r="AC853" s="207"/>
      <c r="AD853" s="207"/>
      <c r="AE853" s="207"/>
      <c r="AF853" s="207"/>
      <c r="AG853" s="207"/>
      <c r="AH853" s="207"/>
      <c r="AI853" s="207"/>
      <c r="AJ853" s="207"/>
      <c r="AK853" s="207"/>
      <c r="AL853" s="207"/>
      <c r="AM853" s="207"/>
      <c r="AN853" s="207"/>
      <c r="AO853" s="207"/>
      <c r="AP853" s="207"/>
      <c r="AQ853" s="207"/>
      <c r="AR853" s="207"/>
      <c r="AS853" s="207"/>
      <c r="AT853" s="207"/>
      <c r="AU853" s="207"/>
      <c r="AV853" s="207"/>
      <c r="AW853" s="207"/>
      <c r="AX853" s="207"/>
      <c r="AY853" s="207"/>
      <c r="AZ853" s="207"/>
      <c r="BA853" s="207"/>
    </row>
    <row r="854" ht="18.75" hidden="1" customHeight="1">
      <c r="A854" s="207"/>
      <c r="B854" s="207"/>
      <c r="C854" s="207"/>
      <c r="D854" s="207"/>
      <c r="E854" s="207"/>
      <c r="F854" s="207"/>
      <c r="G854" s="207"/>
      <c r="H854" s="207"/>
      <c r="I854" s="207"/>
      <c r="J854" s="207"/>
      <c r="K854" s="207"/>
      <c r="L854" s="207"/>
      <c r="M854" s="207"/>
      <c r="N854" s="207"/>
      <c r="O854" s="207"/>
      <c r="P854" s="207"/>
      <c r="Q854" s="207"/>
      <c r="R854" s="207"/>
      <c r="S854" s="207"/>
      <c r="T854" s="207"/>
      <c r="U854" s="207"/>
      <c r="V854" s="207"/>
      <c r="W854" s="207"/>
      <c r="X854" s="207"/>
      <c r="Y854" s="207"/>
      <c r="Z854" s="207"/>
      <c r="AA854" s="207"/>
      <c r="AB854" s="207"/>
      <c r="AC854" s="207"/>
      <c r="AD854" s="207"/>
      <c r="AE854" s="207"/>
      <c r="AF854" s="207"/>
      <c r="AG854" s="207"/>
      <c r="AH854" s="207"/>
      <c r="AI854" s="207"/>
      <c r="AJ854" s="207"/>
      <c r="AK854" s="207"/>
      <c r="AL854" s="207"/>
      <c r="AM854" s="207"/>
      <c r="AN854" s="207"/>
      <c r="AO854" s="207"/>
      <c r="AP854" s="207"/>
      <c r="AQ854" s="207"/>
      <c r="AR854" s="207"/>
      <c r="AS854" s="207"/>
      <c r="AT854" s="207"/>
      <c r="AU854" s="207"/>
      <c r="AV854" s="207"/>
      <c r="AW854" s="207"/>
      <c r="AX854" s="207"/>
      <c r="AY854" s="207"/>
      <c r="AZ854" s="207"/>
      <c r="BA854" s="207"/>
    </row>
    <row r="855" ht="18.75" hidden="1" customHeight="1">
      <c r="A855" s="207"/>
      <c r="B855" s="207"/>
      <c r="C855" s="207"/>
      <c r="D855" s="207"/>
      <c r="E855" s="207"/>
      <c r="F855" s="207"/>
      <c r="G855" s="207"/>
      <c r="H855" s="207"/>
      <c r="I855" s="207"/>
      <c r="J855" s="207"/>
      <c r="K855" s="207"/>
      <c r="L855" s="207"/>
      <c r="M855" s="207"/>
      <c r="N855" s="207"/>
      <c r="O855" s="207"/>
      <c r="P855" s="207"/>
      <c r="Q855" s="207"/>
      <c r="R855" s="207"/>
      <c r="S855" s="207"/>
      <c r="T855" s="207"/>
      <c r="U855" s="207"/>
      <c r="V855" s="207"/>
      <c r="W855" s="207"/>
      <c r="X855" s="207"/>
      <c r="Y855" s="207"/>
      <c r="Z855" s="207"/>
      <c r="AA855" s="207"/>
      <c r="AB855" s="207"/>
      <c r="AC855" s="207"/>
      <c r="AD855" s="207"/>
      <c r="AE855" s="207"/>
      <c r="AF855" s="207"/>
      <c r="AG855" s="207"/>
      <c r="AH855" s="207"/>
      <c r="AI855" s="207"/>
      <c r="AJ855" s="207"/>
      <c r="AK855" s="207"/>
      <c r="AL855" s="207"/>
      <c r="AM855" s="207"/>
      <c r="AN855" s="207"/>
      <c r="AO855" s="207"/>
      <c r="AP855" s="207"/>
      <c r="AQ855" s="207"/>
      <c r="AR855" s="207"/>
      <c r="AS855" s="207"/>
      <c r="AT855" s="207"/>
      <c r="AU855" s="207"/>
      <c r="AV855" s="207"/>
      <c r="AW855" s="207"/>
      <c r="AX855" s="207"/>
      <c r="AY855" s="207"/>
      <c r="AZ855" s="207"/>
      <c r="BA855" s="207"/>
    </row>
    <row r="856" ht="18.75" hidden="1" customHeight="1">
      <c r="A856" s="207"/>
      <c r="B856" s="207"/>
      <c r="C856" s="207"/>
      <c r="D856" s="207"/>
      <c r="E856" s="207"/>
      <c r="F856" s="207"/>
      <c r="G856" s="207"/>
      <c r="H856" s="207"/>
      <c r="I856" s="207"/>
      <c r="J856" s="207"/>
      <c r="K856" s="207"/>
      <c r="L856" s="207"/>
      <c r="M856" s="207"/>
      <c r="N856" s="207"/>
      <c r="O856" s="207"/>
      <c r="P856" s="207"/>
      <c r="Q856" s="207"/>
      <c r="R856" s="207"/>
      <c r="S856" s="207"/>
      <c r="T856" s="207"/>
      <c r="U856" s="207"/>
      <c r="V856" s="207"/>
      <c r="W856" s="207"/>
      <c r="X856" s="207"/>
      <c r="Y856" s="207"/>
      <c r="Z856" s="207"/>
      <c r="AA856" s="207"/>
      <c r="AB856" s="207"/>
      <c r="AC856" s="207"/>
      <c r="AD856" s="207"/>
      <c r="AE856" s="207"/>
      <c r="AF856" s="207"/>
      <c r="AG856" s="207"/>
      <c r="AH856" s="207"/>
      <c r="AI856" s="207"/>
      <c r="AJ856" s="207"/>
      <c r="AK856" s="207"/>
      <c r="AL856" s="207"/>
      <c r="AM856" s="207"/>
      <c r="AN856" s="207"/>
      <c r="AO856" s="207"/>
      <c r="AP856" s="207"/>
      <c r="AQ856" s="207"/>
      <c r="AR856" s="207"/>
      <c r="AS856" s="207"/>
      <c r="AT856" s="207"/>
      <c r="AU856" s="207"/>
      <c r="AV856" s="207"/>
      <c r="AW856" s="207"/>
      <c r="AX856" s="207"/>
      <c r="AY856" s="207"/>
      <c r="AZ856" s="207"/>
      <c r="BA856" s="207"/>
    </row>
    <row r="857" ht="18.75" hidden="1" customHeight="1">
      <c r="A857" s="207"/>
      <c r="B857" s="207"/>
      <c r="C857" s="207"/>
      <c r="D857" s="207"/>
      <c r="E857" s="207"/>
      <c r="F857" s="207"/>
      <c r="G857" s="207"/>
      <c r="H857" s="207"/>
      <c r="I857" s="207"/>
      <c r="J857" s="207"/>
      <c r="K857" s="207"/>
      <c r="L857" s="207"/>
      <c r="M857" s="207"/>
      <c r="N857" s="207"/>
      <c r="O857" s="207"/>
      <c r="P857" s="207"/>
      <c r="Q857" s="207"/>
      <c r="R857" s="207"/>
      <c r="S857" s="207"/>
      <c r="T857" s="207"/>
      <c r="U857" s="207"/>
      <c r="V857" s="207"/>
      <c r="W857" s="207"/>
      <c r="X857" s="207"/>
      <c r="Y857" s="207"/>
      <c r="Z857" s="207"/>
      <c r="AA857" s="207"/>
      <c r="AB857" s="207"/>
      <c r="AC857" s="207"/>
      <c r="AD857" s="207"/>
      <c r="AE857" s="207"/>
      <c r="AF857" s="207"/>
      <c r="AG857" s="207"/>
      <c r="AH857" s="207"/>
      <c r="AI857" s="207"/>
      <c r="AJ857" s="207"/>
      <c r="AK857" s="207"/>
      <c r="AL857" s="207"/>
      <c r="AM857" s="207"/>
      <c r="AN857" s="207"/>
      <c r="AO857" s="207"/>
      <c r="AP857" s="207"/>
      <c r="AQ857" s="207"/>
      <c r="AR857" s="207"/>
      <c r="AS857" s="207"/>
      <c r="AT857" s="207"/>
      <c r="AU857" s="207"/>
      <c r="AV857" s="207"/>
      <c r="AW857" s="207"/>
      <c r="AX857" s="207"/>
      <c r="AY857" s="207"/>
      <c r="AZ857" s="207"/>
      <c r="BA857" s="207"/>
    </row>
    <row r="858" ht="18.75" hidden="1" customHeight="1">
      <c r="A858" s="207"/>
      <c r="B858" s="207"/>
      <c r="C858" s="207"/>
      <c r="D858" s="207"/>
      <c r="E858" s="207"/>
      <c r="F858" s="207"/>
      <c r="G858" s="207"/>
      <c r="H858" s="207"/>
      <c r="I858" s="207"/>
      <c r="J858" s="207"/>
      <c r="K858" s="207"/>
      <c r="L858" s="207"/>
      <c r="M858" s="207"/>
      <c r="N858" s="207"/>
      <c r="O858" s="207"/>
      <c r="P858" s="207"/>
      <c r="Q858" s="207"/>
      <c r="R858" s="207"/>
      <c r="S858" s="207"/>
      <c r="T858" s="207"/>
      <c r="U858" s="207"/>
      <c r="V858" s="207"/>
      <c r="W858" s="207"/>
      <c r="X858" s="207"/>
      <c r="Y858" s="207"/>
      <c r="Z858" s="207"/>
      <c r="AA858" s="207"/>
      <c r="AB858" s="207"/>
      <c r="AC858" s="207"/>
      <c r="AD858" s="207"/>
      <c r="AE858" s="207"/>
      <c r="AF858" s="207"/>
      <c r="AG858" s="207"/>
      <c r="AH858" s="207"/>
      <c r="AI858" s="207"/>
      <c r="AJ858" s="207"/>
      <c r="AK858" s="207"/>
      <c r="AL858" s="207"/>
      <c r="AM858" s="207"/>
      <c r="AN858" s="207"/>
      <c r="AO858" s="207"/>
      <c r="AP858" s="207"/>
      <c r="AQ858" s="207"/>
      <c r="AR858" s="207"/>
      <c r="AS858" s="207"/>
      <c r="AT858" s="207"/>
      <c r="AU858" s="207"/>
      <c r="AV858" s="207"/>
      <c r="AW858" s="207"/>
      <c r="AX858" s="207"/>
      <c r="AY858" s="207"/>
      <c r="AZ858" s="207"/>
      <c r="BA858" s="207"/>
    </row>
    <row r="859" ht="18.75" hidden="1" customHeight="1">
      <c r="A859" s="207"/>
      <c r="B859" s="207"/>
      <c r="C859" s="207"/>
      <c r="D859" s="207"/>
      <c r="E859" s="207"/>
      <c r="F859" s="207"/>
      <c r="G859" s="207"/>
      <c r="H859" s="207"/>
      <c r="I859" s="207"/>
      <c r="J859" s="207"/>
      <c r="K859" s="207"/>
      <c r="L859" s="207"/>
      <c r="M859" s="207"/>
      <c r="N859" s="207"/>
      <c r="O859" s="207"/>
      <c r="P859" s="207"/>
      <c r="Q859" s="207"/>
      <c r="R859" s="207"/>
      <c r="S859" s="207"/>
      <c r="T859" s="207"/>
      <c r="U859" s="207"/>
      <c r="V859" s="207"/>
      <c r="W859" s="207"/>
      <c r="X859" s="207"/>
      <c r="Y859" s="207"/>
      <c r="Z859" s="207"/>
      <c r="AA859" s="207"/>
      <c r="AB859" s="207"/>
      <c r="AC859" s="207"/>
      <c r="AD859" s="207"/>
      <c r="AE859" s="207"/>
      <c r="AF859" s="207"/>
      <c r="AG859" s="207"/>
      <c r="AH859" s="207"/>
      <c r="AI859" s="207"/>
      <c r="AJ859" s="207"/>
      <c r="AK859" s="207"/>
      <c r="AL859" s="207"/>
      <c r="AM859" s="207"/>
      <c r="AN859" s="207"/>
      <c r="AO859" s="207"/>
      <c r="AP859" s="207"/>
      <c r="AQ859" s="207"/>
      <c r="AR859" s="207"/>
      <c r="AS859" s="207"/>
      <c r="AT859" s="207"/>
      <c r="AU859" s="207"/>
      <c r="AV859" s="207"/>
      <c r="AW859" s="207"/>
      <c r="AX859" s="207"/>
      <c r="AY859" s="207"/>
      <c r="AZ859" s="207"/>
      <c r="BA859" s="207"/>
    </row>
    <row r="860" ht="18.75" hidden="1" customHeight="1">
      <c r="A860" s="207"/>
      <c r="B860" s="207"/>
      <c r="C860" s="207"/>
      <c r="D860" s="207"/>
      <c r="E860" s="207"/>
      <c r="F860" s="207"/>
      <c r="G860" s="207"/>
      <c r="H860" s="207"/>
      <c r="I860" s="207"/>
      <c r="J860" s="207"/>
      <c r="K860" s="207"/>
      <c r="L860" s="207"/>
      <c r="M860" s="207"/>
      <c r="N860" s="207"/>
      <c r="O860" s="207"/>
      <c r="P860" s="207"/>
      <c r="Q860" s="207"/>
      <c r="R860" s="207"/>
      <c r="S860" s="207"/>
      <c r="T860" s="207"/>
      <c r="U860" s="207"/>
      <c r="V860" s="207"/>
      <c r="W860" s="207"/>
      <c r="X860" s="207"/>
      <c r="Y860" s="207"/>
      <c r="Z860" s="207"/>
      <c r="AA860" s="207"/>
      <c r="AB860" s="207"/>
      <c r="AC860" s="207"/>
      <c r="AD860" s="207"/>
      <c r="AE860" s="207"/>
      <c r="AF860" s="207"/>
      <c r="AG860" s="207"/>
      <c r="AH860" s="207"/>
      <c r="AI860" s="207"/>
      <c r="AJ860" s="207"/>
      <c r="AK860" s="207"/>
      <c r="AL860" s="207"/>
      <c r="AM860" s="207"/>
      <c r="AN860" s="207"/>
      <c r="AO860" s="207"/>
      <c r="AP860" s="207"/>
      <c r="AQ860" s="207"/>
      <c r="AR860" s="207"/>
      <c r="AS860" s="207"/>
      <c r="AT860" s="207"/>
      <c r="AU860" s="207"/>
      <c r="AV860" s="207"/>
      <c r="AW860" s="207"/>
      <c r="AX860" s="207"/>
      <c r="AY860" s="207"/>
      <c r="AZ860" s="207"/>
      <c r="BA860" s="207"/>
    </row>
    <row r="861" ht="18.75" hidden="1" customHeight="1">
      <c r="A861" s="207"/>
      <c r="B861" s="207"/>
      <c r="C861" s="207"/>
      <c r="D861" s="207"/>
      <c r="E861" s="207"/>
      <c r="F861" s="207"/>
      <c r="G861" s="207"/>
      <c r="H861" s="207"/>
      <c r="I861" s="207"/>
      <c r="J861" s="207"/>
      <c r="K861" s="207"/>
      <c r="L861" s="207"/>
      <c r="M861" s="207"/>
      <c r="N861" s="207"/>
      <c r="O861" s="207"/>
      <c r="P861" s="207"/>
      <c r="Q861" s="207"/>
      <c r="R861" s="207"/>
      <c r="S861" s="207"/>
      <c r="T861" s="207"/>
      <c r="U861" s="207"/>
      <c r="V861" s="207"/>
      <c r="W861" s="207"/>
      <c r="X861" s="207"/>
      <c r="Y861" s="207"/>
      <c r="Z861" s="207"/>
      <c r="AA861" s="207"/>
      <c r="AB861" s="207"/>
      <c r="AC861" s="207"/>
      <c r="AD861" s="207"/>
      <c r="AE861" s="207"/>
      <c r="AF861" s="207"/>
      <c r="AG861" s="207"/>
      <c r="AH861" s="207"/>
      <c r="AI861" s="207"/>
      <c r="AJ861" s="207"/>
      <c r="AK861" s="207"/>
      <c r="AL861" s="207"/>
      <c r="AM861" s="207"/>
      <c r="AN861" s="207"/>
      <c r="AO861" s="207"/>
      <c r="AP861" s="207"/>
      <c r="AQ861" s="207"/>
      <c r="AR861" s="207"/>
      <c r="AS861" s="207"/>
      <c r="AT861" s="207"/>
      <c r="AU861" s="207"/>
      <c r="AV861" s="207"/>
      <c r="AW861" s="207"/>
      <c r="AX861" s="207"/>
      <c r="AY861" s="207"/>
      <c r="AZ861" s="207"/>
      <c r="BA861" s="207"/>
    </row>
    <row r="862" ht="18.75" hidden="1" customHeight="1">
      <c r="A862" s="207"/>
      <c r="B862" s="207"/>
      <c r="C862" s="207"/>
      <c r="D862" s="207"/>
      <c r="E862" s="207"/>
      <c r="F862" s="207"/>
      <c r="G862" s="207"/>
      <c r="H862" s="207"/>
      <c r="I862" s="207"/>
      <c r="J862" s="207"/>
      <c r="K862" s="207"/>
      <c r="L862" s="207"/>
      <c r="M862" s="207"/>
      <c r="N862" s="207"/>
      <c r="O862" s="207"/>
      <c r="P862" s="207"/>
      <c r="Q862" s="207"/>
      <c r="R862" s="207"/>
      <c r="S862" s="207"/>
      <c r="T862" s="207"/>
      <c r="U862" s="207"/>
      <c r="V862" s="207"/>
      <c r="W862" s="207"/>
      <c r="X862" s="207"/>
      <c r="Y862" s="207"/>
      <c r="Z862" s="207"/>
      <c r="AA862" s="207"/>
      <c r="AB862" s="207"/>
      <c r="AC862" s="207"/>
      <c r="AD862" s="207"/>
      <c r="AE862" s="207"/>
      <c r="AF862" s="207"/>
      <c r="AG862" s="207"/>
      <c r="AH862" s="207"/>
      <c r="AI862" s="207"/>
      <c r="AJ862" s="207"/>
      <c r="AK862" s="207"/>
      <c r="AL862" s="207"/>
      <c r="AM862" s="207"/>
      <c r="AN862" s="207"/>
      <c r="AO862" s="207"/>
      <c r="AP862" s="207"/>
      <c r="AQ862" s="207"/>
      <c r="AR862" s="207"/>
      <c r="AS862" s="207"/>
      <c r="AT862" s="207"/>
      <c r="AU862" s="207"/>
      <c r="AV862" s="207"/>
      <c r="AW862" s="207"/>
      <c r="AX862" s="207"/>
      <c r="AY862" s="207"/>
      <c r="AZ862" s="207"/>
      <c r="BA862" s="207"/>
    </row>
    <row r="863" ht="18.75" hidden="1" customHeight="1">
      <c r="A863" s="207"/>
      <c r="B863" s="207"/>
      <c r="C863" s="207"/>
      <c r="D863" s="207"/>
      <c r="E863" s="207"/>
      <c r="F863" s="207"/>
      <c r="G863" s="207"/>
      <c r="H863" s="207"/>
      <c r="I863" s="207"/>
      <c r="J863" s="207"/>
      <c r="K863" s="207"/>
      <c r="L863" s="207"/>
      <c r="M863" s="207"/>
      <c r="N863" s="207"/>
      <c r="O863" s="207"/>
      <c r="P863" s="207"/>
      <c r="Q863" s="207"/>
      <c r="R863" s="207"/>
      <c r="S863" s="207"/>
      <c r="T863" s="207"/>
      <c r="U863" s="207"/>
      <c r="V863" s="207"/>
      <c r="W863" s="207"/>
      <c r="X863" s="207"/>
      <c r="Y863" s="207"/>
      <c r="Z863" s="207"/>
      <c r="AA863" s="207"/>
      <c r="AB863" s="207"/>
      <c r="AC863" s="207"/>
      <c r="AD863" s="207"/>
      <c r="AE863" s="207"/>
      <c r="AF863" s="207"/>
      <c r="AG863" s="207"/>
      <c r="AH863" s="207"/>
      <c r="AI863" s="207"/>
      <c r="AJ863" s="207"/>
      <c r="AK863" s="207"/>
      <c r="AL863" s="207"/>
      <c r="AM863" s="207"/>
      <c r="AN863" s="207"/>
      <c r="AO863" s="207"/>
      <c r="AP863" s="207"/>
      <c r="AQ863" s="207"/>
      <c r="AR863" s="207"/>
      <c r="AS863" s="207"/>
      <c r="AT863" s="207"/>
      <c r="AU863" s="207"/>
      <c r="AV863" s="207"/>
      <c r="AW863" s="207"/>
      <c r="AX863" s="207"/>
      <c r="AY863" s="207"/>
      <c r="AZ863" s="207"/>
      <c r="BA863" s="207"/>
    </row>
    <row r="864" ht="18.75" hidden="1" customHeight="1">
      <c r="A864" s="207"/>
      <c r="B864" s="207"/>
      <c r="C864" s="207"/>
      <c r="D864" s="207"/>
      <c r="E864" s="207"/>
      <c r="F864" s="207"/>
      <c r="G864" s="207"/>
      <c r="H864" s="207"/>
      <c r="I864" s="207"/>
      <c r="J864" s="207"/>
      <c r="K864" s="207"/>
      <c r="L864" s="207"/>
      <c r="M864" s="207"/>
      <c r="N864" s="207"/>
      <c r="O864" s="207"/>
      <c r="P864" s="207"/>
      <c r="Q864" s="207"/>
      <c r="R864" s="207"/>
      <c r="S864" s="207"/>
      <c r="T864" s="207"/>
      <c r="U864" s="207"/>
      <c r="V864" s="207"/>
      <c r="W864" s="207"/>
      <c r="X864" s="207"/>
      <c r="Y864" s="207"/>
      <c r="Z864" s="207"/>
      <c r="AA864" s="207"/>
      <c r="AB864" s="207"/>
      <c r="AC864" s="207"/>
      <c r="AD864" s="207"/>
      <c r="AE864" s="207"/>
      <c r="AF864" s="207"/>
      <c r="AG864" s="207"/>
      <c r="AH864" s="207"/>
      <c r="AI864" s="207"/>
      <c r="AJ864" s="207"/>
      <c r="AK864" s="207"/>
      <c r="AL864" s="207"/>
      <c r="AM864" s="207"/>
      <c r="AN864" s="207"/>
      <c r="AO864" s="207"/>
      <c r="AP864" s="207"/>
      <c r="AQ864" s="207"/>
      <c r="AR864" s="207"/>
      <c r="AS864" s="207"/>
      <c r="AT864" s="207"/>
      <c r="AU864" s="207"/>
      <c r="AV864" s="207"/>
      <c r="AW864" s="207"/>
      <c r="AX864" s="207"/>
      <c r="AY864" s="207"/>
      <c r="AZ864" s="207"/>
      <c r="BA864" s="207"/>
    </row>
    <row r="865" ht="18.75" hidden="1" customHeight="1">
      <c r="A865" s="207"/>
      <c r="B865" s="207"/>
      <c r="C865" s="207"/>
      <c r="D865" s="207"/>
      <c r="E865" s="207"/>
      <c r="F865" s="207"/>
      <c r="G865" s="207"/>
      <c r="H865" s="207"/>
      <c r="I865" s="207"/>
      <c r="J865" s="207"/>
      <c r="K865" s="207"/>
      <c r="L865" s="207"/>
      <c r="M865" s="207"/>
      <c r="N865" s="207"/>
      <c r="O865" s="207"/>
      <c r="P865" s="207"/>
      <c r="Q865" s="207"/>
      <c r="R865" s="207"/>
      <c r="S865" s="207"/>
      <c r="T865" s="207"/>
      <c r="U865" s="207"/>
      <c r="V865" s="207"/>
      <c r="W865" s="207"/>
      <c r="X865" s="207"/>
      <c r="Y865" s="207"/>
      <c r="Z865" s="207"/>
      <c r="AA865" s="207"/>
      <c r="AB865" s="207"/>
      <c r="AC865" s="207"/>
      <c r="AD865" s="207"/>
      <c r="AE865" s="207"/>
      <c r="AF865" s="207"/>
      <c r="AG865" s="207"/>
      <c r="AH865" s="207"/>
      <c r="AI865" s="207"/>
      <c r="AJ865" s="207"/>
      <c r="AK865" s="207"/>
      <c r="AL865" s="207"/>
      <c r="AM865" s="207"/>
      <c r="AN865" s="207"/>
      <c r="AO865" s="207"/>
      <c r="AP865" s="207"/>
      <c r="AQ865" s="207"/>
      <c r="AR865" s="207"/>
      <c r="AS865" s="207"/>
      <c r="AT865" s="207"/>
      <c r="AU865" s="207"/>
      <c r="AV865" s="207"/>
      <c r="AW865" s="207"/>
      <c r="AX865" s="207"/>
      <c r="AY865" s="207"/>
      <c r="AZ865" s="207"/>
      <c r="BA865" s="207"/>
    </row>
    <row r="866" ht="18.75" hidden="1" customHeight="1">
      <c r="A866" s="207"/>
      <c r="B866" s="207"/>
      <c r="C866" s="207"/>
      <c r="D866" s="207"/>
      <c r="E866" s="207"/>
      <c r="F866" s="207"/>
      <c r="G866" s="207"/>
      <c r="H866" s="207"/>
      <c r="I866" s="207"/>
      <c r="J866" s="207"/>
      <c r="K866" s="207"/>
      <c r="L866" s="207"/>
      <c r="M866" s="207"/>
      <c r="N866" s="207"/>
      <c r="O866" s="207"/>
      <c r="P866" s="207"/>
      <c r="Q866" s="207"/>
      <c r="R866" s="207"/>
      <c r="S866" s="207"/>
      <c r="T866" s="207"/>
      <c r="U866" s="207"/>
      <c r="V866" s="207"/>
      <c r="W866" s="207"/>
      <c r="X866" s="207"/>
      <c r="Y866" s="207"/>
      <c r="Z866" s="207"/>
      <c r="AA866" s="207"/>
      <c r="AB866" s="207"/>
      <c r="AC866" s="207"/>
      <c r="AD866" s="207"/>
      <c r="AE866" s="207"/>
      <c r="AF866" s="207"/>
      <c r="AG866" s="207"/>
      <c r="AH866" s="207"/>
      <c r="AI866" s="207"/>
      <c r="AJ866" s="207"/>
      <c r="AK866" s="207"/>
      <c r="AL866" s="207"/>
      <c r="AM866" s="207"/>
      <c r="AN866" s="207"/>
      <c r="AO866" s="207"/>
      <c r="AP866" s="207"/>
      <c r="AQ866" s="207"/>
      <c r="AR866" s="207"/>
      <c r="AS866" s="207"/>
      <c r="AT866" s="207"/>
      <c r="AU866" s="207"/>
      <c r="AV866" s="207"/>
      <c r="AW866" s="207"/>
      <c r="AX866" s="207"/>
      <c r="AY866" s="207"/>
      <c r="AZ866" s="207"/>
      <c r="BA866" s="207"/>
    </row>
    <row r="867" ht="18.75" hidden="1" customHeight="1">
      <c r="A867" s="207"/>
      <c r="B867" s="207"/>
      <c r="C867" s="207"/>
      <c r="D867" s="207"/>
      <c r="E867" s="207"/>
      <c r="F867" s="207"/>
      <c r="G867" s="207"/>
      <c r="H867" s="207"/>
      <c r="I867" s="207"/>
      <c r="J867" s="207"/>
      <c r="K867" s="207"/>
      <c r="L867" s="207"/>
      <c r="M867" s="207"/>
      <c r="N867" s="207"/>
      <c r="O867" s="207"/>
      <c r="P867" s="207"/>
      <c r="Q867" s="207"/>
      <c r="R867" s="207"/>
      <c r="S867" s="207"/>
      <c r="T867" s="207"/>
      <c r="U867" s="207"/>
      <c r="V867" s="207"/>
      <c r="W867" s="207"/>
      <c r="X867" s="207"/>
      <c r="Y867" s="207"/>
      <c r="Z867" s="207"/>
      <c r="AA867" s="207"/>
      <c r="AB867" s="207"/>
      <c r="AC867" s="207"/>
      <c r="AD867" s="207"/>
      <c r="AE867" s="207"/>
      <c r="AF867" s="207"/>
      <c r="AG867" s="207"/>
      <c r="AH867" s="207"/>
      <c r="AI867" s="207"/>
      <c r="AJ867" s="207"/>
      <c r="AK867" s="207"/>
      <c r="AL867" s="207"/>
      <c r="AM867" s="207"/>
      <c r="AN867" s="207"/>
      <c r="AO867" s="207"/>
      <c r="AP867" s="207"/>
      <c r="AQ867" s="207"/>
      <c r="AR867" s="207"/>
      <c r="AS867" s="207"/>
      <c r="AT867" s="207"/>
      <c r="AU867" s="207"/>
      <c r="AV867" s="207"/>
      <c r="AW867" s="207"/>
      <c r="AX867" s="207"/>
      <c r="AY867" s="207"/>
      <c r="AZ867" s="207"/>
      <c r="BA867" s="207"/>
    </row>
    <row r="868" ht="18.75" hidden="1" customHeight="1">
      <c r="A868" s="207"/>
      <c r="B868" s="207"/>
      <c r="C868" s="207"/>
      <c r="D868" s="207"/>
      <c r="E868" s="207"/>
      <c r="F868" s="207"/>
      <c r="G868" s="207"/>
      <c r="H868" s="207"/>
      <c r="I868" s="207"/>
      <c r="J868" s="207"/>
      <c r="K868" s="207"/>
      <c r="L868" s="207"/>
      <c r="M868" s="207"/>
      <c r="N868" s="207"/>
      <c r="O868" s="207"/>
      <c r="P868" s="207"/>
      <c r="Q868" s="207"/>
      <c r="R868" s="207"/>
      <c r="S868" s="207"/>
      <c r="T868" s="207"/>
      <c r="U868" s="207"/>
      <c r="V868" s="207"/>
      <c r="W868" s="207"/>
      <c r="X868" s="207"/>
      <c r="Y868" s="207"/>
      <c r="Z868" s="207"/>
      <c r="AA868" s="207"/>
      <c r="AB868" s="207"/>
      <c r="AC868" s="207"/>
      <c r="AD868" s="207"/>
      <c r="AE868" s="207"/>
      <c r="AF868" s="207"/>
      <c r="AG868" s="207"/>
      <c r="AH868" s="207"/>
      <c r="AI868" s="207"/>
      <c r="AJ868" s="207"/>
      <c r="AK868" s="207"/>
      <c r="AL868" s="207"/>
      <c r="AM868" s="207"/>
      <c r="AN868" s="207"/>
      <c r="AO868" s="207"/>
      <c r="AP868" s="207"/>
      <c r="AQ868" s="207"/>
      <c r="AR868" s="207"/>
      <c r="AS868" s="207"/>
      <c r="AT868" s="207"/>
      <c r="AU868" s="207"/>
      <c r="AV868" s="207"/>
      <c r="AW868" s="207"/>
      <c r="AX868" s="207"/>
      <c r="AY868" s="207"/>
      <c r="AZ868" s="207"/>
      <c r="BA868" s="207"/>
    </row>
    <row r="869" ht="18.75" hidden="1" customHeight="1">
      <c r="A869" s="207"/>
      <c r="B869" s="207"/>
      <c r="C869" s="207"/>
      <c r="D869" s="207"/>
      <c r="E869" s="207"/>
      <c r="F869" s="207"/>
      <c r="G869" s="207"/>
      <c r="H869" s="207"/>
      <c r="I869" s="207"/>
      <c r="J869" s="207"/>
      <c r="K869" s="207"/>
      <c r="L869" s="207"/>
      <c r="M869" s="207"/>
      <c r="N869" s="207"/>
      <c r="O869" s="207"/>
      <c r="P869" s="207"/>
      <c r="Q869" s="207"/>
      <c r="R869" s="207"/>
      <c r="S869" s="207"/>
      <c r="T869" s="207"/>
      <c r="U869" s="207"/>
      <c r="V869" s="207"/>
      <c r="W869" s="207"/>
      <c r="X869" s="207"/>
      <c r="Y869" s="207"/>
      <c r="Z869" s="207"/>
      <c r="AA869" s="207"/>
      <c r="AB869" s="207"/>
      <c r="AC869" s="207"/>
      <c r="AD869" s="207"/>
      <c r="AE869" s="207"/>
      <c r="AF869" s="207"/>
      <c r="AG869" s="207"/>
      <c r="AH869" s="207"/>
      <c r="AI869" s="207"/>
      <c r="AJ869" s="207"/>
      <c r="AK869" s="207"/>
      <c r="AL869" s="207"/>
      <c r="AM869" s="207"/>
      <c r="AN869" s="207"/>
      <c r="AO869" s="207"/>
      <c r="AP869" s="207"/>
      <c r="AQ869" s="207"/>
      <c r="AR869" s="207"/>
      <c r="AS869" s="207"/>
      <c r="AT869" s="207"/>
      <c r="AU869" s="207"/>
      <c r="AV869" s="207"/>
      <c r="AW869" s="207"/>
      <c r="AX869" s="207"/>
      <c r="AY869" s="207"/>
      <c r="AZ869" s="207"/>
      <c r="BA869" s="207"/>
    </row>
    <row r="870" ht="18.75" hidden="1" customHeight="1">
      <c r="A870" s="207"/>
      <c r="B870" s="207"/>
      <c r="C870" s="207"/>
      <c r="D870" s="207"/>
      <c r="E870" s="207"/>
      <c r="F870" s="207"/>
      <c r="G870" s="207"/>
      <c r="H870" s="207"/>
      <c r="I870" s="207"/>
      <c r="J870" s="207"/>
      <c r="K870" s="207"/>
      <c r="L870" s="207"/>
      <c r="M870" s="207"/>
      <c r="N870" s="207"/>
      <c r="O870" s="207"/>
      <c r="P870" s="207"/>
      <c r="Q870" s="207"/>
      <c r="R870" s="207"/>
      <c r="S870" s="207"/>
      <c r="T870" s="207"/>
      <c r="U870" s="207"/>
      <c r="V870" s="207"/>
      <c r="W870" s="207"/>
      <c r="X870" s="207"/>
      <c r="Y870" s="207"/>
      <c r="Z870" s="207"/>
      <c r="AA870" s="207"/>
      <c r="AB870" s="207"/>
      <c r="AC870" s="207"/>
      <c r="AD870" s="207"/>
      <c r="AE870" s="207"/>
      <c r="AF870" s="207"/>
      <c r="AG870" s="207"/>
      <c r="AH870" s="207"/>
      <c r="AI870" s="207"/>
      <c r="AJ870" s="207"/>
      <c r="AK870" s="207"/>
      <c r="AL870" s="207"/>
      <c r="AM870" s="207"/>
      <c r="AN870" s="207"/>
      <c r="AO870" s="207"/>
      <c r="AP870" s="207"/>
      <c r="AQ870" s="207"/>
      <c r="AR870" s="207"/>
      <c r="AS870" s="207"/>
      <c r="AT870" s="207"/>
      <c r="AU870" s="207"/>
      <c r="AV870" s="207"/>
      <c r="AW870" s="207"/>
      <c r="AX870" s="207"/>
      <c r="AY870" s="207"/>
      <c r="AZ870" s="207"/>
      <c r="BA870" s="207"/>
    </row>
    <row r="871" ht="18.75" hidden="1" customHeight="1">
      <c r="A871" s="207"/>
      <c r="B871" s="207"/>
      <c r="C871" s="207"/>
      <c r="D871" s="207"/>
      <c r="E871" s="207"/>
      <c r="F871" s="207"/>
      <c r="G871" s="207"/>
      <c r="H871" s="207"/>
      <c r="I871" s="207"/>
      <c r="J871" s="207"/>
      <c r="K871" s="207"/>
      <c r="L871" s="207"/>
      <c r="M871" s="207"/>
      <c r="N871" s="207"/>
      <c r="O871" s="207"/>
      <c r="P871" s="207"/>
      <c r="Q871" s="207"/>
      <c r="R871" s="207"/>
      <c r="S871" s="207"/>
      <c r="T871" s="207"/>
      <c r="U871" s="207"/>
      <c r="V871" s="207"/>
      <c r="W871" s="207"/>
      <c r="X871" s="207"/>
      <c r="Y871" s="207"/>
      <c r="Z871" s="207"/>
      <c r="AA871" s="207"/>
      <c r="AB871" s="207"/>
      <c r="AC871" s="207"/>
      <c r="AD871" s="207"/>
      <c r="AE871" s="207"/>
      <c r="AF871" s="207"/>
      <c r="AG871" s="207"/>
      <c r="AH871" s="207"/>
      <c r="AI871" s="207"/>
      <c r="AJ871" s="207"/>
      <c r="AK871" s="207"/>
      <c r="AL871" s="207"/>
      <c r="AM871" s="207"/>
      <c r="AN871" s="207"/>
      <c r="AO871" s="207"/>
      <c r="AP871" s="207"/>
      <c r="AQ871" s="207"/>
      <c r="AR871" s="207"/>
      <c r="AS871" s="207"/>
      <c r="AT871" s="207"/>
      <c r="AU871" s="207"/>
      <c r="AV871" s="207"/>
      <c r="AW871" s="207"/>
      <c r="AX871" s="207"/>
      <c r="AY871" s="207"/>
      <c r="AZ871" s="207"/>
      <c r="BA871" s="207"/>
    </row>
    <row r="872" ht="18.75" hidden="1" customHeight="1">
      <c r="A872" s="207"/>
      <c r="B872" s="207"/>
      <c r="C872" s="207"/>
      <c r="D872" s="207"/>
      <c r="E872" s="207"/>
      <c r="F872" s="207"/>
      <c r="G872" s="207"/>
      <c r="H872" s="207"/>
      <c r="I872" s="207"/>
      <c r="J872" s="207"/>
      <c r="K872" s="207"/>
      <c r="L872" s="207"/>
      <c r="M872" s="207"/>
      <c r="N872" s="207"/>
      <c r="O872" s="207"/>
      <c r="P872" s="207"/>
      <c r="Q872" s="207"/>
      <c r="R872" s="207"/>
      <c r="S872" s="207"/>
      <c r="T872" s="207"/>
      <c r="U872" s="207"/>
      <c r="V872" s="207"/>
      <c r="W872" s="207"/>
      <c r="X872" s="207"/>
      <c r="Y872" s="207"/>
      <c r="Z872" s="207"/>
      <c r="AA872" s="207"/>
      <c r="AB872" s="207"/>
      <c r="AC872" s="207"/>
      <c r="AD872" s="207"/>
      <c r="AE872" s="207"/>
      <c r="AF872" s="207"/>
      <c r="AG872" s="207"/>
      <c r="AH872" s="207"/>
      <c r="AI872" s="207"/>
      <c r="AJ872" s="207"/>
      <c r="AK872" s="207"/>
      <c r="AL872" s="207"/>
      <c r="AM872" s="207"/>
      <c r="AN872" s="207"/>
      <c r="AO872" s="207"/>
      <c r="AP872" s="207"/>
      <c r="AQ872" s="207"/>
      <c r="AR872" s="207"/>
      <c r="AS872" s="207"/>
      <c r="AT872" s="207"/>
      <c r="AU872" s="207"/>
      <c r="AV872" s="207"/>
      <c r="AW872" s="207"/>
      <c r="AX872" s="207"/>
      <c r="AY872" s="207"/>
      <c r="AZ872" s="207"/>
      <c r="BA872" s="207"/>
    </row>
    <row r="873" ht="18.75" hidden="1" customHeight="1">
      <c r="A873" s="207"/>
      <c r="B873" s="207"/>
      <c r="C873" s="207"/>
      <c r="D873" s="207"/>
      <c r="E873" s="207"/>
      <c r="F873" s="207"/>
      <c r="G873" s="207"/>
      <c r="H873" s="207"/>
      <c r="I873" s="207"/>
      <c r="J873" s="207"/>
      <c r="K873" s="207"/>
      <c r="L873" s="207"/>
      <c r="M873" s="207"/>
      <c r="N873" s="207"/>
      <c r="O873" s="207"/>
      <c r="P873" s="207"/>
      <c r="Q873" s="207"/>
      <c r="R873" s="207"/>
      <c r="S873" s="207"/>
      <c r="T873" s="207"/>
      <c r="U873" s="207"/>
      <c r="V873" s="207"/>
      <c r="W873" s="207"/>
      <c r="X873" s="207"/>
      <c r="Y873" s="207"/>
      <c r="Z873" s="207"/>
      <c r="AA873" s="207"/>
      <c r="AB873" s="207"/>
      <c r="AC873" s="207"/>
      <c r="AD873" s="207"/>
      <c r="AE873" s="207"/>
      <c r="AF873" s="207"/>
      <c r="AG873" s="207"/>
      <c r="AH873" s="207"/>
      <c r="AI873" s="207"/>
      <c r="AJ873" s="207"/>
      <c r="AK873" s="207"/>
      <c r="AL873" s="207"/>
      <c r="AM873" s="207"/>
      <c r="AN873" s="207"/>
      <c r="AO873" s="207"/>
      <c r="AP873" s="207"/>
      <c r="AQ873" s="207"/>
      <c r="AR873" s="207"/>
      <c r="AS873" s="207"/>
      <c r="AT873" s="207"/>
      <c r="AU873" s="207"/>
      <c r="AV873" s="207"/>
      <c r="AW873" s="207"/>
      <c r="AX873" s="207"/>
      <c r="AY873" s="207"/>
      <c r="AZ873" s="207"/>
      <c r="BA873" s="207"/>
    </row>
    <row r="874" ht="18.75" hidden="1" customHeight="1">
      <c r="A874" s="207"/>
      <c r="B874" s="207"/>
      <c r="C874" s="207"/>
      <c r="D874" s="207"/>
      <c r="E874" s="207"/>
      <c r="F874" s="207"/>
      <c r="G874" s="207"/>
      <c r="H874" s="207"/>
      <c r="I874" s="207"/>
      <c r="J874" s="207"/>
      <c r="K874" s="207"/>
      <c r="L874" s="207"/>
      <c r="M874" s="207"/>
      <c r="N874" s="207"/>
      <c r="O874" s="207"/>
      <c r="P874" s="207"/>
      <c r="Q874" s="207"/>
      <c r="R874" s="207"/>
      <c r="S874" s="207"/>
      <c r="T874" s="207"/>
      <c r="U874" s="207"/>
      <c r="V874" s="207"/>
      <c r="W874" s="207"/>
      <c r="X874" s="207"/>
      <c r="Y874" s="207"/>
      <c r="Z874" s="207"/>
      <c r="AA874" s="207"/>
      <c r="AB874" s="207"/>
      <c r="AC874" s="207"/>
      <c r="AD874" s="207"/>
      <c r="AE874" s="207"/>
      <c r="AF874" s="207"/>
      <c r="AG874" s="207"/>
      <c r="AH874" s="207"/>
      <c r="AI874" s="207"/>
      <c r="AJ874" s="207"/>
      <c r="AK874" s="207"/>
      <c r="AL874" s="207"/>
      <c r="AM874" s="207"/>
      <c r="AN874" s="207"/>
      <c r="AO874" s="207"/>
      <c r="AP874" s="207"/>
      <c r="AQ874" s="207"/>
      <c r="AR874" s="207"/>
      <c r="AS874" s="207"/>
      <c r="AT874" s="207"/>
      <c r="AU874" s="207"/>
      <c r="AV874" s="207"/>
      <c r="AW874" s="207"/>
      <c r="AX874" s="207"/>
      <c r="AY874" s="207"/>
      <c r="AZ874" s="207"/>
      <c r="BA874" s="207"/>
    </row>
    <row r="875" ht="18.75" hidden="1" customHeight="1">
      <c r="A875" s="207"/>
      <c r="B875" s="207"/>
      <c r="C875" s="207"/>
      <c r="D875" s="207"/>
      <c r="E875" s="207"/>
      <c r="F875" s="207"/>
      <c r="G875" s="207"/>
      <c r="H875" s="207"/>
      <c r="I875" s="207"/>
      <c r="J875" s="207"/>
      <c r="K875" s="207"/>
      <c r="L875" s="207"/>
      <c r="M875" s="207"/>
      <c r="N875" s="207"/>
      <c r="O875" s="207"/>
      <c r="P875" s="207"/>
      <c r="Q875" s="207"/>
      <c r="R875" s="207"/>
      <c r="S875" s="207"/>
      <c r="T875" s="207"/>
      <c r="U875" s="207"/>
      <c r="V875" s="207"/>
      <c r="W875" s="207"/>
      <c r="X875" s="207"/>
      <c r="Y875" s="207"/>
      <c r="Z875" s="207"/>
      <c r="AA875" s="207"/>
      <c r="AB875" s="207"/>
      <c r="AC875" s="207"/>
      <c r="AD875" s="207"/>
      <c r="AE875" s="207"/>
      <c r="AF875" s="207"/>
      <c r="AG875" s="207"/>
      <c r="AH875" s="207"/>
      <c r="AI875" s="207"/>
      <c r="AJ875" s="207"/>
      <c r="AK875" s="207"/>
      <c r="AL875" s="207"/>
      <c r="AM875" s="207"/>
      <c r="AN875" s="207"/>
      <c r="AO875" s="207"/>
      <c r="AP875" s="207"/>
      <c r="AQ875" s="207"/>
      <c r="AR875" s="207"/>
      <c r="AS875" s="207"/>
      <c r="AT875" s="207"/>
      <c r="AU875" s="207"/>
      <c r="AV875" s="207"/>
      <c r="AW875" s="207"/>
      <c r="AX875" s="207"/>
      <c r="AY875" s="207"/>
      <c r="AZ875" s="207"/>
      <c r="BA875" s="207"/>
    </row>
    <row r="876" ht="18.75" hidden="1" customHeight="1">
      <c r="A876" s="207"/>
      <c r="B876" s="207"/>
      <c r="C876" s="207"/>
      <c r="D876" s="207"/>
      <c r="E876" s="207"/>
      <c r="F876" s="207"/>
      <c r="G876" s="207"/>
      <c r="H876" s="207"/>
      <c r="I876" s="207"/>
      <c r="J876" s="207"/>
      <c r="K876" s="207"/>
      <c r="L876" s="207"/>
      <c r="M876" s="207"/>
      <c r="N876" s="207"/>
      <c r="O876" s="207"/>
      <c r="P876" s="207"/>
      <c r="Q876" s="207"/>
      <c r="R876" s="207"/>
      <c r="S876" s="207"/>
      <c r="T876" s="207"/>
      <c r="U876" s="207"/>
      <c r="V876" s="207"/>
      <c r="W876" s="207"/>
      <c r="X876" s="207"/>
      <c r="Y876" s="207"/>
      <c r="Z876" s="207"/>
      <c r="AA876" s="207"/>
      <c r="AB876" s="207"/>
      <c r="AC876" s="207"/>
      <c r="AD876" s="207"/>
      <c r="AE876" s="207"/>
      <c r="AF876" s="207"/>
      <c r="AG876" s="207"/>
      <c r="AH876" s="207"/>
      <c r="AI876" s="207"/>
      <c r="AJ876" s="207"/>
      <c r="AK876" s="207"/>
      <c r="AL876" s="207"/>
      <c r="AM876" s="207"/>
      <c r="AN876" s="207"/>
      <c r="AO876" s="207"/>
      <c r="AP876" s="207"/>
      <c r="AQ876" s="207"/>
      <c r="AR876" s="207"/>
      <c r="AS876" s="207"/>
      <c r="AT876" s="207"/>
      <c r="AU876" s="207"/>
      <c r="AV876" s="207"/>
      <c r="AW876" s="207"/>
      <c r="AX876" s="207"/>
      <c r="AY876" s="207"/>
      <c r="AZ876" s="207"/>
      <c r="BA876" s="207"/>
    </row>
    <row r="877" ht="18.75" hidden="1" customHeight="1">
      <c r="A877" s="207"/>
      <c r="B877" s="207"/>
      <c r="C877" s="207"/>
      <c r="D877" s="207"/>
      <c r="E877" s="207"/>
      <c r="F877" s="207"/>
      <c r="G877" s="207"/>
      <c r="H877" s="207"/>
      <c r="I877" s="207"/>
      <c r="J877" s="207"/>
      <c r="K877" s="207"/>
      <c r="L877" s="207"/>
      <c r="M877" s="207"/>
      <c r="N877" s="207"/>
      <c r="O877" s="207"/>
      <c r="P877" s="207"/>
      <c r="Q877" s="207"/>
      <c r="R877" s="207"/>
      <c r="S877" s="207"/>
      <c r="T877" s="207"/>
      <c r="U877" s="207"/>
      <c r="V877" s="207"/>
      <c r="W877" s="207"/>
      <c r="X877" s="207"/>
      <c r="Y877" s="207"/>
      <c r="Z877" s="207"/>
      <c r="AA877" s="207"/>
      <c r="AB877" s="207"/>
      <c r="AC877" s="207"/>
      <c r="AD877" s="207"/>
      <c r="AE877" s="207"/>
      <c r="AF877" s="207"/>
      <c r="AG877" s="207"/>
      <c r="AH877" s="207"/>
      <c r="AI877" s="207"/>
      <c r="AJ877" s="207"/>
      <c r="AK877" s="207"/>
      <c r="AL877" s="207"/>
      <c r="AM877" s="207"/>
      <c r="AN877" s="207"/>
      <c r="AO877" s="207"/>
      <c r="AP877" s="207"/>
      <c r="AQ877" s="207"/>
      <c r="AR877" s="207"/>
      <c r="AS877" s="207"/>
      <c r="AT877" s="207"/>
      <c r="AU877" s="207"/>
      <c r="AV877" s="207"/>
      <c r="AW877" s="207"/>
      <c r="AX877" s="207"/>
      <c r="AY877" s="207"/>
      <c r="AZ877" s="207"/>
      <c r="BA877" s="207"/>
    </row>
    <row r="878" ht="18.75" hidden="1" customHeight="1">
      <c r="A878" s="207"/>
      <c r="B878" s="207"/>
      <c r="C878" s="207"/>
      <c r="D878" s="207"/>
      <c r="E878" s="207"/>
      <c r="F878" s="207"/>
      <c r="G878" s="207"/>
      <c r="H878" s="207"/>
      <c r="I878" s="207"/>
      <c r="J878" s="207"/>
      <c r="K878" s="207"/>
      <c r="L878" s="207"/>
      <c r="M878" s="207"/>
      <c r="N878" s="207"/>
      <c r="O878" s="207"/>
      <c r="P878" s="207"/>
      <c r="Q878" s="207"/>
      <c r="R878" s="207"/>
      <c r="S878" s="207"/>
      <c r="T878" s="207"/>
      <c r="U878" s="207"/>
      <c r="V878" s="207"/>
      <c r="W878" s="207"/>
      <c r="X878" s="207"/>
      <c r="Y878" s="207"/>
      <c r="Z878" s="207"/>
      <c r="AA878" s="207"/>
      <c r="AB878" s="207"/>
      <c r="AC878" s="207"/>
      <c r="AD878" s="207"/>
      <c r="AE878" s="207"/>
      <c r="AF878" s="207"/>
      <c r="AG878" s="207"/>
      <c r="AH878" s="207"/>
      <c r="AI878" s="207"/>
      <c r="AJ878" s="207"/>
      <c r="AK878" s="207"/>
      <c r="AL878" s="207"/>
      <c r="AM878" s="207"/>
      <c r="AN878" s="207"/>
      <c r="AO878" s="207"/>
      <c r="AP878" s="207"/>
      <c r="AQ878" s="207"/>
      <c r="AR878" s="207"/>
      <c r="AS878" s="207"/>
      <c r="AT878" s="207"/>
      <c r="AU878" s="207"/>
      <c r="AV878" s="207"/>
      <c r="AW878" s="207"/>
      <c r="AX878" s="207"/>
      <c r="AY878" s="207"/>
      <c r="AZ878" s="207"/>
      <c r="BA878" s="207"/>
    </row>
    <row r="879" ht="18.75" hidden="1" customHeight="1">
      <c r="A879" s="207"/>
      <c r="B879" s="207"/>
      <c r="C879" s="207"/>
      <c r="D879" s="207"/>
      <c r="E879" s="207"/>
      <c r="F879" s="207"/>
      <c r="G879" s="207"/>
      <c r="H879" s="207"/>
      <c r="I879" s="207"/>
      <c r="J879" s="207"/>
      <c r="K879" s="207"/>
      <c r="L879" s="207"/>
      <c r="M879" s="207"/>
      <c r="N879" s="207"/>
      <c r="O879" s="207"/>
      <c r="P879" s="207"/>
      <c r="Q879" s="207"/>
      <c r="R879" s="207"/>
      <c r="S879" s="207"/>
      <c r="T879" s="207"/>
      <c r="U879" s="207"/>
      <c r="V879" s="207"/>
      <c r="W879" s="207"/>
      <c r="X879" s="207"/>
      <c r="Y879" s="207"/>
      <c r="Z879" s="207"/>
      <c r="AA879" s="207"/>
      <c r="AB879" s="207"/>
      <c r="AC879" s="207"/>
      <c r="AD879" s="207"/>
      <c r="AE879" s="207"/>
      <c r="AF879" s="207"/>
      <c r="AG879" s="207"/>
      <c r="AH879" s="207"/>
      <c r="AI879" s="207"/>
      <c r="AJ879" s="207"/>
      <c r="AK879" s="207"/>
      <c r="AL879" s="207"/>
      <c r="AM879" s="207"/>
      <c r="AN879" s="207"/>
      <c r="AO879" s="207"/>
      <c r="AP879" s="207"/>
      <c r="AQ879" s="207"/>
      <c r="AR879" s="207"/>
      <c r="AS879" s="207"/>
      <c r="AT879" s="207"/>
      <c r="AU879" s="207"/>
      <c r="AV879" s="207"/>
      <c r="AW879" s="207"/>
      <c r="AX879" s="207"/>
      <c r="AY879" s="207"/>
      <c r="AZ879" s="207"/>
      <c r="BA879" s="207"/>
    </row>
    <row r="880" ht="18.75" hidden="1" customHeight="1">
      <c r="A880" s="207"/>
      <c r="B880" s="207"/>
      <c r="C880" s="207"/>
      <c r="D880" s="207"/>
      <c r="E880" s="207"/>
      <c r="F880" s="207"/>
      <c r="G880" s="207"/>
      <c r="H880" s="207"/>
      <c r="I880" s="207"/>
      <c r="J880" s="207"/>
      <c r="K880" s="207"/>
      <c r="L880" s="207"/>
      <c r="M880" s="207"/>
      <c r="N880" s="207"/>
      <c r="O880" s="207"/>
      <c r="P880" s="207"/>
      <c r="Q880" s="207"/>
      <c r="R880" s="207"/>
      <c r="S880" s="207"/>
      <c r="T880" s="207"/>
      <c r="U880" s="207"/>
      <c r="V880" s="207"/>
      <c r="W880" s="207"/>
      <c r="X880" s="207"/>
      <c r="Y880" s="207"/>
      <c r="Z880" s="207"/>
      <c r="AA880" s="207"/>
      <c r="AB880" s="207"/>
      <c r="AC880" s="207"/>
      <c r="AD880" s="207"/>
      <c r="AE880" s="207"/>
      <c r="AF880" s="207"/>
      <c r="AG880" s="207"/>
      <c r="AH880" s="207"/>
      <c r="AI880" s="207"/>
      <c r="AJ880" s="207"/>
      <c r="AK880" s="207"/>
      <c r="AL880" s="207"/>
      <c r="AM880" s="207"/>
      <c r="AN880" s="207"/>
      <c r="AO880" s="207"/>
      <c r="AP880" s="207"/>
      <c r="AQ880" s="207"/>
      <c r="AR880" s="207"/>
      <c r="AS880" s="207"/>
      <c r="AT880" s="207"/>
      <c r="AU880" s="207"/>
      <c r="AV880" s="207"/>
      <c r="AW880" s="207"/>
      <c r="AX880" s="207"/>
      <c r="AY880" s="207"/>
      <c r="AZ880" s="207"/>
      <c r="BA880" s="207"/>
    </row>
    <row r="881" ht="18.75" hidden="1" customHeight="1">
      <c r="A881" s="207"/>
      <c r="B881" s="207"/>
      <c r="C881" s="207"/>
      <c r="D881" s="207"/>
      <c r="E881" s="207"/>
      <c r="F881" s="207"/>
      <c r="G881" s="207"/>
      <c r="H881" s="207"/>
      <c r="I881" s="207"/>
      <c r="J881" s="207"/>
      <c r="K881" s="207"/>
      <c r="L881" s="207"/>
      <c r="M881" s="207"/>
      <c r="N881" s="207"/>
      <c r="O881" s="207"/>
      <c r="P881" s="207"/>
      <c r="Q881" s="207"/>
      <c r="R881" s="207"/>
      <c r="S881" s="207"/>
      <c r="T881" s="207"/>
      <c r="U881" s="207"/>
      <c r="V881" s="207"/>
      <c r="W881" s="207"/>
      <c r="X881" s="207"/>
      <c r="Y881" s="207"/>
      <c r="Z881" s="207"/>
      <c r="AA881" s="207"/>
      <c r="AB881" s="207"/>
      <c r="AC881" s="207"/>
      <c r="AD881" s="207"/>
      <c r="AE881" s="207"/>
      <c r="AF881" s="207"/>
      <c r="AG881" s="207"/>
      <c r="AH881" s="207"/>
      <c r="AI881" s="207"/>
      <c r="AJ881" s="207"/>
      <c r="AK881" s="207"/>
      <c r="AL881" s="207"/>
      <c r="AM881" s="207"/>
      <c r="AN881" s="207"/>
      <c r="AO881" s="207"/>
      <c r="AP881" s="207"/>
      <c r="AQ881" s="207"/>
      <c r="AR881" s="207"/>
      <c r="AS881" s="207"/>
      <c r="AT881" s="207"/>
      <c r="AU881" s="207"/>
      <c r="AV881" s="207"/>
      <c r="AW881" s="207"/>
      <c r="AX881" s="207"/>
      <c r="AY881" s="207"/>
      <c r="AZ881" s="207"/>
      <c r="BA881" s="207"/>
    </row>
    <row r="882" ht="18.75" hidden="1" customHeight="1">
      <c r="A882" s="207"/>
      <c r="B882" s="207"/>
      <c r="C882" s="207"/>
      <c r="D882" s="207"/>
      <c r="E882" s="207"/>
      <c r="F882" s="207"/>
      <c r="G882" s="207"/>
      <c r="H882" s="207"/>
      <c r="I882" s="207"/>
      <c r="J882" s="207"/>
      <c r="K882" s="207"/>
      <c r="L882" s="207"/>
      <c r="M882" s="207"/>
      <c r="N882" s="207"/>
      <c r="O882" s="207"/>
      <c r="P882" s="207"/>
      <c r="Q882" s="207"/>
      <c r="R882" s="207"/>
      <c r="S882" s="207"/>
      <c r="T882" s="207"/>
      <c r="U882" s="207"/>
      <c r="V882" s="207"/>
      <c r="W882" s="207"/>
      <c r="X882" s="207"/>
      <c r="Y882" s="207"/>
      <c r="Z882" s="207"/>
      <c r="AA882" s="207"/>
      <c r="AB882" s="207"/>
      <c r="AC882" s="207"/>
      <c r="AD882" s="207"/>
      <c r="AE882" s="207"/>
      <c r="AF882" s="207"/>
      <c r="AG882" s="207"/>
      <c r="AH882" s="207"/>
      <c r="AI882" s="207"/>
      <c r="AJ882" s="207"/>
      <c r="AK882" s="207"/>
      <c r="AL882" s="207"/>
      <c r="AM882" s="207"/>
      <c r="AN882" s="207"/>
      <c r="AO882" s="207"/>
      <c r="AP882" s="207"/>
      <c r="AQ882" s="207"/>
      <c r="AR882" s="207"/>
      <c r="AS882" s="207"/>
      <c r="AT882" s="207"/>
      <c r="AU882" s="207"/>
      <c r="AV882" s="207"/>
      <c r="AW882" s="207"/>
      <c r="AX882" s="207"/>
      <c r="AY882" s="207"/>
      <c r="AZ882" s="207"/>
      <c r="BA882" s="207"/>
    </row>
    <row r="883" ht="18.75" hidden="1" customHeight="1">
      <c r="A883" s="207"/>
      <c r="B883" s="207"/>
      <c r="C883" s="207"/>
      <c r="D883" s="207"/>
      <c r="E883" s="207"/>
      <c r="F883" s="207"/>
      <c r="G883" s="207"/>
      <c r="H883" s="207"/>
      <c r="I883" s="207"/>
      <c r="J883" s="207"/>
      <c r="K883" s="207"/>
      <c r="L883" s="207"/>
      <c r="M883" s="207"/>
      <c r="N883" s="207"/>
      <c r="O883" s="207"/>
      <c r="P883" s="207"/>
      <c r="Q883" s="207"/>
      <c r="R883" s="207"/>
      <c r="S883" s="207"/>
      <c r="T883" s="207"/>
      <c r="U883" s="207"/>
      <c r="V883" s="207"/>
      <c r="W883" s="207"/>
      <c r="X883" s="207"/>
      <c r="Y883" s="207"/>
      <c r="Z883" s="207"/>
      <c r="AA883" s="207"/>
      <c r="AB883" s="207"/>
      <c r="AC883" s="207"/>
      <c r="AD883" s="207"/>
      <c r="AE883" s="207"/>
      <c r="AF883" s="207"/>
      <c r="AG883" s="207"/>
      <c r="AH883" s="207"/>
      <c r="AI883" s="207"/>
      <c r="AJ883" s="207"/>
      <c r="AK883" s="207"/>
      <c r="AL883" s="207"/>
      <c r="AM883" s="207"/>
      <c r="AN883" s="207"/>
      <c r="AO883" s="207"/>
      <c r="AP883" s="207"/>
      <c r="AQ883" s="207"/>
      <c r="AR883" s="207"/>
      <c r="AS883" s="207"/>
      <c r="AT883" s="207"/>
      <c r="AU883" s="207"/>
      <c r="AV883" s="207"/>
      <c r="AW883" s="207"/>
      <c r="AX883" s="207"/>
      <c r="AY883" s="207"/>
      <c r="AZ883" s="207"/>
      <c r="BA883" s="207"/>
    </row>
    <row r="884" ht="18.75" hidden="1" customHeight="1">
      <c r="A884" s="207"/>
      <c r="B884" s="207"/>
      <c r="C884" s="207"/>
      <c r="D884" s="207"/>
      <c r="E884" s="207"/>
      <c r="F884" s="207"/>
      <c r="G884" s="207"/>
      <c r="H884" s="207"/>
      <c r="I884" s="207"/>
      <c r="J884" s="207"/>
      <c r="K884" s="207"/>
      <c r="L884" s="207"/>
      <c r="M884" s="207"/>
      <c r="N884" s="207"/>
      <c r="O884" s="207"/>
      <c r="P884" s="207"/>
      <c r="Q884" s="207"/>
      <c r="R884" s="207"/>
      <c r="S884" s="207"/>
      <c r="T884" s="207"/>
      <c r="U884" s="207"/>
      <c r="V884" s="207"/>
      <c r="W884" s="207"/>
      <c r="X884" s="207"/>
      <c r="Y884" s="207"/>
      <c r="Z884" s="207"/>
      <c r="AA884" s="207"/>
      <c r="AB884" s="207"/>
      <c r="AC884" s="207"/>
      <c r="AD884" s="207"/>
      <c r="AE884" s="207"/>
      <c r="AF884" s="207"/>
      <c r="AG884" s="207"/>
      <c r="AH884" s="207"/>
      <c r="AI884" s="207"/>
      <c r="AJ884" s="207"/>
      <c r="AK884" s="207"/>
      <c r="AL884" s="207"/>
      <c r="AM884" s="207"/>
      <c r="AN884" s="207"/>
      <c r="AO884" s="207"/>
      <c r="AP884" s="207"/>
      <c r="AQ884" s="207"/>
      <c r="AR884" s="207"/>
      <c r="AS884" s="207"/>
      <c r="AT884" s="207"/>
      <c r="AU884" s="207"/>
      <c r="AV884" s="207"/>
      <c r="AW884" s="207"/>
      <c r="AX884" s="207"/>
      <c r="AY884" s="207"/>
      <c r="AZ884" s="207"/>
      <c r="BA884" s="207"/>
    </row>
    <row r="885" ht="18.75" hidden="1" customHeight="1">
      <c r="A885" s="207"/>
      <c r="B885" s="207"/>
      <c r="C885" s="207"/>
      <c r="D885" s="207"/>
      <c r="E885" s="207"/>
      <c r="F885" s="207"/>
      <c r="G885" s="207"/>
      <c r="H885" s="207"/>
      <c r="I885" s="207"/>
      <c r="J885" s="207"/>
      <c r="K885" s="207"/>
      <c r="L885" s="207"/>
      <c r="M885" s="207"/>
      <c r="N885" s="207"/>
      <c r="O885" s="207"/>
      <c r="P885" s="207"/>
      <c r="Q885" s="207"/>
      <c r="R885" s="207"/>
      <c r="S885" s="207"/>
      <c r="T885" s="207"/>
      <c r="U885" s="207"/>
      <c r="V885" s="207"/>
      <c r="W885" s="207"/>
      <c r="X885" s="207"/>
      <c r="Y885" s="207"/>
      <c r="Z885" s="207"/>
      <c r="AA885" s="207"/>
      <c r="AB885" s="207"/>
      <c r="AC885" s="207"/>
      <c r="AD885" s="207"/>
      <c r="AE885" s="207"/>
      <c r="AF885" s="207"/>
      <c r="AG885" s="207"/>
      <c r="AH885" s="207"/>
      <c r="AI885" s="207"/>
      <c r="AJ885" s="207"/>
      <c r="AK885" s="207"/>
      <c r="AL885" s="207"/>
      <c r="AM885" s="207"/>
      <c r="AN885" s="207"/>
      <c r="AO885" s="207"/>
      <c r="AP885" s="207"/>
      <c r="AQ885" s="207"/>
      <c r="AR885" s="207"/>
      <c r="AS885" s="207"/>
      <c r="AT885" s="207"/>
      <c r="AU885" s="207"/>
      <c r="AV885" s="207"/>
      <c r="AW885" s="207"/>
      <c r="AX885" s="207"/>
      <c r="AY885" s="207"/>
      <c r="AZ885" s="207"/>
      <c r="BA885" s="207"/>
    </row>
    <row r="886" ht="18.75" hidden="1" customHeight="1">
      <c r="A886" s="207"/>
      <c r="B886" s="207"/>
      <c r="C886" s="207"/>
      <c r="D886" s="207"/>
      <c r="E886" s="207"/>
      <c r="F886" s="207"/>
      <c r="G886" s="207"/>
      <c r="H886" s="207"/>
      <c r="I886" s="207"/>
      <c r="J886" s="207"/>
      <c r="K886" s="207"/>
      <c r="L886" s="207"/>
      <c r="M886" s="207"/>
      <c r="N886" s="207"/>
      <c r="O886" s="207"/>
      <c r="P886" s="207"/>
      <c r="Q886" s="207"/>
      <c r="R886" s="207"/>
      <c r="S886" s="207"/>
      <c r="T886" s="207"/>
      <c r="U886" s="207"/>
      <c r="V886" s="207"/>
      <c r="W886" s="207"/>
      <c r="X886" s="207"/>
      <c r="Y886" s="207"/>
      <c r="Z886" s="207"/>
      <c r="AA886" s="207"/>
      <c r="AB886" s="207"/>
      <c r="AC886" s="207"/>
      <c r="AD886" s="207"/>
      <c r="AE886" s="207"/>
      <c r="AF886" s="207"/>
      <c r="AG886" s="207"/>
      <c r="AH886" s="207"/>
      <c r="AI886" s="207"/>
      <c r="AJ886" s="207"/>
      <c r="AK886" s="207"/>
      <c r="AL886" s="207"/>
      <c r="AM886" s="207"/>
      <c r="AN886" s="207"/>
      <c r="AO886" s="207"/>
      <c r="AP886" s="207"/>
      <c r="AQ886" s="207"/>
      <c r="AR886" s="207"/>
      <c r="AS886" s="207"/>
      <c r="AT886" s="207"/>
      <c r="AU886" s="207"/>
      <c r="AV886" s="207"/>
      <c r="AW886" s="207"/>
      <c r="AX886" s="207"/>
      <c r="AY886" s="207"/>
      <c r="AZ886" s="207"/>
      <c r="BA886" s="207"/>
    </row>
    <row r="887" ht="18.75" hidden="1" customHeight="1">
      <c r="A887" s="207"/>
      <c r="B887" s="207"/>
      <c r="C887" s="207"/>
      <c r="D887" s="207"/>
      <c r="E887" s="207"/>
      <c r="F887" s="207"/>
      <c r="G887" s="207"/>
      <c r="H887" s="207"/>
      <c r="I887" s="207"/>
      <c r="J887" s="207"/>
      <c r="K887" s="207"/>
      <c r="L887" s="207"/>
      <c r="M887" s="207"/>
      <c r="N887" s="207"/>
      <c r="O887" s="207"/>
      <c r="P887" s="207"/>
      <c r="Q887" s="207"/>
      <c r="R887" s="207"/>
      <c r="S887" s="207"/>
      <c r="T887" s="207"/>
      <c r="U887" s="207"/>
      <c r="V887" s="207"/>
      <c r="W887" s="207"/>
      <c r="X887" s="207"/>
      <c r="Y887" s="207"/>
      <c r="Z887" s="207"/>
      <c r="AA887" s="207"/>
      <c r="AB887" s="207"/>
      <c r="AC887" s="207"/>
      <c r="AD887" s="207"/>
      <c r="AE887" s="207"/>
      <c r="AF887" s="207"/>
      <c r="AG887" s="207"/>
      <c r="AH887" s="207"/>
      <c r="AI887" s="207"/>
      <c r="AJ887" s="207"/>
      <c r="AK887" s="207"/>
      <c r="AL887" s="207"/>
      <c r="AM887" s="207"/>
      <c r="AN887" s="207"/>
      <c r="AO887" s="207"/>
      <c r="AP887" s="207"/>
      <c r="AQ887" s="207"/>
      <c r="AR887" s="207"/>
      <c r="AS887" s="207"/>
      <c r="AT887" s="207"/>
      <c r="AU887" s="207"/>
      <c r="AV887" s="207"/>
      <c r="AW887" s="207"/>
      <c r="AX887" s="207"/>
      <c r="AY887" s="207"/>
      <c r="AZ887" s="207"/>
      <c r="BA887" s="207"/>
    </row>
    <row r="888" ht="18.75" hidden="1" customHeight="1">
      <c r="A888" s="207"/>
      <c r="B888" s="207"/>
      <c r="C888" s="207"/>
      <c r="D888" s="207"/>
      <c r="E888" s="207"/>
      <c r="F888" s="207"/>
      <c r="G888" s="207"/>
      <c r="H888" s="207"/>
      <c r="I888" s="207"/>
      <c r="J888" s="207"/>
      <c r="K888" s="207"/>
      <c r="L888" s="207"/>
      <c r="M888" s="207"/>
      <c r="N888" s="207"/>
      <c r="O888" s="207"/>
      <c r="P888" s="207"/>
      <c r="Q888" s="207"/>
      <c r="R888" s="207"/>
      <c r="S888" s="207"/>
      <c r="T888" s="207"/>
      <c r="U888" s="207"/>
      <c r="V888" s="207"/>
      <c r="W888" s="207"/>
      <c r="X888" s="207"/>
      <c r="Y888" s="207"/>
      <c r="Z888" s="207"/>
      <c r="AA888" s="207"/>
      <c r="AB888" s="207"/>
      <c r="AC888" s="207"/>
      <c r="AD888" s="207"/>
      <c r="AE888" s="207"/>
      <c r="AF888" s="207"/>
      <c r="AG888" s="207"/>
      <c r="AH888" s="207"/>
      <c r="AI888" s="207"/>
      <c r="AJ888" s="207"/>
      <c r="AK888" s="207"/>
      <c r="AL888" s="207"/>
      <c r="AM888" s="207"/>
      <c r="AN888" s="207"/>
      <c r="AO888" s="207"/>
      <c r="AP888" s="207"/>
      <c r="AQ888" s="207"/>
      <c r="AR888" s="207"/>
      <c r="AS888" s="207"/>
      <c r="AT888" s="207"/>
      <c r="AU888" s="207"/>
      <c r="AV888" s="207"/>
      <c r="AW888" s="207"/>
      <c r="AX888" s="207"/>
      <c r="AY888" s="207"/>
      <c r="AZ888" s="207"/>
      <c r="BA888" s="207"/>
    </row>
    <row r="889" ht="18.75" hidden="1" customHeight="1">
      <c r="A889" s="207"/>
      <c r="B889" s="207"/>
      <c r="C889" s="207"/>
      <c r="D889" s="207"/>
      <c r="E889" s="207"/>
      <c r="F889" s="207"/>
      <c r="G889" s="207"/>
      <c r="H889" s="207"/>
      <c r="I889" s="207"/>
      <c r="J889" s="207"/>
      <c r="K889" s="207"/>
      <c r="L889" s="207"/>
      <c r="M889" s="207"/>
      <c r="N889" s="207"/>
      <c r="O889" s="207"/>
      <c r="P889" s="207"/>
      <c r="Q889" s="207"/>
      <c r="R889" s="207"/>
      <c r="S889" s="207"/>
      <c r="T889" s="207"/>
      <c r="U889" s="207"/>
      <c r="V889" s="207"/>
      <c r="W889" s="207"/>
      <c r="X889" s="207"/>
      <c r="Y889" s="207"/>
      <c r="Z889" s="207"/>
      <c r="AA889" s="207"/>
      <c r="AB889" s="207"/>
      <c r="AC889" s="207"/>
      <c r="AD889" s="207"/>
      <c r="AE889" s="207"/>
      <c r="AF889" s="207"/>
      <c r="AG889" s="207"/>
      <c r="AH889" s="207"/>
      <c r="AI889" s="207"/>
      <c r="AJ889" s="207"/>
      <c r="AK889" s="207"/>
      <c r="AL889" s="207"/>
      <c r="AM889" s="207"/>
      <c r="AN889" s="207"/>
      <c r="AO889" s="207"/>
      <c r="AP889" s="207"/>
      <c r="AQ889" s="207"/>
      <c r="AR889" s="207"/>
      <c r="AS889" s="207"/>
      <c r="AT889" s="207"/>
      <c r="AU889" s="207"/>
      <c r="AV889" s="207"/>
      <c r="AW889" s="207"/>
      <c r="AX889" s="207"/>
      <c r="AY889" s="207"/>
      <c r="AZ889" s="207"/>
      <c r="BA889" s="207"/>
    </row>
    <row r="890" ht="18.75" hidden="1" customHeight="1">
      <c r="A890" s="207"/>
      <c r="B890" s="207"/>
      <c r="C890" s="207"/>
      <c r="D890" s="207"/>
      <c r="E890" s="207"/>
      <c r="F890" s="207"/>
      <c r="G890" s="207"/>
      <c r="H890" s="207"/>
      <c r="I890" s="207"/>
      <c r="J890" s="207"/>
      <c r="K890" s="207"/>
      <c r="L890" s="207"/>
      <c r="M890" s="207"/>
      <c r="N890" s="207"/>
      <c r="O890" s="207"/>
      <c r="P890" s="207"/>
      <c r="Q890" s="207"/>
      <c r="R890" s="207"/>
      <c r="S890" s="207"/>
      <c r="T890" s="207"/>
      <c r="U890" s="207"/>
      <c r="V890" s="207"/>
      <c r="W890" s="207"/>
      <c r="X890" s="207"/>
      <c r="Y890" s="207"/>
      <c r="Z890" s="207"/>
      <c r="AA890" s="207"/>
      <c r="AB890" s="207"/>
      <c r="AC890" s="207"/>
      <c r="AD890" s="207"/>
      <c r="AE890" s="207"/>
      <c r="AF890" s="207"/>
      <c r="AG890" s="207"/>
      <c r="AH890" s="207"/>
      <c r="AI890" s="207"/>
      <c r="AJ890" s="207"/>
      <c r="AK890" s="207"/>
      <c r="AL890" s="207"/>
      <c r="AM890" s="207"/>
      <c r="AN890" s="207"/>
      <c r="AO890" s="207"/>
      <c r="AP890" s="207"/>
      <c r="AQ890" s="207"/>
      <c r="AR890" s="207"/>
      <c r="AS890" s="207"/>
      <c r="AT890" s="207"/>
      <c r="AU890" s="207"/>
      <c r="AV890" s="207"/>
      <c r="AW890" s="207"/>
      <c r="AX890" s="207"/>
      <c r="AY890" s="207"/>
      <c r="AZ890" s="207"/>
      <c r="BA890" s="207"/>
    </row>
    <row r="891" ht="18.75" hidden="1" customHeight="1">
      <c r="A891" s="207"/>
      <c r="B891" s="207"/>
      <c r="C891" s="207"/>
      <c r="D891" s="207"/>
      <c r="E891" s="207"/>
      <c r="F891" s="207"/>
      <c r="G891" s="207"/>
      <c r="H891" s="207"/>
      <c r="I891" s="207"/>
      <c r="J891" s="207"/>
      <c r="K891" s="207"/>
      <c r="L891" s="207"/>
      <c r="M891" s="207"/>
      <c r="N891" s="207"/>
      <c r="O891" s="207"/>
      <c r="P891" s="207"/>
      <c r="Q891" s="207"/>
      <c r="R891" s="207"/>
      <c r="S891" s="207"/>
      <c r="T891" s="207"/>
      <c r="U891" s="207"/>
      <c r="V891" s="207"/>
      <c r="W891" s="207"/>
      <c r="X891" s="207"/>
      <c r="Y891" s="207"/>
      <c r="Z891" s="207"/>
      <c r="AA891" s="207"/>
      <c r="AB891" s="207"/>
      <c r="AC891" s="207"/>
      <c r="AD891" s="207"/>
      <c r="AE891" s="207"/>
      <c r="AF891" s="207"/>
      <c r="AG891" s="207"/>
      <c r="AH891" s="207"/>
      <c r="AI891" s="207"/>
      <c r="AJ891" s="207"/>
      <c r="AK891" s="207"/>
      <c r="AL891" s="207"/>
      <c r="AM891" s="207"/>
      <c r="AN891" s="207"/>
      <c r="AO891" s="207"/>
      <c r="AP891" s="207"/>
      <c r="AQ891" s="207"/>
      <c r="AR891" s="207"/>
      <c r="AS891" s="207"/>
      <c r="AT891" s="207"/>
      <c r="AU891" s="207"/>
      <c r="AV891" s="207"/>
      <c r="AW891" s="207"/>
      <c r="AX891" s="207"/>
      <c r="AY891" s="207"/>
      <c r="AZ891" s="207"/>
      <c r="BA891" s="207"/>
    </row>
    <row r="892" ht="18.75" hidden="1" customHeight="1">
      <c r="A892" s="207"/>
      <c r="B892" s="207"/>
      <c r="C892" s="207"/>
      <c r="D892" s="207"/>
      <c r="E892" s="207"/>
      <c r="F892" s="207"/>
      <c r="G892" s="207"/>
      <c r="H892" s="207"/>
      <c r="I892" s="207"/>
      <c r="J892" s="207"/>
      <c r="K892" s="207"/>
      <c r="L892" s="207"/>
      <c r="M892" s="207"/>
      <c r="N892" s="207"/>
      <c r="O892" s="207"/>
      <c r="P892" s="207"/>
      <c r="Q892" s="207"/>
      <c r="R892" s="207"/>
      <c r="S892" s="207"/>
      <c r="T892" s="207"/>
      <c r="U892" s="207"/>
      <c r="V892" s="207"/>
      <c r="W892" s="207"/>
      <c r="X892" s="207"/>
      <c r="Y892" s="207"/>
      <c r="Z892" s="207"/>
      <c r="AA892" s="207"/>
      <c r="AB892" s="207"/>
      <c r="AC892" s="207"/>
      <c r="AD892" s="207"/>
      <c r="AE892" s="207"/>
      <c r="AF892" s="207"/>
      <c r="AG892" s="207"/>
      <c r="AH892" s="207"/>
      <c r="AI892" s="207"/>
      <c r="AJ892" s="207"/>
      <c r="AK892" s="207"/>
      <c r="AL892" s="207"/>
      <c r="AM892" s="207"/>
      <c r="AN892" s="207"/>
      <c r="AO892" s="207"/>
      <c r="AP892" s="207"/>
      <c r="AQ892" s="207"/>
      <c r="AR892" s="207"/>
      <c r="AS892" s="207"/>
      <c r="AT892" s="207"/>
      <c r="AU892" s="207"/>
      <c r="AV892" s="207"/>
      <c r="AW892" s="207"/>
      <c r="AX892" s="207"/>
      <c r="AY892" s="207"/>
      <c r="AZ892" s="207"/>
      <c r="BA892" s="207"/>
    </row>
    <row r="893" ht="18.75" hidden="1" customHeight="1">
      <c r="A893" s="207"/>
      <c r="B893" s="207"/>
      <c r="C893" s="207"/>
      <c r="D893" s="207"/>
      <c r="E893" s="207"/>
      <c r="F893" s="207"/>
      <c r="G893" s="207"/>
      <c r="H893" s="207"/>
      <c r="I893" s="207"/>
      <c r="J893" s="207"/>
      <c r="K893" s="207"/>
      <c r="L893" s="207"/>
      <c r="M893" s="207"/>
      <c r="N893" s="207"/>
      <c r="O893" s="207"/>
      <c r="P893" s="207"/>
      <c r="Q893" s="207"/>
      <c r="R893" s="207"/>
      <c r="S893" s="207"/>
      <c r="T893" s="207"/>
      <c r="U893" s="207"/>
      <c r="V893" s="207"/>
      <c r="W893" s="207"/>
      <c r="X893" s="207"/>
      <c r="Y893" s="207"/>
      <c r="Z893" s="207"/>
      <c r="AA893" s="207"/>
      <c r="AB893" s="207"/>
      <c r="AC893" s="207"/>
      <c r="AD893" s="207"/>
      <c r="AE893" s="207"/>
      <c r="AF893" s="207"/>
      <c r="AG893" s="207"/>
      <c r="AH893" s="207"/>
      <c r="AI893" s="207"/>
      <c r="AJ893" s="207"/>
      <c r="AK893" s="207"/>
      <c r="AL893" s="207"/>
      <c r="AM893" s="207"/>
      <c r="AN893" s="207"/>
      <c r="AO893" s="207"/>
      <c r="AP893" s="207"/>
      <c r="AQ893" s="207"/>
      <c r="AR893" s="207"/>
      <c r="AS893" s="207"/>
      <c r="AT893" s="207"/>
      <c r="AU893" s="207"/>
      <c r="AV893" s="207"/>
      <c r="AW893" s="207"/>
      <c r="AX893" s="207"/>
      <c r="AY893" s="207"/>
      <c r="AZ893" s="207"/>
      <c r="BA893" s="207"/>
    </row>
    <row r="894" ht="18.75" hidden="1" customHeight="1">
      <c r="A894" s="207"/>
      <c r="B894" s="207"/>
      <c r="C894" s="207"/>
      <c r="D894" s="207"/>
      <c r="E894" s="207"/>
      <c r="F894" s="207"/>
      <c r="G894" s="207"/>
      <c r="H894" s="207"/>
      <c r="I894" s="207"/>
      <c r="J894" s="207"/>
      <c r="K894" s="207"/>
      <c r="L894" s="207"/>
      <c r="M894" s="207"/>
      <c r="N894" s="207"/>
      <c r="O894" s="207"/>
      <c r="P894" s="207"/>
      <c r="Q894" s="207"/>
      <c r="R894" s="207"/>
      <c r="S894" s="207"/>
      <c r="T894" s="207"/>
      <c r="U894" s="207"/>
      <c r="V894" s="207"/>
      <c r="W894" s="207"/>
      <c r="X894" s="207"/>
      <c r="Y894" s="207"/>
      <c r="Z894" s="207"/>
      <c r="AA894" s="207"/>
      <c r="AB894" s="207"/>
      <c r="AC894" s="207"/>
      <c r="AD894" s="207"/>
      <c r="AE894" s="207"/>
      <c r="AF894" s="207"/>
      <c r="AG894" s="207"/>
      <c r="AH894" s="207"/>
      <c r="AI894" s="207"/>
      <c r="AJ894" s="207"/>
      <c r="AK894" s="207"/>
      <c r="AL894" s="207"/>
      <c r="AM894" s="207"/>
      <c r="AN894" s="207"/>
      <c r="AO894" s="207"/>
      <c r="AP894" s="207"/>
      <c r="AQ894" s="207"/>
      <c r="AR894" s="207"/>
      <c r="AS894" s="207"/>
      <c r="AT894" s="207"/>
      <c r="AU894" s="207"/>
      <c r="AV894" s="207"/>
      <c r="AW894" s="207"/>
      <c r="AX894" s="207"/>
      <c r="AY894" s="207"/>
      <c r="AZ894" s="207"/>
      <c r="BA894" s="207"/>
    </row>
    <row r="895" ht="18.75" hidden="1" customHeight="1">
      <c r="A895" s="207"/>
      <c r="B895" s="207"/>
      <c r="C895" s="207"/>
      <c r="D895" s="207"/>
      <c r="E895" s="207"/>
      <c r="F895" s="207"/>
      <c r="G895" s="207"/>
      <c r="H895" s="207"/>
      <c r="I895" s="207"/>
      <c r="J895" s="207"/>
      <c r="K895" s="207"/>
      <c r="L895" s="207"/>
      <c r="M895" s="207"/>
      <c r="N895" s="207"/>
      <c r="O895" s="207"/>
      <c r="P895" s="207"/>
      <c r="Q895" s="207"/>
      <c r="R895" s="207"/>
      <c r="S895" s="207"/>
      <c r="T895" s="207"/>
      <c r="U895" s="207"/>
      <c r="V895" s="207"/>
      <c r="W895" s="207"/>
      <c r="X895" s="207"/>
      <c r="Y895" s="207"/>
      <c r="Z895" s="207"/>
      <c r="AA895" s="207"/>
      <c r="AB895" s="207"/>
      <c r="AC895" s="207"/>
      <c r="AD895" s="207"/>
      <c r="AE895" s="207"/>
      <c r="AF895" s="207"/>
      <c r="AG895" s="207"/>
      <c r="AH895" s="207"/>
      <c r="AI895" s="207"/>
      <c r="AJ895" s="207"/>
      <c r="AK895" s="207"/>
      <c r="AL895" s="207"/>
      <c r="AM895" s="207"/>
      <c r="AN895" s="207"/>
      <c r="AO895" s="207"/>
      <c r="AP895" s="207"/>
      <c r="AQ895" s="207"/>
      <c r="AR895" s="207"/>
      <c r="AS895" s="207"/>
      <c r="AT895" s="207"/>
      <c r="AU895" s="207"/>
      <c r="AV895" s="207"/>
      <c r="AW895" s="207"/>
      <c r="AX895" s="207"/>
      <c r="AY895" s="207"/>
      <c r="AZ895" s="207"/>
      <c r="BA895" s="207"/>
    </row>
    <row r="896" ht="18.75" hidden="1" customHeight="1">
      <c r="A896" s="207"/>
      <c r="B896" s="207"/>
      <c r="C896" s="207"/>
      <c r="D896" s="207"/>
      <c r="E896" s="207"/>
      <c r="F896" s="207"/>
      <c r="G896" s="207"/>
      <c r="H896" s="207"/>
      <c r="I896" s="207"/>
      <c r="J896" s="207"/>
      <c r="K896" s="207"/>
      <c r="L896" s="207"/>
      <c r="M896" s="207"/>
      <c r="N896" s="207"/>
      <c r="O896" s="207"/>
      <c r="P896" s="207"/>
      <c r="Q896" s="207"/>
      <c r="R896" s="207"/>
      <c r="S896" s="207"/>
      <c r="T896" s="207"/>
      <c r="U896" s="207"/>
      <c r="V896" s="207"/>
      <c r="W896" s="207"/>
      <c r="X896" s="207"/>
      <c r="Y896" s="207"/>
      <c r="Z896" s="207"/>
      <c r="AA896" s="207"/>
      <c r="AB896" s="207"/>
      <c r="AC896" s="207"/>
      <c r="AD896" s="207"/>
      <c r="AE896" s="207"/>
      <c r="AF896" s="207"/>
      <c r="AG896" s="207"/>
      <c r="AH896" s="207"/>
      <c r="AI896" s="207"/>
      <c r="AJ896" s="207"/>
      <c r="AK896" s="207"/>
      <c r="AL896" s="207"/>
      <c r="AM896" s="207"/>
      <c r="AN896" s="207"/>
      <c r="AO896" s="207"/>
      <c r="AP896" s="207"/>
      <c r="AQ896" s="207"/>
      <c r="AR896" s="207"/>
      <c r="AS896" s="207"/>
      <c r="AT896" s="207"/>
      <c r="AU896" s="207"/>
      <c r="AV896" s="207"/>
      <c r="AW896" s="207"/>
      <c r="AX896" s="207"/>
      <c r="AY896" s="207"/>
      <c r="AZ896" s="207"/>
      <c r="BA896" s="207"/>
    </row>
    <row r="897" ht="18.75" hidden="1" customHeight="1">
      <c r="A897" s="207"/>
      <c r="B897" s="207"/>
      <c r="C897" s="207"/>
      <c r="D897" s="207"/>
      <c r="E897" s="207"/>
      <c r="F897" s="207"/>
      <c r="G897" s="207"/>
      <c r="H897" s="207"/>
      <c r="I897" s="207"/>
      <c r="J897" s="207"/>
      <c r="K897" s="207"/>
      <c r="L897" s="207"/>
      <c r="M897" s="207"/>
      <c r="N897" s="207"/>
      <c r="O897" s="207"/>
      <c r="P897" s="207"/>
      <c r="Q897" s="207"/>
      <c r="R897" s="207"/>
      <c r="S897" s="207"/>
      <c r="T897" s="207"/>
      <c r="U897" s="207"/>
      <c r="V897" s="207"/>
      <c r="W897" s="207"/>
      <c r="X897" s="207"/>
      <c r="Y897" s="207"/>
      <c r="Z897" s="207"/>
      <c r="AA897" s="207"/>
      <c r="AB897" s="207"/>
      <c r="AC897" s="207"/>
      <c r="AD897" s="207"/>
      <c r="AE897" s="207"/>
      <c r="AF897" s="207"/>
      <c r="AG897" s="207"/>
      <c r="AH897" s="207"/>
      <c r="AI897" s="207"/>
      <c r="AJ897" s="207"/>
      <c r="AK897" s="207"/>
      <c r="AL897" s="207"/>
      <c r="AM897" s="207"/>
      <c r="AN897" s="207"/>
      <c r="AO897" s="207"/>
      <c r="AP897" s="207"/>
      <c r="AQ897" s="207"/>
      <c r="AR897" s="207"/>
      <c r="AS897" s="207"/>
      <c r="AT897" s="207"/>
      <c r="AU897" s="207"/>
      <c r="AV897" s="207"/>
      <c r="AW897" s="207"/>
      <c r="AX897" s="207"/>
      <c r="AY897" s="207"/>
      <c r="AZ897" s="207"/>
      <c r="BA897" s="207"/>
    </row>
    <row r="898" ht="18.75" hidden="1" customHeight="1">
      <c r="A898" s="207"/>
      <c r="B898" s="207"/>
      <c r="C898" s="207"/>
      <c r="D898" s="207"/>
      <c r="E898" s="207"/>
      <c r="F898" s="207"/>
      <c r="G898" s="207"/>
      <c r="H898" s="207"/>
      <c r="I898" s="207"/>
      <c r="J898" s="207"/>
      <c r="K898" s="207"/>
      <c r="L898" s="207"/>
      <c r="M898" s="207"/>
      <c r="N898" s="207"/>
      <c r="O898" s="207"/>
      <c r="P898" s="207"/>
      <c r="Q898" s="207"/>
      <c r="R898" s="207"/>
      <c r="S898" s="207"/>
      <c r="T898" s="207"/>
      <c r="U898" s="207"/>
      <c r="V898" s="207"/>
      <c r="W898" s="207"/>
      <c r="X898" s="207"/>
      <c r="Y898" s="207"/>
      <c r="Z898" s="207"/>
      <c r="AA898" s="207"/>
      <c r="AB898" s="207"/>
      <c r="AC898" s="207"/>
      <c r="AD898" s="207"/>
      <c r="AE898" s="207"/>
      <c r="AF898" s="207"/>
      <c r="AG898" s="207"/>
      <c r="AH898" s="207"/>
      <c r="AI898" s="207"/>
      <c r="AJ898" s="207"/>
      <c r="AK898" s="207"/>
      <c r="AL898" s="207"/>
      <c r="AM898" s="207"/>
      <c r="AN898" s="207"/>
      <c r="AO898" s="207"/>
      <c r="AP898" s="207"/>
      <c r="AQ898" s="207"/>
      <c r="AR898" s="207"/>
      <c r="AS898" s="207"/>
      <c r="AT898" s="207"/>
      <c r="AU898" s="207"/>
      <c r="AV898" s="207"/>
      <c r="AW898" s="207"/>
      <c r="AX898" s="207"/>
      <c r="AY898" s="207"/>
      <c r="AZ898" s="207"/>
      <c r="BA898" s="207"/>
    </row>
    <row r="899" ht="18.75" hidden="1" customHeight="1">
      <c r="A899" s="207"/>
      <c r="B899" s="207"/>
      <c r="C899" s="207"/>
      <c r="D899" s="207"/>
      <c r="E899" s="207"/>
      <c r="F899" s="207"/>
      <c r="G899" s="207"/>
      <c r="H899" s="207"/>
      <c r="I899" s="207"/>
      <c r="J899" s="207"/>
      <c r="K899" s="207"/>
      <c r="L899" s="207"/>
      <c r="M899" s="207"/>
      <c r="N899" s="207"/>
      <c r="O899" s="207"/>
      <c r="P899" s="207"/>
      <c r="Q899" s="207"/>
      <c r="R899" s="207"/>
      <c r="S899" s="207"/>
      <c r="T899" s="207"/>
      <c r="U899" s="207"/>
      <c r="V899" s="207"/>
      <c r="W899" s="207"/>
      <c r="X899" s="207"/>
      <c r="Y899" s="207"/>
      <c r="Z899" s="207"/>
      <c r="AA899" s="207"/>
      <c r="AB899" s="207"/>
      <c r="AC899" s="207"/>
      <c r="AD899" s="207"/>
      <c r="AE899" s="207"/>
      <c r="AF899" s="207"/>
      <c r="AG899" s="207"/>
      <c r="AH899" s="207"/>
      <c r="AI899" s="207"/>
      <c r="AJ899" s="207"/>
      <c r="AK899" s="207"/>
      <c r="AL899" s="207"/>
      <c r="AM899" s="207"/>
      <c r="AN899" s="207"/>
      <c r="AO899" s="207"/>
      <c r="AP899" s="207"/>
      <c r="AQ899" s="207"/>
      <c r="AR899" s="207"/>
      <c r="AS899" s="207"/>
      <c r="AT899" s="207"/>
      <c r="AU899" s="207"/>
      <c r="AV899" s="207"/>
      <c r="AW899" s="207"/>
      <c r="AX899" s="207"/>
      <c r="AY899" s="207"/>
      <c r="AZ899" s="207"/>
      <c r="BA899" s="207"/>
    </row>
    <row r="900" ht="18.75" hidden="1" customHeight="1">
      <c r="A900" s="207"/>
      <c r="B900" s="207"/>
      <c r="C900" s="207"/>
      <c r="D900" s="207"/>
      <c r="E900" s="207"/>
      <c r="F900" s="207"/>
      <c r="G900" s="207"/>
      <c r="H900" s="207"/>
      <c r="I900" s="207"/>
      <c r="J900" s="207"/>
      <c r="K900" s="207"/>
      <c r="L900" s="207"/>
      <c r="M900" s="207"/>
      <c r="N900" s="207"/>
      <c r="O900" s="207"/>
      <c r="P900" s="207"/>
      <c r="Q900" s="207"/>
      <c r="R900" s="207"/>
      <c r="S900" s="207"/>
      <c r="T900" s="207"/>
      <c r="U900" s="207"/>
      <c r="V900" s="207"/>
      <c r="W900" s="207"/>
      <c r="X900" s="207"/>
      <c r="Y900" s="207"/>
      <c r="Z900" s="207"/>
      <c r="AA900" s="207"/>
      <c r="AB900" s="207"/>
      <c r="AC900" s="207"/>
      <c r="AD900" s="207"/>
      <c r="AE900" s="207"/>
      <c r="AF900" s="207"/>
      <c r="AG900" s="207"/>
      <c r="AH900" s="207"/>
      <c r="AI900" s="207"/>
      <c r="AJ900" s="207"/>
      <c r="AK900" s="207"/>
      <c r="AL900" s="207"/>
      <c r="AM900" s="207"/>
      <c r="AN900" s="207"/>
      <c r="AO900" s="207"/>
      <c r="AP900" s="207"/>
      <c r="AQ900" s="207"/>
      <c r="AR900" s="207"/>
      <c r="AS900" s="207"/>
      <c r="AT900" s="207"/>
      <c r="AU900" s="207"/>
      <c r="AV900" s="207"/>
      <c r="AW900" s="207"/>
      <c r="AX900" s="207"/>
      <c r="AY900" s="207"/>
      <c r="AZ900" s="207"/>
      <c r="BA900" s="207"/>
    </row>
    <row r="901" ht="18.75" hidden="1" customHeight="1">
      <c r="A901" s="207"/>
      <c r="B901" s="207"/>
      <c r="C901" s="207"/>
      <c r="D901" s="207"/>
      <c r="E901" s="207"/>
      <c r="F901" s="207"/>
      <c r="G901" s="207"/>
      <c r="H901" s="207"/>
      <c r="I901" s="207"/>
      <c r="J901" s="207"/>
      <c r="K901" s="207"/>
      <c r="L901" s="207"/>
      <c r="M901" s="207"/>
      <c r="N901" s="207"/>
      <c r="O901" s="207"/>
      <c r="P901" s="207"/>
      <c r="Q901" s="207"/>
      <c r="R901" s="207"/>
      <c r="S901" s="207"/>
      <c r="T901" s="207"/>
      <c r="U901" s="207"/>
      <c r="V901" s="207"/>
      <c r="W901" s="207"/>
      <c r="X901" s="207"/>
      <c r="Y901" s="207"/>
      <c r="Z901" s="207"/>
      <c r="AA901" s="207"/>
      <c r="AB901" s="207"/>
      <c r="AC901" s="207"/>
      <c r="AD901" s="207"/>
      <c r="AE901" s="207"/>
      <c r="AF901" s="207"/>
      <c r="AG901" s="207"/>
      <c r="AH901" s="207"/>
      <c r="AI901" s="207"/>
      <c r="AJ901" s="207"/>
      <c r="AK901" s="207"/>
      <c r="AL901" s="207"/>
      <c r="AM901" s="207"/>
      <c r="AN901" s="207"/>
      <c r="AO901" s="207"/>
      <c r="AP901" s="207"/>
      <c r="AQ901" s="207"/>
      <c r="AR901" s="207"/>
      <c r="AS901" s="207"/>
      <c r="AT901" s="207"/>
      <c r="AU901" s="207"/>
      <c r="AV901" s="207"/>
      <c r="AW901" s="207"/>
      <c r="AX901" s="207"/>
      <c r="AY901" s="207"/>
      <c r="AZ901" s="207"/>
      <c r="BA901" s="207"/>
    </row>
    <row r="902" ht="18.75" hidden="1" customHeight="1">
      <c r="A902" s="207"/>
      <c r="B902" s="207"/>
      <c r="C902" s="207"/>
      <c r="D902" s="207"/>
      <c r="E902" s="207"/>
      <c r="F902" s="207"/>
      <c r="G902" s="207"/>
      <c r="H902" s="207"/>
      <c r="I902" s="207"/>
      <c r="J902" s="207"/>
      <c r="K902" s="207"/>
      <c r="L902" s="207"/>
      <c r="M902" s="207"/>
      <c r="N902" s="207"/>
      <c r="O902" s="207"/>
      <c r="P902" s="207"/>
      <c r="Q902" s="207"/>
      <c r="R902" s="207"/>
      <c r="S902" s="207"/>
      <c r="T902" s="207"/>
      <c r="U902" s="207"/>
      <c r="V902" s="207"/>
      <c r="W902" s="207"/>
      <c r="X902" s="207"/>
      <c r="Y902" s="207"/>
      <c r="Z902" s="207"/>
      <c r="AA902" s="207"/>
      <c r="AB902" s="207"/>
      <c r="AC902" s="207"/>
      <c r="AD902" s="207"/>
      <c r="AE902" s="207"/>
      <c r="AF902" s="207"/>
      <c r="AG902" s="207"/>
      <c r="AH902" s="207"/>
      <c r="AI902" s="207"/>
      <c r="AJ902" s="207"/>
      <c r="AK902" s="207"/>
      <c r="AL902" s="207"/>
      <c r="AM902" s="207"/>
      <c r="AN902" s="207"/>
      <c r="AO902" s="207"/>
      <c r="AP902" s="207"/>
      <c r="AQ902" s="207"/>
      <c r="AR902" s="207"/>
      <c r="AS902" s="207"/>
      <c r="AT902" s="207"/>
      <c r="AU902" s="207"/>
      <c r="AV902" s="207"/>
      <c r="AW902" s="207"/>
      <c r="AX902" s="207"/>
      <c r="AY902" s="207"/>
      <c r="AZ902" s="207"/>
      <c r="BA902" s="207"/>
    </row>
    <row r="903" ht="18.75" hidden="1" customHeight="1">
      <c r="A903" s="207"/>
      <c r="B903" s="207"/>
      <c r="C903" s="207"/>
      <c r="D903" s="207"/>
      <c r="E903" s="207"/>
      <c r="F903" s="207"/>
      <c r="G903" s="207"/>
      <c r="H903" s="207"/>
      <c r="I903" s="207"/>
      <c r="J903" s="207"/>
      <c r="K903" s="207"/>
      <c r="L903" s="207"/>
      <c r="M903" s="207"/>
      <c r="N903" s="207"/>
      <c r="O903" s="207"/>
      <c r="P903" s="207"/>
      <c r="Q903" s="207"/>
      <c r="R903" s="207"/>
      <c r="S903" s="207"/>
      <c r="T903" s="207"/>
      <c r="U903" s="207"/>
      <c r="V903" s="207"/>
      <c r="W903" s="207"/>
      <c r="X903" s="207"/>
      <c r="Y903" s="207"/>
      <c r="Z903" s="207"/>
      <c r="AA903" s="207"/>
      <c r="AB903" s="207"/>
      <c r="AC903" s="207"/>
      <c r="AD903" s="207"/>
      <c r="AE903" s="207"/>
      <c r="AF903" s="207"/>
      <c r="AG903" s="207"/>
      <c r="AH903" s="207"/>
      <c r="AI903" s="207"/>
      <c r="AJ903" s="207"/>
      <c r="AK903" s="207"/>
      <c r="AL903" s="207"/>
      <c r="AM903" s="207"/>
      <c r="AN903" s="207"/>
      <c r="AO903" s="207"/>
      <c r="AP903" s="207"/>
      <c r="AQ903" s="207"/>
      <c r="AR903" s="207"/>
      <c r="AS903" s="207"/>
      <c r="AT903" s="207"/>
      <c r="AU903" s="207"/>
      <c r="AV903" s="207"/>
      <c r="AW903" s="207"/>
      <c r="AX903" s="207"/>
      <c r="AY903" s="207"/>
      <c r="AZ903" s="207"/>
      <c r="BA903" s="207"/>
    </row>
    <row r="904" ht="18.75" hidden="1" customHeight="1">
      <c r="A904" s="207"/>
      <c r="B904" s="207"/>
      <c r="C904" s="207"/>
      <c r="D904" s="207"/>
      <c r="E904" s="207"/>
      <c r="F904" s="207"/>
      <c r="G904" s="207"/>
      <c r="H904" s="207"/>
      <c r="I904" s="207"/>
      <c r="J904" s="207"/>
      <c r="K904" s="207"/>
      <c r="L904" s="207"/>
      <c r="M904" s="207"/>
      <c r="N904" s="207"/>
      <c r="O904" s="207"/>
      <c r="P904" s="207"/>
      <c r="Q904" s="207"/>
      <c r="R904" s="207"/>
      <c r="S904" s="207"/>
      <c r="T904" s="207"/>
      <c r="U904" s="207"/>
      <c r="V904" s="207"/>
      <c r="W904" s="207"/>
      <c r="X904" s="207"/>
      <c r="Y904" s="207"/>
      <c r="Z904" s="207"/>
      <c r="AA904" s="207"/>
      <c r="AB904" s="207"/>
      <c r="AC904" s="207"/>
      <c r="AD904" s="207"/>
      <c r="AE904" s="207"/>
      <c r="AF904" s="207"/>
      <c r="AG904" s="207"/>
      <c r="AH904" s="207"/>
      <c r="AI904" s="207"/>
      <c r="AJ904" s="207"/>
      <c r="AK904" s="207"/>
      <c r="AL904" s="207"/>
      <c r="AM904" s="207"/>
      <c r="AN904" s="207"/>
      <c r="AO904" s="207"/>
      <c r="AP904" s="207"/>
      <c r="AQ904" s="207"/>
      <c r="AR904" s="207"/>
      <c r="AS904" s="207"/>
      <c r="AT904" s="207"/>
      <c r="AU904" s="207"/>
      <c r="AV904" s="207"/>
      <c r="AW904" s="207"/>
      <c r="AX904" s="207"/>
      <c r="AY904" s="207"/>
      <c r="AZ904" s="207"/>
      <c r="BA904" s="207"/>
    </row>
    <row r="905" ht="18.75" hidden="1" customHeight="1">
      <c r="A905" s="207"/>
      <c r="B905" s="207"/>
      <c r="C905" s="207"/>
      <c r="D905" s="207"/>
      <c r="E905" s="207"/>
      <c r="F905" s="207"/>
      <c r="G905" s="207"/>
      <c r="H905" s="207"/>
      <c r="I905" s="207"/>
      <c r="J905" s="207"/>
      <c r="K905" s="207"/>
      <c r="L905" s="207"/>
      <c r="M905" s="207"/>
      <c r="N905" s="207"/>
      <c r="O905" s="207"/>
      <c r="P905" s="207"/>
      <c r="Q905" s="207"/>
      <c r="R905" s="207"/>
      <c r="S905" s="207"/>
      <c r="T905" s="207"/>
      <c r="U905" s="207"/>
      <c r="V905" s="207"/>
      <c r="W905" s="207"/>
      <c r="X905" s="207"/>
      <c r="Y905" s="207"/>
      <c r="Z905" s="207"/>
      <c r="AA905" s="207"/>
      <c r="AB905" s="207"/>
      <c r="AC905" s="207"/>
      <c r="AD905" s="207"/>
      <c r="AE905" s="207"/>
      <c r="AF905" s="207"/>
      <c r="AG905" s="207"/>
      <c r="AH905" s="207"/>
      <c r="AI905" s="207"/>
      <c r="AJ905" s="207"/>
      <c r="AK905" s="207"/>
      <c r="AL905" s="207"/>
      <c r="AM905" s="207"/>
      <c r="AN905" s="207"/>
      <c r="AO905" s="207"/>
      <c r="AP905" s="207"/>
      <c r="AQ905" s="207"/>
      <c r="AR905" s="207"/>
      <c r="AS905" s="207"/>
      <c r="AT905" s="207"/>
      <c r="AU905" s="207"/>
      <c r="AV905" s="207"/>
      <c r="AW905" s="207"/>
      <c r="AX905" s="207"/>
      <c r="AY905" s="207"/>
      <c r="AZ905" s="207"/>
      <c r="BA905" s="207"/>
    </row>
    <row r="906" ht="18.75" hidden="1" customHeight="1">
      <c r="A906" s="207"/>
      <c r="B906" s="207"/>
      <c r="C906" s="207"/>
      <c r="D906" s="207"/>
      <c r="E906" s="207"/>
      <c r="F906" s="207"/>
      <c r="G906" s="207"/>
      <c r="H906" s="207"/>
      <c r="I906" s="207"/>
      <c r="J906" s="207"/>
      <c r="K906" s="207"/>
      <c r="L906" s="207"/>
      <c r="M906" s="207"/>
      <c r="N906" s="207"/>
      <c r="O906" s="207"/>
      <c r="P906" s="207"/>
      <c r="Q906" s="207"/>
      <c r="R906" s="207"/>
      <c r="S906" s="207"/>
      <c r="T906" s="207"/>
      <c r="U906" s="207"/>
      <c r="V906" s="207"/>
      <c r="W906" s="207"/>
      <c r="X906" s="207"/>
      <c r="Y906" s="207"/>
      <c r="Z906" s="207"/>
      <c r="AA906" s="207"/>
      <c r="AB906" s="207"/>
      <c r="AC906" s="207"/>
      <c r="AD906" s="207"/>
      <c r="AE906" s="207"/>
      <c r="AF906" s="207"/>
      <c r="AG906" s="207"/>
      <c r="AH906" s="207"/>
      <c r="AI906" s="207"/>
      <c r="AJ906" s="207"/>
      <c r="AK906" s="207"/>
      <c r="AL906" s="207"/>
      <c r="AM906" s="207"/>
      <c r="AN906" s="207"/>
      <c r="AO906" s="207"/>
      <c r="AP906" s="207"/>
      <c r="AQ906" s="207"/>
      <c r="AR906" s="207"/>
      <c r="AS906" s="207"/>
      <c r="AT906" s="207"/>
      <c r="AU906" s="207"/>
      <c r="AV906" s="207"/>
      <c r="AW906" s="207"/>
      <c r="AX906" s="207"/>
      <c r="AY906" s="207"/>
      <c r="AZ906" s="207"/>
      <c r="BA906" s="207"/>
    </row>
    <row r="907" ht="18.75" hidden="1" customHeight="1">
      <c r="A907" s="207"/>
      <c r="B907" s="207"/>
      <c r="C907" s="207"/>
      <c r="D907" s="207"/>
      <c r="E907" s="207"/>
      <c r="F907" s="207"/>
      <c r="G907" s="207"/>
      <c r="H907" s="207"/>
      <c r="I907" s="207"/>
      <c r="J907" s="207"/>
      <c r="K907" s="207"/>
      <c r="L907" s="207"/>
      <c r="M907" s="207"/>
      <c r="N907" s="207"/>
      <c r="O907" s="207"/>
      <c r="P907" s="207"/>
      <c r="Q907" s="207"/>
      <c r="R907" s="207"/>
      <c r="S907" s="207"/>
      <c r="T907" s="207"/>
      <c r="U907" s="207"/>
      <c r="V907" s="207"/>
      <c r="W907" s="207"/>
      <c r="X907" s="207"/>
      <c r="Y907" s="207"/>
      <c r="Z907" s="207"/>
      <c r="AA907" s="207"/>
      <c r="AB907" s="207"/>
      <c r="AC907" s="207"/>
      <c r="AD907" s="207"/>
      <c r="AE907" s="207"/>
      <c r="AF907" s="207"/>
      <c r="AG907" s="207"/>
      <c r="AH907" s="207"/>
      <c r="AI907" s="207"/>
      <c r="AJ907" s="207"/>
      <c r="AK907" s="207"/>
      <c r="AL907" s="207"/>
      <c r="AM907" s="207"/>
      <c r="AN907" s="207"/>
      <c r="AO907" s="207"/>
      <c r="AP907" s="207"/>
      <c r="AQ907" s="207"/>
      <c r="AR907" s="207"/>
      <c r="AS907" s="207"/>
      <c r="AT907" s="207"/>
      <c r="AU907" s="207"/>
      <c r="AV907" s="207"/>
      <c r="AW907" s="207"/>
      <c r="AX907" s="207"/>
      <c r="AY907" s="207"/>
      <c r="AZ907" s="207"/>
      <c r="BA907" s="207"/>
    </row>
    <row r="908" ht="18.75" hidden="1" customHeight="1">
      <c r="A908" s="207"/>
      <c r="B908" s="207"/>
      <c r="C908" s="207"/>
      <c r="D908" s="207"/>
      <c r="E908" s="207"/>
      <c r="F908" s="207"/>
      <c r="G908" s="207"/>
      <c r="H908" s="207"/>
      <c r="I908" s="207"/>
      <c r="J908" s="207"/>
      <c r="K908" s="207"/>
      <c r="L908" s="207"/>
      <c r="M908" s="207"/>
      <c r="N908" s="207"/>
      <c r="O908" s="207"/>
      <c r="P908" s="207"/>
      <c r="Q908" s="207"/>
      <c r="R908" s="207"/>
      <c r="S908" s="207"/>
      <c r="T908" s="207"/>
      <c r="U908" s="207"/>
      <c r="V908" s="207"/>
      <c r="W908" s="207"/>
      <c r="X908" s="207"/>
      <c r="Y908" s="207"/>
      <c r="Z908" s="207"/>
      <c r="AA908" s="207"/>
      <c r="AB908" s="207"/>
      <c r="AC908" s="207"/>
      <c r="AD908" s="207"/>
      <c r="AE908" s="207"/>
      <c r="AF908" s="207"/>
      <c r="AG908" s="207"/>
      <c r="AH908" s="207"/>
      <c r="AI908" s="207"/>
      <c r="AJ908" s="207"/>
      <c r="AK908" s="207"/>
      <c r="AL908" s="207"/>
      <c r="AM908" s="207"/>
      <c r="AN908" s="207"/>
      <c r="AO908" s="207"/>
      <c r="AP908" s="207"/>
      <c r="AQ908" s="207"/>
      <c r="AR908" s="207"/>
      <c r="AS908" s="207"/>
      <c r="AT908" s="207"/>
      <c r="AU908" s="207"/>
      <c r="AV908" s="207"/>
      <c r="AW908" s="207"/>
      <c r="AX908" s="207"/>
      <c r="AY908" s="207"/>
      <c r="AZ908" s="207"/>
      <c r="BA908" s="207"/>
    </row>
    <row r="909" ht="18.75" hidden="1" customHeight="1">
      <c r="A909" s="207"/>
      <c r="B909" s="207"/>
      <c r="C909" s="207"/>
      <c r="D909" s="207"/>
      <c r="E909" s="207"/>
      <c r="F909" s="207"/>
      <c r="G909" s="207"/>
      <c r="H909" s="207"/>
      <c r="I909" s="207"/>
      <c r="J909" s="207"/>
      <c r="K909" s="207"/>
      <c r="L909" s="207"/>
      <c r="M909" s="207"/>
      <c r="N909" s="207"/>
      <c r="O909" s="207"/>
      <c r="P909" s="207"/>
      <c r="Q909" s="207"/>
      <c r="R909" s="207"/>
      <c r="S909" s="207"/>
      <c r="T909" s="207"/>
      <c r="U909" s="207"/>
      <c r="V909" s="207"/>
      <c r="W909" s="207"/>
      <c r="X909" s="207"/>
      <c r="Y909" s="207"/>
      <c r="Z909" s="207"/>
      <c r="AA909" s="207"/>
      <c r="AB909" s="207"/>
      <c r="AC909" s="207"/>
      <c r="AD909" s="207"/>
      <c r="AE909" s="207"/>
      <c r="AF909" s="207"/>
      <c r="AG909" s="207"/>
      <c r="AH909" s="207"/>
      <c r="AI909" s="207"/>
      <c r="AJ909" s="207"/>
      <c r="AK909" s="207"/>
      <c r="AL909" s="207"/>
      <c r="AM909" s="207"/>
      <c r="AN909" s="207"/>
      <c r="AO909" s="207"/>
      <c r="AP909" s="207"/>
      <c r="AQ909" s="207"/>
      <c r="AR909" s="207"/>
      <c r="AS909" s="207"/>
      <c r="AT909" s="207"/>
      <c r="AU909" s="207"/>
      <c r="AV909" s="207"/>
      <c r="AW909" s="207"/>
      <c r="AX909" s="207"/>
      <c r="AY909" s="207"/>
      <c r="AZ909" s="207"/>
      <c r="BA909" s="207"/>
    </row>
    <row r="910" ht="18.75" hidden="1" customHeight="1">
      <c r="A910" s="207"/>
      <c r="B910" s="207"/>
      <c r="C910" s="207"/>
      <c r="D910" s="207"/>
      <c r="E910" s="207"/>
      <c r="F910" s="207"/>
      <c r="G910" s="207"/>
      <c r="H910" s="207"/>
      <c r="I910" s="207"/>
      <c r="J910" s="207"/>
      <c r="K910" s="207"/>
      <c r="L910" s="207"/>
      <c r="M910" s="207"/>
      <c r="N910" s="207"/>
      <c r="O910" s="207"/>
      <c r="P910" s="207"/>
      <c r="Q910" s="207"/>
      <c r="R910" s="207"/>
      <c r="S910" s="207"/>
      <c r="T910" s="207"/>
      <c r="U910" s="207"/>
      <c r="V910" s="207"/>
      <c r="W910" s="207"/>
      <c r="X910" s="207"/>
      <c r="Y910" s="207"/>
      <c r="Z910" s="207"/>
      <c r="AA910" s="207"/>
      <c r="AB910" s="207"/>
      <c r="AC910" s="207"/>
      <c r="AD910" s="207"/>
      <c r="AE910" s="207"/>
      <c r="AF910" s="207"/>
      <c r="AG910" s="207"/>
      <c r="AH910" s="207"/>
      <c r="AI910" s="207"/>
      <c r="AJ910" s="207"/>
      <c r="AK910" s="207"/>
      <c r="AL910" s="207"/>
      <c r="AM910" s="207"/>
      <c r="AN910" s="207"/>
      <c r="AO910" s="207"/>
      <c r="AP910" s="207"/>
      <c r="AQ910" s="207"/>
      <c r="AR910" s="207"/>
      <c r="AS910" s="207"/>
      <c r="AT910" s="207"/>
      <c r="AU910" s="207"/>
      <c r="AV910" s="207"/>
      <c r="AW910" s="207"/>
      <c r="AX910" s="207"/>
      <c r="AY910" s="207"/>
      <c r="AZ910" s="207"/>
      <c r="BA910" s="207"/>
    </row>
    <row r="911" ht="18.75" hidden="1" customHeight="1">
      <c r="A911" s="207"/>
      <c r="B911" s="207"/>
      <c r="C911" s="207"/>
      <c r="D911" s="207"/>
      <c r="E911" s="207"/>
      <c r="F911" s="207"/>
      <c r="G911" s="207"/>
      <c r="H911" s="207"/>
      <c r="I911" s="207"/>
      <c r="J911" s="207"/>
      <c r="K911" s="207"/>
      <c r="L911" s="207"/>
      <c r="M911" s="207"/>
      <c r="N911" s="207"/>
      <c r="O911" s="207"/>
      <c r="P911" s="207"/>
      <c r="Q911" s="207"/>
      <c r="R911" s="207"/>
      <c r="S911" s="207"/>
      <c r="T911" s="207"/>
      <c r="U911" s="207"/>
      <c r="V911" s="207"/>
      <c r="W911" s="207"/>
      <c r="X911" s="207"/>
      <c r="Y911" s="207"/>
      <c r="Z911" s="207"/>
      <c r="AA911" s="207"/>
      <c r="AB911" s="207"/>
      <c r="AC911" s="207"/>
      <c r="AD911" s="207"/>
      <c r="AE911" s="207"/>
      <c r="AF911" s="207"/>
      <c r="AG911" s="207"/>
      <c r="AH911" s="207"/>
      <c r="AI911" s="207"/>
      <c r="AJ911" s="207"/>
      <c r="AK911" s="207"/>
      <c r="AL911" s="207"/>
      <c r="AM911" s="207"/>
      <c r="AN911" s="207"/>
      <c r="AO911" s="207"/>
      <c r="AP911" s="207"/>
      <c r="AQ911" s="207"/>
      <c r="AR911" s="207"/>
      <c r="AS911" s="207"/>
      <c r="AT911" s="207"/>
      <c r="AU911" s="207"/>
      <c r="AV911" s="207"/>
      <c r="AW911" s="207"/>
      <c r="AX911" s="207"/>
      <c r="AY911" s="207"/>
      <c r="AZ911" s="207"/>
      <c r="BA911" s="207"/>
    </row>
    <row r="912" ht="18.75" hidden="1" customHeight="1">
      <c r="A912" s="207"/>
      <c r="B912" s="207"/>
      <c r="C912" s="207"/>
      <c r="D912" s="207"/>
      <c r="E912" s="207"/>
      <c r="F912" s="207"/>
      <c r="G912" s="207"/>
      <c r="H912" s="207"/>
      <c r="I912" s="207"/>
      <c r="J912" s="207"/>
      <c r="K912" s="207"/>
      <c r="L912" s="207"/>
      <c r="M912" s="207"/>
      <c r="N912" s="207"/>
      <c r="O912" s="207"/>
      <c r="P912" s="207"/>
      <c r="Q912" s="207"/>
      <c r="R912" s="207"/>
      <c r="S912" s="207"/>
      <c r="T912" s="207"/>
      <c r="U912" s="207"/>
      <c r="V912" s="207"/>
      <c r="W912" s="207"/>
      <c r="X912" s="207"/>
      <c r="Y912" s="207"/>
      <c r="Z912" s="207"/>
      <c r="AA912" s="207"/>
      <c r="AB912" s="207"/>
      <c r="AC912" s="207"/>
      <c r="AD912" s="207"/>
      <c r="AE912" s="207"/>
      <c r="AF912" s="207"/>
      <c r="AG912" s="207"/>
      <c r="AH912" s="207"/>
      <c r="AI912" s="207"/>
      <c r="AJ912" s="207"/>
      <c r="AK912" s="207"/>
      <c r="AL912" s="207"/>
      <c r="AM912" s="207"/>
      <c r="AN912" s="207"/>
      <c r="AO912" s="207"/>
      <c r="AP912" s="207"/>
      <c r="AQ912" s="207"/>
      <c r="AR912" s="207"/>
      <c r="AS912" s="207"/>
      <c r="AT912" s="207"/>
      <c r="AU912" s="207"/>
      <c r="AV912" s="207"/>
      <c r="AW912" s="207"/>
      <c r="AX912" s="207"/>
      <c r="AY912" s="207"/>
      <c r="AZ912" s="207"/>
      <c r="BA912" s="207"/>
    </row>
    <row r="913" ht="18.75" hidden="1" customHeight="1">
      <c r="A913" s="207"/>
      <c r="B913" s="207"/>
      <c r="C913" s="207"/>
      <c r="D913" s="207"/>
      <c r="E913" s="207"/>
      <c r="F913" s="207"/>
      <c r="G913" s="207"/>
      <c r="H913" s="207"/>
      <c r="I913" s="207"/>
      <c r="J913" s="207"/>
      <c r="K913" s="207"/>
      <c r="L913" s="207"/>
      <c r="M913" s="207"/>
      <c r="N913" s="207"/>
      <c r="O913" s="207"/>
      <c r="P913" s="207"/>
      <c r="Q913" s="207"/>
      <c r="R913" s="207"/>
      <c r="S913" s="207"/>
      <c r="T913" s="207"/>
      <c r="U913" s="207"/>
      <c r="V913" s="207"/>
      <c r="W913" s="207"/>
      <c r="X913" s="207"/>
      <c r="Y913" s="207"/>
      <c r="Z913" s="207"/>
      <c r="AA913" s="207"/>
      <c r="AB913" s="207"/>
      <c r="AC913" s="207"/>
      <c r="AD913" s="207"/>
      <c r="AE913" s="207"/>
      <c r="AF913" s="207"/>
      <c r="AG913" s="207"/>
      <c r="AH913" s="207"/>
      <c r="AI913" s="207"/>
      <c r="AJ913" s="207"/>
      <c r="AK913" s="207"/>
      <c r="AL913" s="207"/>
      <c r="AM913" s="207"/>
      <c r="AN913" s="207"/>
      <c r="AO913" s="207"/>
      <c r="AP913" s="207"/>
      <c r="AQ913" s="207"/>
      <c r="AR913" s="207"/>
      <c r="AS913" s="207"/>
      <c r="AT913" s="207"/>
      <c r="AU913" s="207"/>
      <c r="AV913" s="207"/>
      <c r="AW913" s="207"/>
      <c r="AX913" s="207"/>
      <c r="AY913" s="207"/>
      <c r="AZ913" s="207"/>
      <c r="BA913" s="207"/>
    </row>
    <row r="914" ht="18.75" hidden="1" customHeight="1">
      <c r="A914" s="207"/>
      <c r="B914" s="207"/>
      <c r="C914" s="207"/>
      <c r="D914" s="207"/>
      <c r="E914" s="207"/>
      <c r="F914" s="207"/>
      <c r="G914" s="207"/>
      <c r="H914" s="207"/>
      <c r="I914" s="207"/>
      <c r="J914" s="207"/>
      <c r="K914" s="207"/>
      <c r="L914" s="207"/>
      <c r="M914" s="207"/>
      <c r="N914" s="207"/>
      <c r="O914" s="207"/>
      <c r="P914" s="207"/>
      <c r="Q914" s="207"/>
      <c r="R914" s="207"/>
      <c r="S914" s="207"/>
      <c r="T914" s="207"/>
      <c r="U914" s="207"/>
      <c r="V914" s="207"/>
      <c r="W914" s="207"/>
      <c r="X914" s="207"/>
      <c r="Y914" s="207"/>
      <c r="Z914" s="207"/>
      <c r="AA914" s="207"/>
      <c r="AB914" s="207"/>
      <c r="AC914" s="207"/>
      <c r="AD914" s="207"/>
      <c r="AE914" s="207"/>
      <c r="AF914" s="207"/>
      <c r="AG914" s="207"/>
      <c r="AH914" s="207"/>
      <c r="AI914" s="207"/>
      <c r="AJ914" s="207"/>
      <c r="AK914" s="207"/>
      <c r="AL914" s="207"/>
      <c r="AM914" s="207"/>
      <c r="AN914" s="207"/>
      <c r="AO914" s="207"/>
      <c r="AP914" s="207"/>
      <c r="AQ914" s="207"/>
      <c r="AR914" s="207"/>
      <c r="AS914" s="207"/>
      <c r="AT914" s="207"/>
      <c r="AU914" s="207"/>
      <c r="AV914" s="207"/>
      <c r="AW914" s="207"/>
      <c r="AX914" s="207"/>
      <c r="AY914" s="207"/>
      <c r="AZ914" s="207"/>
      <c r="BA914" s="207"/>
    </row>
    <row r="915" ht="18.75" hidden="1" customHeight="1">
      <c r="A915" s="207"/>
      <c r="B915" s="207"/>
      <c r="C915" s="207"/>
      <c r="D915" s="207"/>
      <c r="E915" s="207"/>
      <c r="F915" s="207"/>
      <c r="G915" s="207"/>
      <c r="H915" s="207"/>
      <c r="I915" s="207"/>
      <c r="J915" s="207"/>
      <c r="K915" s="207"/>
      <c r="L915" s="207"/>
      <c r="M915" s="207"/>
      <c r="N915" s="207"/>
      <c r="O915" s="207"/>
      <c r="P915" s="207"/>
      <c r="Q915" s="207"/>
      <c r="R915" s="207"/>
      <c r="S915" s="207"/>
      <c r="T915" s="207"/>
      <c r="U915" s="207"/>
      <c r="V915" s="207"/>
      <c r="W915" s="207"/>
      <c r="X915" s="207"/>
      <c r="Y915" s="207"/>
      <c r="Z915" s="207"/>
      <c r="AA915" s="207"/>
      <c r="AB915" s="207"/>
      <c r="AC915" s="207"/>
      <c r="AD915" s="207"/>
      <c r="AE915" s="207"/>
      <c r="AF915" s="207"/>
      <c r="AG915" s="207"/>
      <c r="AH915" s="207"/>
      <c r="AI915" s="207"/>
      <c r="AJ915" s="207"/>
      <c r="AK915" s="207"/>
      <c r="AL915" s="207"/>
      <c r="AM915" s="207"/>
      <c r="AN915" s="207"/>
      <c r="AO915" s="207"/>
      <c r="AP915" s="207"/>
      <c r="AQ915" s="207"/>
      <c r="AR915" s="207"/>
      <c r="AS915" s="207"/>
      <c r="AT915" s="207"/>
      <c r="AU915" s="207"/>
      <c r="AV915" s="207"/>
      <c r="AW915" s="207"/>
      <c r="AX915" s="207"/>
      <c r="AY915" s="207"/>
      <c r="AZ915" s="207"/>
      <c r="BA915" s="207"/>
    </row>
    <row r="916" ht="18.75" hidden="1" customHeight="1">
      <c r="A916" s="207"/>
      <c r="B916" s="207"/>
      <c r="C916" s="207"/>
      <c r="D916" s="207"/>
      <c r="E916" s="207"/>
      <c r="F916" s="207"/>
      <c r="G916" s="207"/>
      <c r="H916" s="207"/>
      <c r="I916" s="207"/>
      <c r="J916" s="207"/>
      <c r="K916" s="207"/>
      <c r="L916" s="207"/>
      <c r="M916" s="207"/>
      <c r="N916" s="207"/>
      <c r="O916" s="207"/>
      <c r="P916" s="207"/>
      <c r="Q916" s="207"/>
      <c r="R916" s="207"/>
      <c r="S916" s="207"/>
      <c r="T916" s="207"/>
      <c r="U916" s="207"/>
      <c r="V916" s="207"/>
      <c r="W916" s="207"/>
      <c r="X916" s="207"/>
      <c r="Y916" s="207"/>
      <c r="Z916" s="207"/>
      <c r="AA916" s="207"/>
      <c r="AB916" s="207"/>
      <c r="AC916" s="207"/>
      <c r="AD916" s="207"/>
      <c r="AE916" s="207"/>
      <c r="AF916" s="207"/>
      <c r="AG916" s="207"/>
      <c r="AH916" s="207"/>
      <c r="AI916" s="207"/>
      <c r="AJ916" s="207"/>
      <c r="AK916" s="207"/>
      <c r="AL916" s="207"/>
      <c r="AM916" s="207"/>
      <c r="AN916" s="207"/>
      <c r="AO916" s="207"/>
      <c r="AP916" s="207"/>
      <c r="AQ916" s="207"/>
      <c r="AR916" s="207"/>
      <c r="AS916" s="207"/>
      <c r="AT916" s="207"/>
      <c r="AU916" s="207"/>
      <c r="AV916" s="207"/>
      <c r="AW916" s="207"/>
      <c r="AX916" s="207"/>
      <c r="AY916" s="207"/>
      <c r="AZ916" s="207"/>
      <c r="BA916" s="207"/>
    </row>
    <row r="917" ht="18.75" hidden="1" customHeight="1">
      <c r="A917" s="207"/>
      <c r="B917" s="207"/>
      <c r="C917" s="207"/>
      <c r="D917" s="207"/>
      <c r="E917" s="207"/>
      <c r="F917" s="207"/>
      <c r="G917" s="207"/>
      <c r="H917" s="207"/>
      <c r="I917" s="207"/>
      <c r="J917" s="207"/>
      <c r="K917" s="207"/>
      <c r="L917" s="207"/>
      <c r="M917" s="207"/>
      <c r="N917" s="207"/>
      <c r="O917" s="207"/>
      <c r="P917" s="207"/>
      <c r="Q917" s="207"/>
      <c r="R917" s="207"/>
      <c r="S917" s="207"/>
      <c r="T917" s="207"/>
      <c r="U917" s="207"/>
      <c r="V917" s="207"/>
      <c r="W917" s="207"/>
      <c r="X917" s="207"/>
      <c r="Y917" s="207"/>
      <c r="Z917" s="207"/>
      <c r="AA917" s="207"/>
      <c r="AB917" s="207"/>
      <c r="AC917" s="207"/>
      <c r="AD917" s="207"/>
      <c r="AE917" s="207"/>
      <c r="AF917" s="207"/>
      <c r="AG917" s="207"/>
      <c r="AH917" s="207"/>
      <c r="AI917" s="207"/>
      <c r="AJ917" s="207"/>
      <c r="AK917" s="207"/>
      <c r="AL917" s="207"/>
      <c r="AM917" s="207"/>
      <c r="AN917" s="207"/>
      <c r="AO917" s="207"/>
      <c r="AP917" s="207"/>
      <c r="AQ917" s="207"/>
      <c r="AR917" s="207"/>
      <c r="AS917" s="207"/>
      <c r="AT917" s="207"/>
      <c r="AU917" s="207"/>
      <c r="AV917" s="207"/>
      <c r="AW917" s="207"/>
      <c r="AX917" s="207"/>
      <c r="AY917" s="207"/>
      <c r="AZ917" s="207"/>
      <c r="BA917" s="207"/>
    </row>
    <row r="918" ht="18.75" hidden="1" customHeight="1">
      <c r="A918" s="207"/>
      <c r="B918" s="207"/>
      <c r="C918" s="207"/>
      <c r="D918" s="207"/>
      <c r="E918" s="207"/>
      <c r="F918" s="207"/>
      <c r="G918" s="207"/>
      <c r="H918" s="207"/>
      <c r="I918" s="207"/>
      <c r="J918" s="207"/>
      <c r="K918" s="207"/>
      <c r="L918" s="207"/>
      <c r="M918" s="207"/>
      <c r="N918" s="207"/>
      <c r="O918" s="207"/>
      <c r="P918" s="207"/>
      <c r="Q918" s="207"/>
      <c r="R918" s="207"/>
      <c r="S918" s="207"/>
      <c r="T918" s="207"/>
      <c r="U918" s="207"/>
      <c r="V918" s="207"/>
      <c r="W918" s="207"/>
      <c r="X918" s="207"/>
      <c r="Y918" s="207"/>
      <c r="Z918" s="207"/>
      <c r="AA918" s="207"/>
      <c r="AB918" s="207"/>
      <c r="AC918" s="207"/>
      <c r="AD918" s="207"/>
      <c r="AE918" s="207"/>
      <c r="AF918" s="207"/>
      <c r="AG918" s="207"/>
      <c r="AH918" s="207"/>
      <c r="AI918" s="207"/>
      <c r="AJ918" s="207"/>
      <c r="AK918" s="207"/>
      <c r="AL918" s="207"/>
      <c r="AM918" s="207"/>
      <c r="AN918" s="207"/>
      <c r="AO918" s="207"/>
      <c r="AP918" s="207"/>
      <c r="AQ918" s="207"/>
      <c r="AR918" s="207"/>
      <c r="AS918" s="207"/>
      <c r="AT918" s="207"/>
      <c r="AU918" s="207"/>
      <c r="AV918" s="207"/>
      <c r="AW918" s="207"/>
      <c r="AX918" s="207"/>
      <c r="AY918" s="207"/>
      <c r="AZ918" s="207"/>
      <c r="BA918" s="207"/>
    </row>
    <row r="919" ht="18.75" hidden="1" customHeight="1">
      <c r="A919" s="207"/>
      <c r="B919" s="207"/>
      <c r="C919" s="207"/>
      <c r="D919" s="207"/>
      <c r="E919" s="207"/>
      <c r="F919" s="207"/>
      <c r="G919" s="207"/>
      <c r="H919" s="207"/>
      <c r="I919" s="207"/>
      <c r="J919" s="207"/>
      <c r="K919" s="207"/>
      <c r="L919" s="207"/>
      <c r="M919" s="207"/>
      <c r="N919" s="207"/>
      <c r="O919" s="207"/>
      <c r="P919" s="207"/>
      <c r="Q919" s="207"/>
      <c r="R919" s="207"/>
      <c r="S919" s="207"/>
      <c r="T919" s="207"/>
      <c r="U919" s="207"/>
      <c r="V919" s="207"/>
      <c r="W919" s="207"/>
      <c r="X919" s="207"/>
      <c r="Y919" s="207"/>
      <c r="Z919" s="207"/>
      <c r="AA919" s="207"/>
      <c r="AB919" s="207"/>
      <c r="AC919" s="207"/>
      <c r="AD919" s="207"/>
      <c r="AE919" s="207"/>
      <c r="AF919" s="207"/>
      <c r="AG919" s="207"/>
      <c r="AH919" s="207"/>
      <c r="AI919" s="207"/>
      <c r="AJ919" s="207"/>
      <c r="AK919" s="207"/>
      <c r="AL919" s="207"/>
      <c r="AM919" s="207"/>
      <c r="AN919" s="207"/>
      <c r="AO919" s="207"/>
      <c r="AP919" s="207"/>
      <c r="AQ919" s="207"/>
      <c r="AR919" s="207"/>
      <c r="AS919" s="207"/>
      <c r="AT919" s="207"/>
      <c r="AU919" s="207"/>
      <c r="AV919" s="207"/>
      <c r="AW919" s="207"/>
      <c r="AX919" s="207"/>
      <c r="AY919" s="207"/>
      <c r="AZ919" s="207"/>
      <c r="BA919" s="207"/>
    </row>
    <row r="920" ht="18.75" hidden="1" customHeight="1">
      <c r="A920" s="207"/>
      <c r="B920" s="207"/>
      <c r="C920" s="207"/>
      <c r="D920" s="207"/>
      <c r="E920" s="207"/>
      <c r="F920" s="207"/>
      <c r="G920" s="207"/>
      <c r="H920" s="207"/>
      <c r="I920" s="207"/>
      <c r="J920" s="207"/>
      <c r="K920" s="207"/>
      <c r="L920" s="207"/>
      <c r="M920" s="207"/>
      <c r="N920" s="207"/>
      <c r="O920" s="207"/>
      <c r="P920" s="207"/>
      <c r="Q920" s="207"/>
      <c r="R920" s="207"/>
      <c r="S920" s="207"/>
      <c r="T920" s="207"/>
      <c r="U920" s="207"/>
      <c r="V920" s="207"/>
      <c r="W920" s="207"/>
      <c r="X920" s="207"/>
      <c r="Y920" s="207"/>
      <c r="Z920" s="207"/>
      <c r="AA920" s="207"/>
      <c r="AB920" s="207"/>
      <c r="AC920" s="207"/>
      <c r="AD920" s="207"/>
      <c r="AE920" s="207"/>
      <c r="AF920" s="207"/>
      <c r="AG920" s="207"/>
      <c r="AH920" s="207"/>
      <c r="AI920" s="207"/>
      <c r="AJ920" s="207"/>
      <c r="AK920" s="207"/>
      <c r="AL920" s="207"/>
      <c r="AM920" s="207"/>
      <c r="AN920" s="207"/>
      <c r="AO920" s="207"/>
      <c r="AP920" s="207"/>
      <c r="AQ920" s="207"/>
      <c r="AR920" s="207"/>
      <c r="AS920" s="207"/>
      <c r="AT920" s="207"/>
      <c r="AU920" s="207"/>
      <c r="AV920" s="207"/>
      <c r="AW920" s="207"/>
      <c r="AX920" s="207"/>
      <c r="AY920" s="207"/>
      <c r="AZ920" s="207"/>
      <c r="BA920" s="207"/>
    </row>
    <row r="921" ht="18.75" hidden="1" customHeight="1">
      <c r="A921" s="207"/>
      <c r="B921" s="207"/>
      <c r="C921" s="207"/>
      <c r="D921" s="207"/>
      <c r="E921" s="207"/>
      <c r="F921" s="207"/>
      <c r="G921" s="207"/>
      <c r="H921" s="207"/>
      <c r="I921" s="207"/>
      <c r="J921" s="207"/>
      <c r="K921" s="207"/>
      <c r="L921" s="207"/>
      <c r="M921" s="207"/>
      <c r="N921" s="207"/>
      <c r="O921" s="207"/>
      <c r="P921" s="207"/>
      <c r="Q921" s="207"/>
      <c r="R921" s="207"/>
      <c r="S921" s="207"/>
      <c r="T921" s="207"/>
      <c r="U921" s="207"/>
      <c r="V921" s="207"/>
      <c r="W921" s="207"/>
      <c r="X921" s="207"/>
      <c r="Y921" s="207"/>
      <c r="Z921" s="207"/>
      <c r="AA921" s="207"/>
      <c r="AB921" s="207"/>
      <c r="AC921" s="207"/>
      <c r="AD921" s="207"/>
      <c r="AE921" s="207"/>
      <c r="AF921" s="207"/>
      <c r="AG921" s="207"/>
      <c r="AH921" s="207"/>
      <c r="AI921" s="207"/>
      <c r="AJ921" s="207"/>
      <c r="AK921" s="207"/>
      <c r="AL921" s="207"/>
      <c r="AM921" s="207"/>
      <c r="AN921" s="207"/>
      <c r="AO921" s="207"/>
      <c r="AP921" s="207"/>
      <c r="AQ921" s="207"/>
      <c r="AR921" s="207"/>
      <c r="AS921" s="207"/>
      <c r="AT921" s="207"/>
      <c r="AU921" s="207"/>
      <c r="AV921" s="207"/>
      <c r="AW921" s="207"/>
      <c r="AX921" s="207"/>
      <c r="AY921" s="207"/>
      <c r="AZ921" s="207"/>
      <c r="BA921" s="207"/>
    </row>
    <row r="922" ht="18.75" hidden="1" customHeight="1">
      <c r="A922" s="207"/>
      <c r="B922" s="207"/>
      <c r="C922" s="207"/>
      <c r="D922" s="207"/>
      <c r="E922" s="207"/>
      <c r="F922" s="207"/>
      <c r="G922" s="207"/>
      <c r="H922" s="207"/>
      <c r="I922" s="207"/>
      <c r="J922" s="207"/>
      <c r="K922" s="207"/>
      <c r="L922" s="207"/>
      <c r="M922" s="207"/>
      <c r="N922" s="207"/>
      <c r="O922" s="207"/>
      <c r="P922" s="207"/>
      <c r="Q922" s="207"/>
      <c r="R922" s="207"/>
      <c r="S922" s="207"/>
      <c r="T922" s="207"/>
      <c r="U922" s="207"/>
      <c r="V922" s="207"/>
      <c r="W922" s="207"/>
      <c r="X922" s="207"/>
      <c r="Y922" s="207"/>
      <c r="Z922" s="207"/>
      <c r="AA922" s="207"/>
      <c r="AB922" s="207"/>
      <c r="AC922" s="207"/>
      <c r="AD922" s="207"/>
      <c r="AE922" s="207"/>
      <c r="AF922" s="207"/>
      <c r="AG922" s="207"/>
      <c r="AH922" s="207"/>
      <c r="AI922" s="207"/>
      <c r="AJ922" s="207"/>
      <c r="AK922" s="207"/>
      <c r="AL922" s="207"/>
      <c r="AM922" s="207"/>
      <c r="AN922" s="207"/>
      <c r="AO922" s="207"/>
      <c r="AP922" s="207"/>
      <c r="AQ922" s="207"/>
      <c r="AR922" s="207"/>
      <c r="AS922" s="207"/>
      <c r="AT922" s="207"/>
      <c r="AU922" s="207"/>
      <c r="AV922" s="207"/>
      <c r="AW922" s="207"/>
      <c r="AX922" s="207"/>
      <c r="AY922" s="207"/>
      <c r="AZ922" s="207"/>
      <c r="BA922" s="207"/>
    </row>
    <row r="923" ht="18.75" hidden="1" customHeight="1">
      <c r="A923" s="207"/>
      <c r="B923" s="207"/>
      <c r="C923" s="207"/>
      <c r="D923" s="207"/>
      <c r="E923" s="207"/>
      <c r="F923" s="207"/>
      <c r="G923" s="207"/>
      <c r="H923" s="207"/>
      <c r="I923" s="207"/>
      <c r="J923" s="207"/>
      <c r="K923" s="207"/>
      <c r="L923" s="207"/>
      <c r="M923" s="207"/>
      <c r="N923" s="207"/>
      <c r="O923" s="207"/>
      <c r="P923" s="207"/>
      <c r="Q923" s="207"/>
      <c r="R923" s="207"/>
      <c r="S923" s="207"/>
      <c r="T923" s="207"/>
      <c r="U923" s="207"/>
      <c r="V923" s="207"/>
      <c r="W923" s="207"/>
      <c r="X923" s="207"/>
      <c r="Y923" s="207"/>
      <c r="Z923" s="207"/>
      <c r="AA923" s="207"/>
      <c r="AB923" s="207"/>
      <c r="AC923" s="207"/>
      <c r="AD923" s="207"/>
      <c r="AE923" s="207"/>
      <c r="AF923" s="207"/>
      <c r="AG923" s="207"/>
      <c r="AH923" s="207"/>
      <c r="AI923" s="207"/>
      <c r="AJ923" s="207"/>
      <c r="AK923" s="207"/>
      <c r="AL923" s="207"/>
      <c r="AM923" s="207"/>
      <c r="AN923" s="207"/>
      <c r="AO923" s="207"/>
      <c r="AP923" s="207"/>
      <c r="AQ923" s="207"/>
      <c r="AR923" s="207"/>
      <c r="AS923" s="207"/>
      <c r="AT923" s="207"/>
      <c r="AU923" s="207"/>
      <c r="AV923" s="207"/>
      <c r="AW923" s="207"/>
      <c r="AX923" s="207"/>
      <c r="AY923" s="207"/>
      <c r="AZ923" s="207"/>
      <c r="BA923" s="207"/>
    </row>
    <row r="924" ht="18.75" hidden="1" customHeight="1">
      <c r="A924" s="207"/>
      <c r="B924" s="207"/>
      <c r="C924" s="207"/>
      <c r="D924" s="207"/>
      <c r="E924" s="207"/>
      <c r="F924" s="207"/>
      <c r="G924" s="207"/>
      <c r="H924" s="207"/>
      <c r="I924" s="207"/>
      <c r="J924" s="207"/>
      <c r="K924" s="207"/>
      <c r="L924" s="207"/>
      <c r="M924" s="207"/>
      <c r="N924" s="207"/>
      <c r="O924" s="207"/>
      <c r="P924" s="207"/>
      <c r="Q924" s="207"/>
      <c r="R924" s="207"/>
      <c r="S924" s="207"/>
      <c r="T924" s="207"/>
      <c r="U924" s="207"/>
      <c r="V924" s="207"/>
      <c r="W924" s="207"/>
      <c r="X924" s="207"/>
      <c r="Y924" s="207"/>
      <c r="Z924" s="207"/>
      <c r="AA924" s="207"/>
      <c r="AB924" s="207"/>
      <c r="AC924" s="207"/>
      <c r="AD924" s="207"/>
      <c r="AE924" s="207"/>
      <c r="AF924" s="207"/>
      <c r="AG924" s="207"/>
      <c r="AH924" s="207"/>
      <c r="AI924" s="207"/>
      <c r="AJ924" s="207"/>
      <c r="AK924" s="207"/>
      <c r="AL924" s="207"/>
      <c r="AM924" s="207"/>
      <c r="AN924" s="207"/>
      <c r="AO924" s="207"/>
      <c r="AP924" s="207"/>
      <c r="AQ924" s="207"/>
      <c r="AR924" s="207"/>
      <c r="AS924" s="207"/>
      <c r="AT924" s="207"/>
      <c r="AU924" s="207"/>
      <c r="AV924" s="207"/>
      <c r="AW924" s="207"/>
      <c r="AX924" s="207"/>
      <c r="AY924" s="207"/>
      <c r="AZ924" s="207"/>
      <c r="BA924" s="207"/>
    </row>
    <row r="925" ht="18.75" hidden="1" customHeight="1">
      <c r="A925" s="207"/>
      <c r="B925" s="207"/>
      <c r="C925" s="207"/>
      <c r="D925" s="207"/>
      <c r="E925" s="207"/>
      <c r="F925" s="207"/>
      <c r="G925" s="207"/>
      <c r="H925" s="207"/>
      <c r="I925" s="207"/>
      <c r="J925" s="207"/>
      <c r="K925" s="207"/>
      <c r="L925" s="207"/>
      <c r="M925" s="207"/>
      <c r="N925" s="207"/>
      <c r="O925" s="207"/>
      <c r="P925" s="207"/>
      <c r="Q925" s="207"/>
      <c r="R925" s="207"/>
      <c r="S925" s="207"/>
      <c r="T925" s="207"/>
      <c r="U925" s="207"/>
      <c r="V925" s="207"/>
      <c r="W925" s="207"/>
      <c r="X925" s="207"/>
      <c r="Y925" s="207"/>
      <c r="Z925" s="207"/>
      <c r="AA925" s="207"/>
      <c r="AB925" s="207"/>
      <c r="AC925" s="207"/>
      <c r="AD925" s="207"/>
      <c r="AE925" s="207"/>
      <c r="AF925" s="207"/>
      <c r="AG925" s="207"/>
      <c r="AH925" s="207"/>
      <c r="AI925" s="207"/>
      <c r="AJ925" s="207"/>
      <c r="AK925" s="207"/>
      <c r="AL925" s="207"/>
      <c r="AM925" s="207"/>
      <c r="AN925" s="207"/>
      <c r="AO925" s="207"/>
      <c r="AP925" s="207"/>
      <c r="AQ925" s="207"/>
      <c r="AR925" s="207"/>
      <c r="AS925" s="207"/>
      <c r="AT925" s="207"/>
      <c r="AU925" s="207"/>
      <c r="AV925" s="207"/>
      <c r="AW925" s="207"/>
      <c r="AX925" s="207"/>
      <c r="AY925" s="207"/>
      <c r="AZ925" s="207"/>
      <c r="BA925" s="207"/>
    </row>
    <row r="926" ht="18.75" hidden="1" customHeight="1">
      <c r="A926" s="207"/>
      <c r="B926" s="207"/>
      <c r="C926" s="207"/>
      <c r="D926" s="207"/>
      <c r="E926" s="207"/>
      <c r="F926" s="207"/>
      <c r="G926" s="207"/>
      <c r="H926" s="207"/>
      <c r="I926" s="207"/>
      <c r="J926" s="207"/>
      <c r="K926" s="207"/>
      <c r="L926" s="207"/>
      <c r="M926" s="207"/>
      <c r="N926" s="207"/>
      <c r="O926" s="207"/>
      <c r="P926" s="207"/>
      <c r="Q926" s="207"/>
      <c r="R926" s="207"/>
      <c r="S926" s="207"/>
      <c r="T926" s="207"/>
      <c r="U926" s="207"/>
      <c r="V926" s="207"/>
      <c r="W926" s="207"/>
      <c r="X926" s="207"/>
      <c r="Y926" s="207"/>
      <c r="Z926" s="207"/>
      <c r="AA926" s="207"/>
      <c r="AB926" s="207"/>
      <c r="AC926" s="207"/>
      <c r="AD926" s="207"/>
      <c r="AE926" s="207"/>
      <c r="AF926" s="207"/>
      <c r="AG926" s="207"/>
      <c r="AH926" s="207"/>
      <c r="AI926" s="207"/>
      <c r="AJ926" s="207"/>
      <c r="AK926" s="207"/>
      <c r="AL926" s="207"/>
      <c r="AM926" s="207"/>
      <c r="AN926" s="207"/>
      <c r="AO926" s="207"/>
      <c r="AP926" s="207"/>
      <c r="AQ926" s="207"/>
      <c r="AR926" s="207"/>
      <c r="AS926" s="207"/>
      <c r="AT926" s="207"/>
      <c r="AU926" s="207"/>
      <c r="AV926" s="207"/>
      <c r="AW926" s="207"/>
      <c r="AX926" s="207"/>
      <c r="AY926" s="207"/>
      <c r="AZ926" s="207"/>
      <c r="BA926" s="207"/>
    </row>
    <row r="927" ht="18.75" hidden="1" customHeight="1">
      <c r="A927" s="207"/>
      <c r="B927" s="207"/>
      <c r="C927" s="207"/>
      <c r="D927" s="207"/>
      <c r="E927" s="207"/>
      <c r="F927" s="207"/>
      <c r="G927" s="207"/>
      <c r="H927" s="207"/>
      <c r="I927" s="207"/>
      <c r="J927" s="207"/>
      <c r="K927" s="207"/>
      <c r="L927" s="207"/>
      <c r="M927" s="207"/>
      <c r="N927" s="207"/>
      <c r="O927" s="207"/>
      <c r="P927" s="207"/>
      <c r="Q927" s="207"/>
      <c r="R927" s="207"/>
      <c r="S927" s="207"/>
      <c r="T927" s="207"/>
      <c r="U927" s="207"/>
      <c r="V927" s="207"/>
      <c r="W927" s="207"/>
      <c r="X927" s="207"/>
      <c r="Y927" s="207"/>
      <c r="Z927" s="207"/>
      <c r="AA927" s="207"/>
      <c r="AB927" s="207"/>
      <c r="AC927" s="207"/>
      <c r="AD927" s="207"/>
      <c r="AE927" s="207"/>
      <c r="AF927" s="207"/>
      <c r="AG927" s="207"/>
      <c r="AH927" s="207"/>
      <c r="AI927" s="207"/>
      <c r="AJ927" s="207"/>
      <c r="AK927" s="207"/>
      <c r="AL927" s="207"/>
      <c r="AM927" s="207"/>
      <c r="AN927" s="207"/>
      <c r="AO927" s="207"/>
      <c r="AP927" s="207"/>
      <c r="AQ927" s="207"/>
      <c r="AR927" s="207"/>
      <c r="AS927" s="207"/>
      <c r="AT927" s="207"/>
      <c r="AU927" s="207"/>
      <c r="AV927" s="207"/>
      <c r="AW927" s="207"/>
      <c r="AX927" s="207"/>
      <c r="AY927" s="207"/>
      <c r="AZ927" s="207"/>
      <c r="BA927" s="207"/>
    </row>
    <row r="928" ht="18.75" hidden="1" customHeight="1">
      <c r="A928" s="207"/>
      <c r="B928" s="207"/>
      <c r="C928" s="207"/>
      <c r="D928" s="207"/>
      <c r="E928" s="207"/>
      <c r="F928" s="207"/>
      <c r="G928" s="207"/>
      <c r="H928" s="207"/>
      <c r="I928" s="207"/>
      <c r="J928" s="207"/>
      <c r="K928" s="207"/>
      <c r="L928" s="207"/>
      <c r="M928" s="207"/>
      <c r="N928" s="207"/>
      <c r="O928" s="207"/>
      <c r="P928" s="207"/>
      <c r="Q928" s="207"/>
      <c r="R928" s="207"/>
      <c r="S928" s="207"/>
      <c r="T928" s="207"/>
      <c r="U928" s="207"/>
      <c r="V928" s="207"/>
      <c r="W928" s="207"/>
      <c r="X928" s="207"/>
      <c r="Y928" s="207"/>
      <c r="Z928" s="207"/>
      <c r="AA928" s="207"/>
      <c r="AB928" s="207"/>
      <c r="AC928" s="207"/>
      <c r="AD928" s="207"/>
      <c r="AE928" s="207"/>
      <c r="AF928" s="207"/>
      <c r="AG928" s="207"/>
      <c r="AH928" s="207"/>
      <c r="AI928" s="207"/>
      <c r="AJ928" s="207"/>
      <c r="AK928" s="207"/>
      <c r="AL928" s="207"/>
      <c r="AM928" s="207"/>
      <c r="AN928" s="207"/>
      <c r="AO928" s="207"/>
      <c r="AP928" s="207"/>
      <c r="AQ928" s="207"/>
      <c r="AR928" s="207"/>
      <c r="AS928" s="207"/>
      <c r="AT928" s="207"/>
      <c r="AU928" s="207"/>
      <c r="AV928" s="207"/>
      <c r="AW928" s="207"/>
      <c r="AX928" s="207"/>
      <c r="AY928" s="207"/>
      <c r="AZ928" s="207"/>
      <c r="BA928" s="207"/>
    </row>
    <row r="929" ht="18.75" hidden="1" customHeight="1">
      <c r="A929" s="207"/>
      <c r="B929" s="207"/>
      <c r="C929" s="207"/>
      <c r="D929" s="207"/>
      <c r="E929" s="207"/>
      <c r="F929" s="207"/>
      <c r="G929" s="207"/>
      <c r="H929" s="207"/>
      <c r="I929" s="207"/>
      <c r="J929" s="207"/>
      <c r="K929" s="207"/>
      <c r="L929" s="207"/>
      <c r="M929" s="207"/>
      <c r="N929" s="207"/>
      <c r="O929" s="207"/>
      <c r="P929" s="207"/>
      <c r="Q929" s="207"/>
      <c r="R929" s="207"/>
      <c r="S929" s="207"/>
      <c r="T929" s="207"/>
      <c r="U929" s="207"/>
      <c r="V929" s="207"/>
      <c r="W929" s="207"/>
      <c r="X929" s="207"/>
      <c r="Y929" s="207"/>
      <c r="Z929" s="207"/>
      <c r="AA929" s="207"/>
      <c r="AB929" s="207"/>
      <c r="AC929" s="207"/>
      <c r="AD929" s="207"/>
      <c r="AE929" s="207"/>
      <c r="AF929" s="207"/>
      <c r="AG929" s="207"/>
      <c r="AH929" s="207"/>
      <c r="AI929" s="207"/>
      <c r="AJ929" s="207"/>
      <c r="AK929" s="207"/>
      <c r="AL929" s="207"/>
      <c r="AM929" s="207"/>
      <c r="AN929" s="207"/>
      <c r="AO929" s="207"/>
      <c r="AP929" s="207"/>
      <c r="AQ929" s="207"/>
      <c r="AR929" s="207"/>
      <c r="AS929" s="207"/>
      <c r="AT929" s="207"/>
      <c r="AU929" s="207"/>
      <c r="AV929" s="207"/>
      <c r="AW929" s="207"/>
      <c r="AX929" s="207"/>
      <c r="AY929" s="207"/>
      <c r="AZ929" s="207"/>
      <c r="BA929" s="207"/>
    </row>
    <row r="930" ht="18.75" hidden="1" customHeight="1">
      <c r="A930" s="207"/>
      <c r="B930" s="207"/>
      <c r="C930" s="207"/>
      <c r="D930" s="207"/>
      <c r="E930" s="207"/>
      <c r="F930" s="207"/>
      <c r="G930" s="207"/>
      <c r="H930" s="207"/>
      <c r="I930" s="207"/>
      <c r="J930" s="207"/>
      <c r="K930" s="207"/>
      <c r="L930" s="207"/>
      <c r="M930" s="207"/>
      <c r="N930" s="207"/>
      <c r="O930" s="207"/>
      <c r="P930" s="207"/>
      <c r="Q930" s="207"/>
      <c r="R930" s="207"/>
      <c r="S930" s="207"/>
      <c r="T930" s="207"/>
      <c r="U930" s="207"/>
      <c r="V930" s="207"/>
      <c r="W930" s="207"/>
      <c r="X930" s="207"/>
      <c r="Y930" s="207"/>
      <c r="Z930" s="207"/>
      <c r="AA930" s="207"/>
      <c r="AB930" s="207"/>
      <c r="AC930" s="207"/>
      <c r="AD930" s="207"/>
      <c r="AE930" s="207"/>
      <c r="AF930" s="207"/>
      <c r="AG930" s="207"/>
      <c r="AH930" s="207"/>
      <c r="AI930" s="207"/>
      <c r="AJ930" s="207"/>
      <c r="AK930" s="207"/>
      <c r="AL930" s="207"/>
      <c r="AM930" s="207"/>
      <c r="AN930" s="207"/>
      <c r="AO930" s="207"/>
      <c r="AP930" s="207"/>
      <c r="AQ930" s="207"/>
      <c r="AR930" s="207"/>
      <c r="AS930" s="207"/>
      <c r="AT930" s="207"/>
      <c r="AU930" s="207"/>
      <c r="AV930" s="207"/>
      <c r="AW930" s="207"/>
      <c r="AX930" s="207"/>
      <c r="AY930" s="207"/>
      <c r="AZ930" s="207"/>
      <c r="BA930" s="207"/>
    </row>
    <row r="931" ht="18.75" hidden="1" customHeight="1">
      <c r="A931" s="207"/>
      <c r="B931" s="207"/>
      <c r="C931" s="207"/>
      <c r="D931" s="207"/>
      <c r="E931" s="207"/>
      <c r="F931" s="207"/>
      <c r="G931" s="207"/>
      <c r="H931" s="207"/>
      <c r="I931" s="207"/>
      <c r="J931" s="207"/>
      <c r="K931" s="207"/>
      <c r="L931" s="207"/>
      <c r="M931" s="207"/>
      <c r="N931" s="207"/>
      <c r="O931" s="207"/>
      <c r="P931" s="207"/>
      <c r="Q931" s="207"/>
      <c r="R931" s="207"/>
      <c r="S931" s="207"/>
      <c r="T931" s="207"/>
      <c r="U931" s="207"/>
      <c r="V931" s="207"/>
      <c r="W931" s="207"/>
      <c r="X931" s="207"/>
      <c r="Y931" s="207"/>
      <c r="Z931" s="207"/>
      <c r="AA931" s="207"/>
      <c r="AB931" s="207"/>
      <c r="AC931" s="207"/>
      <c r="AD931" s="207"/>
      <c r="AE931" s="207"/>
      <c r="AF931" s="207"/>
      <c r="AG931" s="207"/>
      <c r="AH931" s="207"/>
      <c r="AI931" s="207"/>
      <c r="AJ931" s="207"/>
      <c r="AK931" s="207"/>
      <c r="AL931" s="207"/>
      <c r="AM931" s="207"/>
      <c r="AN931" s="207"/>
      <c r="AO931" s="207"/>
      <c r="AP931" s="207"/>
      <c r="AQ931" s="207"/>
      <c r="AR931" s="207"/>
      <c r="AS931" s="207"/>
      <c r="AT931" s="207"/>
      <c r="AU931" s="207"/>
      <c r="AV931" s="207"/>
      <c r="AW931" s="207"/>
      <c r="AX931" s="207"/>
      <c r="AY931" s="207"/>
      <c r="AZ931" s="207"/>
      <c r="BA931" s="207"/>
    </row>
    <row r="932" ht="18.75" hidden="1" customHeight="1">
      <c r="A932" s="207"/>
      <c r="B932" s="207"/>
      <c r="C932" s="207"/>
      <c r="D932" s="207"/>
      <c r="E932" s="207"/>
      <c r="F932" s="207"/>
      <c r="G932" s="207"/>
      <c r="H932" s="207"/>
      <c r="I932" s="207"/>
      <c r="J932" s="207"/>
      <c r="K932" s="207"/>
      <c r="L932" s="207"/>
      <c r="M932" s="207"/>
      <c r="N932" s="207"/>
      <c r="O932" s="207"/>
      <c r="P932" s="207"/>
      <c r="Q932" s="207"/>
      <c r="R932" s="207"/>
      <c r="S932" s="207"/>
      <c r="T932" s="207"/>
      <c r="U932" s="207"/>
      <c r="V932" s="207"/>
      <c r="W932" s="207"/>
      <c r="X932" s="207"/>
      <c r="Y932" s="207"/>
      <c r="Z932" s="207"/>
      <c r="AA932" s="207"/>
      <c r="AB932" s="207"/>
      <c r="AC932" s="207"/>
      <c r="AD932" s="207"/>
      <c r="AE932" s="207"/>
      <c r="AF932" s="207"/>
      <c r="AG932" s="207"/>
      <c r="AH932" s="207"/>
      <c r="AI932" s="207"/>
      <c r="AJ932" s="207"/>
      <c r="AK932" s="207"/>
      <c r="AL932" s="207"/>
      <c r="AM932" s="207"/>
      <c r="AN932" s="207"/>
      <c r="AO932" s="207"/>
      <c r="AP932" s="207"/>
      <c r="AQ932" s="207"/>
      <c r="AR932" s="207"/>
      <c r="AS932" s="207"/>
      <c r="AT932" s="207"/>
      <c r="AU932" s="207"/>
      <c r="AV932" s="207"/>
      <c r="AW932" s="207"/>
      <c r="AX932" s="207"/>
      <c r="AY932" s="207"/>
      <c r="AZ932" s="207"/>
      <c r="BA932" s="207"/>
    </row>
    <row r="933" ht="18.75" hidden="1" customHeight="1">
      <c r="A933" s="207"/>
      <c r="B933" s="207"/>
      <c r="C933" s="207"/>
      <c r="D933" s="207"/>
      <c r="E933" s="207"/>
      <c r="F933" s="207"/>
      <c r="G933" s="207"/>
      <c r="H933" s="207"/>
      <c r="I933" s="207"/>
      <c r="J933" s="207"/>
      <c r="K933" s="207"/>
      <c r="L933" s="207"/>
      <c r="M933" s="207"/>
      <c r="N933" s="207"/>
      <c r="O933" s="207"/>
      <c r="P933" s="207"/>
      <c r="Q933" s="207"/>
      <c r="R933" s="207"/>
      <c r="S933" s="207"/>
      <c r="T933" s="207"/>
      <c r="U933" s="207"/>
      <c r="V933" s="207"/>
      <c r="W933" s="207"/>
      <c r="X933" s="207"/>
      <c r="Y933" s="207"/>
      <c r="Z933" s="207"/>
      <c r="AA933" s="207"/>
      <c r="AB933" s="207"/>
      <c r="AC933" s="207"/>
      <c r="AD933" s="207"/>
      <c r="AE933" s="207"/>
      <c r="AF933" s="207"/>
      <c r="AG933" s="207"/>
      <c r="AH933" s="207"/>
      <c r="AI933" s="207"/>
      <c r="AJ933" s="207"/>
      <c r="AK933" s="207"/>
      <c r="AL933" s="207"/>
      <c r="AM933" s="207"/>
      <c r="AN933" s="207"/>
      <c r="AO933" s="207"/>
      <c r="AP933" s="207"/>
      <c r="AQ933" s="207"/>
      <c r="AR933" s="207"/>
      <c r="AS933" s="207"/>
      <c r="AT933" s="207"/>
      <c r="AU933" s="207"/>
      <c r="AV933" s="207"/>
      <c r="AW933" s="207"/>
      <c r="AX933" s="207"/>
      <c r="AY933" s="207"/>
      <c r="AZ933" s="207"/>
      <c r="BA933" s="207"/>
    </row>
    <row r="934" ht="18.75" hidden="1" customHeight="1">
      <c r="A934" s="207"/>
      <c r="B934" s="207"/>
      <c r="C934" s="207"/>
      <c r="D934" s="207"/>
      <c r="E934" s="207"/>
      <c r="F934" s="207"/>
      <c r="G934" s="207"/>
      <c r="H934" s="207"/>
      <c r="I934" s="207"/>
      <c r="J934" s="207"/>
      <c r="K934" s="207"/>
      <c r="L934" s="207"/>
      <c r="M934" s="207"/>
      <c r="N934" s="207"/>
      <c r="O934" s="207"/>
      <c r="P934" s="207"/>
      <c r="Q934" s="207"/>
      <c r="R934" s="207"/>
      <c r="S934" s="207"/>
      <c r="T934" s="207"/>
      <c r="U934" s="207"/>
      <c r="V934" s="207"/>
      <c r="W934" s="207"/>
      <c r="X934" s="207"/>
      <c r="Y934" s="207"/>
      <c r="Z934" s="207"/>
      <c r="AA934" s="207"/>
      <c r="AB934" s="207"/>
      <c r="AC934" s="207"/>
      <c r="AD934" s="207"/>
      <c r="AE934" s="207"/>
      <c r="AF934" s="207"/>
      <c r="AG934" s="207"/>
      <c r="AH934" s="207"/>
      <c r="AI934" s="207"/>
      <c r="AJ934" s="207"/>
      <c r="AK934" s="207"/>
      <c r="AL934" s="207"/>
      <c r="AM934" s="207"/>
      <c r="AN934" s="207"/>
      <c r="AO934" s="207"/>
      <c r="AP934" s="207"/>
      <c r="AQ934" s="207"/>
      <c r="AR934" s="207"/>
      <c r="AS934" s="207"/>
      <c r="AT934" s="207"/>
      <c r="AU934" s="207"/>
      <c r="AV934" s="207"/>
      <c r="AW934" s="207"/>
      <c r="AX934" s="207"/>
      <c r="AY934" s="207"/>
      <c r="AZ934" s="207"/>
      <c r="BA934" s="207"/>
    </row>
    <row r="935" ht="18.75" hidden="1" customHeight="1">
      <c r="A935" s="207"/>
      <c r="B935" s="207"/>
      <c r="C935" s="207"/>
      <c r="D935" s="207"/>
      <c r="E935" s="207"/>
      <c r="F935" s="207"/>
      <c r="G935" s="207"/>
      <c r="H935" s="207"/>
      <c r="I935" s="207"/>
      <c r="J935" s="207"/>
      <c r="K935" s="207"/>
      <c r="L935" s="207"/>
      <c r="M935" s="207"/>
      <c r="N935" s="207"/>
      <c r="O935" s="207"/>
      <c r="P935" s="207"/>
      <c r="Q935" s="207"/>
      <c r="R935" s="207"/>
      <c r="S935" s="207"/>
      <c r="T935" s="207"/>
      <c r="U935" s="207"/>
      <c r="V935" s="207"/>
      <c r="W935" s="207"/>
      <c r="X935" s="207"/>
      <c r="Y935" s="207"/>
      <c r="Z935" s="207"/>
      <c r="AA935" s="207"/>
      <c r="AB935" s="207"/>
      <c r="AC935" s="207"/>
      <c r="AD935" s="207"/>
      <c r="AE935" s="207"/>
      <c r="AF935" s="207"/>
      <c r="AG935" s="207"/>
      <c r="AH935" s="207"/>
      <c r="AI935" s="207"/>
      <c r="AJ935" s="207"/>
      <c r="AK935" s="207"/>
      <c r="AL935" s="207"/>
      <c r="AM935" s="207"/>
      <c r="AN935" s="207"/>
      <c r="AO935" s="207"/>
      <c r="AP935" s="207"/>
      <c r="AQ935" s="207"/>
      <c r="AR935" s="207"/>
      <c r="AS935" s="207"/>
      <c r="AT935" s="207"/>
      <c r="AU935" s="207"/>
      <c r="AV935" s="207"/>
      <c r="AW935" s="207"/>
      <c r="AX935" s="207"/>
      <c r="AY935" s="207"/>
      <c r="AZ935" s="207"/>
      <c r="BA935" s="207"/>
    </row>
    <row r="936" ht="18.75" hidden="1" customHeight="1">
      <c r="A936" s="207"/>
      <c r="B936" s="207"/>
      <c r="C936" s="207"/>
      <c r="D936" s="207"/>
      <c r="E936" s="207"/>
      <c r="F936" s="207"/>
      <c r="G936" s="207"/>
      <c r="H936" s="207"/>
      <c r="I936" s="207"/>
      <c r="J936" s="207"/>
      <c r="K936" s="207"/>
      <c r="L936" s="207"/>
      <c r="M936" s="207"/>
      <c r="N936" s="207"/>
      <c r="O936" s="207"/>
      <c r="P936" s="207"/>
      <c r="Q936" s="207"/>
      <c r="R936" s="207"/>
      <c r="S936" s="207"/>
      <c r="T936" s="207"/>
      <c r="U936" s="207"/>
      <c r="V936" s="207"/>
      <c r="W936" s="207"/>
      <c r="X936" s="207"/>
      <c r="Y936" s="207"/>
      <c r="Z936" s="207"/>
      <c r="AA936" s="207"/>
      <c r="AB936" s="207"/>
      <c r="AC936" s="207"/>
      <c r="AD936" s="207"/>
      <c r="AE936" s="207"/>
      <c r="AF936" s="207"/>
      <c r="AG936" s="207"/>
      <c r="AH936" s="207"/>
      <c r="AI936" s="207"/>
      <c r="AJ936" s="207"/>
      <c r="AK936" s="207"/>
      <c r="AL936" s="207"/>
      <c r="AM936" s="207"/>
      <c r="AN936" s="207"/>
      <c r="AO936" s="207"/>
      <c r="AP936" s="207"/>
      <c r="AQ936" s="207"/>
      <c r="AR936" s="207"/>
      <c r="AS936" s="207"/>
      <c r="AT936" s="207"/>
      <c r="AU936" s="207"/>
      <c r="AV936" s="207"/>
      <c r="AW936" s="207"/>
      <c r="AX936" s="207"/>
      <c r="AY936" s="207"/>
      <c r="AZ936" s="207"/>
      <c r="BA936" s="207"/>
    </row>
    <row r="937" ht="18.75" hidden="1" customHeight="1">
      <c r="A937" s="207"/>
      <c r="B937" s="207"/>
      <c r="C937" s="207"/>
      <c r="D937" s="207"/>
      <c r="E937" s="207"/>
      <c r="F937" s="207"/>
      <c r="G937" s="207"/>
      <c r="H937" s="207"/>
      <c r="I937" s="207"/>
      <c r="J937" s="207"/>
      <c r="K937" s="207"/>
      <c r="L937" s="207"/>
      <c r="M937" s="207"/>
      <c r="N937" s="207"/>
      <c r="O937" s="207"/>
      <c r="P937" s="207"/>
      <c r="Q937" s="207"/>
      <c r="R937" s="207"/>
      <c r="S937" s="207"/>
      <c r="T937" s="207"/>
      <c r="U937" s="207"/>
      <c r="V937" s="207"/>
      <c r="W937" s="207"/>
      <c r="X937" s="207"/>
      <c r="Y937" s="207"/>
      <c r="Z937" s="207"/>
      <c r="AA937" s="207"/>
      <c r="AB937" s="207"/>
      <c r="AC937" s="207"/>
      <c r="AD937" s="207"/>
      <c r="AE937" s="207"/>
      <c r="AF937" s="207"/>
      <c r="AG937" s="207"/>
      <c r="AH937" s="207"/>
      <c r="AI937" s="207"/>
      <c r="AJ937" s="207"/>
      <c r="AK937" s="207"/>
      <c r="AL937" s="207"/>
      <c r="AM937" s="207"/>
      <c r="AN937" s="207"/>
      <c r="AO937" s="207"/>
      <c r="AP937" s="207"/>
      <c r="AQ937" s="207"/>
      <c r="AR937" s="207"/>
      <c r="AS937" s="207"/>
      <c r="AT937" s="207"/>
      <c r="AU937" s="207"/>
      <c r="AV937" s="207"/>
      <c r="AW937" s="207"/>
      <c r="AX937" s="207"/>
      <c r="AY937" s="207"/>
      <c r="AZ937" s="207"/>
      <c r="BA937" s="207"/>
    </row>
    <row r="938" ht="18.75" hidden="1" customHeight="1">
      <c r="A938" s="207"/>
      <c r="B938" s="207"/>
      <c r="C938" s="207"/>
      <c r="D938" s="207"/>
      <c r="E938" s="207"/>
      <c r="F938" s="207"/>
      <c r="G938" s="207"/>
      <c r="H938" s="207"/>
      <c r="I938" s="207"/>
      <c r="J938" s="207"/>
      <c r="K938" s="207"/>
      <c r="L938" s="207"/>
      <c r="M938" s="207"/>
      <c r="N938" s="207"/>
      <c r="O938" s="207"/>
      <c r="P938" s="207"/>
      <c r="Q938" s="207"/>
      <c r="R938" s="207"/>
      <c r="S938" s="207"/>
      <c r="T938" s="207"/>
      <c r="U938" s="207"/>
      <c r="V938" s="207"/>
      <c r="W938" s="207"/>
      <c r="X938" s="207"/>
      <c r="Y938" s="207"/>
      <c r="Z938" s="207"/>
      <c r="AA938" s="207"/>
      <c r="AB938" s="207"/>
      <c r="AC938" s="207"/>
      <c r="AD938" s="207"/>
      <c r="AE938" s="207"/>
      <c r="AF938" s="207"/>
      <c r="AG938" s="207"/>
      <c r="AH938" s="207"/>
      <c r="AI938" s="207"/>
      <c r="AJ938" s="207"/>
      <c r="AK938" s="207"/>
      <c r="AL938" s="207"/>
      <c r="AM938" s="207"/>
      <c r="AN938" s="207"/>
      <c r="AO938" s="207"/>
      <c r="AP938" s="207"/>
      <c r="AQ938" s="207"/>
      <c r="AR938" s="207"/>
      <c r="AS938" s="207"/>
      <c r="AT938" s="207"/>
      <c r="AU938" s="207"/>
      <c r="AV938" s="207"/>
      <c r="AW938" s="207"/>
      <c r="AX938" s="207"/>
      <c r="AY938" s="207"/>
      <c r="AZ938" s="207"/>
      <c r="BA938" s="207"/>
    </row>
    <row r="939" ht="18.75" hidden="1" customHeight="1">
      <c r="A939" s="207"/>
      <c r="B939" s="207"/>
      <c r="C939" s="207"/>
      <c r="D939" s="207"/>
      <c r="E939" s="207"/>
      <c r="F939" s="207"/>
      <c r="G939" s="207"/>
      <c r="H939" s="207"/>
      <c r="I939" s="207"/>
      <c r="J939" s="207"/>
      <c r="K939" s="207"/>
      <c r="L939" s="207"/>
      <c r="M939" s="207"/>
      <c r="N939" s="207"/>
      <c r="O939" s="207"/>
      <c r="P939" s="207"/>
      <c r="Q939" s="207"/>
      <c r="R939" s="207"/>
      <c r="S939" s="207"/>
      <c r="T939" s="207"/>
      <c r="U939" s="207"/>
      <c r="V939" s="207"/>
      <c r="W939" s="207"/>
      <c r="X939" s="207"/>
      <c r="Y939" s="207"/>
      <c r="Z939" s="207"/>
      <c r="AA939" s="207"/>
      <c r="AB939" s="207"/>
      <c r="AC939" s="207"/>
      <c r="AD939" s="207"/>
      <c r="AE939" s="207"/>
      <c r="AF939" s="207"/>
      <c r="AG939" s="207"/>
      <c r="AH939" s="207"/>
      <c r="AI939" s="207"/>
      <c r="AJ939" s="207"/>
      <c r="AK939" s="207"/>
      <c r="AL939" s="207"/>
      <c r="AM939" s="207"/>
      <c r="AN939" s="207"/>
      <c r="AO939" s="207"/>
      <c r="AP939" s="207"/>
      <c r="AQ939" s="207"/>
      <c r="AR939" s="207"/>
      <c r="AS939" s="207"/>
      <c r="AT939" s="207"/>
      <c r="AU939" s="207"/>
      <c r="AV939" s="207"/>
      <c r="AW939" s="207"/>
      <c r="AX939" s="207"/>
      <c r="AY939" s="207"/>
      <c r="AZ939" s="207"/>
      <c r="BA939" s="207"/>
    </row>
    <row r="940" ht="18.75" hidden="1" customHeight="1">
      <c r="A940" s="207"/>
      <c r="B940" s="207"/>
      <c r="C940" s="207"/>
      <c r="D940" s="207"/>
      <c r="E940" s="207"/>
      <c r="F940" s="207"/>
      <c r="G940" s="207"/>
      <c r="H940" s="207"/>
      <c r="I940" s="207"/>
      <c r="J940" s="207"/>
      <c r="K940" s="207"/>
      <c r="L940" s="207"/>
      <c r="M940" s="207"/>
      <c r="N940" s="207"/>
      <c r="O940" s="207"/>
      <c r="P940" s="207"/>
      <c r="Q940" s="207"/>
      <c r="R940" s="207"/>
      <c r="S940" s="207"/>
      <c r="T940" s="207"/>
      <c r="U940" s="207"/>
      <c r="V940" s="207"/>
      <c r="W940" s="207"/>
      <c r="X940" s="207"/>
      <c r="Y940" s="207"/>
      <c r="Z940" s="207"/>
      <c r="AA940" s="207"/>
      <c r="AB940" s="207"/>
      <c r="AC940" s="207"/>
      <c r="AD940" s="207"/>
      <c r="AE940" s="207"/>
      <c r="AF940" s="207"/>
      <c r="AG940" s="207"/>
      <c r="AH940" s="207"/>
      <c r="AI940" s="207"/>
      <c r="AJ940" s="207"/>
      <c r="AK940" s="207"/>
      <c r="AL940" s="207"/>
      <c r="AM940" s="207"/>
      <c r="AN940" s="207"/>
      <c r="AO940" s="207"/>
      <c r="AP940" s="207"/>
      <c r="AQ940" s="207"/>
      <c r="AR940" s="207"/>
      <c r="AS940" s="207"/>
      <c r="AT940" s="207"/>
      <c r="AU940" s="207"/>
      <c r="AV940" s="207"/>
      <c r="AW940" s="207"/>
      <c r="AX940" s="207"/>
      <c r="AY940" s="207"/>
      <c r="AZ940" s="207"/>
      <c r="BA940" s="207"/>
    </row>
    <row r="941" ht="18.75" hidden="1" customHeight="1">
      <c r="A941" s="207"/>
      <c r="B941" s="207"/>
      <c r="C941" s="207"/>
      <c r="D941" s="207"/>
      <c r="E941" s="207"/>
      <c r="F941" s="207"/>
      <c r="G941" s="207"/>
      <c r="H941" s="207"/>
      <c r="I941" s="207"/>
      <c r="J941" s="207"/>
      <c r="K941" s="207"/>
      <c r="L941" s="207"/>
      <c r="M941" s="207"/>
      <c r="N941" s="207"/>
      <c r="O941" s="207"/>
      <c r="P941" s="207"/>
      <c r="Q941" s="207"/>
      <c r="R941" s="207"/>
      <c r="S941" s="207"/>
      <c r="T941" s="207"/>
      <c r="U941" s="207"/>
      <c r="V941" s="207"/>
      <c r="W941" s="207"/>
      <c r="X941" s="207"/>
      <c r="Y941" s="207"/>
      <c r="Z941" s="207"/>
      <c r="AA941" s="207"/>
      <c r="AB941" s="207"/>
      <c r="AC941" s="207"/>
      <c r="AD941" s="207"/>
      <c r="AE941" s="207"/>
      <c r="AF941" s="207"/>
      <c r="AG941" s="207"/>
      <c r="AH941" s="207"/>
      <c r="AI941" s="207"/>
      <c r="AJ941" s="207"/>
      <c r="AK941" s="207"/>
      <c r="AL941" s="207"/>
      <c r="AM941" s="207"/>
      <c r="AN941" s="207"/>
      <c r="AO941" s="207"/>
      <c r="AP941" s="207"/>
      <c r="AQ941" s="207"/>
      <c r="AR941" s="207"/>
      <c r="AS941" s="207"/>
      <c r="AT941" s="207"/>
      <c r="AU941" s="207"/>
      <c r="AV941" s="207"/>
      <c r="AW941" s="207"/>
      <c r="AX941" s="207"/>
      <c r="AY941" s="207"/>
      <c r="AZ941" s="207"/>
      <c r="BA941" s="207"/>
    </row>
    <row r="942" ht="18.75" hidden="1" customHeight="1">
      <c r="A942" s="207"/>
      <c r="B942" s="207"/>
      <c r="C942" s="207"/>
      <c r="D942" s="207"/>
      <c r="E942" s="207"/>
      <c r="F942" s="207"/>
      <c r="G942" s="207"/>
      <c r="H942" s="207"/>
      <c r="I942" s="207"/>
      <c r="J942" s="207"/>
      <c r="K942" s="207"/>
      <c r="L942" s="207"/>
      <c r="M942" s="207"/>
      <c r="N942" s="207"/>
      <c r="O942" s="207"/>
      <c r="P942" s="207"/>
      <c r="Q942" s="207"/>
      <c r="R942" s="207"/>
      <c r="S942" s="207"/>
      <c r="T942" s="207"/>
      <c r="U942" s="207"/>
      <c r="V942" s="207"/>
      <c r="W942" s="207"/>
      <c r="X942" s="207"/>
      <c r="Y942" s="207"/>
      <c r="Z942" s="207"/>
      <c r="AA942" s="207"/>
      <c r="AB942" s="207"/>
      <c r="AC942" s="207"/>
      <c r="AD942" s="207"/>
      <c r="AE942" s="207"/>
      <c r="AF942" s="207"/>
      <c r="AG942" s="207"/>
      <c r="AH942" s="207"/>
      <c r="AI942" s="207"/>
      <c r="AJ942" s="207"/>
      <c r="AK942" s="207"/>
      <c r="AL942" s="207"/>
      <c r="AM942" s="207"/>
      <c r="AN942" s="207"/>
      <c r="AO942" s="207"/>
      <c r="AP942" s="207"/>
      <c r="AQ942" s="207"/>
      <c r="AR942" s="207"/>
      <c r="AS942" s="207"/>
      <c r="AT942" s="207"/>
      <c r="AU942" s="207"/>
      <c r="AV942" s="207"/>
      <c r="AW942" s="207"/>
      <c r="AX942" s="207"/>
      <c r="AY942" s="207"/>
      <c r="AZ942" s="207"/>
      <c r="BA942" s="207"/>
    </row>
    <row r="943" ht="18.75" hidden="1" customHeight="1">
      <c r="A943" s="207"/>
      <c r="B943" s="207"/>
      <c r="C943" s="207"/>
      <c r="D943" s="207"/>
      <c r="E943" s="207"/>
      <c r="F943" s="207"/>
      <c r="G943" s="207"/>
      <c r="H943" s="207"/>
      <c r="I943" s="207"/>
      <c r="J943" s="207"/>
      <c r="K943" s="207"/>
      <c r="L943" s="207"/>
      <c r="M943" s="207"/>
      <c r="N943" s="207"/>
      <c r="O943" s="207"/>
      <c r="P943" s="207"/>
      <c r="Q943" s="207"/>
      <c r="R943" s="207"/>
      <c r="S943" s="207"/>
      <c r="T943" s="207"/>
      <c r="U943" s="207"/>
      <c r="V943" s="207"/>
      <c r="W943" s="207"/>
      <c r="X943" s="207"/>
      <c r="Y943" s="207"/>
      <c r="Z943" s="207"/>
      <c r="AA943" s="207"/>
      <c r="AB943" s="207"/>
      <c r="AC943" s="207"/>
      <c r="AD943" s="207"/>
      <c r="AE943" s="207"/>
      <c r="AF943" s="207"/>
      <c r="AG943" s="207"/>
      <c r="AH943" s="207"/>
      <c r="AI943" s="207"/>
      <c r="AJ943" s="207"/>
      <c r="AK943" s="207"/>
      <c r="AL943" s="207"/>
      <c r="AM943" s="207"/>
      <c r="AN943" s="207"/>
      <c r="AO943" s="207"/>
      <c r="AP943" s="207"/>
      <c r="AQ943" s="207"/>
      <c r="AR943" s="207"/>
      <c r="AS943" s="207"/>
      <c r="AT943" s="207"/>
      <c r="AU943" s="207"/>
      <c r="AV943" s="207"/>
      <c r="AW943" s="207"/>
      <c r="AX943" s="207"/>
      <c r="AY943" s="207"/>
      <c r="AZ943" s="207"/>
      <c r="BA943" s="207"/>
    </row>
    <row r="944" ht="18.75" hidden="1" customHeight="1">
      <c r="A944" s="207"/>
      <c r="B944" s="207"/>
      <c r="C944" s="207"/>
      <c r="D944" s="207"/>
      <c r="E944" s="207"/>
      <c r="F944" s="207"/>
      <c r="G944" s="207"/>
      <c r="H944" s="207"/>
      <c r="I944" s="207"/>
      <c r="J944" s="207"/>
      <c r="K944" s="207"/>
      <c r="L944" s="207"/>
      <c r="M944" s="207"/>
      <c r="N944" s="207"/>
      <c r="O944" s="207"/>
      <c r="P944" s="207"/>
      <c r="Q944" s="207"/>
      <c r="R944" s="207"/>
      <c r="S944" s="207"/>
      <c r="T944" s="207"/>
      <c r="U944" s="207"/>
      <c r="V944" s="207"/>
      <c r="W944" s="207"/>
      <c r="X944" s="207"/>
      <c r="Y944" s="207"/>
      <c r="Z944" s="207"/>
      <c r="AA944" s="207"/>
      <c r="AB944" s="207"/>
      <c r="AC944" s="207"/>
      <c r="AD944" s="207"/>
      <c r="AE944" s="207"/>
      <c r="AF944" s="207"/>
      <c r="AG944" s="207"/>
      <c r="AH944" s="207"/>
      <c r="AI944" s="207"/>
      <c r="AJ944" s="207"/>
      <c r="AK944" s="207"/>
      <c r="AL944" s="207"/>
      <c r="AM944" s="207"/>
      <c r="AN944" s="207"/>
      <c r="AO944" s="207"/>
      <c r="AP944" s="207"/>
      <c r="AQ944" s="207"/>
      <c r="AR944" s="207"/>
      <c r="AS944" s="207"/>
      <c r="AT944" s="207"/>
      <c r="AU944" s="207"/>
      <c r="AV944" s="207"/>
      <c r="AW944" s="207"/>
      <c r="AX944" s="207"/>
      <c r="AY944" s="207"/>
      <c r="AZ944" s="207"/>
      <c r="BA944" s="207"/>
    </row>
    <row r="945" ht="18.75" hidden="1" customHeight="1">
      <c r="A945" s="207"/>
      <c r="B945" s="207"/>
      <c r="C945" s="207"/>
      <c r="D945" s="207"/>
      <c r="E945" s="207"/>
      <c r="F945" s="207"/>
      <c r="G945" s="207"/>
      <c r="H945" s="207"/>
      <c r="I945" s="207"/>
      <c r="J945" s="207"/>
      <c r="K945" s="207"/>
      <c r="L945" s="207"/>
      <c r="M945" s="207"/>
      <c r="N945" s="207"/>
      <c r="O945" s="207"/>
      <c r="P945" s="207"/>
      <c r="Q945" s="207"/>
      <c r="R945" s="207"/>
      <c r="S945" s="207"/>
      <c r="T945" s="207"/>
      <c r="U945" s="207"/>
      <c r="V945" s="207"/>
      <c r="W945" s="207"/>
      <c r="X945" s="207"/>
      <c r="Y945" s="207"/>
      <c r="Z945" s="207"/>
      <c r="AA945" s="207"/>
      <c r="AB945" s="207"/>
      <c r="AC945" s="207"/>
      <c r="AD945" s="207"/>
      <c r="AE945" s="207"/>
      <c r="AF945" s="207"/>
      <c r="AG945" s="207"/>
      <c r="AH945" s="207"/>
      <c r="AI945" s="207"/>
      <c r="AJ945" s="207"/>
      <c r="AK945" s="207"/>
      <c r="AL945" s="207"/>
      <c r="AM945" s="207"/>
      <c r="AN945" s="207"/>
      <c r="AO945" s="207"/>
      <c r="AP945" s="207"/>
      <c r="AQ945" s="207"/>
      <c r="AR945" s="207"/>
      <c r="AS945" s="207"/>
      <c r="AT945" s="207"/>
      <c r="AU945" s="207"/>
      <c r="AV945" s="207"/>
      <c r="AW945" s="207"/>
      <c r="AX945" s="207"/>
      <c r="AY945" s="207"/>
      <c r="AZ945" s="207"/>
      <c r="BA945" s="207"/>
    </row>
    <row r="946" ht="18.75" hidden="1" customHeight="1">
      <c r="A946" s="207"/>
      <c r="B946" s="207"/>
      <c r="C946" s="207"/>
      <c r="D946" s="207"/>
      <c r="E946" s="207"/>
      <c r="F946" s="207"/>
      <c r="G946" s="207"/>
      <c r="H946" s="207"/>
      <c r="I946" s="207"/>
      <c r="J946" s="207"/>
      <c r="K946" s="207"/>
      <c r="L946" s="207"/>
      <c r="M946" s="207"/>
      <c r="N946" s="207"/>
      <c r="O946" s="207"/>
      <c r="P946" s="207"/>
      <c r="Q946" s="207"/>
      <c r="R946" s="207"/>
      <c r="S946" s="207"/>
      <c r="T946" s="207"/>
      <c r="U946" s="207"/>
      <c r="V946" s="207"/>
      <c r="W946" s="207"/>
      <c r="X946" s="207"/>
      <c r="Y946" s="207"/>
      <c r="Z946" s="207"/>
      <c r="AA946" s="207"/>
      <c r="AB946" s="207"/>
      <c r="AC946" s="207"/>
      <c r="AD946" s="207"/>
      <c r="AE946" s="207"/>
      <c r="AF946" s="207"/>
      <c r="AG946" s="207"/>
      <c r="AH946" s="207"/>
      <c r="AI946" s="207"/>
      <c r="AJ946" s="207"/>
      <c r="AK946" s="207"/>
      <c r="AL946" s="207"/>
      <c r="AM946" s="207"/>
      <c r="AN946" s="207"/>
      <c r="AO946" s="207"/>
      <c r="AP946" s="207"/>
      <c r="AQ946" s="207"/>
      <c r="AR946" s="207"/>
      <c r="AS946" s="207"/>
      <c r="AT946" s="207"/>
      <c r="AU946" s="207"/>
      <c r="AV946" s="207"/>
      <c r="AW946" s="207"/>
      <c r="AX946" s="207"/>
      <c r="AY946" s="207"/>
      <c r="AZ946" s="207"/>
      <c r="BA946" s="207"/>
    </row>
    <row r="947" ht="18.75" hidden="1" customHeight="1">
      <c r="A947" s="207"/>
      <c r="B947" s="207"/>
      <c r="C947" s="207"/>
      <c r="D947" s="207"/>
      <c r="E947" s="207"/>
      <c r="F947" s="207"/>
      <c r="G947" s="207"/>
      <c r="H947" s="207"/>
      <c r="I947" s="207"/>
      <c r="J947" s="207"/>
      <c r="K947" s="207"/>
      <c r="L947" s="207"/>
      <c r="M947" s="207"/>
      <c r="N947" s="207"/>
      <c r="O947" s="207"/>
      <c r="P947" s="207"/>
      <c r="Q947" s="207"/>
      <c r="R947" s="207"/>
      <c r="S947" s="207"/>
      <c r="T947" s="207"/>
      <c r="U947" s="207"/>
      <c r="V947" s="207"/>
      <c r="W947" s="207"/>
      <c r="X947" s="207"/>
      <c r="Y947" s="207"/>
      <c r="Z947" s="207"/>
      <c r="AA947" s="207"/>
      <c r="AB947" s="207"/>
      <c r="AC947" s="207"/>
      <c r="AD947" s="207"/>
      <c r="AE947" s="207"/>
      <c r="AF947" s="207"/>
      <c r="AG947" s="207"/>
      <c r="AH947" s="207"/>
      <c r="AI947" s="207"/>
      <c r="AJ947" s="207"/>
      <c r="AK947" s="207"/>
      <c r="AL947" s="207"/>
      <c r="AM947" s="207"/>
      <c r="AN947" s="207"/>
      <c r="AO947" s="207"/>
      <c r="AP947" s="207"/>
      <c r="AQ947" s="207"/>
      <c r="AR947" s="207"/>
      <c r="AS947" s="207"/>
      <c r="AT947" s="207"/>
      <c r="AU947" s="207"/>
      <c r="AV947" s="207"/>
      <c r="AW947" s="207"/>
      <c r="AX947" s="207"/>
      <c r="AY947" s="207"/>
      <c r="AZ947" s="207"/>
      <c r="BA947" s="207"/>
    </row>
    <row r="948" ht="18.75" hidden="1" customHeight="1">
      <c r="A948" s="207"/>
      <c r="B948" s="207"/>
      <c r="C948" s="207"/>
      <c r="D948" s="207"/>
      <c r="E948" s="207"/>
      <c r="F948" s="207"/>
      <c r="G948" s="207"/>
      <c r="H948" s="207"/>
      <c r="I948" s="207"/>
      <c r="J948" s="207"/>
      <c r="K948" s="207"/>
      <c r="L948" s="207"/>
      <c r="M948" s="207"/>
      <c r="N948" s="207"/>
      <c r="O948" s="207"/>
      <c r="P948" s="207"/>
      <c r="Q948" s="207"/>
      <c r="R948" s="207"/>
      <c r="S948" s="207"/>
      <c r="T948" s="207"/>
      <c r="U948" s="207"/>
      <c r="V948" s="207"/>
      <c r="W948" s="207"/>
      <c r="X948" s="207"/>
      <c r="Y948" s="207"/>
      <c r="Z948" s="207"/>
      <c r="AA948" s="207"/>
      <c r="AB948" s="207"/>
      <c r="AC948" s="207"/>
      <c r="AD948" s="207"/>
      <c r="AE948" s="207"/>
      <c r="AF948" s="207"/>
      <c r="AG948" s="207"/>
      <c r="AH948" s="207"/>
      <c r="AI948" s="207"/>
      <c r="AJ948" s="207"/>
      <c r="AK948" s="207"/>
      <c r="AL948" s="207"/>
      <c r="AM948" s="207"/>
      <c r="AN948" s="207"/>
      <c r="AO948" s="207"/>
      <c r="AP948" s="207"/>
      <c r="AQ948" s="207"/>
      <c r="AR948" s="207"/>
      <c r="AS948" s="207"/>
      <c r="AT948" s="207"/>
      <c r="AU948" s="207"/>
      <c r="AV948" s="207"/>
      <c r="AW948" s="207"/>
      <c r="AX948" s="207"/>
      <c r="AY948" s="207"/>
      <c r="AZ948" s="207"/>
      <c r="BA948" s="207"/>
    </row>
    <row r="949" ht="18.75" hidden="1" customHeight="1">
      <c r="A949" s="207"/>
      <c r="B949" s="207"/>
      <c r="C949" s="207"/>
      <c r="D949" s="207"/>
      <c r="E949" s="207"/>
      <c r="F949" s="207"/>
      <c r="G949" s="207"/>
      <c r="H949" s="207"/>
      <c r="I949" s="207"/>
      <c r="J949" s="207"/>
      <c r="K949" s="207"/>
      <c r="L949" s="207"/>
      <c r="M949" s="207"/>
      <c r="N949" s="207"/>
      <c r="O949" s="207"/>
      <c r="P949" s="207"/>
      <c r="Q949" s="207"/>
      <c r="R949" s="207"/>
      <c r="S949" s="207"/>
      <c r="T949" s="207"/>
      <c r="U949" s="207"/>
      <c r="V949" s="207"/>
      <c r="W949" s="207"/>
      <c r="X949" s="207"/>
      <c r="Y949" s="207"/>
      <c r="Z949" s="207"/>
      <c r="AA949" s="207"/>
      <c r="AB949" s="207"/>
      <c r="AC949" s="207"/>
      <c r="AD949" s="207"/>
      <c r="AE949" s="207"/>
      <c r="AF949" s="207"/>
      <c r="AG949" s="207"/>
      <c r="AH949" s="207"/>
      <c r="AI949" s="207"/>
      <c r="AJ949" s="207"/>
      <c r="AK949" s="207"/>
      <c r="AL949" s="207"/>
      <c r="AM949" s="207"/>
      <c r="AN949" s="207"/>
      <c r="AO949" s="207"/>
      <c r="AP949" s="207"/>
      <c r="AQ949" s="207"/>
      <c r="AR949" s="207"/>
      <c r="AS949" s="207"/>
      <c r="AT949" s="207"/>
      <c r="AU949" s="207"/>
      <c r="AV949" s="207"/>
      <c r="AW949" s="207"/>
      <c r="AX949" s="207"/>
      <c r="AY949" s="207"/>
      <c r="AZ949" s="207"/>
      <c r="BA949" s="207"/>
    </row>
    <row r="950" ht="18.75" hidden="1" customHeight="1">
      <c r="A950" s="207"/>
      <c r="B950" s="207"/>
      <c r="C950" s="207"/>
      <c r="D950" s="207"/>
      <c r="E950" s="207"/>
      <c r="F950" s="207"/>
      <c r="G950" s="207"/>
      <c r="H950" s="207"/>
      <c r="I950" s="207"/>
      <c r="J950" s="207"/>
      <c r="K950" s="207"/>
      <c r="L950" s="207"/>
      <c r="M950" s="207"/>
      <c r="N950" s="207"/>
      <c r="O950" s="207"/>
      <c r="P950" s="207"/>
      <c r="Q950" s="207"/>
      <c r="R950" s="207"/>
      <c r="S950" s="207"/>
      <c r="T950" s="207"/>
      <c r="U950" s="207"/>
      <c r="V950" s="207"/>
      <c r="W950" s="207"/>
      <c r="X950" s="207"/>
      <c r="Y950" s="207"/>
      <c r="Z950" s="207"/>
      <c r="AA950" s="207"/>
      <c r="AB950" s="207"/>
      <c r="AC950" s="207"/>
      <c r="AD950" s="207"/>
      <c r="AE950" s="207"/>
      <c r="AF950" s="207"/>
      <c r="AG950" s="207"/>
      <c r="AH950" s="207"/>
      <c r="AI950" s="207"/>
      <c r="AJ950" s="207"/>
      <c r="AK950" s="207"/>
      <c r="AL950" s="207"/>
      <c r="AM950" s="207"/>
      <c r="AN950" s="207"/>
      <c r="AO950" s="207"/>
      <c r="AP950" s="207"/>
      <c r="AQ950" s="207"/>
      <c r="AR950" s="207"/>
      <c r="AS950" s="207"/>
      <c r="AT950" s="207"/>
      <c r="AU950" s="207"/>
      <c r="AV950" s="207"/>
      <c r="AW950" s="207"/>
      <c r="AX950" s="207"/>
      <c r="AY950" s="207"/>
      <c r="AZ950" s="207"/>
      <c r="BA950" s="207"/>
    </row>
    <row r="951" ht="18.75" hidden="1" customHeight="1">
      <c r="A951" s="207"/>
      <c r="B951" s="207"/>
      <c r="C951" s="207"/>
      <c r="D951" s="207"/>
      <c r="E951" s="207"/>
      <c r="F951" s="207"/>
      <c r="G951" s="207"/>
      <c r="H951" s="207"/>
      <c r="I951" s="207"/>
      <c r="J951" s="207"/>
      <c r="K951" s="207"/>
      <c r="L951" s="207"/>
      <c r="M951" s="207"/>
      <c r="N951" s="207"/>
      <c r="O951" s="207"/>
      <c r="P951" s="207"/>
      <c r="Q951" s="207"/>
      <c r="R951" s="207"/>
      <c r="S951" s="207"/>
      <c r="T951" s="207"/>
      <c r="U951" s="207"/>
      <c r="V951" s="207"/>
      <c r="W951" s="207"/>
      <c r="X951" s="207"/>
      <c r="Y951" s="207"/>
      <c r="Z951" s="207"/>
      <c r="AA951" s="207"/>
      <c r="AB951" s="207"/>
      <c r="AC951" s="207"/>
      <c r="AD951" s="207"/>
      <c r="AE951" s="207"/>
      <c r="AF951" s="207"/>
      <c r="AG951" s="207"/>
      <c r="AH951" s="207"/>
      <c r="AI951" s="207"/>
      <c r="AJ951" s="207"/>
      <c r="AK951" s="207"/>
      <c r="AL951" s="207"/>
      <c r="AM951" s="207"/>
      <c r="AN951" s="207"/>
      <c r="AO951" s="207"/>
      <c r="AP951" s="207"/>
      <c r="AQ951" s="207"/>
      <c r="AR951" s="207"/>
      <c r="AS951" s="207"/>
      <c r="AT951" s="207"/>
      <c r="AU951" s="207"/>
      <c r="AV951" s="207"/>
      <c r="AW951" s="207"/>
      <c r="AX951" s="207"/>
      <c r="AY951" s="207"/>
      <c r="AZ951" s="207"/>
      <c r="BA951" s="207"/>
    </row>
    <row r="952" ht="18.75" hidden="1" customHeight="1">
      <c r="A952" s="207"/>
      <c r="B952" s="207"/>
      <c r="C952" s="207"/>
      <c r="D952" s="207"/>
      <c r="E952" s="207"/>
      <c r="F952" s="207"/>
      <c r="G952" s="207"/>
      <c r="H952" s="207"/>
      <c r="I952" s="207"/>
      <c r="J952" s="207"/>
      <c r="K952" s="207"/>
      <c r="L952" s="207"/>
      <c r="M952" s="207"/>
      <c r="N952" s="207"/>
      <c r="O952" s="207"/>
      <c r="P952" s="207"/>
      <c r="Q952" s="207"/>
      <c r="R952" s="207"/>
      <c r="S952" s="207"/>
      <c r="T952" s="207"/>
      <c r="U952" s="207"/>
      <c r="V952" s="207"/>
      <c r="W952" s="207"/>
      <c r="X952" s="207"/>
      <c r="Y952" s="207"/>
      <c r="Z952" s="207"/>
      <c r="AA952" s="207"/>
      <c r="AB952" s="207"/>
      <c r="AC952" s="207"/>
      <c r="AD952" s="207"/>
      <c r="AE952" s="207"/>
      <c r="AF952" s="207"/>
      <c r="AG952" s="207"/>
      <c r="AH952" s="207"/>
      <c r="AI952" s="207"/>
      <c r="AJ952" s="207"/>
      <c r="AK952" s="207"/>
      <c r="AL952" s="207"/>
      <c r="AM952" s="207"/>
      <c r="AN952" s="207"/>
      <c r="AO952" s="207"/>
      <c r="AP952" s="207"/>
      <c r="AQ952" s="207"/>
      <c r="AR952" s="207"/>
      <c r="AS952" s="207"/>
      <c r="AT952" s="207"/>
      <c r="AU952" s="207"/>
      <c r="AV952" s="207"/>
      <c r="AW952" s="207"/>
      <c r="AX952" s="207"/>
      <c r="AY952" s="207"/>
      <c r="AZ952" s="207"/>
      <c r="BA952" s="207"/>
    </row>
    <row r="953" ht="18.75" hidden="1" customHeight="1">
      <c r="A953" s="207"/>
      <c r="B953" s="207"/>
      <c r="C953" s="207"/>
      <c r="D953" s="207"/>
      <c r="E953" s="207"/>
      <c r="F953" s="207"/>
      <c r="G953" s="207"/>
      <c r="H953" s="207"/>
      <c r="I953" s="207"/>
      <c r="J953" s="207"/>
      <c r="K953" s="207"/>
      <c r="L953" s="207"/>
      <c r="M953" s="207"/>
      <c r="N953" s="207"/>
      <c r="O953" s="207"/>
      <c r="P953" s="207"/>
      <c r="Q953" s="207"/>
      <c r="R953" s="207"/>
      <c r="S953" s="207"/>
      <c r="T953" s="207"/>
      <c r="U953" s="207"/>
      <c r="V953" s="207"/>
      <c r="W953" s="207"/>
      <c r="X953" s="207"/>
      <c r="Y953" s="207"/>
      <c r="Z953" s="207"/>
      <c r="AA953" s="207"/>
      <c r="AB953" s="207"/>
      <c r="AC953" s="207"/>
      <c r="AD953" s="207"/>
      <c r="AE953" s="207"/>
      <c r="AF953" s="207"/>
      <c r="AG953" s="207"/>
      <c r="AH953" s="207"/>
      <c r="AI953" s="207"/>
      <c r="AJ953" s="207"/>
      <c r="AK953" s="207"/>
      <c r="AL953" s="207"/>
      <c r="AM953" s="207"/>
      <c r="AN953" s="207"/>
      <c r="AO953" s="207"/>
      <c r="AP953" s="207"/>
      <c r="AQ953" s="207"/>
      <c r="AR953" s="207"/>
      <c r="AS953" s="207"/>
      <c r="AT953" s="207"/>
      <c r="AU953" s="207"/>
      <c r="AV953" s="207"/>
      <c r="AW953" s="207"/>
      <c r="AX953" s="207"/>
      <c r="AY953" s="207"/>
      <c r="AZ953" s="207"/>
      <c r="BA953" s="207"/>
    </row>
    <row r="954" ht="18.75" hidden="1" customHeight="1">
      <c r="A954" s="207"/>
      <c r="B954" s="207"/>
      <c r="C954" s="207"/>
      <c r="D954" s="207"/>
      <c r="E954" s="207"/>
      <c r="F954" s="207"/>
      <c r="G954" s="207"/>
      <c r="H954" s="207"/>
      <c r="I954" s="207"/>
      <c r="J954" s="207"/>
      <c r="K954" s="207"/>
      <c r="L954" s="207"/>
      <c r="M954" s="207"/>
      <c r="N954" s="207"/>
      <c r="O954" s="207"/>
      <c r="P954" s="207"/>
      <c r="Q954" s="207"/>
      <c r="R954" s="207"/>
      <c r="S954" s="207"/>
      <c r="T954" s="207"/>
      <c r="U954" s="207"/>
      <c r="V954" s="207"/>
      <c r="W954" s="207"/>
      <c r="X954" s="207"/>
      <c r="Y954" s="207"/>
      <c r="Z954" s="207"/>
      <c r="AA954" s="207"/>
      <c r="AB954" s="207"/>
      <c r="AC954" s="207"/>
      <c r="AD954" s="207"/>
      <c r="AE954" s="207"/>
      <c r="AF954" s="207"/>
      <c r="AG954" s="207"/>
      <c r="AH954" s="207"/>
      <c r="AI954" s="207"/>
      <c r="AJ954" s="207"/>
      <c r="AK954" s="207"/>
      <c r="AL954" s="207"/>
      <c r="AM954" s="207"/>
      <c r="AN954" s="207"/>
      <c r="AO954" s="207"/>
      <c r="AP954" s="207"/>
      <c r="AQ954" s="207"/>
      <c r="AR954" s="207"/>
      <c r="AS954" s="207"/>
      <c r="AT954" s="207"/>
      <c r="AU954" s="207"/>
      <c r="AV954" s="207"/>
      <c r="AW954" s="207"/>
      <c r="AX954" s="207"/>
      <c r="AY954" s="207"/>
      <c r="AZ954" s="207"/>
      <c r="BA954" s="207"/>
    </row>
    <row r="955" ht="18.75" hidden="1" customHeight="1">
      <c r="A955" s="207"/>
      <c r="B955" s="207"/>
      <c r="C955" s="207"/>
      <c r="D955" s="207"/>
      <c r="E955" s="207"/>
      <c r="F955" s="207"/>
      <c r="G955" s="207"/>
      <c r="H955" s="207"/>
      <c r="I955" s="207"/>
      <c r="J955" s="207"/>
      <c r="K955" s="207"/>
      <c r="L955" s="207"/>
      <c r="M955" s="207"/>
      <c r="N955" s="207"/>
      <c r="O955" s="207"/>
      <c r="P955" s="207"/>
      <c r="Q955" s="207"/>
      <c r="R955" s="207"/>
      <c r="S955" s="207"/>
      <c r="T955" s="207"/>
      <c r="U955" s="207"/>
      <c r="V955" s="207"/>
      <c r="W955" s="207"/>
      <c r="X955" s="207"/>
      <c r="Y955" s="207"/>
      <c r="Z955" s="207"/>
      <c r="AA955" s="207"/>
      <c r="AB955" s="207"/>
      <c r="AC955" s="207"/>
      <c r="AD955" s="207"/>
      <c r="AE955" s="207"/>
      <c r="AF955" s="207"/>
      <c r="AG955" s="207"/>
      <c r="AH955" s="207"/>
      <c r="AI955" s="207"/>
      <c r="AJ955" s="207"/>
      <c r="AK955" s="207"/>
      <c r="AL955" s="207"/>
      <c r="AM955" s="207"/>
      <c r="AN955" s="207"/>
      <c r="AO955" s="207"/>
      <c r="AP955" s="207"/>
      <c r="AQ955" s="207"/>
      <c r="AR955" s="207"/>
      <c r="AS955" s="207"/>
      <c r="AT955" s="207"/>
      <c r="AU955" s="207"/>
      <c r="AV955" s="207"/>
      <c r="AW955" s="207"/>
      <c r="AX955" s="207"/>
      <c r="AY955" s="207"/>
      <c r="AZ955" s="207"/>
      <c r="BA955" s="207"/>
    </row>
    <row r="956" ht="18.75" hidden="1" customHeight="1">
      <c r="A956" s="207"/>
      <c r="B956" s="207"/>
      <c r="C956" s="207"/>
      <c r="D956" s="207"/>
      <c r="E956" s="207"/>
      <c r="F956" s="207"/>
      <c r="G956" s="207"/>
      <c r="H956" s="207"/>
      <c r="I956" s="207"/>
      <c r="J956" s="207"/>
      <c r="K956" s="207"/>
      <c r="L956" s="207"/>
      <c r="M956" s="207"/>
      <c r="N956" s="207"/>
      <c r="O956" s="207"/>
      <c r="P956" s="207"/>
      <c r="Q956" s="207"/>
      <c r="R956" s="207"/>
      <c r="S956" s="207"/>
      <c r="T956" s="207"/>
      <c r="U956" s="207"/>
      <c r="V956" s="207"/>
      <c r="W956" s="207"/>
      <c r="X956" s="207"/>
      <c r="Y956" s="207"/>
      <c r="Z956" s="207"/>
      <c r="AA956" s="207"/>
      <c r="AB956" s="207"/>
      <c r="AC956" s="207"/>
      <c r="AD956" s="207"/>
      <c r="AE956" s="207"/>
      <c r="AF956" s="207"/>
      <c r="AG956" s="207"/>
      <c r="AH956" s="207"/>
      <c r="AI956" s="207"/>
      <c r="AJ956" s="207"/>
      <c r="AK956" s="207"/>
      <c r="AL956" s="207"/>
      <c r="AM956" s="207"/>
      <c r="AN956" s="207"/>
      <c r="AO956" s="207"/>
      <c r="AP956" s="207"/>
      <c r="AQ956" s="207"/>
      <c r="AR956" s="207"/>
      <c r="AS956" s="207"/>
      <c r="AT956" s="207"/>
      <c r="AU956" s="207"/>
      <c r="AV956" s="207"/>
      <c r="AW956" s="207"/>
      <c r="AX956" s="207"/>
      <c r="AY956" s="207"/>
      <c r="AZ956" s="207"/>
      <c r="BA956" s="207"/>
    </row>
    <row r="957" ht="18.75" hidden="1" customHeight="1">
      <c r="A957" s="207"/>
      <c r="B957" s="207"/>
      <c r="C957" s="207"/>
      <c r="D957" s="207"/>
      <c r="E957" s="207"/>
      <c r="F957" s="207"/>
      <c r="G957" s="207"/>
      <c r="H957" s="207"/>
      <c r="I957" s="207"/>
      <c r="J957" s="207"/>
      <c r="K957" s="207"/>
      <c r="L957" s="207"/>
      <c r="M957" s="207"/>
      <c r="N957" s="207"/>
      <c r="O957" s="207"/>
      <c r="P957" s="207"/>
      <c r="Q957" s="207"/>
      <c r="R957" s="207"/>
      <c r="S957" s="207"/>
      <c r="T957" s="207"/>
      <c r="U957" s="207"/>
      <c r="V957" s="207"/>
      <c r="W957" s="207"/>
      <c r="X957" s="207"/>
      <c r="Y957" s="207"/>
      <c r="Z957" s="207"/>
      <c r="AA957" s="207"/>
      <c r="AB957" s="207"/>
      <c r="AC957" s="207"/>
      <c r="AD957" s="207"/>
      <c r="AE957" s="207"/>
      <c r="AF957" s="207"/>
      <c r="AG957" s="207"/>
      <c r="AH957" s="207"/>
      <c r="AI957" s="207"/>
      <c r="AJ957" s="207"/>
      <c r="AK957" s="207"/>
      <c r="AL957" s="207"/>
      <c r="AM957" s="207"/>
      <c r="AN957" s="207"/>
      <c r="AO957" s="207"/>
      <c r="AP957" s="207"/>
      <c r="AQ957" s="207"/>
      <c r="AR957" s="207"/>
      <c r="AS957" s="207"/>
      <c r="AT957" s="207"/>
      <c r="AU957" s="207"/>
      <c r="AV957" s="207"/>
      <c r="AW957" s="207"/>
      <c r="AX957" s="207"/>
      <c r="AY957" s="207"/>
      <c r="AZ957" s="207"/>
      <c r="BA957" s="207"/>
    </row>
    <row r="958" ht="18.75" hidden="1" customHeight="1">
      <c r="A958" s="207"/>
      <c r="B958" s="207"/>
      <c r="C958" s="207"/>
      <c r="D958" s="207"/>
      <c r="E958" s="207"/>
      <c r="F958" s="207"/>
      <c r="G958" s="207"/>
      <c r="H958" s="207"/>
      <c r="I958" s="207"/>
      <c r="J958" s="207"/>
      <c r="K958" s="207"/>
      <c r="L958" s="207"/>
      <c r="M958" s="207"/>
      <c r="N958" s="207"/>
      <c r="O958" s="207"/>
      <c r="P958" s="207"/>
      <c r="Q958" s="207"/>
      <c r="R958" s="207"/>
      <c r="S958" s="207"/>
      <c r="T958" s="207"/>
      <c r="U958" s="207"/>
      <c r="V958" s="207"/>
      <c r="W958" s="207"/>
      <c r="X958" s="207"/>
      <c r="Y958" s="207"/>
      <c r="Z958" s="207"/>
      <c r="AA958" s="207"/>
      <c r="AB958" s="207"/>
      <c r="AC958" s="207"/>
      <c r="AD958" s="207"/>
      <c r="AE958" s="207"/>
      <c r="AF958" s="207"/>
      <c r="AG958" s="207"/>
      <c r="AH958" s="207"/>
      <c r="AI958" s="207"/>
      <c r="AJ958" s="207"/>
      <c r="AK958" s="207"/>
      <c r="AL958" s="207"/>
      <c r="AM958" s="207"/>
      <c r="AN958" s="207"/>
      <c r="AO958" s="207"/>
      <c r="AP958" s="207"/>
      <c r="AQ958" s="207"/>
      <c r="AR958" s="207"/>
      <c r="AS958" s="207"/>
      <c r="AT958" s="207"/>
      <c r="AU958" s="207"/>
      <c r="AV958" s="207"/>
      <c r="AW958" s="207"/>
      <c r="AX958" s="207"/>
      <c r="AY958" s="207"/>
      <c r="AZ958" s="207"/>
      <c r="BA958" s="207"/>
    </row>
    <row r="959" ht="18.75" hidden="1" customHeight="1">
      <c r="A959" s="207"/>
      <c r="B959" s="207"/>
      <c r="C959" s="207"/>
      <c r="D959" s="207"/>
      <c r="E959" s="207"/>
      <c r="F959" s="207"/>
      <c r="G959" s="207"/>
      <c r="H959" s="207"/>
      <c r="I959" s="207"/>
      <c r="J959" s="207"/>
      <c r="K959" s="207"/>
      <c r="L959" s="207"/>
      <c r="M959" s="207"/>
      <c r="N959" s="207"/>
      <c r="O959" s="207"/>
      <c r="P959" s="207"/>
      <c r="Q959" s="207"/>
      <c r="R959" s="207"/>
      <c r="S959" s="207"/>
      <c r="T959" s="207"/>
      <c r="U959" s="207"/>
      <c r="V959" s="207"/>
      <c r="W959" s="207"/>
      <c r="X959" s="207"/>
      <c r="Y959" s="207"/>
      <c r="Z959" s="207"/>
      <c r="AA959" s="207"/>
      <c r="AB959" s="207"/>
      <c r="AC959" s="207"/>
      <c r="AD959" s="207"/>
      <c r="AE959" s="207"/>
      <c r="AF959" s="207"/>
      <c r="AG959" s="207"/>
      <c r="AH959" s="207"/>
      <c r="AI959" s="207"/>
      <c r="AJ959" s="207"/>
      <c r="AK959" s="207"/>
      <c r="AL959" s="207"/>
      <c r="AM959" s="207"/>
      <c r="AN959" s="207"/>
      <c r="AO959" s="207"/>
      <c r="AP959" s="207"/>
      <c r="AQ959" s="207"/>
      <c r="AR959" s="207"/>
      <c r="AS959" s="207"/>
      <c r="AT959" s="207"/>
      <c r="AU959" s="207"/>
      <c r="AV959" s="207"/>
      <c r="AW959" s="207"/>
      <c r="AX959" s="207"/>
      <c r="AY959" s="207"/>
      <c r="AZ959" s="207"/>
      <c r="BA959" s="207"/>
    </row>
    <row r="960" ht="18.75" hidden="1" customHeight="1">
      <c r="A960" s="207"/>
      <c r="B960" s="207"/>
      <c r="C960" s="207"/>
      <c r="D960" s="207"/>
      <c r="E960" s="207"/>
      <c r="F960" s="207"/>
      <c r="G960" s="207"/>
      <c r="H960" s="207"/>
      <c r="I960" s="207"/>
      <c r="J960" s="207"/>
      <c r="K960" s="207"/>
      <c r="L960" s="207"/>
      <c r="M960" s="207"/>
      <c r="N960" s="207"/>
      <c r="O960" s="207"/>
      <c r="P960" s="207"/>
      <c r="Q960" s="207"/>
      <c r="R960" s="207"/>
      <c r="S960" s="207"/>
      <c r="T960" s="207"/>
      <c r="U960" s="207"/>
      <c r="V960" s="207"/>
      <c r="W960" s="207"/>
      <c r="X960" s="207"/>
      <c r="Y960" s="207"/>
      <c r="Z960" s="207"/>
      <c r="AA960" s="207"/>
      <c r="AB960" s="207"/>
      <c r="AC960" s="207"/>
      <c r="AD960" s="207"/>
      <c r="AE960" s="207"/>
      <c r="AF960" s="207"/>
      <c r="AG960" s="207"/>
      <c r="AH960" s="207"/>
      <c r="AI960" s="207"/>
      <c r="AJ960" s="207"/>
      <c r="AK960" s="207"/>
      <c r="AL960" s="207"/>
      <c r="AM960" s="207"/>
      <c r="AN960" s="207"/>
      <c r="AO960" s="207"/>
      <c r="AP960" s="207"/>
      <c r="AQ960" s="207"/>
      <c r="AR960" s="207"/>
      <c r="AS960" s="207"/>
      <c r="AT960" s="207"/>
      <c r="AU960" s="207"/>
      <c r="AV960" s="207"/>
      <c r="AW960" s="207"/>
      <c r="AX960" s="207"/>
      <c r="AY960" s="207"/>
      <c r="AZ960" s="207"/>
      <c r="BA960" s="207"/>
    </row>
    <row r="961" ht="18.75" hidden="1" customHeight="1">
      <c r="A961" s="207"/>
      <c r="B961" s="207"/>
      <c r="C961" s="207"/>
      <c r="D961" s="207"/>
      <c r="E961" s="207"/>
      <c r="F961" s="207"/>
      <c r="G961" s="207"/>
      <c r="H961" s="207"/>
      <c r="I961" s="207"/>
      <c r="J961" s="207"/>
      <c r="K961" s="207"/>
      <c r="L961" s="207"/>
      <c r="M961" s="207"/>
      <c r="N961" s="207"/>
      <c r="O961" s="207"/>
      <c r="P961" s="207"/>
      <c r="Q961" s="207"/>
      <c r="R961" s="207"/>
      <c r="S961" s="207"/>
      <c r="T961" s="207"/>
      <c r="U961" s="207"/>
      <c r="V961" s="207"/>
      <c r="W961" s="207"/>
      <c r="X961" s="207"/>
      <c r="Y961" s="207"/>
      <c r="Z961" s="207"/>
      <c r="AA961" s="207"/>
      <c r="AB961" s="207"/>
      <c r="AC961" s="207"/>
      <c r="AD961" s="207"/>
      <c r="AE961" s="207"/>
      <c r="AF961" s="207"/>
      <c r="AG961" s="207"/>
      <c r="AH961" s="207"/>
      <c r="AI961" s="207"/>
      <c r="AJ961" s="207"/>
      <c r="AK961" s="207"/>
      <c r="AL961" s="207"/>
      <c r="AM961" s="207"/>
      <c r="AN961" s="207"/>
      <c r="AO961" s="207"/>
      <c r="AP961" s="207"/>
      <c r="AQ961" s="207"/>
      <c r="AR961" s="207"/>
      <c r="AS961" s="207"/>
      <c r="AT961" s="207"/>
      <c r="AU961" s="207"/>
      <c r="AV961" s="207"/>
      <c r="AW961" s="207"/>
      <c r="AX961" s="207"/>
      <c r="AY961" s="207"/>
      <c r="AZ961" s="207"/>
      <c r="BA961" s="207"/>
    </row>
    <row r="962" ht="18.75" hidden="1" customHeight="1">
      <c r="A962" s="207"/>
      <c r="B962" s="207"/>
      <c r="C962" s="207"/>
      <c r="D962" s="207"/>
      <c r="E962" s="207"/>
      <c r="F962" s="207"/>
      <c r="G962" s="207"/>
      <c r="H962" s="207"/>
      <c r="I962" s="207"/>
      <c r="J962" s="207"/>
      <c r="K962" s="207"/>
      <c r="L962" s="207"/>
      <c r="M962" s="207"/>
      <c r="N962" s="207"/>
      <c r="O962" s="207"/>
      <c r="P962" s="207"/>
      <c r="Q962" s="207"/>
      <c r="R962" s="207"/>
      <c r="S962" s="207"/>
      <c r="T962" s="207"/>
      <c r="U962" s="207"/>
      <c r="V962" s="207"/>
      <c r="W962" s="207"/>
      <c r="X962" s="207"/>
      <c r="Y962" s="207"/>
      <c r="Z962" s="207"/>
      <c r="AA962" s="207"/>
      <c r="AB962" s="207"/>
      <c r="AC962" s="207"/>
      <c r="AD962" s="207"/>
      <c r="AE962" s="207"/>
      <c r="AF962" s="207"/>
      <c r="AG962" s="207"/>
      <c r="AH962" s="207"/>
      <c r="AI962" s="207"/>
      <c r="AJ962" s="207"/>
      <c r="AK962" s="207"/>
      <c r="AL962" s="207"/>
      <c r="AM962" s="207"/>
      <c r="AN962" s="207"/>
      <c r="AO962" s="207"/>
      <c r="AP962" s="207"/>
      <c r="AQ962" s="207"/>
      <c r="AR962" s="207"/>
      <c r="AS962" s="207"/>
      <c r="AT962" s="207"/>
      <c r="AU962" s="207"/>
      <c r="AV962" s="207"/>
      <c r="AW962" s="207"/>
      <c r="AX962" s="207"/>
      <c r="AY962" s="207"/>
      <c r="AZ962" s="207"/>
      <c r="BA962" s="207"/>
    </row>
    <row r="963" ht="18.75" hidden="1" customHeight="1">
      <c r="A963" s="207"/>
      <c r="B963" s="207"/>
      <c r="C963" s="207"/>
      <c r="D963" s="207"/>
      <c r="E963" s="207"/>
      <c r="F963" s="207"/>
      <c r="G963" s="207"/>
      <c r="H963" s="207"/>
      <c r="I963" s="207"/>
      <c r="J963" s="207"/>
      <c r="K963" s="207"/>
      <c r="L963" s="207"/>
      <c r="M963" s="207"/>
      <c r="N963" s="207"/>
      <c r="O963" s="207"/>
      <c r="P963" s="207"/>
      <c r="Q963" s="207"/>
      <c r="R963" s="207"/>
      <c r="S963" s="207"/>
      <c r="T963" s="207"/>
      <c r="U963" s="207"/>
      <c r="V963" s="207"/>
      <c r="W963" s="207"/>
      <c r="X963" s="207"/>
      <c r="Y963" s="207"/>
      <c r="Z963" s="207"/>
      <c r="AA963" s="207"/>
      <c r="AB963" s="207"/>
      <c r="AC963" s="207"/>
      <c r="AD963" s="207"/>
      <c r="AE963" s="207"/>
      <c r="AF963" s="207"/>
      <c r="AG963" s="207"/>
      <c r="AH963" s="207"/>
      <c r="AI963" s="207"/>
      <c r="AJ963" s="207"/>
      <c r="AK963" s="207"/>
      <c r="AL963" s="207"/>
      <c r="AM963" s="207"/>
      <c r="AN963" s="207"/>
      <c r="AO963" s="207"/>
      <c r="AP963" s="207"/>
      <c r="AQ963" s="207"/>
      <c r="AR963" s="207"/>
      <c r="AS963" s="207"/>
      <c r="AT963" s="207"/>
      <c r="AU963" s="207"/>
      <c r="AV963" s="207"/>
      <c r="AW963" s="207"/>
      <c r="AX963" s="207"/>
      <c r="AY963" s="207"/>
      <c r="AZ963" s="207"/>
      <c r="BA963" s="207"/>
    </row>
    <row r="964" ht="18.75" hidden="1" customHeight="1">
      <c r="A964" s="207"/>
      <c r="B964" s="207"/>
      <c r="C964" s="207"/>
      <c r="D964" s="207"/>
      <c r="E964" s="207"/>
      <c r="F964" s="207"/>
      <c r="G964" s="207"/>
      <c r="H964" s="207"/>
      <c r="I964" s="207"/>
      <c r="J964" s="207"/>
      <c r="K964" s="207"/>
      <c r="L964" s="207"/>
      <c r="M964" s="207"/>
      <c r="N964" s="207"/>
      <c r="O964" s="207"/>
      <c r="P964" s="207"/>
      <c r="Q964" s="207"/>
      <c r="R964" s="207"/>
      <c r="S964" s="207"/>
      <c r="T964" s="207"/>
      <c r="U964" s="207"/>
      <c r="V964" s="207"/>
      <c r="W964" s="207"/>
      <c r="X964" s="207"/>
      <c r="Y964" s="207"/>
      <c r="Z964" s="207"/>
      <c r="AA964" s="207"/>
      <c r="AB964" s="207"/>
      <c r="AC964" s="207"/>
      <c r="AD964" s="207"/>
      <c r="AE964" s="207"/>
      <c r="AF964" s="207"/>
      <c r="AG964" s="207"/>
      <c r="AH964" s="207"/>
      <c r="AI964" s="207"/>
      <c r="AJ964" s="207"/>
      <c r="AK964" s="207"/>
      <c r="AL964" s="207"/>
      <c r="AM964" s="207"/>
      <c r="AN964" s="207"/>
      <c r="AO964" s="207"/>
      <c r="AP964" s="207"/>
      <c r="AQ964" s="207"/>
      <c r="AR964" s="207"/>
      <c r="AS964" s="207"/>
      <c r="AT964" s="207"/>
      <c r="AU964" s="207"/>
      <c r="AV964" s="207"/>
      <c r="AW964" s="207"/>
      <c r="AX964" s="207"/>
      <c r="AY964" s="207"/>
      <c r="AZ964" s="207"/>
      <c r="BA964" s="207"/>
    </row>
    <row r="965" ht="18.75" hidden="1" customHeight="1">
      <c r="A965" s="207"/>
      <c r="B965" s="207"/>
      <c r="C965" s="207"/>
      <c r="D965" s="207"/>
      <c r="E965" s="207"/>
      <c r="F965" s="207"/>
      <c r="G965" s="207"/>
      <c r="H965" s="207"/>
      <c r="I965" s="207"/>
      <c r="J965" s="207"/>
      <c r="K965" s="207"/>
      <c r="L965" s="207"/>
      <c r="M965" s="207"/>
      <c r="N965" s="207"/>
      <c r="O965" s="207"/>
      <c r="P965" s="207"/>
      <c r="Q965" s="207"/>
      <c r="R965" s="207"/>
      <c r="S965" s="207"/>
      <c r="T965" s="207"/>
      <c r="U965" s="207"/>
      <c r="V965" s="207"/>
      <c r="W965" s="207"/>
      <c r="X965" s="207"/>
      <c r="Y965" s="207"/>
      <c r="Z965" s="207"/>
      <c r="AA965" s="207"/>
      <c r="AB965" s="207"/>
      <c r="AC965" s="207"/>
      <c r="AD965" s="207"/>
      <c r="AE965" s="207"/>
      <c r="AF965" s="207"/>
      <c r="AG965" s="207"/>
      <c r="AH965" s="207"/>
      <c r="AI965" s="207"/>
      <c r="AJ965" s="207"/>
      <c r="AK965" s="207"/>
      <c r="AL965" s="207"/>
      <c r="AM965" s="207"/>
      <c r="AN965" s="207"/>
      <c r="AO965" s="207"/>
      <c r="AP965" s="207"/>
      <c r="AQ965" s="207"/>
      <c r="AR965" s="207"/>
      <c r="AS965" s="207"/>
      <c r="AT965" s="207"/>
      <c r="AU965" s="207"/>
      <c r="AV965" s="207"/>
      <c r="AW965" s="207"/>
      <c r="AX965" s="207"/>
      <c r="AY965" s="207"/>
      <c r="AZ965" s="207"/>
      <c r="BA965" s="207"/>
    </row>
    <row r="966" ht="18.75" hidden="1" customHeight="1">
      <c r="A966" s="207"/>
      <c r="B966" s="207"/>
      <c r="C966" s="207"/>
      <c r="D966" s="207"/>
      <c r="E966" s="207"/>
      <c r="F966" s="207"/>
      <c r="G966" s="207"/>
      <c r="H966" s="207"/>
      <c r="I966" s="207"/>
      <c r="J966" s="207"/>
      <c r="K966" s="207"/>
      <c r="L966" s="207"/>
      <c r="M966" s="207"/>
      <c r="N966" s="207"/>
      <c r="O966" s="207"/>
      <c r="P966" s="207"/>
      <c r="Q966" s="207"/>
      <c r="R966" s="207"/>
      <c r="S966" s="207"/>
      <c r="T966" s="207"/>
      <c r="U966" s="207"/>
      <c r="V966" s="207"/>
      <c r="W966" s="207"/>
      <c r="X966" s="207"/>
      <c r="Y966" s="207"/>
      <c r="Z966" s="207"/>
      <c r="AA966" s="207"/>
      <c r="AB966" s="207"/>
      <c r="AC966" s="207"/>
      <c r="AD966" s="207"/>
      <c r="AE966" s="207"/>
      <c r="AF966" s="207"/>
      <c r="AG966" s="207"/>
      <c r="AH966" s="207"/>
      <c r="AI966" s="207"/>
      <c r="AJ966" s="207"/>
      <c r="AK966" s="207"/>
      <c r="AL966" s="207"/>
      <c r="AM966" s="207"/>
      <c r="AN966" s="207"/>
      <c r="AO966" s="207"/>
      <c r="AP966" s="207"/>
      <c r="AQ966" s="207"/>
      <c r="AR966" s="207"/>
      <c r="AS966" s="207"/>
      <c r="AT966" s="207"/>
      <c r="AU966" s="207"/>
      <c r="AV966" s="207"/>
      <c r="AW966" s="207"/>
      <c r="AX966" s="207"/>
      <c r="AY966" s="207"/>
      <c r="AZ966" s="207"/>
      <c r="BA966" s="207"/>
    </row>
    <row r="967" ht="18.75" hidden="1" customHeight="1">
      <c r="A967" s="207"/>
      <c r="B967" s="207"/>
      <c r="C967" s="207"/>
      <c r="D967" s="207"/>
      <c r="E967" s="207"/>
      <c r="F967" s="207"/>
      <c r="G967" s="207"/>
      <c r="H967" s="207"/>
      <c r="I967" s="207"/>
      <c r="J967" s="207"/>
      <c r="K967" s="207"/>
      <c r="L967" s="207"/>
      <c r="M967" s="207"/>
      <c r="N967" s="207"/>
      <c r="O967" s="207"/>
      <c r="P967" s="207"/>
      <c r="Q967" s="207"/>
      <c r="R967" s="207"/>
      <c r="S967" s="207"/>
      <c r="T967" s="207"/>
      <c r="U967" s="207"/>
      <c r="V967" s="207"/>
      <c r="W967" s="207"/>
      <c r="X967" s="207"/>
      <c r="Y967" s="207"/>
      <c r="Z967" s="207"/>
      <c r="AA967" s="207"/>
      <c r="AB967" s="207"/>
      <c r="AC967" s="207"/>
      <c r="AD967" s="207"/>
      <c r="AE967" s="207"/>
      <c r="AF967" s="207"/>
      <c r="AG967" s="207"/>
      <c r="AH967" s="207"/>
      <c r="AI967" s="207"/>
      <c r="AJ967" s="207"/>
      <c r="AK967" s="207"/>
      <c r="AL967" s="207"/>
      <c r="AM967" s="207"/>
      <c r="AN967" s="207"/>
      <c r="AO967" s="207"/>
      <c r="AP967" s="207"/>
      <c r="AQ967" s="207"/>
      <c r="AR967" s="207"/>
      <c r="AS967" s="207"/>
      <c r="AT967" s="207"/>
      <c r="AU967" s="207"/>
      <c r="AV967" s="207"/>
      <c r="AW967" s="207"/>
      <c r="AX967" s="207"/>
      <c r="AY967" s="207"/>
      <c r="AZ967" s="207"/>
      <c r="BA967" s="207"/>
    </row>
    <row r="968" ht="18.75" hidden="1" customHeight="1">
      <c r="A968" s="207"/>
      <c r="B968" s="207"/>
      <c r="C968" s="207"/>
      <c r="D968" s="207"/>
      <c r="E968" s="207"/>
      <c r="F968" s="207"/>
      <c r="G968" s="207"/>
      <c r="H968" s="207"/>
      <c r="I968" s="207"/>
      <c r="J968" s="207"/>
      <c r="K968" s="207"/>
      <c r="L968" s="207"/>
      <c r="M968" s="207"/>
      <c r="N968" s="207"/>
      <c r="O968" s="207"/>
      <c r="P968" s="207"/>
      <c r="Q968" s="207"/>
      <c r="R968" s="207"/>
      <c r="S968" s="207"/>
      <c r="T968" s="207"/>
      <c r="U968" s="207"/>
      <c r="V968" s="207"/>
      <c r="W968" s="207"/>
      <c r="X968" s="207"/>
      <c r="Y968" s="207"/>
      <c r="Z968" s="207"/>
      <c r="AA968" s="207"/>
      <c r="AB968" s="207"/>
      <c r="AC968" s="207"/>
      <c r="AD968" s="207"/>
      <c r="AE968" s="207"/>
      <c r="AF968" s="207"/>
      <c r="AG968" s="207"/>
      <c r="AH968" s="207"/>
      <c r="AI968" s="207"/>
      <c r="AJ968" s="207"/>
      <c r="AK968" s="207"/>
      <c r="AL968" s="207"/>
      <c r="AM968" s="207"/>
      <c r="AN968" s="207"/>
      <c r="AO968" s="207"/>
      <c r="AP968" s="207"/>
      <c r="AQ968" s="207"/>
      <c r="AR968" s="207"/>
      <c r="AS968" s="207"/>
      <c r="AT968" s="207"/>
      <c r="AU968" s="207"/>
      <c r="AV968" s="207"/>
      <c r="AW968" s="207"/>
      <c r="AX968" s="207"/>
      <c r="AY968" s="207"/>
      <c r="AZ968" s="207"/>
      <c r="BA968" s="207"/>
    </row>
    <row r="969" ht="18.75" hidden="1" customHeight="1">
      <c r="A969" s="207"/>
      <c r="B969" s="207"/>
      <c r="C969" s="207"/>
      <c r="D969" s="207"/>
      <c r="E969" s="207"/>
      <c r="F969" s="207"/>
      <c r="G969" s="207"/>
      <c r="H969" s="207"/>
      <c r="I969" s="207"/>
      <c r="J969" s="207"/>
      <c r="K969" s="207"/>
      <c r="L969" s="207"/>
      <c r="M969" s="207"/>
      <c r="N969" s="207"/>
      <c r="O969" s="207"/>
      <c r="P969" s="207"/>
      <c r="Q969" s="207"/>
      <c r="R969" s="207"/>
      <c r="S969" s="207"/>
      <c r="T969" s="207"/>
      <c r="U969" s="207"/>
      <c r="V969" s="207"/>
      <c r="W969" s="207"/>
      <c r="X969" s="207"/>
      <c r="Y969" s="207"/>
      <c r="Z969" s="207"/>
      <c r="AA969" s="207"/>
      <c r="AB969" s="207"/>
      <c r="AC969" s="207"/>
      <c r="AD969" s="207"/>
      <c r="AE969" s="207"/>
      <c r="AF969" s="207"/>
      <c r="AG969" s="207"/>
      <c r="AH969" s="207"/>
      <c r="AI969" s="207"/>
      <c r="AJ969" s="207"/>
      <c r="AK969" s="207"/>
      <c r="AL969" s="207"/>
      <c r="AM969" s="207"/>
      <c r="AN969" s="207"/>
      <c r="AO969" s="207"/>
      <c r="AP969" s="207"/>
      <c r="AQ969" s="207"/>
      <c r="AR969" s="207"/>
      <c r="AS969" s="207"/>
      <c r="AT969" s="207"/>
      <c r="AU969" s="207"/>
      <c r="AV969" s="207"/>
      <c r="AW969" s="207"/>
      <c r="AX969" s="207"/>
      <c r="AY969" s="207"/>
      <c r="AZ969" s="207"/>
      <c r="BA969" s="207"/>
    </row>
    <row r="970" ht="18.75" hidden="1" customHeight="1">
      <c r="A970" s="207"/>
      <c r="B970" s="207"/>
      <c r="C970" s="207"/>
      <c r="D970" s="207"/>
      <c r="E970" s="207"/>
      <c r="F970" s="207"/>
      <c r="G970" s="207"/>
      <c r="H970" s="207"/>
      <c r="I970" s="207"/>
      <c r="J970" s="207"/>
      <c r="K970" s="207"/>
      <c r="L970" s="207"/>
      <c r="M970" s="207"/>
      <c r="N970" s="207"/>
      <c r="O970" s="207"/>
      <c r="P970" s="207"/>
      <c r="Q970" s="207"/>
      <c r="R970" s="207"/>
      <c r="S970" s="207"/>
      <c r="T970" s="207"/>
      <c r="U970" s="207"/>
      <c r="V970" s="207"/>
      <c r="W970" s="207"/>
      <c r="X970" s="207"/>
      <c r="Y970" s="207"/>
      <c r="Z970" s="207"/>
      <c r="AA970" s="207"/>
      <c r="AB970" s="207"/>
      <c r="AC970" s="207"/>
      <c r="AD970" s="207"/>
      <c r="AE970" s="207"/>
      <c r="AF970" s="207"/>
      <c r="AG970" s="207"/>
      <c r="AH970" s="207"/>
      <c r="AI970" s="207"/>
      <c r="AJ970" s="207"/>
      <c r="AK970" s="207"/>
      <c r="AL970" s="207"/>
      <c r="AM970" s="207"/>
      <c r="AN970" s="207"/>
      <c r="AO970" s="207"/>
      <c r="AP970" s="207"/>
      <c r="AQ970" s="207"/>
      <c r="AR970" s="207"/>
      <c r="AS970" s="207"/>
      <c r="AT970" s="207"/>
      <c r="AU970" s="207"/>
      <c r="AV970" s="207"/>
      <c r="AW970" s="207"/>
      <c r="AX970" s="207"/>
      <c r="AY970" s="207"/>
      <c r="AZ970" s="207"/>
      <c r="BA970" s="207"/>
    </row>
    <row r="971" ht="18.75" hidden="1" customHeight="1">
      <c r="A971" s="207"/>
      <c r="B971" s="207"/>
      <c r="C971" s="207"/>
      <c r="D971" s="207"/>
      <c r="E971" s="207"/>
      <c r="F971" s="207"/>
      <c r="G971" s="207"/>
      <c r="H971" s="207"/>
      <c r="I971" s="207"/>
      <c r="J971" s="207"/>
      <c r="K971" s="207"/>
      <c r="L971" s="207"/>
      <c r="M971" s="207"/>
      <c r="N971" s="207"/>
      <c r="O971" s="207"/>
      <c r="P971" s="207"/>
      <c r="Q971" s="207"/>
      <c r="R971" s="207"/>
      <c r="S971" s="207"/>
      <c r="T971" s="207"/>
      <c r="U971" s="207"/>
      <c r="V971" s="207"/>
      <c r="W971" s="207"/>
      <c r="X971" s="207"/>
      <c r="Y971" s="207"/>
      <c r="Z971" s="207"/>
      <c r="AA971" s="207"/>
      <c r="AB971" s="207"/>
      <c r="AC971" s="207"/>
      <c r="AD971" s="207"/>
      <c r="AE971" s="207"/>
      <c r="AF971" s="207"/>
      <c r="AG971" s="207"/>
      <c r="AH971" s="207"/>
      <c r="AI971" s="207"/>
      <c r="AJ971" s="207"/>
      <c r="AK971" s="207"/>
      <c r="AL971" s="207"/>
      <c r="AM971" s="207"/>
      <c r="AN971" s="207"/>
      <c r="AO971" s="207"/>
      <c r="AP971" s="207"/>
      <c r="AQ971" s="207"/>
      <c r="AR971" s="207"/>
      <c r="AS971" s="207"/>
      <c r="AT971" s="207"/>
      <c r="AU971" s="207"/>
      <c r="AV971" s="207"/>
      <c r="AW971" s="207"/>
      <c r="AX971" s="207"/>
      <c r="AY971" s="207"/>
      <c r="AZ971" s="207"/>
      <c r="BA971" s="207"/>
    </row>
    <row r="972" ht="18.75" hidden="1" customHeight="1">
      <c r="A972" s="207"/>
      <c r="B972" s="207"/>
      <c r="C972" s="207"/>
      <c r="D972" s="207"/>
      <c r="E972" s="207"/>
      <c r="F972" s="207"/>
      <c r="G972" s="207"/>
      <c r="H972" s="207"/>
      <c r="I972" s="207"/>
      <c r="J972" s="207"/>
      <c r="K972" s="207"/>
      <c r="L972" s="207"/>
      <c r="M972" s="207"/>
      <c r="N972" s="207"/>
      <c r="O972" s="207"/>
      <c r="P972" s="207"/>
      <c r="Q972" s="207"/>
      <c r="R972" s="207"/>
      <c r="S972" s="207"/>
      <c r="T972" s="207"/>
      <c r="U972" s="207"/>
      <c r="V972" s="207"/>
      <c r="W972" s="207"/>
      <c r="X972" s="207"/>
      <c r="Y972" s="207"/>
      <c r="Z972" s="207"/>
      <c r="AA972" s="207"/>
      <c r="AB972" s="207"/>
      <c r="AC972" s="207"/>
      <c r="AD972" s="207"/>
      <c r="AE972" s="207"/>
      <c r="AF972" s="207"/>
      <c r="AG972" s="207"/>
      <c r="AH972" s="207"/>
      <c r="AI972" s="207"/>
      <c r="AJ972" s="207"/>
      <c r="AK972" s="207"/>
      <c r="AL972" s="207"/>
      <c r="AM972" s="207"/>
      <c r="AN972" s="207"/>
      <c r="AO972" s="207"/>
      <c r="AP972" s="207"/>
      <c r="AQ972" s="207"/>
      <c r="AR972" s="207"/>
      <c r="AS972" s="207"/>
      <c r="AT972" s="207"/>
      <c r="AU972" s="207"/>
      <c r="AV972" s="207"/>
      <c r="AW972" s="207"/>
      <c r="AX972" s="207"/>
      <c r="AY972" s="207"/>
      <c r="AZ972" s="207"/>
      <c r="BA972" s="207"/>
    </row>
    <row r="973" ht="18.75" hidden="1" customHeight="1">
      <c r="A973" s="207"/>
      <c r="B973" s="207"/>
      <c r="C973" s="207"/>
      <c r="D973" s="207"/>
      <c r="E973" s="207"/>
      <c r="F973" s="207"/>
      <c r="G973" s="207"/>
      <c r="H973" s="207"/>
      <c r="I973" s="207"/>
      <c r="J973" s="207"/>
      <c r="K973" s="207"/>
      <c r="L973" s="207"/>
      <c r="M973" s="207"/>
      <c r="N973" s="207"/>
      <c r="O973" s="207"/>
      <c r="P973" s="207"/>
      <c r="Q973" s="207"/>
      <c r="R973" s="207"/>
      <c r="S973" s="207"/>
      <c r="T973" s="207"/>
      <c r="U973" s="207"/>
      <c r="V973" s="207"/>
      <c r="W973" s="207"/>
      <c r="X973" s="207"/>
      <c r="Y973" s="207"/>
      <c r="Z973" s="207"/>
      <c r="AA973" s="207"/>
      <c r="AB973" s="207"/>
      <c r="AC973" s="207"/>
      <c r="AD973" s="207"/>
      <c r="AE973" s="207"/>
      <c r="AF973" s="207"/>
      <c r="AG973" s="207"/>
      <c r="AH973" s="207"/>
      <c r="AI973" s="207"/>
      <c r="AJ973" s="207"/>
      <c r="AK973" s="207"/>
      <c r="AL973" s="207"/>
      <c r="AM973" s="207"/>
      <c r="AN973" s="207"/>
      <c r="AO973" s="207"/>
      <c r="AP973" s="207"/>
      <c r="AQ973" s="207"/>
      <c r="AR973" s="207"/>
      <c r="AS973" s="207"/>
      <c r="AT973" s="207"/>
      <c r="AU973" s="207"/>
      <c r="AV973" s="207"/>
      <c r="AW973" s="207"/>
      <c r="AX973" s="207"/>
      <c r="AY973" s="207"/>
      <c r="AZ973" s="207"/>
      <c r="BA973" s="207"/>
    </row>
    <row r="974" ht="18.75" hidden="1" customHeight="1">
      <c r="A974" s="207"/>
      <c r="B974" s="207"/>
      <c r="C974" s="207"/>
      <c r="D974" s="207"/>
      <c r="E974" s="207"/>
      <c r="F974" s="207"/>
      <c r="G974" s="207"/>
      <c r="H974" s="207"/>
      <c r="I974" s="207"/>
      <c r="J974" s="207"/>
      <c r="K974" s="207"/>
      <c r="L974" s="207"/>
      <c r="M974" s="207"/>
      <c r="N974" s="207"/>
      <c r="O974" s="207"/>
      <c r="P974" s="207"/>
      <c r="Q974" s="207"/>
      <c r="R974" s="207"/>
      <c r="S974" s="207"/>
      <c r="T974" s="207"/>
      <c r="U974" s="207"/>
      <c r="V974" s="207"/>
      <c r="W974" s="207"/>
      <c r="X974" s="207"/>
      <c r="Y974" s="207"/>
      <c r="Z974" s="207"/>
      <c r="AA974" s="207"/>
      <c r="AB974" s="207"/>
      <c r="AC974" s="207"/>
      <c r="AD974" s="207"/>
      <c r="AE974" s="207"/>
      <c r="AF974" s="207"/>
      <c r="AG974" s="207"/>
      <c r="AH974" s="207"/>
      <c r="AI974" s="207"/>
      <c r="AJ974" s="207"/>
      <c r="AK974" s="207"/>
      <c r="AL974" s="207"/>
      <c r="AM974" s="207"/>
      <c r="AN974" s="207"/>
      <c r="AO974" s="207"/>
      <c r="AP974" s="207"/>
      <c r="AQ974" s="207"/>
      <c r="AR974" s="207"/>
      <c r="AS974" s="207"/>
      <c r="AT974" s="207"/>
      <c r="AU974" s="207"/>
      <c r="AV974" s="207"/>
      <c r="AW974" s="207"/>
      <c r="AX974" s="207"/>
      <c r="AY974" s="207"/>
      <c r="AZ974" s="207"/>
      <c r="BA974" s="207"/>
    </row>
    <row r="975" ht="18.75" hidden="1" customHeight="1">
      <c r="A975" s="207"/>
      <c r="B975" s="207"/>
      <c r="C975" s="207"/>
      <c r="D975" s="207"/>
      <c r="E975" s="207"/>
      <c r="F975" s="207"/>
      <c r="G975" s="207"/>
      <c r="H975" s="207"/>
      <c r="I975" s="207"/>
      <c r="J975" s="207"/>
      <c r="K975" s="207"/>
      <c r="L975" s="207"/>
      <c r="M975" s="207"/>
      <c r="N975" s="207"/>
      <c r="O975" s="207"/>
      <c r="P975" s="207"/>
      <c r="Q975" s="207"/>
      <c r="R975" s="207"/>
      <c r="S975" s="207"/>
      <c r="T975" s="207"/>
      <c r="U975" s="207"/>
      <c r="V975" s="207"/>
      <c r="W975" s="207"/>
      <c r="X975" s="207"/>
      <c r="Y975" s="207"/>
      <c r="Z975" s="207"/>
      <c r="AA975" s="207"/>
      <c r="AB975" s="207"/>
      <c r="AC975" s="207"/>
      <c r="AD975" s="207"/>
      <c r="AE975" s="207"/>
      <c r="AF975" s="207"/>
      <c r="AG975" s="207"/>
      <c r="AH975" s="207"/>
      <c r="AI975" s="207"/>
      <c r="AJ975" s="207"/>
      <c r="AK975" s="207"/>
      <c r="AL975" s="207"/>
      <c r="AM975" s="207"/>
      <c r="AN975" s="207"/>
      <c r="AO975" s="207"/>
      <c r="AP975" s="207"/>
      <c r="AQ975" s="207"/>
      <c r="AR975" s="207"/>
      <c r="AS975" s="207"/>
      <c r="AT975" s="207"/>
      <c r="AU975" s="207"/>
      <c r="AV975" s="207"/>
      <c r="AW975" s="207"/>
      <c r="AX975" s="207"/>
      <c r="AY975" s="207"/>
      <c r="AZ975" s="207"/>
      <c r="BA975" s="207"/>
    </row>
    <row r="976" ht="18.75" hidden="1" customHeight="1">
      <c r="A976" s="207"/>
      <c r="B976" s="207"/>
      <c r="C976" s="207"/>
      <c r="D976" s="207"/>
      <c r="E976" s="207"/>
      <c r="F976" s="207"/>
      <c r="G976" s="207"/>
      <c r="H976" s="207"/>
      <c r="I976" s="207"/>
      <c r="J976" s="207"/>
      <c r="K976" s="207"/>
      <c r="L976" s="207"/>
      <c r="M976" s="207"/>
      <c r="N976" s="207"/>
      <c r="O976" s="207"/>
      <c r="P976" s="207"/>
      <c r="Q976" s="207"/>
      <c r="R976" s="207"/>
      <c r="S976" s="207"/>
      <c r="T976" s="207"/>
      <c r="U976" s="207"/>
      <c r="V976" s="207"/>
      <c r="W976" s="207"/>
      <c r="X976" s="207"/>
      <c r="Y976" s="207"/>
      <c r="Z976" s="207"/>
      <c r="AA976" s="207"/>
      <c r="AB976" s="207"/>
      <c r="AC976" s="207"/>
      <c r="AD976" s="207"/>
      <c r="AE976" s="207"/>
      <c r="AF976" s="207"/>
      <c r="AG976" s="207"/>
      <c r="AH976" s="207"/>
      <c r="AI976" s="207"/>
      <c r="AJ976" s="207"/>
      <c r="AK976" s="207"/>
      <c r="AL976" s="207"/>
      <c r="AM976" s="207"/>
      <c r="AN976" s="207"/>
      <c r="AO976" s="207"/>
      <c r="AP976" s="207"/>
      <c r="AQ976" s="207"/>
      <c r="AR976" s="207"/>
      <c r="AS976" s="207"/>
      <c r="AT976" s="207"/>
      <c r="AU976" s="207"/>
      <c r="AV976" s="207"/>
      <c r="AW976" s="207"/>
      <c r="AX976" s="207"/>
      <c r="AY976" s="207"/>
      <c r="AZ976" s="207"/>
      <c r="BA976" s="207"/>
    </row>
    <row r="977" ht="18.75" hidden="1" customHeight="1">
      <c r="A977" s="207"/>
      <c r="B977" s="207"/>
      <c r="C977" s="207"/>
      <c r="D977" s="207"/>
      <c r="E977" s="207"/>
      <c r="F977" s="207"/>
      <c r="G977" s="207"/>
      <c r="H977" s="207"/>
      <c r="I977" s="207"/>
      <c r="J977" s="207"/>
      <c r="K977" s="207"/>
      <c r="L977" s="207"/>
      <c r="M977" s="207"/>
      <c r="N977" s="207"/>
      <c r="O977" s="207"/>
      <c r="P977" s="207"/>
      <c r="Q977" s="207"/>
      <c r="R977" s="207"/>
      <c r="S977" s="207"/>
      <c r="T977" s="207"/>
      <c r="U977" s="207"/>
      <c r="V977" s="207"/>
      <c r="W977" s="207"/>
      <c r="X977" s="207"/>
      <c r="Y977" s="207"/>
      <c r="Z977" s="207"/>
      <c r="AA977" s="207"/>
      <c r="AB977" s="207"/>
      <c r="AC977" s="207"/>
      <c r="AD977" s="207"/>
      <c r="AE977" s="207"/>
      <c r="AF977" s="207"/>
      <c r="AG977" s="207"/>
      <c r="AH977" s="207"/>
      <c r="AI977" s="207"/>
      <c r="AJ977" s="207"/>
      <c r="AK977" s="207"/>
      <c r="AL977" s="207"/>
      <c r="AM977" s="207"/>
      <c r="AN977" s="207"/>
      <c r="AO977" s="207"/>
      <c r="AP977" s="207"/>
      <c r="AQ977" s="207"/>
      <c r="AR977" s="207"/>
      <c r="AS977" s="207"/>
      <c r="AT977" s="207"/>
      <c r="AU977" s="207"/>
      <c r="AV977" s="207"/>
      <c r="AW977" s="207"/>
      <c r="AX977" s="207"/>
      <c r="AY977" s="207"/>
      <c r="AZ977" s="207"/>
      <c r="BA977" s="207"/>
    </row>
    <row r="978" ht="18.75" hidden="1" customHeight="1">
      <c r="A978" s="207"/>
      <c r="B978" s="207"/>
      <c r="C978" s="207"/>
      <c r="D978" s="207"/>
      <c r="E978" s="207"/>
      <c r="F978" s="207"/>
      <c r="G978" s="207"/>
      <c r="H978" s="207"/>
      <c r="I978" s="207"/>
      <c r="J978" s="207"/>
      <c r="K978" s="207"/>
      <c r="L978" s="207"/>
      <c r="M978" s="207"/>
      <c r="N978" s="207"/>
      <c r="O978" s="207"/>
      <c r="P978" s="207"/>
      <c r="Q978" s="207"/>
      <c r="R978" s="207"/>
      <c r="S978" s="207"/>
      <c r="T978" s="207"/>
      <c r="U978" s="207"/>
      <c r="V978" s="207"/>
      <c r="W978" s="207"/>
      <c r="X978" s="207"/>
      <c r="Y978" s="207"/>
      <c r="Z978" s="207"/>
      <c r="AA978" s="207"/>
      <c r="AB978" s="207"/>
      <c r="AC978" s="207"/>
      <c r="AD978" s="207"/>
      <c r="AE978" s="207"/>
      <c r="AF978" s="207"/>
      <c r="AG978" s="207"/>
      <c r="AH978" s="207"/>
      <c r="AI978" s="207"/>
      <c r="AJ978" s="207"/>
      <c r="AK978" s="207"/>
      <c r="AL978" s="207"/>
      <c r="AM978" s="207"/>
      <c r="AN978" s="207"/>
      <c r="AO978" s="207"/>
      <c r="AP978" s="207"/>
      <c r="AQ978" s="207"/>
      <c r="AR978" s="207"/>
      <c r="AS978" s="207"/>
      <c r="AT978" s="207"/>
      <c r="AU978" s="207"/>
      <c r="AV978" s="207"/>
      <c r="AW978" s="207"/>
      <c r="AX978" s="207"/>
      <c r="AY978" s="207"/>
      <c r="AZ978" s="207"/>
      <c r="BA978" s="207"/>
    </row>
    <row r="979" ht="18.75" hidden="1" customHeight="1">
      <c r="A979" s="207"/>
      <c r="B979" s="207"/>
      <c r="C979" s="207"/>
      <c r="D979" s="207"/>
      <c r="E979" s="207"/>
      <c r="F979" s="207"/>
      <c r="G979" s="207"/>
      <c r="H979" s="207"/>
      <c r="I979" s="207"/>
      <c r="J979" s="207"/>
      <c r="K979" s="207"/>
      <c r="L979" s="207"/>
      <c r="M979" s="207"/>
      <c r="N979" s="207"/>
      <c r="O979" s="207"/>
      <c r="P979" s="207"/>
      <c r="Q979" s="207"/>
      <c r="R979" s="207"/>
      <c r="S979" s="207"/>
      <c r="T979" s="207"/>
      <c r="U979" s="207"/>
      <c r="V979" s="207"/>
      <c r="W979" s="207"/>
      <c r="X979" s="207"/>
      <c r="Y979" s="207"/>
      <c r="Z979" s="207"/>
      <c r="AA979" s="207"/>
      <c r="AB979" s="207"/>
      <c r="AC979" s="207"/>
      <c r="AD979" s="207"/>
      <c r="AE979" s="207"/>
      <c r="AF979" s="207"/>
      <c r="AG979" s="207"/>
      <c r="AH979" s="207"/>
      <c r="AI979" s="207"/>
      <c r="AJ979" s="207"/>
      <c r="AK979" s="207"/>
      <c r="AL979" s="207"/>
      <c r="AM979" s="207"/>
      <c r="AN979" s="207"/>
      <c r="AO979" s="207"/>
      <c r="AP979" s="207"/>
      <c r="AQ979" s="207"/>
      <c r="AR979" s="207"/>
      <c r="AS979" s="207"/>
      <c r="AT979" s="207"/>
      <c r="AU979" s="207"/>
      <c r="AV979" s="207"/>
      <c r="AW979" s="207"/>
      <c r="AX979" s="207"/>
      <c r="AY979" s="207"/>
      <c r="AZ979" s="207"/>
      <c r="BA979" s="207"/>
    </row>
    <row r="980" ht="18.75" hidden="1" customHeight="1">
      <c r="A980" s="207"/>
      <c r="B980" s="207"/>
      <c r="C980" s="207"/>
      <c r="D980" s="207"/>
      <c r="E980" s="207"/>
      <c r="F980" s="207"/>
      <c r="G980" s="207"/>
      <c r="H980" s="207"/>
      <c r="I980" s="207"/>
      <c r="J980" s="207"/>
      <c r="K980" s="207"/>
      <c r="L980" s="207"/>
      <c r="M980" s="207"/>
      <c r="N980" s="207"/>
      <c r="O980" s="207"/>
      <c r="P980" s="207"/>
      <c r="Q980" s="207"/>
      <c r="R980" s="207"/>
      <c r="S980" s="207"/>
      <c r="T980" s="207"/>
      <c r="U980" s="207"/>
      <c r="V980" s="207"/>
      <c r="W980" s="207"/>
      <c r="X980" s="207"/>
      <c r="Y980" s="207"/>
      <c r="Z980" s="207"/>
      <c r="AA980" s="207"/>
      <c r="AB980" s="207"/>
      <c r="AC980" s="207"/>
      <c r="AD980" s="207"/>
      <c r="AE980" s="207"/>
      <c r="AF980" s="207"/>
      <c r="AG980" s="207"/>
      <c r="AH980" s="207"/>
      <c r="AI980" s="207"/>
      <c r="AJ980" s="207"/>
      <c r="AK980" s="207"/>
      <c r="AL980" s="207"/>
      <c r="AM980" s="207"/>
      <c r="AN980" s="207"/>
      <c r="AO980" s="207"/>
      <c r="AP980" s="207"/>
      <c r="AQ980" s="207"/>
      <c r="AR980" s="207"/>
      <c r="AS980" s="207"/>
      <c r="AT980" s="207"/>
      <c r="AU980" s="207"/>
      <c r="AV980" s="207"/>
      <c r="AW980" s="207"/>
      <c r="AX980" s="207"/>
      <c r="AY980" s="207"/>
      <c r="AZ980" s="207"/>
      <c r="BA980" s="207"/>
    </row>
    <row r="981" ht="18.75" hidden="1" customHeight="1">
      <c r="A981" s="207"/>
      <c r="B981" s="207"/>
      <c r="C981" s="207"/>
      <c r="D981" s="207"/>
      <c r="E981" s="207"/>
      <c r="F981" s="207"/>
      <c r="G981" s="207"/>
      <c r="H981" s="207"/>
      <c r="I981" s="207"/>
      <c r="J981" s="207"/>
      <c r="K981" s="207"/>
      <c r="L981" s="207"/>
      <c r="M981" s="207"/>
      <c r="N981" s="207"/>
      <c r="O981" s="207"/>
      <c r="P981" s="207"/>
      <c r="Q981" s="207"/>
      <c r="R981" s="207"/>
      <c r="S981" s="207"/>
      <c r="T981" s="207"/>
      <c r="U981" s="207"/>
      <c r="V981" s="207"/>
      <c r="W981" s="207"/>
      <c r="X981" s="207"/>
      <c r="Y981" s="207"/>
      <c r="Z981" s="207"/>
      <c r="AA981" s="207"/>
      <c r="AB981" s="207"/>
      <c r="AC981" s="207"/>
      <c r="AD981" s="207"/>
      <c r="AE981" s="207"/>
      <c r="AF981" s="207"/>
      <c r="AG981" s="207"/>
      <c r="AH981" s="207"/>
      <c r="AI981" s="207"/>
      <c r="AJ981" s="207"/>
      <c r="AK981" s="207"/>
      <c r="AL981" s="207"/>
      <c r="AM981" s="207"/>
      <c r="AN981" s="207"/>
      <c r="AO981" s="207"/>
      <c r="AP981" s="207"/>
      <c r="AQ981" s="207"/>
      <c r="AR981" s="207"/>
      <c r="AS981" s="207"/>
      <c r="AT981" s="207"/>
      <c r="AU981" s="207"/>
      <c r="AV981" s="207"/>
      <c r="AW981" s="207"/>
      <c r="AX981" s="207"/>
      <c r="AY981" s="207"/>
      <c r="AZ981" s="207"/>
      <c r="BA981" s="207"/>
    </row>
    <row r="982" ht="18.75" hidden="1" customHeight="1">
      <c r="A982" s="207"/>
      <c r="B982" s="207"/>
      <c r="C982" s="207"/>
      <c r="D982" s="207"/>
      <c r="E982" s="207"/>
      <c r="F982" s="207"/>
      <c r="G982" s="207"/>
      <c r="H982" s="207"/>
      <c r="I982" s="207"/>
      <c r="J982" s="207"/>
      <c r="K982" s="207"/>
      <c r="L982" s="207"/>
      <c r="M982" s="207"/>
      <c r="N982" s="207"/>
      <c r="O982" s="207"/>
      <c r="P982" s="207"/>
      <c r="Q982" s="207"/>
      <c r="R982" s="207"/>
      <c r="S982" s="207"/>
      <c r="T982" s="207"/>
      <c r="U982" s="207"/>
      <c r="V982" s="207"/>
      <c r="W982" s="207"/>
      <c r="X982" s="207"/>
      <c r="Y982" s="207"/>
      <c r="Z982" s="207"/>
      <c r="AA982" s="207"/>
      <c r="AB982" s="207"/>
      <c r="AC982" s="207"/>
      <c r="AD982" s="207"/>
      <c r="AE982" s="207"/>
      <c r="AF982" s="207"/>
      <c r="AG982" s="207"/>
      <c r="AH982" s="207"/>
      <c r="AI982" s="207"/>
      <c r="AJ982" s="207"/>
      <c r="AK982" s="207"/>
      <c r="AL982" s="207"/>
      <c r="AM982" s="207"/>
      <c r="AN982" s="207"/>
      <c r="AO982" s="207"/>
      <c r="AP982" s="207"/>
      <c r="AQ982" s="207"/>
      <c r="AR982" s="207"/>
      <c r="AS982" s="207"/>
      <c r="AT982" s="207"/>
      <c r="AU982" s="207"/>
      <c r="AV982" s="207"/>
      <c r="AW982" s="207"/>
      <c r="AX982" s="207"/>
      <c r="AY982" s="207"/>
      <c r="AZ982" s="207"/>
      <c r="BA982" s="207"/>
    </row>
    <row r="983" ht="18.75" hidden="1" customHeight="1">
      <c r="A983" s="207"/>
      <c r="B983" s="207"/>
      <c r="C983" s="207"/>
      <c r="D983" s="207"/>
      <c r="E983" s="207"/>
      <c r="F983" s="207"/>
      <c r="G983" s="207"/>
      <c r="H983" s="207"/>
      <c r="I983" s="207"/>
      <c r="J983" s="207"/>
      <c r="K983" s="207"/>
      <c r="L983" s="207"/>
      <c r="M983" s="207"/>
      <c r="N983" s="207"/>
      <c r="O983" s="207"/>
      <c r="P983" s="207"/>
      <c r="Q983" s="207"/>
      <c r="R983" s="207"/>
      <c r="S983" s="207"/>
      <c r="T983" s="207"/>
      <c r="U983" s="207"/>
      <c r="V983" s="207"/>
      <c r="W983" s="207"/>
      <c r="X983" s="207"/>
      <c r="Y983" s="207"/>
      <c r="Z983" s="207"/>
      <c r="AA983" s="207"/>
      <c r="AB983" s="207"/>
      <c r="AC983" s="207"/>
      <c r="AD983" s="207"/>
      <c r="AE983" s="207"/>
      <c r="AF983" s="207"/>
      <c r="AG983" s="207"/>
      <c r="AH983" s="207"/>
      <c r="AI983" s="207"/>
      <c r="AJ983" s="207"/>
      <c r="AK983" s="207"/>
      <c r="AL983" s="207"/>
      <c r="AM983" s="207"/>
      <c r="AN983" s="207"/>
      <c r="AO983" s="207"/>
      <c r="AP983" s="207"/>
      <c r="AQ983" s="207"/>
      <c r="AR983" s="207"/>
      <c r="AS983" s="207"/>
      <c r="AT983" s="207"/>
      <c r="AU983" s="207"/>
      <c r="AV983" s="207"/>
      <c r="AW983" s="207"/>
      <c r="AX983" s="207"/>
      <c r="AY983" s="207"/>
      <c r="AZ983" s="207"/>
      <c r="BA983" s="207"/>
    </row>
    <row r="984" ht="18.75" hidden="1" customHeight="1">
      <c r="A984" s="207"/>
      <c r="B984" s="207"/>
      <c r="C984" s="207"/>
      <c r="D984" s="207"/>
      <c r="E984" s="207"/>
      <c r="F984" s="207"/>
      <c r="G984" s="207"/>
      <c r="H984" s="207"/>
      <c r="I984" s="207"/>
      <c r="J984" s="207"/>
      <c r="K984" s="207"/>
      <c r="L984" s="207"/>
      <c r="M984" s="207"/>
      <c r="N984" s="207"/>
      <c r="O984" s="207"/>
      <c r="P984" s="207"/>
      <c r="Q984" s="207"/>
      <c r="R984" s="207"/>
      <c r="S984" s="207"/>
      <c r="T984" s="207"/>
      <c r="U984" s="207"/>
      <c r="V984" s="207"/>
      <c r="W984" s="207"/>
      <c r="X984" s="207"/>
      <c r="Y984" s="207"/>
      <c r="Z984" s="207"/>
      <c r="AA984" s="207"/>
      <c r="AB984" s="207"/>
      <c r="AC984" s="207"/>
      <c r="AD984" s="207"/>
      <c r="AE984" s="207"/>
      <c r="AF984" s="207"/>
      <c r="AG984" s="207"/>
      <c r="AH984" s="207"/>
      <c r="AI984" s="207"/>
      <c r="AJ984" s="207"/>
      <c r="AK984" s="207"/>
      <c r="AL984" s="207"/>
      <c r="AM984" s="207"/>
      <c r="AN984" s="207"/>
      <c r="AO984" s="207"/>
      <c r="AP984" s="207"/>
      <c r="AQ984" s="207"/>
      <c r="AR984" s="207"/>
      <c r="AS984" s="207"/>
      <c r="AT984" s="207"/>
      <c r="AU984" s="207"/>
      <c r="AV984" s="207"/>
      <c r="AW984" s="207"/>
      <c r="AX984" s="207"/>
      <c r="AY984" s="207"/>
      <c r="AZ984" s="207"/>
      <c r="BA984" s="207"/>
    </row>
    <row r="985" ht="18.75" hidden="1" customHeight="1">
      <c r="A985" s="207"/>
      <c r="B985" s="207"/>
      <c r="C985" s="207"/>
      <c r="D985" s="207"/>
      <c r="E985" s="207"/>
      <c r="F985" s="207"/>
      <c r="G985" s="207"/>
      <c r="H985" s="207"/>
      <c r="I985" s="207"/>
      <c r="J985" s="207"/>
      <c r="K985" s="207"/>
      <c r="L985" s="207"/>
      <c r="M985" s="207"/>
      <c r="N985" s="207"/>
      <c r="O985" s="207"/>
      <c r="P985" s="207"/>
      <c r="Q985" s="207"/>
      <c r="R985" s="207"/>
      <c r="S985" s="207"/>
      <c r="T985" s="207"/>
      <c r="U985" s="207"/>
      <c r="V985" s="207"/>
      <c r="W985" s="207"/>
      <c r="X985" s="207"/>
      <c r="Y985" s="207"/>
      <c r="Z985" s="207"/>
      <c r="AA985" s="207"/>
      <c r="AB985" s="207"/>
      <c r="AC985" s="207"/>
      <c r="AD985" s="207"/>
      <c r="AE985" s="207"/>
      <c r="AF985" s="207"/>
      <c r="AG985" s="207"/>
      <c r="AH985" s="207"/>
      <c r="AI985" s="207"/>
      <c r="AJ985" s="207"/>
      <c r="AK985" s="207"/>
      <c r="AL985" s="207"/>
      <c r="AM985" s="207"/>
      <c r="AN985" s="207"/>
      <c r="AO985" s="207"/>
      <c r="AP985" s="207"/>
      <c r="AQ985" s="207"/>
      <c r="AR985" s="207"/>
      <c r="AS985" s="207"/>
      <c r="AT985" s="207"/>
      <c r="AU985" s="207"/>
      <c r="AV985" s="207"/>
      <c r="AW985" s="207"/>
      <c r="AX985" s="207"/>
      <c r="AY985" s="207"/>
      <c r="AZ985" s="207"/>
      <c r="BA985" s="207"/>
    </row>
    <row r="986" ht="18.75" hidden="1" customHeight="1">
      <c r="A986" s="207"/>
      <c r="B986" s="207"/>
      <c r="C986" s="207"/>
      <c r="D986" s="207"/>
      <c r="E986" s="207"/>
      <c r="F986" s="207"/>
      <c r="G986" s="207"/>
      <c r="H986" s="207"/>
      <c r="I986" s="207"/>
      <c r="J986" s="207"/>
      <c r="K986" s="207"/>
      <c r="L986" s="207"/>
      <c r="M986" s="207"/>
      <c r="N986" s="207"/>
      <c r="O986" s="207"/>
      <c r="P986" s="207"/>
      <c r="Q986" s="207"/>
      <c r="R986" s="207"/>
      <c r="S986" s="207"/>
      <c r="T986" s="207"/>
      <c r="U986" s="207"/>
      <c r="V986" s="207"/>
      <c r="W986" s="207"/>
      <c r="X986" s="207"/>
      <c r="Y986" s="207"/>
      <c r="Z986" s="207"/>
      <c r="AA986" s="207"/>
      <c r="AB986" s="207"/>
      <c r="AC986" s="207"/>
      <c r="AD986" s="207"/>
      <c r="AE986" s="207"/>
      <c r="AF986" s="207"/>
      <c r="AG986" s="207"/>
      <c r="AH986" s="207"/>
      <c r="AI986" s="207"/>
      <c r="AJ986" s="207"/>
      <c r="AK986" s="207"/>
      <c r="AL986" s="207"/>
      <c r="AM986" s="207"/>
      <c r="AN986" s="207"/>
      <c r="AO986" s="207"/>
      <c r="AP986" s="207"/>
      <c r="AQ986" s="207"/>
      <c r="AR986" s="207"/>
      <c r="AS986" s="207"/>
      <c r="AT986" s="207"/>
      <c r="AU986" s="207"/>
      <c r="AV986" s="207"/>
      <c r="AW986" s="207"/>
      <c r="AX986" s="207"/>
      <c r="AY986" s="207"/>
      <c r="AZ986" s="207"/>
      <c r="BA986" s="207"/>
    </row>
    <row r="987" ht="18.75" hidden="1" customHeight="1">
      <c r="A987" s="207"/>
      <c r="B987" s="207"/>
      <c r="C987" s="207"/>
      <c r="D987" s="207"/>
      <c r="E987" s="207"/>
      <c r="F987" s="207"/>
      <c r="G987" s="207"/>
      <c r="H987" s="207"/>
      <c r="I987" s="207"/>
      <c r="J987" s="207"/>
      <c r="K987" s="207"/>
      <c r="L987" s="207"/>
      <c r="M987" s="207"/>
      <c r="N987" s="207"/>
      <c r="O987" s="207"/>
      <c r="P987" s="207"/>
      <c r="Q987" s="207"/>
      <c r="R987" s="207"/>
      <c r="S987" s="207"/>
      <c r="T987" s="207"/>
      <c r="U987" s="207"/>
      <c r="V987" s="207"/>
      <c r="W987" s="207"/>
      <c r="X987" s="207"/>
      <c r="Y987" s="207"/>
      <c r="Z987" s="207"/>
      <c r="AA987" s="207"/>
      <c r="AB987" s="207"/>
      <c r="AC987" s="207"/>
      <c r="AD987" s="207"/>
      <c r="AE987" s="207"/>
      <c r="AF987" s="207"/>
      <c r="AG987" s="207"/>
      <c r="AH987" s="207"/>
      <c r="AI987" s="207"/>
      <c r="AJ987" s="207"/>
      <c r="AK987" s="207"/>
      <c r="AL987" s="207"/>
      <c r="AM987" s="207"/>
      <c r="AN987" s="207"/>
      <c r="AO987" s="207"/>
      <c r="AP987" s="207"/>
      <c r="AQ987" s="207"/>
      <c r="AR987" s="207"/>
      <c r="AS987" s="207"/>
      <c r="AT987" s="207"/>
      <c r="AU987" s="207"/>
      <c r="AV987" s="207"/>
      <c r="AW987" s="207"/>
      <c r="AX987" s="207"/>
      <c r="AY987" s="207"/>
      <c r="AZ987" s="207"/>
      <c r="BA987" s="207"/>
    </row>
    <row r="988" ht="18.75" hidden="1" customHeight="1">
      <c r="A988" s="207"/>
      <c r="B988" s="207"/>
      <c r="C988" s="207"/>
      <c r="D988" s="207"/>
      <c r="E988" s="207"/>
      <c r="F988" s="207"/>
      <c r="G988" s="207"/>
      <c r="H988" s="207"/>
      <c r="I988" s="207"/>
      <c r="J988" s="207"/>
      <c r="K988" s="207"/>
      <c r="L988" s="207"/>
      <c r="M988" s="207"/>
      <c r="N988" s="207"/>
      <c r="O988" s="207"/>
      <c r="P988" s="207"/>
      <c r="Q988" s="207"/>
      <c r="R988" s="207"/>
      <c r="S988" s="207"/>
      <c r="T988" s="207"/>
      <c r="U988" s="207"/>
      <c r="V988" s="207"/>
      <c r="W988" s="207"/>
      <c r="X988" s="207"/>
      <c r="Y988" s="207"/>
      <c r="Z988" s="207"/>
      <c r="AA988" s="207"/>
      <c r="AB988" s="207"/>
      <c r="AC988" s="207"/>
      <c r="AD988" s="207"/>
      <c r="AE988" s="207"/>
      <c r="AF988" s="207"/>
      <c r="AG988" s="207"/>
      <c r="AH988" s="207"/>
      <c r="AI988" s="207"/>
      <c r="AJ988" s="207"/>
      <c r="AK988" s="207"/>
      <c r="AL988" s="207"/>
      <c r="AM988" s="207"/>
      <c r="AN988" s="207"/>
      <c r="AO988" s="207"/>
      <c r="AP988" s="207"/>
      <c r="AQ988" s="207"/>
      <c r="AR988" s="207"/>
      <c r="AS988" s="207"/>
      <c r="AT988" s="207"/>
      <c r="AU988" s="207"/>
      <c r="AV988" s="207"/>
      <c r="AW988" s="207"/>
      <c r="AX988" s="207"/>
      <c r="AY988" s="207"/>
      <c r="AZ988" s="207"/>
      <c r="BA988" s="207"/>
    </row>
    <row r="989" ht="18.75" hidden="1" customHeight="1">
      <c r="A989" s="207"/>
      <c r="B989" s="207"/>
      <c r="C989" s="207"/>
      <c r="D989" s="207"/>
      <c r="E989" s="207"/>
      <c r="F989" s="207"/>
      <c r="G989" s="207"/>
      <c r="H989" s="207"/>
      <c r="I989" s="207"/>
      <c r="J989" s="207"/>
      <c r="K989" s="207"/>
      <c r="L989" s="207"/>
      <c r="M989" s="207"/>
      <c r="N989" s="207"/>
      <c r="O989" s="207"/>
      <c r="P989" s="207"/>
      <c r="Q989" s="207"/>
      <c r="R989" s="207"/>
      <c r="S989" s="207"/>
      <c r="T989" s="207"/>
      <c r="U989" s="207"/>
      <c r="V989" s="207"/>
      <c r="W989" s="207"/>
      <c r="X989" s="207"/>
      <c r="Y989" s="207"/>
      <c r="Z989" s="207"/>
      <c r="AA989" s="207"/>
      <c r="AB989" s="207"/>
      <c r="AC989" s="207"/>
      <c r="AD989" s="207"/>
      <c r="AE989" s="207"/>
      <c r="AF989" s="207"/>
      <c r="AG989" s="207"/>
      <c r="AH989" s="207"/>
      <c r="AI989" s="207"/>
      <c r="AJ989" s="207"/>
      <c r="AK989" s="207"/>
      <c r="AL989" s="207"/>
      <c r="AM989" s="207"/>
      <c r="AN989" s="207"/>
      <c r="AO989" s="207"/>
      <c r="AP989" s="207"/>
      <c r="AQ989" s="207"/>
      <c r="AR989" s="207"/>
      <c r="AS989" s="207"/>
      <c r="AT989" s="207"/>
      <c r="AU989" s="207"/>
      <c r="AV989" s="207"/>
      <c r="AW989" s="207"/>
      <c r="AX989" s="207"/>
      <c r="AY989" s="207"/>
      <c r="AZ989" s="207"/>
      <c r="BA989" s="207"/>
    </row>
    <row r="990" ht="18.75" hidden="1" customHeight="1">
      <c r="A990" s="207"/>
      <c r="B990" s="207"/>
      <c r="C990" s="207"/>
      <c r="D990" s="207"/>
      <c r="E990" s="207"/>
      <c r="F990" s="207"/>
      <c r="G990" s="207"/>
      <c r="H990" s="207"/>
      <c r="I990" s="207"/>
      <c r="J990" s="207"/>
      <c r="K990" s="207"/>
      <c r="L990" s="207"/>
      <c r="M990" s="207"/>
      <c r="N990" s="207"/>
      <c r="O990" s="207"/>
      <c r="P990" s="207"/>
      <c r="Q990" s="207"/>
      <c r="R990" s="207"/>
      <c r="S990" s="207"/>
      <c r="T990" s="207"/>
      <c r="U990" s="207"/>
      <c r="V990" s="207"/>
      <c r="W990" s="207"/>
      <c r="X990" s="207"/>
      <c r="Y990" s="207"/>
      <c r="Z990" s="207"/>
      <c r="AA990" s="207"/>
      <c r="AB990" s="207"/>
      <c r="AC990" s="207"/>
      <c r="AD990" s="207"/>
      <c r="AE990" s="207"/>
      <c r="AF990" s="207"/>
      <c r="AG990" s="207"/>
      <c r="AH990" s="207"/>
      <c r="AI990" s="207"/>
      <c r="AJ990" s="207"/>
      <c r="AK990" s="207"/>
      <c r="AL990" s="207"/>
      <c r="AM990" s="207"/>
      <c r="AN990" s="207"/>
      <c r="AO990" s="207"/>
      <c r="AP990" s="207"/>
      <c r="AQ990" s="207"/>
      <c r="AR990" s="207"/>
      <c r="AS990" s="207"/>
      <c r="AT990" s="207"/>
      <c r="AU990" s="207"/>
      <c r="AV990" s="207"/>
      <c r="AW990" s="207"/>
      <c r="AX990" s="207"/>
      <c r="AY990" s="207"/>
      <c r="AZ990" s="207"/>
      <c r="BA990" s="207"/>
    </row>
    <row r="991" ht="18.75" hidden="1" customHeight="1">
      <c r="A991" s="207"/>
      <c r="B991" s="207"/>
      <c r="C991" s="207"/>
      <c r="D991" s="207"/>
      <c r="E991" s="207"/>
      <c r="F991" s="207"/>
      <c r="G991" s="207"/>
      <c r="H991" s="207"/>
      <c r="I991" s="207"/>
      <c r="J991" s="207"/>
      <c r="K991" s="207"/>
      <c r="L991" s="207"/>
      <c r="M991" s="207"/>
      <c r="N991" s="207"/>
      <c r="O991" s="207"/>
      <c r="P991" s="207"/>
      <c r="Q991" s="207"/>
      <c r="R991" s="207"/>
      <c r="S991" s="207"/>
      <c r="T991" s="207"/>
      <c r="U991" s="207"/>
      <c r="V991" s="207"/>
      <c r="W991" s="207"/>
      <c r="X991" s="207"/>
      <c r="Y991" s="207"/>
      <c r="Z991" s="207"/>
      <c r="AA991" s="207"/>
      <c r="AB991" s="207"/>
      <c r="AC991" s="207"/>
      <c r="AD991" s="207"/>
      <c r="AE991" s="207"/>
      <c r="AF991" s="207"/>
      <c r="AG991" s="207"/>
      <c r="AH991" s="207"/>
      <c r="AI991" s="207"/>
      <c r="AJ991" s="207"/>
      <c r="AK991" s="207"/>
      <c r="AL991" s="207"/>
      <c r="AM991" s="207"/>
      <c r="AN991" s="207"/>
      <c r="AO991" s="207"/>
      <c r="AP991" s="207"/>
      <c r="AQ991" s="207"/>
      <c r="AR991" s="207"/>
      <c r="AS991" s="207"/>
      <c r="AT991" s="207"/>
      <c r="AU991" s="207"/>
      <c r="AV991" s="207"/>
      <c r="AW991" s="207"/>
      <c r="AX991" s="207"/>
      <c r="AY991" s="207"/>
      <c r="AZ991" s="207"/>
      <c r="BA991" s="207"/>
    </row>
    <row r="992" ht="18.75" hidden="1" customHeight="1">
      <c r="A992" s="207"/>
      <c r="B992" s="207"/>
      <c r="C992" s="207"/>
      <c r="D992" s="207"/>
      <c r="E992" s="207"/>
      <c r="F992" s="207"/>
      <c r="G992" s="207"/>
      <c r="H992" s="207"/>
      <c r="I992" s="207"/>
      <c r="J992" s="207"/>
      <c r="K992" s="207"/>
      <c r="L992" s="207"/>
      <c r="M992" s="207"/>
      <c r="N992" s="207"/>
      <c r="O992" s="207"/>
      <c r="P992" s="207"/>
      <c r="Q992" s="207"/>
      <c r="R992" s="207"/>
      <c r="S992" s="207"/>
      <c r="T992" s="207"/>
      <c r="U992" s="207"/>
      <c r="V992" s="207"/>
      <c r="W992" s="207"/>
      <c r="X992" s="207"/>
      <c r="Y992" s="207"/>
      <c r="Z992" s="207"/>
      <c r="AA992" s="207"/>
      <c r="AB992" s="207"/>
      <c r="AC992" s="207"/>
      <c r="AD992" s="207"/>
      <c r="AE992" s="207"/>
      <c r="AF992" s="207"/>
      <c r="AG992" s="207"/>
      <c r="AH992" s="207"/>
      <c r="AI992" s="207"/>
      <c r="AJ992" s="207"/>
      <c r="AK992" s="207"/>
      <c r="AL992" s="207"/>
      <c r="AM992" s="207"/>
      <c r="AN992" s="207"/>
      <c r="AO992" s="207"/>
      <c r="AP992" s="207"/>
      <c r="AQ992" s="207"/>
      <c r="AR992" s="207"/>
      <c r="AS992" s="207"/>
      <c r="AT992" s="207"/>
      <c r="AU992" s="207"/>
      <c r="AV992" s="207"/>
      <c r="AW992" s="207"/>
      <c r="AX992" s="207"/>
      <c r="AY992" s="207"/>
      <c r="AZ992" s="207"/>
      <c r="BA992" s="207"/>
    </row>
    <row r="993" ht="18.75" hidden="1" customHeight="1">
      <c r="A993" s="207"/>
      <c r="B993" s="207"/>
      <c r="C993" s="207"/>
      <c r="D993" s="207"/>
      <c r="E993" s="207"/>
      <c r="F993" s="207"/>
      <c r="G993" s="207"/>
      <c r="H993" s="207"/>
      <c r="I993" s="207"/>
      <c r="J993" s="207"/>
      <c r="K993" s="207"/>
      <c r="L993" s="207"/>
      <c r="M993" s="207"/>
      <c r="N993" s="207"/>
      <c r="O993" s="207"/>
      <c r="P993" s="207"/>
      <c r="Q993" s="207"/>
      <c r="R993" s="207"/>
      <c r="S993" s="207"/>
      <c r="T993" s="207"/>
      <c r="U993" s="207"/>
      <c r="V993" s="207"/>
      <c r="W993" s="207"/>
      <c r="X993" s="207"/>
      <c r="Y993" s="207"/>
      <c r="Z993" s="207"/>
      <c r="AA993" s="207"/>
      <c r="AB993" s="207"/>
      <c r="AC993" s="207"/>
      <c r="AD993" s="207"/>
      <c r="AE993" s="207"/>
      <c r="AF993" s="207"/>
      <c r="AG993" s="207"/>
      <c r="AH993" s="207"/>
      <c r="AI993" s="207"/>
      <c r="AJ993" s="207"/>
      <c r="AK993" s="207"/>
      <c r="AL993" s="207"/>
      <c r="AM993" s="207"/>
      <c r="AN993" s="207"/>
      <c r="AO993" s="207"/>
      <c r="AP993" s="207"/>
      <c r="AQ993" s="207"/>
      <c r="AR993" s="207"/>
      <c r="AS993" s="207"/>
      <c r="AT993" s="207"/>
      <c r="AU993" s="207"/>
      <c r="AV993" s="207"/>
      <c r="AW993" s="207"/>
      <c r="AX993" s="207"/>
      <c r="AY993" s="207"/>
      <c r="AZ993" s="207"/>
      <c r="BA993" s="207"/>
    </row>
    <row r="994" ht="18.75" hidden="1" customHeight="1">
      <c r="A994" s="207"/>
      <c r="B994" s="207"/>
      <c r="C994" s="207"/>
      <c r="D994" s="207"/>
      <c r="E994" s="207"/>
      <c r="F994" s="207"/>
      <c r="G994" s="207"/>
      <c r="H994" s="207"/>
      <c r="I994" s="207"/>
      <c r="J994" s="207"/>
      <c r="K994" s="207"/>
      <c r="L994" s="207"/>
      <c r="M994" s="207"/>
      <c r="N994" s="207"/>
      <c r="O994" s="207"/>
      <c r="P994" s="207"/>
      <c r="Q994" s="207"/>
      <c r="R994" s="207"/>
      <c r="S994" s="207"/>
      <c r="T994" s="207"/>
      <c r="U994" s="207"/>
      <c r="V994" s="207"/>
      <c r="W994" s="207"/>
      <c r="X994" s="207"/>
      <c r="Y994" s="207"/>
      <c r="Z994" s="207"/>
      <c r="AA994" s="207"/>
      <c r="AB994" s="207"/>
      <c r="AC994" s="207"/>
      <c r="AD994" s="207"/>
      <c r="AE994" s="207"/>
      <c r="AF994" s="207"/>
      <c r="AG994" s="207"/>
      <c r="AH994" s="207"/>
      <c r="AI994" s="207"/>
      <c r="AJ994" s="207"/>
      <c r="AK994" s="207"/>
      <c r="AL994" s="207"/>
      <c r="AM994" s="207"/>
      <c r="AN994" s="207"/>
      <c r="AO994" s="207"/>
      <c r="AP994" s="207"/>
      <c r="AQ994" s="207"/>
      <c r="AR994" s="207"/>
      <c r="AS994" s="207"/>
      <c r="AT994" s="207"/>
      <c r="AU994" s="207"/>
      <c r="AV994" s="207"/>
      <c r="AW994" s="207"/>
      <c r="AX994" s="207"/>
      <c r="AY994" s="207"/>
      <c r="AZ994" s="207"/>
      <c r="BA994" s="207"/>
    </row>
    <row r="995" ht="18.75" hidden="1" customHeight="1">
      <c r="A995" s="207"/>
      <c r="B995" s="207"/>
      <c r="C995" s="207"/>
      <c r="D995" s="207"/>
      <c r="E995" s="207"/>
      <c r="F995" s="207"/>
      <c r="G995" s="207"/>
      <c r="H995" s="207"/>
      <c r="I995" s="207"/>
      <c r="J995" s="207"/>
      <c r="K995" s="207"/>
      <c r="L995" s="207"/>
      <c r="M995" s="207"/>
      <c r="N995" s="207"/>
      <c r="O995" s="207"/>
      <c r="P995" s="207"/>
      <c r="Q995" s="207"/>
      <c r="R995" s="207"/>
      <c r="S995" s="207"/>
      <c r="T995" s="207"/>
      <c r="U995" s="207"/>
      <c r="V995" s="207"/>
      <c r="W995" s="207"/>
      <c r="X995" s="207"/>
      <c r="Y995" s="207"/>
      <c r="Z995" s="207"/>
      <c r="AA995" s="207"/>
      <c r="AB995" s="207"/>
      <c r="AC995" s="207"/>
      <c r="AD995" s="207"/>
      <c r="AE995" s="207"/>
      <c r="AF995" s="207"/>
      <c r="AG995" s="207"/>
      <c r="AH995" s="207"/>
      <c r="AI995" s="207"/>
      <c r="AJ995" s="207"/>
      <c r="AK995" s="207"/>
      <c r="AL995" s="207"/>
      <c r="AM995" s="207"/>
      <c r="AN995" s="207"/>
      <c r="AO995" s="207"/>
      <c r="AP995" s="207"/>
      <c r="AQ995" s="207"/>
      <c r="AR995" s="207"/>
      <c r="AS995" s="207"/>
      <c r="AT995" s="207"/>
      <c r="AU995" s="207"/>
      <c r="AV995" s="207"/>
      <c r="AW995" s="207"/>
      <c r="AX995" s="207"/>
      <c r="AY995" s="207"/>
      <c r="AZ995" s="207"/>
      <c r="BA995" s="207"/>
    </row>
    <row r="996" ht="18.75" hidden="1" customHeight="1">
      <c r="A996" s="207"/>
      <c r="B996" s="207"/>
      <c r="C996" s="207"/>
      <c r="D996" s="207"/>
      <c r="E996" s="207"/>
      <c r="F996" s="207"/>
      <c r="G996" s="207"/>
      <c r="H996" s="207"/>
      <c r="I996" s="207"/>
      <c r="J996" s="207"/>
      <c r="K996" s="207"/>
      <c r="L996" s="207"/>
      <c r="M996" s="207"/>
      <c r="N996" s="207"/>
      <c r="O996" s="207"/>
      <c r="P996" s="207"/>
      <c r="Q996" s="207"/>
      <c r="R996" s="207"/>
      <c r="S996" s="207"/>
      <c r="T996" s="207"/>
      <c r="U996" s="207"/>
      <c r="V996" s="207"/>
      <c r="W996" s="207"/>
      <c r="X996" s="207"/>
      <c r="Y996" s="207"/>
      <c r="Z996" s="207"/>
      <c r="AA996" s="207"/>
      <c r="AB996" s="207"/>
      <c r="AC996" s="207"/>
      <c r="AD996" s="207"/>
      <c r="AE996" s="207"/>
      <c r="AF996" s="207"/>
      <c r="AG996" s="207"/>
      <c r="AH996" s="207"/>
      <c r="AI996" s="207"/>
      <c r="AJ996" s="207"/>
      <c r="AK996" s="207"/>
      <c r="AL996" s="207"/>
      <c r="AM996" s="207"/>
      <c r="AN996" s="207"/>
      <c r="AO996" s="207"/>
      <c r="AP996" s="207"/>
      <c r="AQ996" s="207"/>
      <c r="AR996" s="207"/>
      <c r="AS996" s="207"/>
      <c r="AT996" s="207"/>
      <c r="AU996" s="207"/>
      <c r="AV996" s="207"/>
      <c r="AW996" s="207"/>
      <c r="AX996" s="207"/>
      <c r="AY996" s="207"/>
      <c r="AZ996" s="207"/>
      <c r="BA996" s="207"/>
    </row>
    <row r="997" ht="18.75" hidden="1" customHeight="1">
      <c r="A997" s="207"/>
      <c r="B997" s="207"/>
      <c r="C997" s="207"/>
      <c r="D997" s="207"/>
      <c r="E997" s="207"/>
      <c r="F997" s="207"/>
      <c r="G997" s="207"/>
      <c r="H997" s="207"/>
      <c r="I997" s="207"/>
      <c r="J997" s="207"/>
      <c r="K997" s="207"/>
      <c r="L997" s="207"/>
      <c r="M997" s="207"/>
      <c r="N997" s="207"/>
      <c r="O997" s="207"/>
      <c r="P997" s="207"/>
      <c r="Q997" s="207"/>
      <c r="R997" s="207"/>
      <c r="S997" s="207"/>
      <c r="T997" s="207"/>
      <c r="U997" s="207"/>
      <c r="V997" s="207"/>
      <c r="W997" s="207"/>
      <c r="X997" s="207"/>
      <c r="Y997" s="207"/>
      <c r="Z997" s="207"/>
      <c r="AA997" s="207"/>
      <c r="AB997" s="207"/>
      <c r="AC997" s="207"/>
      <c r="AD997" s="207"/>
      <c r="AE997" s="207"/>
      <c r="AF997" s="207"/>
      <c r="AG997" s="207"/>
      <c r="AH997" s="207"/>
      <c r="AI997" s="207"/>
      <c r="AJ997" s="207"/>
      <c r="AK997" s="207"/>
      <c r="AL997" s="207"/>
      <c r="AM997" s="207"/>
      <c r="AN997" s="207"/>
      <c r="AO997" s="207"/>
      <c r="AP997" s="207"/>
      <c r="AQ997" s="207"/>
      <c r="AR997" s="207"/>
      <c r="AS997" s="207"/>
      <c r="AT997" s="207"/>
      <c r="AU997" s="207"/>
      <c r="AV997" s="207"/>
      <c r="AW997" s="207"/>
      <c r="AX997" s="207"/>
      <c r="AY997" s="207"/>
      <c r="AZ997" s="207"/>
      <c r="BA997" s="207"/>
    </row>
    <row r="998" ht="18.75" hidden="1" customHeight="1">
      <c r="A998" s="207"/>
      <c r="B998" s="207"/>
      <c r="C998" s="207"/>
      <c r="D998" s="207"/>
      <c r="E998" s="207"/>
      <c r="F998" s="207"/>
      <c r="G998" s="207"/>
      <c r="H998" s="207"/>
      <c r="I998" s="207"/>
      <c r="J998" s="207"/>
      <c r="K998" s="207"/>
      <c r="L998" s="207"/>
      <c r="M998" s="207"/>
      <c r="N998" s="207"/>
      <c r="O998" s="207"/>
      <c r="P998" s="207"/>
      <c r="Q998" s="207"/>
      <c r="R998" s="207"/>
      <c r="S998" s="207"/>
      <c r="T998" s="207"/>
      <c r="U998" s="207"/>
      <c r="V998" s="207"/>
      <c r="W998" s="207"/>
      <c r="X998" s="207"/>
      <c r="Y998" s="207"/>
      <c r="Z998" s="207"/>
      <c r="AA998" s="207"/>
      <c r="AB998" s="207"/>
      <c r="AC998" s="207"/>
      <c r="AD998" s="207"/>
      <c r="AE998" s="207"/>
      <c r="AF998" s="207"/>
      <c r="AG998" s="207"/>
      <c r="AH998" s="207"/>
      <c r="AI998" s="207"/>
      <c r="AJ998" s="207"/>
      <c r="AK998" s="207"/>
      <c r="AL998" s="207"/>
      <c r="AM998" s="207"/>
      <c r="AN998" s="207"/>
      <c r="AO998" s="207"/>
      <c r="AP998" s="207"/>
      <c r="AQ998" s="207"/>
      <c r="AR998" s="207"/>
      <c r="AS998" s="207"/>
      <c r="AT998" s="207"/>
      <c r="AU998" s="207"/>
      <c r="AV998" s="207"/>
      <c r="AW998" s="207"/>
      <c r="AX998" s="207"/>
      <c r="AY998" s="207"/>
      <c r="AZ998" s="207"/>
      <c r="BA998" s="207"/>
    </row>
    <row r="999" ht="18.75" hidden="1" customHeight="1">
      <c r="A999" s="207"/>
      <c r="B999" s="207"/>
      <c r="C999" s="207"/>
      <c r="D999" s="207"/>
      <c r="E999" s="207"/>
      <c r="F999" s="207"/>
      <c r="G999" s="207"/>
      <c r="H999" s="207"/>
      <c r="I999" s="207"/>
      <c r="J999" s="207"/>
      <c r="K999" s="207"/>
      <c r="L999" s="207"/>
      <c r="M999" s="207"/>
      <c r="N999" s="207"/>
      <c r="O999" s="207"/>
      <c r="P999" s="207"/>
      <c r="Q999" s="207"/>
      <c r="R999" s="207"/>
      <c r="S999" s="207"/>
      <c r="T999" s="207"/>
      <c r="U999" s="207"/>
      <c r="V999" s="207"/>
      <c r="W999" s="207"/>
      <c r="X999" s="207"/>
      <c r="Y999" s="207"/>
      <c r="Z999" s="207"/>
      <c r="AA999" s="207"/>
      <c r="AB999" s="207"/>
      <c r="AC999" s="207"/>
      <c r="AD999" s="207"/>
      <c r="AE999" s="207"/>
      <c r="AF999" s="207"/>
      <c r="AG999" s="207"/>
      <c r="AH999" s="207"/>
      <c r="AI999" s="207"/>
      <c r="AJ999" s="207"/>
      <c r="AK999" s="207"/>
      <c r="AL999" s="207"/>
      <c r="AM999" s="207"/>
      <c r="AN999" s="207"/>
      <c r="AO999" s="207"/>
      <c r="AP999" s="207"/>
      <c r="AQ999" s="207"/>
      <c r="AR999" s="207"/>
      <c r="AS999" s="207"/>
      <c r="AT999" s="207"/>
      <c r="AU999" s="207"/>
      <c r="AV999" s="207"/>
      <c r="AW999" s="207"/>
      <c r="AX999" s="207"/>
      <c r="AY999" s="207"/>
      <c r="AZ999" s="207"/>
      <c r="BA999" s="207"/>
    </row>
    <row r="1000" ht="18.75" hidden="1" customHeight="1">
      <c r="A1000" s="207"/>
      <c r="B1000" s="207"/>
      <c r="C1000" s="207"/>
      <c r="D1000" s="207"/>
      <c r="E1000" s="207"/>
      <c r="F1000" s="207"/>
      <c r="G1000" s="207"/>
      <c r="H1000" s="207"/>
      <c r="I1000" s="207"/>
      <c r="J1000" s="207"/>
      <c r="K1000" s="207"/>
      <c r="L1000" s="207"/>
      <c r="M1000" s="207"/>
      <c r="N1000" s="207"/>
      <c r="O1000" s="207"/>
      <c r="P1000" s="207"/>
      <c r="Q1000" s="207"/>
      <c r="R1000" s="207"/>
      <c r="S1000" s="207"/>
      <c r="T1000" s="207"/>
      <c r="U1000" s="207"/>
      <c r="V1000" s="207"/>
      <c r="W1000" s="207"/>
      <c r="X1000" s="207"/>
      <c r="Y1000" s="207"/>
      <c r="Z1000" s="207"/>
      <c r="AA1000" s="207"/>
      <c r="AB1000" s="207"/>
      <c r="AC1000" s="207"/>
      <c r="AD1000" s="207"/>
      <c r="AE1000" s="207"/>
      <c r="AF1000" s="207"/>
      <c r="AG1000" s="207"/>
      <c r="AH1000" s="207"/>
      <c r="AI1000" s="207"/>
      <c r="AJ1000" s="207"/>
      <c r="AK1000" s="207"/>
      <c r="AL1000" s="207"/>
      <c r="AM1000" s="207"/>
      <c r="AN1000" s="207"/>
      <c r="AO1000" s="207"/>
      <c r="AP1000" s="207"/>
      <c r="AQ1000" s="207"/>
      <c r="AR1000" s="207"/>
      <c r="AS1000" s="207"/>
      <c r="AT1000" s="207"/>
      <c r="AU1000" s="207"/>
      <c r="AV1000" s="207"/>
      <c r="AW1000" s="207"/>
      <c r="AX1000" s="207"/>
      <c r="AY1000" s="207"/>
      <c r="AZ1000" s="207"/>
      <c r="BA1000" s="207"/>
    </row>
    <row r="1001" ht="18.75" hidden="1" customHeight="1">
      <c r="A1001" s="207"/>
      <c r="B1001" s="207"/>
      <c r="C1001" s="207"/>
      <c r="D1001" s="207"/>
      <c r="E1001" s="207"/>
      <c r="F1001" s="207"/>
      <c r="G1001" s="207"/>
      <c r="H1001" s="207"/>
      <c r="I1001" s="207"/>
      <c r="J1001" s="207"/>
      <c r="K1001" s="207"/>
      <c r="L1001" s="207"/>
      <c r="M1001" s="207"/>
      <c r="N1001" s="207"/>
      <c r="O1001" s="207"/>
      <c r="P1001" s="207"/>
      <c r="Q1001" s="207"/>
      <c r="R1001" s="207"/>
      <c r="S1001" s="207"/>
      <c r="T1001" s="207"/>
      <c r="U1001" s="207"/>
      <c r="V1001" s="207"/>
      <c r="W1001" s="207"/>
      <c r="X1001" s="207"/>
      <c r="Y1001" s="207"/>
      <c r="Z1001" s="207"/>
      <c r="AA1001" s="207"/>
      <c r="AB1001" s="207"/>
      <c r="AC1001" s="207"/>
      <c r="AD1001" s="207"/>
      <c r="AE1001" s="207"/>
      <c r="AF1001" s="207"/>
      <c r="AG1001" s="207"/>
      <c r="AH1001" s="207"/>
      <c r="AI1001" s="207"/>
      <c r="AJ1001" s="207"/>
      <c r="AK1001" s="207"/>
      <c r="AL1001" s="207"/>
      <c r="AM1001" s="207"/>
      <c r="AN1001" s="207"/>
      <c r="AO1001" s="207"/>
      <c r="AP1001" s="207"/>
      <c r="AQ1001" s="207"/>
      <c r="AR1001" s="207"/>
      <c r="AS1001" s="207"/>
      <c r="AT1001" s="207"/>
      <c r="AU1001" s="207"/>
      <c r="AV1001" s="207"/>
      <c r="AW1001" s="207"/>
      <c r="AX1001" s="207"/>
      <c r="AY1001" s="207"/>
      <c r="AZ1001" s="207"/>
      <c r="BA1001" s="207"/>
    </row>
  </sheetData>
  <mergeCells count="41">
    <mergeCell ref="Y3:AB3"/>
    <mergeCell ref="AC3:AF3"/>
    <mergeCell ref="AG3:AJ3"/>
    <mergeCell ref="AK3:AN3"/>
    <mergeCell ref="AO3:AR3"/>
    <mergeCell ref="AS3:AV3"/>
    <mergeCell ref="AW3:AZ3"/>
    <mergeCell ref="B2:D2"/>
    <mergeCell ref="B3:D3"/>
    <mergeCell ref="E3:H3"/>
    <mergeCell ref="I3:L3"/>
    <mergeCell ref="M3:P3"/>
    <mergeCell ref="Q3:T3"/>
    <mergeCell ref="U3:X3"/>
    <mergeCell ref="B4:B5"/>
    <mergeCell ref="C4:C5"/>
    <mergeCell ref="D4:D5"/>
    <mergeCell ref="E4:E5"/>
    <mergeCell ref="F4:H4"/>
    <mergeCell ref="I4:I5"/>
    <mergeCell ref="M4:M5"/>
    <mergeCell ref="AL4:AN4"/>
    <mergeCell ref="AP4:AR4"/>
    <mergeCell ref="AT4:AV4"/>
    <mergeCell ref="AX4:AZ4"/>
    <mergeCell ref="J4:L4"/>
    <mergeCell ref="N4:P4"/>
    <mergeCell ref="R4:T4"/>
    <mergeCell ref="V4:X4"/>
    <mergeCell ref="Z4:AB4"/>
    <mergeCell ref="AD4:AF4"/>
    <mergeCell ref="AH4:AJ4"/>
    <mergeCell ref="AS4:AS5"/>
    <mergeCell ref="AW4:AW5"/>
    <mergeCell ref="Q4:Q5"/>
    <mergeCell ref="U4:U5"/>
    <mergeCell ref="Y4:Y5"/>
    <mergeCell ref="AC4:AC5"/>
    <mergeCell ref="AG4:AG5"/>
    <mergeCell ref="AK4:AK5"/>
    <mergeCell ref="AO4:AO5"/>
  </mergeCells>
  <hyperlinks>
    <hyperlink r:id="rId1" location="gid=929121334" ref="B1"/>
  </hyperlinks>
  <printOptions/>
  <pageMargins bottom="0.75" footer="0.0" header="0.0" left="0.7" right="0.7" top="0.75"/>
  <pageSetup orientation="landscape"/>
  <drawing r:id="rId2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showGridLines="0" workbookViewId="0">
      <pane xSplit="4.0" ySplit="6.0" topLeftCell="E7" activePane="bottomRight" state="frozen"/>
      <selection activeCell="E1" sqref="E1" pane="topRight"/>
      <selection activeCell="A7" sqref="A7" pane="bottomLeft"/>
      <selection activeCell="E7" sqref="E7" pane="bottomRight"/>
    </sheetView>
  </sheetViews>
  <sheetFormatPr customHeight="1" defaultColWidth="12.63" defaultRowHeight="15.0"/>
  <cols>
    <col customWidth="1" min="1" max="1" width="0.38"/>
    <col customWidth="1" min="2" max="2" width="30.5"/>
    <col customWidth="1" min="3" max="3" width="6.75"/>
    <col customWidth="1" min="4" max="4" width="5.88"/>
    <col customWidth="1" min="5" max="5" width="7.0"/>
    <col customWidth="1" min="6" max="6" width="6.88"/>
    <col customWidth="1" min="7" max="7" width="6.0"/>
    <col customWidth="1" min="8" max="8" width="6.13"/>
    <col customWidth="1" min="9" max="9" width="7.0"/>
    <col customWidth="1" min="10" max="10" width="6.88"/>
    <col customWidth="1" min="11" max="11" width="6.0"/>
    <col customWidth="1" min="12" max="12" width="6.13"/>
    <col customWidth="1" min="13" max="13" width="7.0"/>
    <col customWidth="1" min="14" max="14" width="6.88"/>
    <col customWidth="1" min="15" max="15" width="6.0"/>
    <col customWidth="1" min="16" max="16" width="6.13"/>
    <col customWidth="1" min="17" max="17" width="7.0"/>
    <col customWidth="1" min="18" max="18" width="6.88"/>
    <col customWidth="1" min="19" max="19" width="6.0"/>
    <col customWidth="1" min="20" max="20" width="6.13"/>
    <col customWidth="1" min="21" max="21" width="7.0"/>
    <col customWidth="1" min="22" max="22" width="6.88"/>
    <col customWidth="1" min="23" max="23" width="6.0"/>
    <col customWidth="1" min="24" max="24" width="6.13"/>
    <col customWidth="1" min="25" max="25" width="7.0"/>
    <col customWidth="1" min="26" max="26" width="6.88"/>
    <col customWidth="1" min="27" max="27" width="6.0"/>
    <col customWidth="1" min="28" max="28" width="6.13"/>
    <col customWidth="1" min="29" max="29" width="7.0"/>
    <col customWidth="1" min="30" max="30" width="6.88"/>
    <col customWidth="1" min="31" max="31" width="6.0"/>
    <col customWidth="1" min="32" max="32" width="6.13"/>
    <col customWidth="1" min="33" max="33" width="7.0"/>
    <col customWidth="1" min="34" max="34" width="6.88"/>
    <col customWidth="1" min="35" max="35" width="6.0"/>
    <col customWidth="1" min="36" max="36" width="6.13"/>
    <col customWidth="1" min="37" max="37" width="7.0"/>
    <col customWidth="1" min="38" max="38" width="6.88"/>
    <col customWidth="1" min="39" max="39" width="6.0"/>
    <col customWidth="1" min="40" max="40" width="6.13"/>
    <col customWidth="1" min="41" max="41" width="7.0"/>
    <col customWidth="1" min="42" max="42" width="6.88"/>
    <col customWidth="1" min="43" max="43" width="6.0"/>
    <col customWidth="1" min="44" max="44" width="6.13"/>
    <col customWidth="1" min="45" max="45" width="7.0"/>
    <col customWidth="1" min="46" max="46" width="6.88"/>
    <col customWidth="1" min="47" max="47" width="6.0"/>
    <col customWidth="1" min="48" max="48" width="6.13"/>
    <col customWidth="1" min="49" max="49" width="7.0"/>
    <col customWidth="1" min="50" max="50" width="6.88"/>
    <col customWidth="1" min="51" max="51" width="6.0"/>
    <col customWidth="1" min="52" max="52" width="6.13"/>
    <col customWidth="1" min="53" max="53" width="0.38"/>
  </cols>
  <sheetData>
    <row r="1">
      <c r="A1" s="183"/>
      <c r="B1" s="184" t="s">
        <v>160</v>
      </c>
      <c r="C1" s="209"/>
      <c r="D1" s="209"/>
      <c r="E1" s="183"/>
      <c r="F1" s="210"/>
      <c r="G1" s="211"/>
      <c r="H1" s="211"/>
      <c r="I1" s="211"/>
      <c r="J1" s="211"/>
      <c r="K1" s="211"/>
      <c r="L1" s="211"/>
      <c r="M1" s="211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212"/>
    </row>
    <row r="2" ht="15.0" hidden="1" customHeight="1">
      <c r="A2" s="186" t="str">
        <f>IFERROR(__xludf.DUMMYFUNCTION("IMPORTRANGE(""https://docs.google.com/spreadsheets/d/1sJ0ucmXxJ9oBFK2iTMscYLvW8olIpPsPz-UMGDElbx0/edit#gid=185841504"",""TONG!A1:AZ85"")"),"")</f>
        <v/>
      </c>
      <c r="B2" s="187"/>
      <c r="C2" s="188"/>
      <c r="D2" s="5"/>
      <c r="E2" s="189" t="str">
        <f>IFERROR(__xludf.DUMMYFUNCTION("""COMPUTED_VALUE"""),"* Lưu ý: chỉ nhập số liệu vào các ô tô MÀU VÀNG")</f>
        <v>* Lưu ý: chỉ nhập số liệu vào các ô tô MÀU VÀNG</v>
      </c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1"/>
      <c r="BA2" s="213"/>
    </row>
    <row r="3" ht="18.0" customHeight="1">
      <c r="A3" s="6"/>
      <c r="B3" s="134" t="str">
        <f>IFERROR(__xludf.DUMMYFUNCTION("""COMPUTED_VALUE"""),"BIỂU THỐNG KÊ SỐ LIỆU CẤP TIỂU HỌC")</f>
        <v>BIỂU THỐNG KÊ SỐ LIỆU CẤP TIỂU HỌC</v>
      </c>
      <c r="C3" s="8"/>
      <c r="D3" s="9"/>
      <c r="E3" s="11" t="str">
        <f>IFERROR(__xludf.DUMMYFUNCTION("""COMPUTED_VALUE"""),"Kỳ tháng 10/2023")</f>
        <v>Kỳ tháng 10/2023</v>
      </c>
      <c r="F3" s="8"/>
      <c r="G3" s="8"/>
      <c r="H3" s="9"/>
      <c r="I3" s="11" t="str">
        <f>IFERROR(__xludf.DUMMYFUNCTION("""COMPUTED_VALUE"""),"Kỳ tháng 11/2023")</f>
        <v>Kỳ tháng 11/2023</v>
      </c>
      <c r="J3" s="8"/>
      <c r="K3" s="8"/>
      <c r="L3" s="9"/>
      <c r="M3" s="11" t="str">
        <f>IFERROR(__xludf.DUMMYFUNCTION("""COMPUTED_VALUE"""),"Kỳ tháng 12/2023")</f>
        <v>Kỳ tháng 12/2023</v>
      </c>
      <c r="N3" s="8"/>
      <c r="O3" s="8"/>
      <c r="P3" s="9"/>
      <c r="Q3" s="12" t="str">
        <f>IFERROR(__xludf.DUMMYFUNCTION("""COMPUTED_VALUE"""),"Kỳ tháng 1/2024")</f>
        <v>Kỳ tháng 1/2024</v>
      </c>
      <c r="R3" s="8"/>
      <c r="S3" s="8"/>
      <c r="T3" s="9"/>
      <c r="U3" s="12" t="str">
        <f>IFERROR(__xludf.DUMMYFUNCTION("""COMPUTED_VALUE"""),"Kỳ tháng 2/2024")</f>
        <v>Kỳ tháng 2/2024</v>
      </c>
      <c r="V3" s="8"/>
      <c r="W3" s="8"/>
      <c r="X3" s="9"/>
      <c r="Y3" s="12" t="str">
        <f>IFERROR(__xludf.DUMMYFUNCTION("""COMPUTED_VALUE"""),"Kỳ tháng 3/2024")</f>
        <v>Kỳ tháng 3/2024</v>
      </c>
      <c r="Z3" s="8"/>
      <c r="AA3" s="8"/>
      <c r="AB3" s="9"/>
      <c r="AC3" s="193" t="str">
        <f>IFERROR(__xludf.DUMMYFUNCTION("""COMPUTED_VALUE"""),"Kỳ tháng 4/2024")</f>
        <v>Kỳ tháng 4/2024</v>
      </c>
      <c r="AD3" s="8"/>
      <c r="AE3" s="8"/>
      <c r="AF3" s="9"/>
      <c r="AG3" s="193" t="str">
        <f>IFERROR(__xludf.DUMMYFUNCTION("""COMPUTED_VALUE"""),"Kỳ tháng 5/2024")</f>
        <v>Kỳ tháng 5/2024</v>
      </c>
      <c r="AH3" s="8"/>
      <c r="AI3" s="8"/>
      <c r="AJ3" s="9"/>
      <c r="AK3" s="193" t="str">
        <f>IFERROR(__xludf.DUMMYFUNCTION("""COMPUTED_VALUE"""),"Kỳ tháng 6/2024")</f>
        <v>Kỳ tháng 6/2024</v>
      </c>
      <c r="AL3" s="8"/>
      <c r="AM3" s="8"/>
      <c r="AN3" s="9"/>
      <c r="AO3" s="14" t="str">
        <f>IFERROR(__xludf.DUMMYFUNCTION("""COMPUTED_VALUE"""),"Kỳ tháng 7/2024")</f>
        <v>Kỳ tháng 7/2024</v>
      </c>
      <c r="AP3" s="8"/>
      <c r="AQ3" s="8"/>
      <c r="AR3" s="9"/>
      <c r="AS3" s="14" t="str">
        <f>IFERROR(__xludf.DUMMYFUNCTION("""COMPUTED_VALUE"""),"Kỳ tháng 8/2024")</f>
        <v>Kỳ tháng 8/2024</v>
      </c>
      <c r="AT3" s="8"/>
      <c r="AU3" s="8"/>
      <c r="AV3" s="9"/>
      <c r="AW3" s="14" t="str">
        <f>IFERROR(__xludf.DUMMYFUNCTION("""COMPUTED_VALUE"""),"Kỳ tháng 9/2024")</f>
        <v>Kỳ tháng 9/2024</v>
      </c>
      <c r="AX3" s="8"/>
      <c r="AY3" s="8"/>
      <c r="AZ3" s="15"/>
      <c r="BA3" s="194"/>
    </row>
    <row r="4" ht="14.25" customHeight="1">
      <c r="A4" s="6"/>
      <c r="B4" s="17" t="str">
        <f>IFERROR(__xludf.DUMMYFUNCTION("""COMPUTED_VALUE"""),"TOÀN TỈNH")</f>
        <v>TOÀN TỈNH</v>
      </c>
      <c r="C4" s="18" t="str">
        <f>IFERROR(__xludf.DUMMYFUNCTION("""COMPUTED_VALUE"""),"Tần suất
báo cáo")</f>
        <v>Tần suất
báo cáo</v>
      </c>
      <c r="D4" s="18" t="str">
        <f>IFERROR(__xludf.DUMMYFUNCTION("""COMPUTED_VALUE"""),"Đơn vị
tính")</f>
        <v>Đơn vị
tính</v>
      </c>
      <c r="E4" s="19" t="str">
        <f>IFERROR(__xludf.DUMMYFUNCTION("""COMPUTED_VALUE"""),"Tổng số")</f>
        <v>Tổng số</v>
      </c>
      <c r="F4" s="20" t="str">
        <f>IFERROR(__xludf.DUMMYFUNCTION("""COMPUTED_VALUE"""),"Trong đó")</f>
        <v>Trong đó</v>
      </c>
      <c r="G4" s="21"/>
      <c r="H4" s="22"/>
      <c r="I4" s="19" t="str">
        <f>IFERROR(__xludf.DUMMYFUNCTION("""COMPUTED_VALUE"""),"Tổng số")</f>
        <v>Tổng số</v>
      </c>
      <c r="J4" s="20" t="str">
        <f>IFERROR(__xludf.DUMMYFUNCTION("""COMPUTED_VALUE"""),"Trong đó")</f>
        <v>Trong đó</v>
      </c>
      <c r="K4" s="21"/>
      <c r="L4" s="22"/>
      <c r="M4" s="19" t="str">
        <f>IFERROR(__xludf.DUMMYFUNCTION("""COMPUTED_VALUE"""),"Tổng số")</f>
        <v>Tổng số</v>
      </c>
      <c r="N4" s="20" t="str">
        <f>IFERROR(__xludf.DUMMYFUNCTION("""COMPUTED_VALUE"""),"Trong đó")</f>
        <v>Trong đó</v>
      </c>
      <c r="O4" s="21"/>
      <c r="P4" s="22"/>
      <c r="Q4" s="19" t="str">
        <f>IFERROR(__xludf.DUMMYFUNCTION("""COMPUTED_VALUE"""),"Tổng số")</f>
        <v>Tổng số</v>
      </c>
      <c r="R4" s="20" t="str">
        <f>IFERROR(__xludf.DUMMYFUNCTION("""COMPUTED_VALUE"""),"Trong đó")</f>
        <v>Trong đó</v>
      </c>
      <c r="S4" s="21"/>
      <c r="T4" s="22"/>
      <c r="U4" s="19" t="str">
        <f>IFERROR(__xludf.DUMMYFUNCTION("""COMPUTED_VALUE"""),"Tổng số")</f>
        <v>Tổng số</v>
      </c>
      <c r="V4" s="20" t="str">
        <f>IFERROR(__xludf.DUMMYFUNCTION("""COMPUTED_VALUE"""),"Trong đó")</f>
        <v>Trong đó</v>
      </c>
      <c r="W4" s="21"/>
      <c r="X4" s="22"/>
      <c r="Y4" s="19" t="str">
        <f>IFERROR(__xludf.DUMMYFUNCTION("""COMPUTED_VALUE"""),"Tổng số")</f>
        <v>Tổng số</v>
      </c>
      <c r="Z4" s="20" t="str">
        <f>IFERROR(__xludf.DUMMYFUNCTION("""COMPUTED_VALUE"""),"Trong đó")</f>
        <v>Trong đó</v>
      </c>
      <c r="AA4" s="21"/>
      <c r="AB4" s="22"/>
      <c r="AC4" s="19" t="str">
        <f>IFERROR(__xludf.DUMMYFUNCTION("""COMPUTED_VALUE"""),"Tổng số")</f>
        <v>Tổng số</v>
      </c>
      <c r="AD4" s="20" t="str">
        <f>IFERROR(__xludf.DUMMYFUNCTION("""COMPUTED_VALUE"""),"Trong đó")</f>
        <v>Trong đó</v>
      </c>
      <c r="AE4" s="21"/>
      <c r="AF4" s="22"/>
      <c r="AG4" s="19" t="str">
        <f>IFERROR(__xludf.DUMMYFUNCTION("""COMPUTED_VALUE"""),"Tổng số")</f>
        <v>Tổng số</v>
      </c>
      <c r="AH4" s="20" t="str">
        <f>IFERROR(__xludf.DUMMYFUNCTION("""COMPUTED_VALUE"""),"Trong đó")</f>
        <v>Trong đó</v>
      </c>
      <c r="AI4" s="21"/>
      <c r="AJ4" s="22"/>
      <c r="AK4" s="19" t="str">
        <f>IFERROR(__xludf.DUMMYFUNCTION("""COMPUTED_VALUE"""),"Tổng số")</f>
        <v>Tổng số</v>
      </c>
      <c r="AL4" s="20" t="str">
        <f>IFERROR(__xludf.DUMMYFUNCTION("""COMPUTED_VALUE"""),"Trong đó")</f>
        <v>Trong đó</v>
      </c>
      <c r="AM4" s="21"/>
      <c r="AN4" s="22"/>
      <c r="AO4" s="19" t="str">
        <f>IFERROR(__xludf.DUMMYFUNCTION("""COMPUTED_VALUE"""),"Tổng số")</f>
        <v>Tổng số</v>
      </c>
      <c r="AP4" s="20" t="str">
        <f>IFERROR(__xludf.DUMMYFUNCTION("""COMPUTED_VALUE"""),"Trong đó")</f>
        <v>Trong đó</v>
      </c>
      <c r="AQ4" s="21"/>
      <c r="AR4" s="22"/>
      <c r="AS4" s="19" t="str">
        <f>IFERROR(__xludf.DUMMYFUNCTION("""COMPUTED_VALUE"""),"Tổng số")</f>
        <v>Tổng số</v>
      </c>
      <c r="AT4" s="20" t="str">
        <f>IFERROR(__xludf.DUMMYFUNCTION("""COMPUTED_VALUE"""),"Trong đó")</f>
        <v>Trong đó</v>
      </c>
      <c r="AU4" s="21"/>
      <c r="AV4" s="22"/>
      <c r="AW4" s="19" t="str">
        <f>IFERROR(__xludf.DUMMYFUNCTION("""COMPUTED_VALUE"""),"Tổng số")</f>
        <v>Tổng số</v>
      </c>
      <c r="AX4" s="20" t="str">
        <f>IFERROR(__xludf.DUMMYFUNCTION("""COMPUTED_VALUE"""),"Trong đó")</f>
        <v>Trong đó</v>
      </c>
      <c r="AY4" s="21"/>
      <c r="AZ4" s="23"/>
      <c r="BA4" s="194"/>
    </row>
    <row r="5" ht="14.25" customHeight="1">
      <c r="A5" s="6"/>
      <c r="B5" s="24"/>
      <c r="C5" s="25"/>
      <c r="D5" s="25"/>
      <c r="E5" s="25"/>
      <c r="F5" s="26" t="str">
        <f>IFERROR(__xludf.DUMMYFUNCTION("""COMPUTED_VALUE"""),"Công lập")</f>
        <v>Công lập</v>
      </c>
      <c r="G5" s="26" t="str">
        <f>IFERROR(__xludf.DUMMYFUNCTION("""COMPUTED_VALUE"""),"Dân lập")</f>
        <v>Dân lập</v>
      </c>
      <c r="H5" s="26" t="str">
        <f>IFERROR(__xludf.DUMMYFUNCTION("""COMPUTED_VALUE"""),"Tư thục")</f>
        <v>Tư thục</v>
      </c>
      <c r="I5" s="25"/>
      <c r="J5" s="26" t="str">
        <f>IFERROR(__xludf.DUMMYFUNCTION("""COMPUTED_VALUE"""),"Công lập")</f>
        <v>Công lập</v>
      </c>
      <c r="K5" s="26" t="str">
        <f>IFERROR(__xludf.DUMMYFUNCTION("""COMPUTED_VALUE"""),"Dân lập")</f>
        <v>Dân lập</v>
      </c>
      <c r="L5" s="26" t="str">
        <f>IFERROR(__xludf.DUMMYFUNCTION("""COMPUTED_VALUE"""),"Tư thục")</f>
        <v>Tư thục</v>
      </c>
      <c r="M5" s="25"/>
      <c r="N5" s="26" t="str">
        <f>IFERROR(__xludf.DUMMYFUNCTION("""COMPUTED_VALUE"""),"Công lập")</f>
        <v>Công lập</v>
      </c>
      <c r="O5" s="26" t="str">
        <f>IFERROR(__xludf.DUMMYFUNCTION("""COMPUTED_VALUE"""),"Dân lập")</f>
        <v>Dân lập</v>
      </c>
      <c r="P5" s="26" t="str">
        <f>IFERROR(__xludf.DUMMYFUNCTION("""COMPUTED_VALUE"""),"Tư thục")</f>
        <v>Tư thục</v>
      </c>
      <c r="Q5" s="25"/>
      <c r="R5" s="26" t="str">
        <f>IFERROR(__xludf.DUMMYFUNCTION("""COMPUTED_VALUE"""),"Công lập")</f>
        <v>Công lập</v>
      </c>
      <c r="S5" s="26" t="str">
        <f>IFERROR(__xludf.DUMMYFUNCTION("""COMPUTED_VALUE"""),"Dân lập")</f>
        <v>Dân lập</v>
      </c>
      <c r="T5" s="26" t="str">
        <f>IFERROR(__xludf.DUMMYFUNCTION("""COMPUTED_VALUE"""),"Tư thục")</f>
        <v>Tư thục</v>
      </c>
      <c r="U5" s="25"/>
      <c r="V5" s="26" t="str">
        <f>IFERROR(__xludf.DUMMYFUNCTION("""COMPUTED_VALUE"""),"Công lập")</f>
        <v>Công lập</v>
      </c>
      <c r="W5" s="26" t="str">
        <f>IFERROR(__xludf.DUMMYFUNCTION("""COMPUTED_VALUE"""),"Dân lập")</f>
        <v>Dân lập</v>
      </c>
      <c r="X5" s="26" t="str">
        <f>IFERROR(__xludf.DUMMYFUNCTION("""COMPUTED_VALUE"""),"Tư thục")</f>
        <v>Tư thục</v>
      </c>
      <c r="Y5" s="25"/>
      <c r="Z5" s="26" t="str">
        <f>IFERROR(__xludf.DUMMYFUNCTION("""COMPUTED_VALUE"""),"Công lập")</f>
        <v>Công lập</v>
      </c>
      <c r="AA5" s="26" t="str">
        <f>IFERROR(__xludf.DUMMYFUNCTION("""COMPUTED_VALUE"""),"Dân lập")</f>
        <v>Dân lập</v>
      </c>
      <c r="AB5" s="26" t="str">
        <f>IFERROR(__xludf.DUMMYFUNCTION("""COMPUTED_VALUE"""),"Tư thục")</f>
        <v>Tư thục</v>
      </c>
      <c r="AC5" s="25"/>
      <c r="AD5" s="26" t="str">
        <f>IFERROR(__xludf.DUMMYFUNCTION("""COMPUTED_VALUE"""),"Công lập")</f>
        <v>Công lập</v>
      </c>
      <c r="AE5" s="26" t="str">
        <f>IFERROR(__xludf.DUMMYFUNCTION("""COMPUTED_VALUE"""),"Dân lập")</f>
        <v>Dân lập</v>
      </c>
      <c r="AF5" s="26" t="str">
        <f>IFERROR(__xludf.DUMMYFUNCTION("""COMPUTED_VALUE"""),"Tư thục")</f>
        <v>Tư thục</v>
      </c>
      <c r="AG5" s="25"/>
      <c r="AH5" s="26" t="str">
        <f>IFERROR(__xludf.DUMMYFUNCTION("""COMPUTED_VALUE"""),"Công lập")</f>
        <v>Công lập</v>
      </c>
      <c r="AI5" s="26" t="str">
        <f>IFERROR(__xludf.DUMMYFUNCTION("""COMPUTED_VALUE"""),"Dân lập")</f>
        <v>Dân lập</v>
      </c>
      <c r="AJ5" s="26" t="str">
        <f>IFERROR(__xludf.DUMMYFUNCTION("""COMPUTED_VALUE"""),"Tư thục")</f>
        <v>Tư thục</v>
      </c>
      <c r="AK5" s="25"/>
      <c r="AL5" s="26" t="str">
        <f>IFERROR(__xludf.DUMMYFUNCTION("""COMPUTED_VALUE"""),"Công lập")</f>
        <v>Công lập</v>
      </c>
      <c r="AM5" s="26" t="str">
        <f>IFERROR(__xludf.DUMMYFUNCTION("""COMPUTED_VALUE"""),"Dân lập")</f>
        <v>Dân lập</v>
      </c>
      <c r="AN5" s="26" t="str">
        <f>IFERROR(__xludf.DUMMYFUNCTION("""COMPUTED_VALUE"""),"Tư thục")</f>
        <v>Tư thục</v>
      </c>
      <c r="AO5" s="25"/>
      <c r="AP5" s="26" t="str">
        <f>IFERROR(__xludf.DUMMYFUNCTION("""COMPUTED_VALUE"""),"Công lập")</f>
        <v>Công lập</v>
      </c>
      <c r="AQ5" s="26" t="str">
        <f>IFERROR(__xludf.DUMMYFUNCTION("""COMPUTED_VALUE"""),"Dân lập")</f>
        <v>Dân lập</v>
      </c>
      <c r="AR5" s="26" t="str">
        <f>IFERROR(__xludf.DUMMYFUNCTION("""COMPUTED_VALUE"""),"Tư thục")</f>
        <v>Tư thục</v>
      </c>
      <c r="AS5" s="25"/>
      <c r="AT5" s="26" t="str">
        <f>IFERROR(__xludf.DUMMYFUNCTION("""COMPUTED_VALUE"""),"Công lập")</f>
        <v>Công lập</v>
      </c>
      <c r="AU5" s="26" t="str">
        <f>IFERROR(__xludf.DUMMYFUNCTION("""COMPUTED_VALUE"""),"Dân lập")</f>
        <v>Dân lập</v>
      </c>
      <c r="AV5" s="26" t="str">
        <f>IFERROR(__xludf.DUMMYFUNCTION("""COMPUTED_VALUE"""),"Tư thục")</f>
        <v>Tư thục</v>
      </c>
      <c r="AW5" s="25"/>
      <c r="AX5" s="26" t="str">
        <f>IFERROR(__xludf.DUMMYFUNCTION("""COMPUTED_VALUE"""),"Công lập")</f>
        <v>Công lập</v>
      </c>
      <c r="AY5" s="26" t="str">
        <f>IFERROR(__xludf.DUMMYFUNCTION("""COMPUTED_VALUE"""),"Dân lập")</f>
        <v>Dân lập</v>
      </c>
      <c r="AZ5" s="27" t="str">
        <f>IFERROR(__xludf.DUMMYFUNCTION("""COMPUTED_VALUE"""),"Tư thục")</f>
        <v>Tư thục</v>
      </c>
      <c r="BA5" s="194"/>
    </row>
    <row r="6" ht="13.5" customHeight="1">
      <c r="A6" s="6"/>
      <c r="B6" s="28" t="str">
        <f>IFERROR(__xludf.DUMMYFUNCTION("""COMPUTED_VALUE"""),"A")</f>
        <v>A</v>
      </c>
      <c r="C6" s="26" t="str">
        <f>IFERROR(__xludf.DUMMYFUNCTION("""COMPUTED_VALUE"""),"B")</f>
        <v>B</v>
      </c>
      <c r="D6" s="26" t="str">
        <f>IFERROR(__xludf.DUMMYFUNCTION("""COMPUTED_VALUE"""),"C")</f>
        <v>C</v>
      </c>
      <c r="E6" s="26" t="str">
        <f>IFERROR(__xludf.DUMMYFUNCTION("""COMPUTED_VALUE"""),"1=2+3+4")</f>
        <v>1=2+3+4</v>
      </c>
      <c r="F6" s="26">
        <f>IFERROR(__xludf.DUMMYFUNCTION("""COMPUTED_VALUE"""),2.0)</f>
        <v>2</v>
      </c>
      <c r="G6" s="26">
        <f>IFERROR(__xludf.DUMMYFUNCTION("""COMPUTED_VALUE"""),3.0)</f>
        <v>3</v>
      </c>
      <c r="H6" s="26">
        <f>IFERROR(__xludf.DUMMYFUNCTION("""COMPUTED_VALUE"""),4.0)</f>
        <v>4</v>
      </c>
      <c r="I6" s="26" t="str">
        <f>IFERROR(__xludf.DUMMYFUNCTION("""COMPUTED_VALUE"""),"1=2+3+4")</f>
        <v>1=2+3+4</v>
      </c>
      <c r="J6" s="26">
        <f>IFERROR(__xludf.DUMMYFUNCTION("""COMPUTED_VALUE"""),2.0)</f>
        <v>2</v>
      </c>
      <c r="K6" s="26">
        <f>IFERROR(__xludf.DUMMYFUNCTION("""COMPUTED_VALUE"""),3.0)</f>
        <v>3</v>
      </c>
      <c r="L6" s="26">
        <f>IFERROR(__xludf.DUMMYFUNCTION("""COMPUTED_VALUE"""),4.0)</f>
        <v>4</v>
      </c>
      <c r="M6" s="26" t="str">
        <f>IFERROR(__xludf.DUMMYFUNCTION("""COMPUTED_VALUE"""),"1=2+3+4")</f>
        <v>1=2+3+4</v>
      </c>
      <c r="N6" s="26">
        <f>IFERROR(__xludf.DUMMYFUNCTION("""COMPUTED_VALUE"""),2.0)</f>
        <v>2</v>
      </c>
      <c r="O6" s="26">
        <f>IFERROR(__xludf.DUMMYFUNCTION("""COMPUTED_VALUE"""),3.0)</f>
        <v>3</v>
      </c>
      <c r="P6" s="26">
        <f>IFERROR(__xludf.DUMMYFUNCTION("""COMPUTED_VALUE"""),4.0)</f>
        <v>4</v>
      </c>
      <c r="Q6" s="26" t="str">
        <f>IFERROR(__xludf.DUMMYFUNCTION("""COMPUTED_VALUE"""),"1=2+3+4")</f>
        <v>1=2+3+4</v>
      </c>
      <c r="R6" s="26">
        <f>IFERROR(__xludf.DUMMYFUNCTION("""COMPUTED_VALUE"""),2.0)</f>
        <v>2</v>
      </c>
      <c r="S6" s="26">
        <f>IFERROR(__xludf.DUMMYFUNCTION("""COMPUTED_VALUE"""),3.0)</f>
        <v>3</v>
      </c>
      <c r="T6" s="26">
        <f>IFERROR(__xludf.DUMMYFUNCTION("""COMPUTED_VALUE"""),4.0)</f>
        <v>4</v>
      </c>
      <c r="U6" s="26" t="str">
        <f>IFERROR(__xludf.DUMMYFUNCTION("""COMPUTED_VALUE"""),"1=2+3+4")</f>
        <v>1=2+3+4</v>
      </c>
      <c r="V6" s="26">
        <f>IFERROR(__xludf.DUMMYFUNCTION("""COMPUTED_VALUE"""),2.0)</f>
        <v>2</v>
      </c>
      <c r="W6" s="26">
        <f>IFERROR(__xludf.DUMMYFUNCTION("""COMPUTED_VALUE"""),3.0)</f>
        <v>3</v>
      </c>
      <c r="X6" s="26">
        <f>IFERROR(__xludf.DUMMYFUNCTION("""COMPUTED_VALUE"""),4.0)</f>
        <v>4</v>
      </c>
      <c r="Y6" s="26" t="str">
        <f>IFERROR(__xludf.DUMMYFUNCTION("""COMPUTED_VALUE"""),"1=2+3+4")</f>
        <v>1=2+3+4</v>
      </c>
      <c r="Z6" s="26">
        <f>IFERROR(__xludf.DUMMYFUNCTION("""COMPUTED_VALUE"""),2.0)</f>
        <v>2</v>
      </c>
      <c r="AA6" s="26">
        <f>IFERROR(__xludf.DUMMYFUNCTION("""COMPUTED_VALUE"""),3.0)</f>
        <v>3</v>
      </c>
      <c r="AB6" s="26">
        <f>IFERROR(__xludf.DUMMYFUNCTION("""COMPUTED_VALUE"""),4.0)</f>
        <v>4</v>
      </c>
      <c r="AC6" s="26" t="str">
        <f>IFERROR(__xludf.DUMMYFUNCTION("""COMPUTED_VALUE"""),"1=2+3+4")</f>
        <v>1=2+3+4</v>
      </c>
      <c r="AD6" s="26">
        <f>IFERROR(__xludf.DUMMYFUNCTION("""COMPUTED_VALUE"""),2.0)</f>
        <v>2</v>
      </c>
      <c r="AE6" s="26">
        <f>IFERROR(__xludf.DUMMYFUNCTION("""COMPUTED_VALUE"""),3.0)</f>
        <v>3</v>
      </c>
      <c r="AF6" s="26">
        <f>IFERROR(__xludf.DUMMYFUNCTION("""COMPUTED_VALUE"""),4.0)</f>
        <v>4</v>
      </c>
      <c r="AG6" s="26" t="str">
        <f>IFERROR(__xludf.DUMMYFUNCTION("""COMPUTED_VALUE"""),"1=2+3+4")</f>
        <v>1=2+3+4</v>
      </c>
      <c r="AH6" s="26">
        <f>IFERROR(__xludf.DUMMYFUNCTION("""COMPUTED_VALUE"""),2.0)</f>
        <v>2</v>
      </c>
      <c r="AI6" s="26">
        <f>IFERROR(__xludf.DUMMYFUNCTION("""COMPUTED_VALUE"""),3.0)</f>
        <v>3</v>
      </c>
      <c r="AJ6" s="26">
        <f>IFERROR(__xludf.DUMMYFUNCTION("""COMPUTED_VALUE"""),4.0)</f>
        <v>4</v>
      </c>
      <c r="AK6" s="26" t="str">
        <f>IFERROR(__xludf.DUMMYFUNCTION("""COMPUTED_VALUE"""),"1=2+3+4")</f>
        <v>1=2+3+4</v>
      </c>
      <c r="AL6" s="26">
        <f>IFERROR(__xludf.DUMMYFUNCTION("""COMPUTED_VALUE"""),2.0)</f>
        <v>2</v>
      </c>
      <c r="AM6" s="26">
        <f>IFERROR(__xludf.DUMMYFUNCTION("""COMPUTED_VALUE"""),3.0)</f>
        <v>3</v>
      </c>
      <c r="AN6" s="26">
        <f>IFERROR(__xludf.DUMMYFUNCTION("""COMPUTED_VALUE"""),4.0)</f>
        <v>4</v>
      </c>
      <c r="AO6" s="26" t="str">
        <f>IFERROR(__xludf.DUMMYFUNCTION("""COMPUTED_VALUE"""),"1=2+3+4")</f>
        <v>1=2+3+4</v>
      </c>
      <c r="AP6" s="26">
        <f>IFERROR(__xludf.DUMMYFUNCTION("""COMPUTED_VALUE"""),2.0)</f>
        <v>2</v>
      </c>
      <c r="AQ6" s="26">
        <f>IFERROR(__xludf.DUMMYFUNCTION("""COMPUTED_VALUE"""),3.0)</f>
        <v>3</v>
      </c>
      <c r="AR6" s="26">
        <f>IFERROR(__xludf.DUMMYFUNCTION("""COMPUTED_VALUE"""),4.0)</f>
        <v>4</v>
      </c>
      <c r="AS6" s="26" t="str">
        <f>IFERROR(__xludf.DUMMYFUNCTION("""COMPUTED_VALUE"""),"1=2+3+4")</f>
        <v>1=2+3+4</v>
      </c>
      <c r="AT6" s="26">
        <f>IFERROR(__xludf.DUMMYFUNCTION("""COMPUTED_VALUE"""),2.0)</f>
        <v>2</v>
      </c>
      <c r="AU6" s="26">
        <f>IFERROR(__xludf.DUMMYFUNCTION("""COMPUTED_VALUE"""),3.0)</f>
        <v>3</v>
      </c>
      <c r="AV6" s="26">
        <f>IFERROR(__xludf.DUMMYFUNCTION("""COMPUTED_VALUE"""),4.0)</f>
        <v>4</v>
      </c>
      <c r="AW6" s="26" t="str">
        <f>IFERROR(__xludf.DUMMYFUNCTION("""COMPUTED_VALUE"""),"1=2+3+4")</f>
        <v>1=2+3+4</v>
      </c>
      <c r="AX6" s="26">
        <f>IFERROR(__xludf.DUMMYFUNCTION("""COMPUTED_VALUE"""),2.0)</f>
        <v>2</v>
      </c>
      <c r="AY6" s="26">
        <f>IFERROR(__xludf.DUMMYFUNCTION("""COMPUTED_VALUE"""),3.0)</f>
        <v>3</v>
      </c>
      <c r="AZ6" s="27">
        <f>IFERROR(__xludf.DUMMYFUNCTION("""COMPUTED_VALUE"""),4.0)</f>
        <v>4</v>
      </c>
      <c r="BA6" s="194"/>
    </row>
    <row r="7" ht="15.75" customHeight="1">
      <c r="A7" s="29"/>
      <c r="B7" s="30" t="str">
        <f>IFERROR(__xludf.DUMMYFUNCTION("""COMPUTED_VALUE"""),"1. TRƯỜNG")</f>
        <v>1. TRƯỜNG</v>
      </c>
      <c r="C7" s="31" t="str">
        <f>IFERROR(__xludf.DUMMYFUNCTION("""COMPUTED_VALUE"""),"Tháng")</f>
        <v>Tháng</v>
      </c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3"/>
      <c r="BA7" s="195"/>
    </row>
    <row r="8" ht="15.75" customHeight="1">
      <c r="A8" s="29"/>
      <c r="B8" s="196" t="str">
        <f>IFERROR(__xludf.DUMMYFUNCTION("""COMPUTED_VALUE"""),"1.1. Tổng số")</f>
        <v>1.1. Tổng số</v>
      </c>
      <c r="C8" s="57"/>
      <c r="D8" s="57" t="str">
        <f>IFERROR(__xludf.DUMMYFUNCTION("""COMPUTED_VALUE"""),"Trường")</f>
        <v>Trường</v>
      </c>
      <c r="E8" s="125">
        <f>IFERROR(__xludf.DUMMYFUNCTION("""COMPUTED_VALUE"""),200.0)</f>
        <v>200</v>
      </c>
      <c r="F8" s="201">
        <f>IFERROR(__xludf.DUMMYFUNCTION("""COMPUTED_VALUE"""),198.0)</f>
        <v>198</v>
      </c>
      <c r="G8" s="201">
        <f>IFERROR(__xludf.DUMMYFUNCTION("""COMPUTED_VALUE"""),2.0)</f>
        <v>2</v>
      </c>
      <c r="H8" s="201">
        <f>IFERROR(__xludf.DUMMYFUNCTION("""COMPUTED_VALUE"""),0.0)</f>
        <v>0</v>
      </c>
      <c r="I8" s="125">
        <f>IFERROR(__xludf.DUMMYFUNCTION("""COMPUTED_VALUE"""),199.0)</f>
        <v>199</v>
      </c>
      <c r="J8" s="201">
        <f>IFERROR(__xludf.DUMMYFUNCTION("""COMPUTED_VALUE"""),197.0)</f>
        <v>197</v>
      </c>
      <c r="K8" s="201">
        <f>IFERROR(__xludf.DUMMYFUNCTION("""COMPUTED_VALUE"""),2.0)</f>
        <v>2</v>
      </c>
      <c r="L8" s="201">
        <f>IFERROR(__xludf.DUMMYFUNCTION("""COMPUTED_VALUE"""),0.0)</f>
        <v>0</v>
      </c>
      <c r="M8" s="125">
        <f>IFERROR(__xludf.DUMMYFUNCTION("""COMPUTED_VALUE"""),198.0)</f>
        <v>198</v>
      </c>
      <c r="N8" s="201">
        <f>IFERROR(__xludf.DUMMYFUNCTION("""COMPUTED_VALUE"""),196.0)</f>
        <v>196</v>
      </c>
      <c r="O8" s="201">
        <f>IFERROR(__xludf.DUMMYFUNCTION("""COMPUTED_VALUE"""),2.0)</f>
        <v>2</v>
      </c>
      <c r="P8" s="201">
        <f>IFERROR(__xludf.DUMMYFUNCTION("""COMPUTED_VALUE"""),0.0)</f>
        <v>0</v>
      </c>
      <c r="Q8" s="125">
        <f>IFERROR(__xludf.DUMMYFUNCTION("""COMPUTED_VALUE"""),184.0)</f>
        <v>184</v>
      </c>
      <c r="R8" s="201">
        <f>IFERROR(__xludf.DUMMYFUNCTION("""COMPUTED_VALUE"""),182.0)</f>
        <v>182</v>
      </c>
      <c r="S8" s="201">
        <f>IFERROR(__xludf.DUMMYFUNCTION("""COMPUTED_VALUE"""),2.0)</f>
        <v>2</v>
      </c>
      <c r="T8" s="201">
        <f>IFERROR(__xludf.DUMMYFUNCTION("""COMPUTED_VALUE"""),0.0)</f>
        <v>0</v>
      </c>
      <c r="U8" s="125">
        <f>IFERROR(__xludf.DUMMYFUNCTION("""COMPUTED_VALUE"""),184.0)</f>
        <v>184</v>
      </c>
      <c r="V8" s="201">
        <f>IFERROR(__xludf.DUMMYFUNCTION("""COMPUTED_VALUE"""),182.0)</f>
        <v>182</v>
      </c>
      <c r="W8" s="201">
        <f>IFERROR(__xludf.DUMMYFUNCTION("""COMPUTED_VALUE"""),2.0)</f>
        <v>2</v>
      </c>
      <c r="X8" s="201">
        <f>IFERROR(__xludf.DUMMYFUNCTION("""COMPUTED_VALUE"""),0.0)</f>
        <v>0</v>
      </c>
      <c r="Y8" s="125">
        <f>IFERROR(__xludf.DUMMYFUNCTION("""COMPUTED_VALUE"""),184.0)</f>
        <v>184</v>
      </c>
      <c r="Z8" s="201">
        <f>IFERROR(__xludf.DUMMYFUNCTION("""COMPUTED_VALUE"""),182.0)</f>
        <v>182</v>
      </c>
      <c r="AA8" s="201">
        <f>IFERROR(__xludf.DUMMYFUNCTION("""COMPUTED_VALUE"""),2.0)</f>
        <v>2</v>
      </c>
      <c r="AB8" s="201">
        <f>IFERROR(__xludf.DUMMYFUNCTION("""COMPUTED_VALUE"""),0.0)</f>
        <v>0</v>
      </c>
      <c r="AC8" s="125">
        <f>IFERROR(__xludf.DUMMYFUNCTION("""COMPUTED_VALUE"""),171.0)</f>
        <v>171</v>
      </c>
      <c r="AD8" s="201">
        <f>IFERROR(__xludf.DUMMYFUNCTION("""COMPUTED_VALUE"""),169.0)</f>
        <v>169</v>
      </c>
      <c r="AE8" s="201">
        <f>IFERROR(__xludf.DUMMYFUNCTION("""COMPUTED_VALUE"""),2.0)</f>
        <v>2</v>
      </c>
      <c r="AF8" s="201">
        <f>IFERROR(__xludf.DUMMYFUNCTION("""COMPUTED_VALUE"""),0.0)</f>
        <v>0</v>
      </c>
      <c r="AG8" s="125">
        <f>IFERROR(__xludf.DUMMYFUNCTION("""COMPUTED_VALUE"""),0.0)</f>
        <v>0</v>
      </c>
      <c r="AH8" s="201">
        <f>IFERROR(__xludf.DUMMYFUNCTION("""COMPUTED_VALUE"""),0.0)</f>
        <v>0</v>
      </c>
      <c r="AI8" s="201">
        <f>IFERROR(__xludf.DUMMYFUNCTION("""COMPUTED_VALUE"""),0.0)</f>
        <v>0</v>
      </c>
      <c r="AJ8" s="201">
        <f>IFERROR(__xludf.DUMMYFUNCTION("""COMPUTED_VALUE"""),0.0)</f>
        <v>0</v>
      </c>
      <c r="AK8" s="125">
        <f>IFERROR(__xludf.DUMMYFUNCTION("""COMPUTED_VALUE"""),0.0)</f>
        <v>0</v>
      </c>
      <c r="AL8" s="201">
        <f>IFERROR(__xludf.DUMMYFUNCTION("""COMPUTED_VALUE"""),0.0)</f>
        <v>0</v>
      </c>
      <c r="AM8" s="201">
        <f>IFERROR(__xludf.DUMMYFUNCTION("""COMPUTED_VALUE"""),0.0)</f>
        <v>0</v>
      </c>
      <c r="AN8" s="201">
        <f>IFERROR(__xludf.DUMMYFUNCTION("""COMPUTED_VALUE"""),0.0)</f>
        <v>0</v>
      </c>
      <c r="AO8" s="125">
        <f>IFERROR(__xludf.DUMMYFUNCTION("""COMPUTED_VALUE"""),0.0)</f>
        <v>0</v>
      </c>
      <c r="AP8" s="201">
        <f>IFERROR(__xludf.DUMMYFUNCTION("""COMPUTED_VALUE"""),0.0)</f>
        <v>0</v>
      </c>
      <c r="AQ8" s="201">
        <f>IFERROR(__xludf.DUMMYFUNCTION("""COMPUTED_VALUE"""),0.0)</f>
        <v>0</v>
      </c>
      <c r="AR8" s="201">
        <f>IFERROR(__xludf.DUMMYFUNCTION("""COMPUTED_VALUE"""),0.0)</f>
        <v>0</v>
      </c>
      <c r="AS8" s="125">
        <f>IFERROR(__xludf.DUMMYFUNCTION("""COMPUTED_VALUE"""),0.0)</f>
        <v>0</v>
      </c>
      <c r="AT8" s="201">
        <f>IFERROR(__xludf.DUMMYFUNCTION("""COMPUTED_VALUE"""),0.0)</f>
        <v>0</v>
      </c>
      <c r="AU8" s="201">
        <f>IFERROR(__xludf.DUMMYFUNCTION("""COMPUTED_VALUE"""),0.0)</f>
        <v>0</v>
      </c>
      <c r="AV8" s="201">
        <f>IFERROR(__xludf.DUMMYFUNCTION("""COMPUTED_VALUE"""),0.0)</f>
        <v>0</v>
      </c>
      <c r="AW8" s="125">
        <f>IFERROR(__xludf.DUMMYFUNCTION("""COMPUTED_VALUE"""),0.0)</f>
        <v>0</v>
      </c>
      <c r="AX8" s="201">
        <f>IFERROR(__xludf.DUMMYFUNCTION("""COMPUTED_VALUE"""),0.0)</f>
        <v>0</v>
      </c>
      <c r="AY8" s="201">
        <f>IFERROR(__xludf.DUMMYFUNCTION("""COMPUTED_VALUE"""),0.0)</f>
        <v>0</v>
      </c>
      <c r="AZ8" s="202">
        <f>IFERROR(__xludf.DUMMYFUNCTION("""COMPUTED_VALUE"""),0.0)</f>
        <v>0</v>
      </c>
      <c r="BA8" s="195"/>
    </row>
    <row r="9" ht="15.75" customHeight="1">
      <c r="A9" s="29"/>
      <c r="B9" s="48" t="str">
        <f>IFERROR(__xludf.DUMMYFUNCTION("""COMPUTED_VALUE"""),"Trong tổng số có:")</f>
        <v>Trong tổng số có:</v>
      </c>
      <c r="C9" s="49"/>
      <c r="D9" s="3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50"/>
      <c r="BA9" s="195"/>
    </row>
    <row r="10" ht="15.75" customHeight="1">
      <c r="A10" s="29"/>
      <c r="B10" s="67" t="str">
        <f>IFERROR(__xludf.DUMMYFUNCTION("""COMPUTED_VALUE"""),"1.2. Số trường có điểm lẻ")</f>
        <v>1.2. Số trường có điểm lẻ</v>
      </c>
      <c r="C10" s="31"/>
      <c r="D10" s="31" t="str">
        <f>IFERROR(__xludf.DUMMYFUNCTION("""COMPUTED_VALUE"""),"Trường")</f>
        <v>Trường</v>
      </c>
      <c r="E10" s="41">
        <f>IFERROR(__xludf.DUMMYFUNCTION("""COMPUTED_VALUE"""),123.0)</f>
        <v>123</v>
      </c>
      <c r="F10" s="197">
        <f>IFERROR(__xludf.DUMMYFUNCTION("""COMPUTED_VALUE"""),123.0)</f>
        <v>123</v>
      </c>
      <c r="G10" s="197">
        <f>IFERROR(__xludf.DUMMYFUNCTION("""COMPUTED_VALUE"""),0.0)</f>
        <v>0</v>
      </c>
      <c r="H10" s="197">
        <f>IFERROR(__xludf.DUMMYFUNCTION("""COMPUTED_VALUE"""),0.0)</f>
        <v>0</v>
      </c>
      <c r="I10" s="41">
        <f>IFERROR(__xludf.DUMMYFUNCTION("""COMPUTED_VALUE"""),122.0)</f>
        <v>122</v>
      </c>
      <c r="J10" s="197">
        <f>IFERROR(__xludf.DUMMYFUNCTION("""COMPUTED_VALUE"""),122.0)</f>
        <v>122</v>
      </c>
      <c r="K10" s="197">
        <f>IFERROR(__xludf.DUMMYFUNCTION("""COMPUTED_VALUE"""),0.0)</f>
        <v>0</v>
      </c>
      <c r="L10" s="197">
        <f>IFERROR(__xludf.DUMMYFUNCTION("""COMPUTED_VALUE"""),0.0)</f>
        <v>0</v>
      </c>
      <c r="M10" s="41">
        <f>IFERROR(__xludf.DUMMYFUNCTION("""COMPUTED_VALUE"""),122.0)</f>
        <v>122</v>
      </c>
      <c r="N10" s="197">
        <f>IFERROR(__xludf.DUMMYFUNCTION("""COMPUTED_VALUE"""),122.0)</f>
        <v>122</v>
      </c>
      <c r="O10" s="197">
        <f>IFERROR(__xludf.DUMMYFUNCTION("""COMPUTED_VALUE"""),0.0)</f>
        <v>0</v>
      </c>
      <c r="P10" s="197">
        <f>IFERROR(__xludf.DUMMYFUNCTION("""COMPUTED_VALUE"""),0.0)</f>
        <v>0</v>
      </c>
      <c r="Q10" s="41">
        <f>IFERROR(__xludf.DUMMYFUNCTION("""COMPUTED_VALUE"""),122.0)</f>
        <v>122</v>
      </c>
      <c r="R10" s="197">
        <f>IFERROR(__xludf.DUMMYFUNCTION("""COMPUTED_VALUE"""),122.0)</f>
        <v>122</v>
      </c>
      <c r="S10" s="197">
        <f>IFERROR(__xludf.DUMMYFUNCTION("""COMPUTED_VALUE"""),0.0)</f>
        <v>0</v>
      </c>
      <c r="T10" s="197">
        <f>IFERROR(__xludf.DUMMYFUNCTION("""COMPUTED_VALUE"""),0.0)</f>
        <v>0</v>
      </c>
      <c r="U10" s="41">
        <f>IFERROR(__xludf.DUMMYFUNCTION("""COMPUTED_VALUE"""),122.0)</f>
        <v>122</v>
      </c>
      <c r="V10" s="197">
        <f>IFERROR(__xludf.DUMMYFUNCTION("""COMPUTED_VALUE"""),122.0)</f>
        <v>122</v>
      </c>
      <c r="W10" s="197">
        <f>IFERROR(__xludf.DUMMYFUNCTION("""COMPUTED_VALUE"""),0.0)</f>
        <v>0</v>
      </c>
      <c r="X10" s="197">
        <f>IFERROR(__xludf.DUMMYFUNCTION("""COMPUTED_VALUE"""),0.0)</f>
        <v>0</v>
      </c>
      <c r="Y10" s="41">
        <f>IFERROR(__xludf.DUMMYFUNCTION("""COMPUTED_VALUE"""),122.0)</f>
        <v>122</v>
      </c>
      <c r="Z10" s="197">
        <f>IFERROR(__xludf.DUMMYFUNCTION("""COMPUTED_VALUE"""),122.0)</f>
        <v>122</v>
      </c>
      <c r="AA10" s="197">
        <f>IFERROR(__xludf.DUMMYFUNCTION("""COMPUTED_VALUE"""),0.0)</f>
        <v>0</v>
      </c>
      <c r="AB10" s="197">
        <f>IFERROR(__xludf.DUMMYFUNCTION("""COMPUTED_VALUE"""),0.0)</f>
        <v>0</v>
      </c>
      <c r="AC10" s="41">
        <f>IFERROR(__xludf.DUMMYFUNCTION("""COMPUTED_VALUE"""),111.0)</f>
        <v>111</v>
      </c>
      <c r="AD10" s="197">
        <f>IFERROR(__xludf.DUMMYFUNCTION("""COMPUTED_VALUE"""),111.0)</f>
        <v>111</v>
      </c>
      <c r="AE10" s="197">
        <f>IFERROR(__xludf.DUMMYFUNCTION("""COMPUTED_VALUE"""),0.0)</f>
        <v>0</v>
      </c>
      <c r="AF10" s="197">
        <f>IFERROR(__xludf.DUMMYFUNCTION("""COMPUTED_VALUE"""),0.0)</f>
        <v>0</v>
      </c>
      <c r="AG10" s="41">
        <f>IFERROR(__xludf.DUMMYFUNCTION("""COMPUTED_VALUE"""),0.0)</f>
        <v>0</v>
      </c>
      <c r="AH10" s="197">
        <f>IFERROR(__xludf.DUMMYFUNCTION("""COMPUTED_VALUE"""),0.0)</f>
        <v>0</v>
      </c>
      <c r="AI10" s="197">
        <f>IFERROR(__xludf.DUMMYFUNCTION("""COMPUTED_VALUE"""),0.0)</f>
        <v>0</v>
      </c>
      <c r="AJ10" s="197">
        <f>IFERROR(__xludf.DUMMYFUNCTION("""COMPUTED_VALUE"""),0.0)</f>
        <v>0</v>
      </c>
      <c r="AK10" s="41">
        <f>IFERROR(__xludf.DUMMYFUNCTION("""COMPUTED_VALUE"""),0.0)</f>
        <v>0</v>
      </c>
      <c r="AL10" s="197">
        <f>IFERROR(__xludf.DUMMYFUNCTION("""COMPUTED_VALUE"""),0.0)</f>
        <v>0</v>
      </c>
      <c r="AM10" s="197">
        <f>IFERROR(__xludf.DUMMYFUNCTION("""COMPUTED_VALUE"""),0.0)</f>
        <v>0</v>
      </c>
      <c r="AN10" s="197">
        <f>IFERROR(__xludf.DUMMYFUNCTION("""COMPUTED_VALUE"""),0.0)</f>
        <v>0</v>
      </c>
      <c r="AO10" s="41">
        <f>IFERROR(__xludf.DUMMYFUNCTION("""COMPUTED_VALUE"""),0.0)</f>
        <v>0</v>
      </c>
      <c r="AP10" s="197">
        <f>IFERROR(__xludf.DUMMYFUNCTION("""COMPUTED_VALUE"""),0.0)</f>
        <v>0</v>
      </c>
      <c r="AQ10" s="197">
        <f>IFERROR(__xludf.DUMMYFUNCTION("""COMPUTED_VALUE"""),0.0)</f>
        <v>0</v>
      </c>
      <c r="AR10" s="197">
        <f>IFERROR(__xludf.DUMMYFUNCTION("""COMPUTED_VALUE"""),0.0)</f>
        <v>0</v>
      </c>
      <c r="AS10" s="41">
        <f>IFERROR(__xludf.DUMMYFUNCTION("""COMPUTED_VALUE"""),0.0)</f>
        <v>0</v>
      </c>
      <c r="AT10" s="197">
        <f>IFERROR(__xludf.DUMMYFUNCTION("""COMPUTED_VALUE"""),0.0)</f>
        <v>0</v>
      </c>
      <c r="AU10" s="197">
        <f>IFERROR(__xludf.DUMMYFUNCTION("""COMPUTED_VALUE"""),0.0)</f>
        <v>0</v>
      </c>
      <c r="AV10" s="197">
        <f>IFERROR(__xludf.DUMMYFUNCTION("""COMPUTED_VALUE"""),0.0)</f>
        <v>0</v>
      </c>
      <c r="AW10" s="41">
        <f>IFERROR(__xludf.DUMMYFUNCTION("""COMPUTED_VALUE"""),0.0)</f>
        <v>0</v>
      </c>
      <c r="AX10" s="197">
        <f>IFERROR(__xludf.DUMMYFUNCTION("""COMPUTED_VALUE"""),0.0)</f>
        <v>0</v>
      </c>
      <c r="AY10" s="197">
        <f>IFERROR(__xludf.DUMMYFUNCTION("""COMPUTED_VALUE"""),0.0)</f>
        <v>0</v>
      </c>
      <c r="AZ10" s="198">
        <f>IFERROR(__xludf.DUMMYFUNCTION("""COMPUTED_VALUE"""),0.0)</f>
        <v>0</v>
      </c>
      <c r="BA10" s="195"/>
    </row>
    <row r="11" ht="15.75" customHeight="1">
      <c r="A11" s="29"/>
      <c r="B11" s="52" t="str">
        <f>IFERROR(__xludf.DUMMYFUNCTION("""COMPUTED_VALUE"""),"Tổng số điểm lẻ")</f>
        <v>Tổng số điểm lẻ</v>
      </c>
      <c r="C11" s="49"/>
      <c r="D11" s="31" t="str">
        <f>IFERROR(__xludf.DUMMYFUNCTION("""COMPUTED_VALUE"""),"Điểm")</f>
        <v>Điểm</v>
      </c>
      <c r="E11" s="41">
        <f>IFERROR(__xludf.DUMMYFUNCTION("""COMPUTED_VALUE"""),170.0)</f>
        <v>170</v>
      </c>
      <c r="F11" s="197">
        <f>IFERROR(__xludf.DUMMYFUNCTION("""COMPUTED_VALUE"""),170.0)</f>
        <v>170</v>
      </c>
      <c r="G11" s="197">
        <f>IFERROR(__xludf.DUMMYFUNCTION("""COMPUTED_VALUE"""),0.0)</f>
        <v>0</v>
      </c>
      <c r="H11" s="197">
        <f>IFERROR(__xludf.DUMMYFUNCTION("""COMPUTED_VALUE"""),0.0)</f>
        <v>0</v>
      </c>
      <c r="I11" s="41">
        <f>IFERROR(__xludf.DUMMYFUNCTION("""COMPUTED_VALUE"""),171.0)</f>
        <v>171</v>
      </c>
      <c r="J11" s="197">
        <f>IFERROR(__xludf.DUMMYFUNCTION("""COMPUTED_VALUE"""),171.0)</f>
        <v>171</v>
      </c>
      <c r="K11" s="197">
        <f>IFERROR(__xludf.DUMMYFUNCTION("""COMPUTED_VALUE"""),0.0)</f>
        <v>0</v>
      </c>
      <c r="L11" s="197">
        <f>IFERROR(__xludf.DUMMYFUNCTION("""COMPUTED_VALUE"""),0.0)</f>
        <v>0</v>
      </c>
      <c r="M11" s="41">
        <f>IFERROR(__xludf.DUMMYFUNCTION("""COMPUTED_VALUE"""),172.0)</f>
        <v>172</v>
      </c>
      <c r="N11" s="197">
        <f>IFERROR(__xludf.DUMMYFUNCTION("""COMPUTED_VALUE"""),172.0)</f>
        <v>172</v>
      </c>
      <c r="O11" s="197">
        <f>IFERROR(__xludf.DUMMYFUNCTION("""COMPUTED_VALUE"""),0.0)</f>
        <v>0</v>
      </c>
      <c r="P11" s="197">
        <f>IFERROR(__xludf.DUMMYFUNCTION("""COMPUTED_VALUE"""),0.0)</f>
        <v>0</v>
      </c>
      <c r="Q11" s="41">
        <f>IFERROR(__xludf.DUMMYFUNCTION("""COMPUTED_VALUE"""),172.0)</f>
        <v>172</v>
      </c>
      <c r="R11" s="197">
        <f>IFERROR(__xludf.DUMMYFUNCTION("""COMPUTED_VALUE"""),172.0)</f>
        <v>172</v>
      </c>
      <c r="S11" s="197">
        <f>IFERROR(__xludf.DUMMYFUNCTION("""COMPUTED_VALUE"""),0.0)</f>
        <v>0</v>
      </c>
      <c r="T11" s="197">
        <f>IFERROR(__xludf.DUMMYFUNCTION("""COMPUTED_VALUE"""),0.0)</f>
        <v>0</v>
      </c>
      <c r="U11" s="41">
        <f>IFERROR(__xludf.DUMMYFUNCTION("""COMPUTED_VALUE"""),172.0)</f>
        <v>172</v>
      </c>
      <c r="V11" s="197">
        <f>IFERROR(__xludf.DUMMYFUNCTION("""COMPUTED_VALUE"""),172.0)</f>
        <v>172</v>
      </c>
      <c r="W11" s="197">
        <f>IFERROR(__xludf.DUMMYFUNCTION("""COMPUTED_VALUE"""),0.0)</f>
        <v>0</v>
      </c>
      <c r="X11" s="197">
        <f>IFERROR(__xludf.DUMMYFUNCTION("""COMPUTED_VALUE"""),0.0)</f>
        <v>0</v>
      </c>
      <c r="Y11" s="41">
        <f>IFERROR(__xludf.DUMMYFUNCTION("""COMPUTED_VALUE"""),172.0)</f>
        <v>172</v>
      </c>
      <c r="Z11" s="197">
        <f>IFERROR(__xludf.DUMMYFUNCTION("""COMPUTED_VALUE"""),172.0)</f>
        <v>172</v>
      </c>
      <c r="AA11" s="197">
        <f>IFERROR(__xludf.DUMMYFUNCTION("""COMPUTED_VALUE"""),0.0)</f>
        <v>0</v>
      </c>
      <c r="AB11" s="197">
        <f>IFERROR(__xludf.DUMMYFUNCTION("""COMPUTED_VALUE"""),0.0)</f>
        <v>0</v>
      </c>
      <c r="AC11" s="41">
        <f>IFERROR(__xludf.DUMMYFUNCTION("""COMPUTED_VALUE"""),159.0)</f>
        <v>159</v>
      </c>
      <c r="AD11" s="197">
        <f>IFERROR(__xludf.DUMMYFUNCTION("""COMPUTED_VALUE"""),159.0)</f>
        <v>159</v>
      </c>
      <c r="AE11" s="197">
        <f>IFERROR(__xludf.DUMMYFUNCTION("""COMPUTED_VALUE"""),0.0)</f>
        <v>0</v>
      </c>
      <c r="AF11" s="197">
        <f>IFERROR(__xludf.DUMMYFUNCTION("""COMPUTED_VALUE"""),0.0)</f>
        <v>0</v>
      </c>
      <c r="AG11" s="41">
        <f>IFERROR(__xludf.DUMMYFUNCTION("""COMPUTED_VALUE"""),0.0)</f>
        <v>0</v>
      </c>
      <c r="AH11" s="197">
        <f>IFERROR(__xludf.DUMMYFUNCTION("""COMPUTED_VALUE"""),0.0)</f>
        <v>0</v>
      </c>
      <c r="AI11" s="197">
        <f>IFERROR(__xludf.DUMMYFUNCTION("""COMPUTED_VALUE"""),0.0)</f>
        <v>0</v>
      </c>
      <c r="AJ11" s="197">
        <f>IFERROR(__xludf.DUMMYFUNCTION("""COMPUTED_VALUE"""),0.0)</f>
        <v>0</v>
      </c>
      <c r="AK11" s="41">
        <f>IFERROR(__xludf.DUMMYFUNCTION("""COMPUTED_VALUE"""),0.0)</f>
        <v>0</v>
      </c>
      <c r="AL11" s="197">
        <f>IFERROR(__xludf.DUMMYFUNCTION("""COMPUTED_VALUE"""),0.0)</f>
        <v>0</v>
      </c>
      <c r="AM11" s="197">
        <f>IFERROR(__xludf.DUMMYFUNCTION("""COMPUTED_VALUE"""),0.0)</f>
        <v>0</v>
      </c>
      <c r="AN11" s="197">
        <f>IFERROR(__xludf.DUMMYFUNCTION("""COMPUTED_VALUE"""),0.0)</f>
        <v>0</v>
      </c>
      <c r="AO11" s="41">
        <f>IFERROR(__xludf.DUMMYFUNCTION("""COMPUTED_VALUE"""),0.0)</f>
        <v>0</v>
      </c>
      <c r="AP11" s="197">
        <f>IFERROR(__xludf.DUMMYFUNCTION("""COMPUTED_VALUE"""),0.0)</f>
        <v>0</v>
      </c>
      <c r="AQ11" s="197">
        <f>IFERROR(__xludf.DUMMYFUNCTION("""COMPUTED_VALUE"""),0.0)</f>
        <v>0</v>
      </c>
      <c r="AR11" s="197">
        <f>IFERROR(__xludf.DUMMYFUNCTION("""COMPUTED_VALUE"""),0.0)</f>
        <v>0</v>
      </c>
      <c r="AS11" s="41">
        <f>IFERROR(__xludf.DUMMYFUNCTION("""COMPUTED_VALUE"""),0.0)</f>
        <v>0</v>
      </c>
      <c r="AT11" s="197">
        <f>IFERROR(__xludf.DUMMYFUNCTION("""COMPUTED_VALUE"""),0.0)</f>
        <v>0</v>
      </c>
      <c r="AU11" s="197">
        <f>IFERROR(__xludf.DUMMYFUNCTION("""COMPUTED_VALUE"""),0.0)</f>
        <v>0</v>
      </c>
      <c r="AV11" s="197">
        <f>IFERROR(__xludf.DUMMYFUNCTION("""COMPUTED_VALUE"""),0.0)</f>
        <v>0</v>
      </c>
      <c r="AW11" s="41">
        <f>IFERROR(__xludf.DUMMYFUNCTION("""COMPUTED_VALUE"""),0.0)</f>
        <v>0</v>
      </c>
      <c r="AX11" s="197">
        <f>IFERROR(__xludf.DUMMYFUNCTION("""COMPUTED_VALUE"""),0.0)</f>
        <v>0</v>
      </c>
      <c r="AY11" s="197">
        <f>IFERROR(__xludf.DUMMYFUNCTION("""COMPUTED_VALUE"""),0.0)</f>
        <v>0</v>
      </c>
      <c r="AZ11" s="198">
        <f>IFERROR(__xludf.DUMMYFUNCTION("""COMPUTED_VALUE"""),0.0)</f>
        <v>0</v>
      </c>
      <c r="BA11" s="195"/>
    </row>
    <row r="12" ht="15.75" customHeight="1">
      <c r="A12" s="29"/>
      <c r="B12" s="67" t="str">
        <f>IFERROR(__xludf.DUMMYFUNCTION("""COMPUTED_VALUE"""),"1.3. Số trường đạt chuẩn quốc gia")</f>
        <v>1.3. Số trường đạt chuẩn quốc gia</v>
      </c>
      <c r="C12" s="31"/>
      <c r="D12" s="31" t="str">
        <f>IFERROR(__xludf.DUMMYFUNCTION("""COMPUTED_VALUE"""),"Trường")</f>
        <v>Trường</v>
      </c>
      <c r="E12" s="41">
        <f>IFERROR(__xludf.DUMMYFUNCTION("""COMPUTED_VALUE"""),169.0)</f>
        <v>169</v>
      </c>
      <c r="F12" s="197">
        <f>IFERROR(__xludf.DUMMYFUNCTION("""COMPUTED_VALUE"""),169.0)</f>
        <v>169</v>
      </c>
      <c r="G12" s="197">
        <f>IFERROR(__xludf.DUMMYFUNCTION("""COMPUTED_VALUE"""),0.0)</f>
        <v>0</v>
      </c>
      <c r="H12" s="197">
        <f>IFERROR(__xludf.DUMMYFUNCTION("""COMPUTED_VALUE"""),0.0)</f>
        <v>0</v>
      </c>
      <c r="I12" s="41">
        <f>IFERROR(__xludf.DUMMYFUNCTION("""COMPUTED_VALUE"""),168.0)</f>
        <v>168</v>
      </c>
      <c r="J12" s="197">
        <f>IFERROR(__xludf.DUMMYFUNCTION("""COMPUTED_VALUE"""),168.0)</f>
        <v>168</v>
      </c>
      <c r="K12" s="197">
        <f>IFERROR(__xludf.DUMMYFUNCTION("""COMPUTED_VALUE"""),0.0)</f>
        <v>0</v>
      </c>
      <c r="L12" s="197">
        <f>IFERROR(__xludf.DUMMYFUNCTION("""COMPUTED_VALUE"""),0.0)</f>
        <v>0</v>
      </c>
      <c r="M12" s="41">
        <f>IFERROR(__xludf.DUMMYFUNCTION("""COMPUTED_VALUE"""),169.0)</f>
        <v>169</v>
      </c>
      <c r="N12" s="197">
        <f>IFERROR(__xludf.DUMMYFUNCTION("""COMPUTED_VALUE"""),169.0)</f>
        <v>169</v>
      </c>
      <c r="O12" s="197">
        <f>IFERROR(__xludf.DUMMYFUNCTION("""COMPUTED_VALUE"""),0.0)</f>
        <v>0</v>
      </c>
      <c r="P12" s="197">
        <f>IFERROR(__xludf.DUMMYFUNCTION("""COMPUTED_VALUE"""),0.0)</f>
        <v>0</v>
      </c>
      <c r="Q12" s="41">
        <f>IFERROR(__xludf.DUMMYFUNCTION("""COMPUTED_VALUE"""),170.0)</f>
        <v>170</v>
      </c>
      <c r="R12" s="197">
        <f>IFERROR(__xludf.DUMMYFUNCTION("""COMPUTED_VALUE"""),170.0)</f>
        <v>170</v>
      </c>
      <c r="S12" s="197">
        <f>IFERROR(__xludf.DUMMYFUNCTION("""COMPUTED_VALUE"""),0.0)</f>
        <v>0</v>
      </c>
      <c r="T12" s="197">
        <f>IFERROR(__xludf.DUMMYFUNCTION("""COMPUTED_VALUE"""),0.0)</f>
        <v>0</v>
      </c>
      <c r="U12" s="41">
        <f>IFERROR(__xludf.DUMMYFUNCTION("""COMPUTED_VALUE"""),169.0)</f>
        <v>169</v>
      </c>
      <c r="V12" s="197">
        <f>IFERROR(__xludf.DUMMYFUNCTION("""COMPUTED_VALUE"""),169.0)</f>
        <v>169</v>
      </c>
      <c r="W12" s="197">
        <f>IFERROR(__xludf.DUMMYFUNCTION("""COMPUTED_VALUE"""),0.0)</f>
        <v>0</v>
      </c>
      <c r="X12" s="197">
        <f>IFERROR(__xludf.DUMMYFUNCTION("""COMPUTED_VALUE"""),0.0)</f>
        <v>0</v>
      </c>
      <c r="Y12" s="41">
        <f>IFERROR(__xludf.DUMMYFUNCTION("""COMPUTED_VALUE"""),169.0)</f>
        <v>169</v>
      </c>
      <c r="Z12" s="197">
        <f>IFERROR(__xludf.DUMMYFUNCTION("""COMPUTED_VALUE"""),169.0)</f>
        <v>169</v>
      </c>
      <c r="AA12" s="197">
        <f>IFERROR(__xludf.DUMMYFUNCTION("""COMPUTED_VALUE"""),0.0)</f>
        <v>0</v>
      </c>
      <c r="AB12" s="197">
        <f>IFERROR(__xludf.DUMMYFUNCTION("""COMPUTED_VALUE"""),0.0)</f>
        <v>0</v>
      </c>
      <c r="AC12" s="41">
        <f>IFERROR(__xludf.DUMMYFUNCTION("""COMPUTED_VALUE"""),159.0)</f>
        <v>159</v>
      </c>
      <c r="AD12" s="197">
        <f>IFERROR(__xludf.DUMMYFUNCTION("""COMPUTED_VALUE"""),159.0)</f>
        <v>159</v>
      </c>
      <c r="AE12" s="197">
        <f>IFERROR(__xludf.DUMMYFUNCTION("""COMPUTED_VALUE"""),0.0)</f>
        <v>0</v>
      </c>
      <c r="AF12" s="197">
        <f>IFERROR(__xludf.DUMMYFUNCTION("""COMPUTED_VALUE"""),0.0)</f>
        <v>0</v>
      </c>
      <c r="AG12" s="41">
        <f>IFERROR(__xludf.DUMMYFUNCTION("""COMPUTED_VALUE"""),0.0)</f>
        <v>0</v>
      </c>
      <c r="AH12" s="197">
        <f>IFERROR(__xludf.DUMMYFUNCTION("""COMPUTED_VALUE"""),0.0)</f>
        <v>0</v>
      </c>
      <c r="AI12" s="197">
        <f>IFERROR(__xludf.DUMMYFUNCTION("""COMPUTED_VALUE"""),0.0)</f>
        <v>0</v>
      </c>
      <c r="AJ12" s="197">
        <f>IFERROR(__xludf.DUMMYFUNCTION("""COMPUTED_VALUE"""),0.0)</f>
        <v>0</v>
      </c>
      <c r="AK12" s="41">
        <f>IFERROR(__xludf.DUMMYFUNCTION("""COMPUTED_VALUE"""),0.0)</f>
        <v>0</v>
      </c>
      <c r="AL12" s="197">
        <f>IFERROR(__xludf.DUMMYFUNCTION("""COMPUTED_VALUE"""),0.0)</f>
        <v>0</v>
      </c>
      <c r="AM12" s="197">
        <f>IFERROR(__xludf.DUMMYFUNCTION("""COMPUTED_VALUE"""),0.0)</f>
        <v>0</v>
      </c>
      <c r="AN12" s="197">
        <f>IFERROR(__xludf.DUMMYFUNCTION("""COMPUTED_VALUE"""),0.0)</f>
        <v>0</v>
      </c>
      <c r="AO12" s="41">
        <f>IFERROR(__xludf.DUMMYFUNCTION("""COMPUTED_VALUE"""),0.0)</f>
        <v>0</v>
      </c>
      <c r="AP12" s="197">
        <f>IFERROR(__xludf.DUMMYFUNCTION("""COMPUTED_VALUE"""),0.0)</f>
        <v>0</v>
      </c>
      <c r="AQ12" s="197">
        <f>IFERROR(__xludf.DUMMYFUNCTION("""COMPUTED_VALUE"""),0.0)</f>
        <v>0</v>
      </c>
      <c r="AR12" s="197">
        <f>IFERROR(__xludf.DUMMYFUNCTION("""COMPUTED_VALUE"""),0.0)</f>
        <v>0</v>
      </c>
      <c r="AS12" s="41">
        <f>IFERROR(__xludf.DUMMYFUNCTION("""COMPUTED_VALUE"""),0.0)</f>
        <v>0</v>
      </c>
      <c r="AT12" s="197">
        <f>IFERROR(__xludf.DUMMYFUNCTION("""COMPUTED_VALUE"""),0.0)</f>
        <v>0</v>
      </c>
      <c r="AU12" s="197">
        <f>IFERROR(__xludf.DUMMYFUNCTION("""COMPUTED_VALUE"""),0.0)</f>
        <v>0</v>
      </c>
      <c r="AV12" s="197">
        <f>IFERROR(__xludf.DUMMYFUNCTION("""COMPUTED_VALUE"""),0.0)</f>
        <v>0</v>
      </c>
      <c r="AW12" s="41">
        <f>IFERROR(__xludf.DUMMYFUNCTION("""COMPUTED_VALUE"""),0.0)</f>
        <v>0</v>
      </c>
      <c r="AX12" s="197">
        <f>IFERROR(__xludf.DUMMYFUNCTION("""COMPUTED_VALUE"""),0.0)</f>
        <v>0</v>
      </c>
      <c r="AY12" s="197">
        <f>IFERROR(__xludf.DUMMYFUNCTION("""COMPUTED_VALUE"""),0.0)</f>
        <v>0</v>
      </c>
      <c r="AZ12" s="198">
        <f>IFERROR(__xludf.DUMMYFUNCTION("""COMPUTED_VALUE"""),0.0)</f>
        <v>0</v>
      </c>
      <c r="BA12" s="195"/>
    </row>
    <row r="13" ht="15.75" customHeight="1">
      <c r="A13" s="29"/>
      <c r="B13" s="67" t="str">
        <f>IFERROR(__xludf.DUMMYFUNCTION("""COMPUTED_VALUE"""),"1.4. Số trường ở vùng đặc biệt khó khăn")</f>
        <v>1.4. Số trường ở vùng đặc biệt khó khăn</v>
      </c>
      <c r="C13" s="31"/>
      <c r="D13" s="31" t="str">
        <f>IFERROR(__xludf.DUMMYFUNCTION("""COMPUTED_VALUE"""),"Trường")</f>
        <v>Trường</v>
      </c>
      <c r="E13" s="41">
        <f>IFERROR(__xludf.DUMMYFUNCTION("""COMPUTED_VALUE"""),54.0)</f>
        <v>54</v>
      </c>
      <c r="F13" s="197">
        <f>IFERROR(__xludf.DUMMYFUNCTION("""COMPUTED_VALUE"""),53.0)</f>
        <v>53</v>
      </c>
      <c r="G13" s="197">
        <f>IFERROR(__xludf.DUMMYFUNCTION("""COMPUTED_VALUE"""),1.0)</f>
        <v>1</v>
      </c>
      <c r="H13" s="197">
        <f>IFERROR(__xludf.DUMMYFUNCTION("""COMPUTED_VALUE"""),0.0)</f>
        <v>0</v>
      </c>
      <c r="I13" s="41">
        <f>IFERROR(__xludf.DUMMYFUNCTION("""COMPUTED_VALUE"""),54.0)</f>
        <v>54</v>
      </c>
      <c r="J13" s="197">
        <f>IFERROR(__xludf.DUMMYFUNCTION("""COMPUTED_VALUE"""),53.0)</f>
        <v>53</v>
      </c>
      <c r="K13" s="197">
        <f>IFERROR(__xludf.DUMMYFUNCTION("""COMPUTED_VALUE"""),1.0)</f>
        <v>1</v>
      </c>
      <c r="L13" s="197">
        <f>IFERROR(__xludf.DUMMYFUNCTION("""COMPUTED_VALUE"""),0.0)</f>
        <v>0</v>
      </c>
      <c r="M13" s="41">
        <f>IFERROR(__xludf.DUMMYFUNCTION("""COMPUTED_VALUE"""),53.0)</f>
        <v>53</v>
      </c>
      <c r="N13" s="197">
        <f>IFERROR(__xludf.DUMMYFUNCTION("""COMPUTED_VALUE"""),53.0)</f>
        <v>53</v>
      </c>
      <c r="O13" s="197">
        <f>IFERROR(__xludf.DUMMYFUNCTION("""COMPUTED_VALUE"""),0.0)</f>
        <v>0</v>
      </c>
      <c r="P13" s="197">
        <f>IFERROR(__xludf.DUMMYFUNCTION("""COMPUTED_VALUE"""),0.0)</f>
        <v>0</v>
      </c>
      <c r="Q13" s="41">
        <f>IFERROR(__xludf.DUMMYFUNCTION("""COMPUTED_VALUE"""),53.0)</f>
        <v>53</v>
      </c>
      <c r="R13" s="197">
        <f>IFERROR(__xludf.DUMMYFUNCTION("""COMPUTED_VALUE"""),53.0)</f>
        <v>53</v>
      </c>
      <c r="S13" s="197">
        <f>IFERROR(__xludf.DUMMYFUNCTION("""COMPUTED_VALUE"""),0.0)</f>
        <v>0</v>
      </c>
      <c r="T13" s="197">
        <f>IFERROR(__xludf.DUMMYFUNCTION("""COMPUTED_VALUE"""),0.0)</f>
        <v>0</v>
      </c>
      <c r="U13" s="41">
        <f>IFERROR(__xludf.DUMMYFUNCTION("""COMPUTED_VALUE"""),53.0)</f>
        <v>53</v>
      </c>
      <c r="V13" s="197">
        <f>IFERROR(__xludf.DUMMYFUNCTION("""COMPUTED_VALUE"""),53.0)</f>
        <v>53</v>
      </c>
      <c r="W13" s="197">
        <f>IFERROR(__xludf.DUMMYFUNCTION("""COMPUTED_VALUE"""),0.0)</f>
        <v>0</v>
      </c>
      <c r="X13" s="197">
        <f>IFERROR(__xludf.DUMMYFUNCTION("""COMPUTED_VALUE"""),0.0)</f>
        <v>0</v>
      </c>
      <c r="Y13" s="41">
        <f>IFERROR(__xludf.DUMMYFUNCTION("""COMPUTED_VALUE"""),53.0)</f>
        <v>53</v>
      </c>
      <c r="Z13" s="197">
        <f>IFERROR(__xludf.DUMMYFUNCTION("""COMPUTED_VALUE"""),53.0)</f>
        <v>53</v>
      </c>
      <c r="AA13" s="197">
        <f>IFERROR(__xludf.DUMMYFUNCTION("""COMPUTED_VALUE"""),0.0)</f>
        <v>0</v>
      </c>
      <c r="AB13" s="197">
        <f>IFERROR(__xludf.DUMMYFUNCTION("""COMPUTED_VALUE"""),0.0)</f>
        <v>0</v>
      </c>
      <c r="AC13" s="41">
        <f>IFERROR(__xludf.DUMMYFUNCTION("""COMPUTED_VALUE"""),50.0)</f>
        <v>50</v>
      </c>
      <c r="AD13" s="197">
        <f>IFERROR(__xludf.DUMMYFUNCTION("""COMPUTED_VALUE"""),50.0)</f>
        <v>50</v>
      </c>
      <c r="AE13" s="197">
        <f>IFERROR(__xludf.DUMMYFUNCTION("""COMPUTED_VALUE"""),0.0)</f>
        <v>0</v>
      </c>
      <c r="AF13" s="197">
        <f>IFERROR(__xludf.DUMMYFUNCTION("""COMPUTED_VALUE"""),0.0)</f>
        <v>0</v>
      </c>
      <c r="AG13" s="41">
        <f>IFERROR(__xludf.DUMMYFUNCTION("""COMPUTED_VALUE"""),0.0)</f>
        <v>0</v>
      </c>
      <c r="AH13" s="197">
        <f>IFERROR(__xludf.DUMMYFUNCTION("""COMPUTED_VALUE"""),0.0)</f>
        <v>0</v>
      </c>
      <c r="AI13" s="197">
        <f>IFERROR(__xludf.DUMMYFUNCTION("""COMPUTED_VALUE"""),0.0)</f>
        <v>0</v>
      </c>
      <c r="AJ13" s="197">
        <f>IFERROR(__xludf.DUMMYFUNCTION("""COMPUTED_VALUE"""),0.0)</f>
        <v>0</v>
      </c>
      <c r="AK13" s="41">
        <f>IFERROR(__xludf.DUMMYFUNCTION("""COMPUTED_VALUE"""),0.0)</f>
        <v>0</v>
      </c>
      <c r="AL13" s="197">
        <f>IFERROR(__xludf.DUMMYFUNCTION("""COMPUTED_VALUE"""),0.0)</f>
        <v>0</v>
      </c>
      <c r="AM13" s="197">
        <f>IFERROR(__xludf.DUMMYFUNCTION("""COMPUTED_VALUE"""),0.0)</f>
        <v>0</v>
      </c>
      <c r="AN13" s="197">
        <f>IFERROR(__xludf.DUMMYFUNCTION("""COMPUTED_VALUE"""),0.0)</f>
        <v>0</v>
      </c>
      <c r="AO13" s="41">
        <f>IFERROR(__xludf.DUMMYFUNCTION("""COMPUTED_VALUE"""),0.0)</f>
        <v>0</v>
      </c>
      <c r="AP13" s="197">
        <f>IFERROR(__xludf.DUMMYFUNCTION("""COMPUTED_VALUE"""),0.0)</f>
        <v>0</v>
      </c>
      <c r="AQ13" s="197">
        <f>IFERROR(__xludf.DUMMYFUNCTION("""COMPUTED_VALUE"""),0.0)</f>
        <v>0</v>
      </c>
      <c r="AR13" s="197">
        <f>IFERROR(__xludf.DUMMYFUNCTION("""COMPUTED_VALUE"""),0.0)</f>
        <v>0</v>
      </c>
      <c r="AS13" s="41">
        <f>IFERROR(__xludf.DUMMYFUNCTION("""COMPUTED_VALUE"""),0.0)</f>
        <v>0</v>
      </c>
      <c r="AT13" s="197">
        <f>IFERROR(__xludf.DUMMYFUNCTION("""COMPUTED_VALUE"""),0.0)</f>
        <v>0</v>
      </c>
      <c r="AU13" s="197">
        <f>IFERROR(__xludf.DUMMYFUNCTION("""COMPUTED_VALUE"""),0.0)</f>
        <v>0</v>
      </c>
      <c r="AV13" s="197">
        <f>IFERROR(__xludf.DUMMYFUNCTION("""COMPUTED_VALUE"""),0.0)</f>
        <v>0</v>
      </c>
      <c r="AW13" s="41">
        <f>IFERROR(__xludf.DUMMYFUNCTION("""COMPUTED_VALUE"""),0.0)</f>
        <v>0</v>
      </c>
      <c r="AX13" s="197">
        <f>IFERROR(__xludf.DUMMYFUNCTION("""COMPUTED_VALUE"""),0.0)</f>
        <v>0</v>
      </c>
      <c r="AY13" s="197">
        <f>IFERROR(__xludf.DUMMYFUNCTION("""COMPUTED_VALUE"""),0.0)</f>
        <v>0</v>
      </c>
      <c r="AZ13" s="198">
        <f>IFERROR(__xludf.DUMMYFUNCTION("""COMPUTED_VALUE"""),0.0)</f>
        <v>0</v>
      </c>
      <c r="BA13" s="195"/>
    </row>
    <row r="14" ht="15.75" customHeight="1">
      <c r="A14" s="29"/>
      <c r="B14" s="30" t="str">
        <f>IFERROR(__xludf.DUMMYFUNCTION("""COMPUTED_VALUE"""),"2. LỚP")</f>
        <v>2. LỚP</v>
      </c>
      <c r="C14" s="31" t="str">
        <f>IFERROR(__xludf.DUMMYFUNCTION("""COMPUTED_VALUE"""),"Tháng")</f>
        <v>Tháng</v>
      </c>
      <c r="D14" s="3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50"/>
      <c r="BA14" s="195"/>
    </row>
    <row r="15" ht="15.75" customHeight="1">
      <c r="A15" s="29"/>
      <c r="B15" s="196" t="str">
        <f>IFERROR(__xludf.DUMMYFUNCTION("""COMPUTED_VALUE"""),"Tổng số")</f>
        <v>Tổng số</v>
      </c>
      <c r="C15" s="57"/>
      <c r="D15" s="57" t="str">
        <f>IFERROR(__xludf.DUMMYFUNCTION("""COMPUTED_VALUE"""),"Lớp")</f>
        <v>Lớp</v>
      </c>
      <c r="E15" s="125">
        <f>IFERROR(__xludf.DUMMYFUNCTION("""COMPUTED_VALUE"""),3712.0)</f>
        <v>3712</v>
      </c>
      <c r="F15" s="125">
        <f>IFERROR(__xludf.DUMMYFUNCTION("""COMPUTED_VALUE"""),3702.0)</f>
        <v>3702</v>
      </c>
      <c r="G15" s="125">
        <f>IFERROR(__xludf.DUMMYFUNCTION("""COMPUTED_VALUE"""),10.0)</f>
        <v>10</v>
      </c>
      <c r="H15" s="125">
        <f>IFERROR(__xludf.DUMMYFUNCTION("""COMPUTED_VALUE"""),0.0)</f>
        <v>0</v>
      </c>
      <c r="I15" s="125">
        <f>IFERROR(__xludf.DUMMYFUNCTION("""COMPUTED_VALUE"""),3711.0)</f>
        <v>3711</v>
      </c>
      <c r="J15" s="125">
        <f>IFERROR(__xludf.DUMMYFUNCTION("""COMPUTED_VALUE"""),3701.0)</f>
        <v>3701</v>
      </c>
      <c r="K15" s="125">
        <f>IFERROR(__xludf.DUMMYFUNCTION("""COMPUTED_VALUE"""),10.0)</f>
        <v>10</v>
      </c>
      <c r="L15" s="125">
        <f>IFERROR(__xludf.DUMMYFUNCTION("""COMPUTED_VALUE"""),0.0)</f>
        <v>0</v>
      </c>
      <c r="M15" s="125">
        <f>IFERROR(__xludf.DUMMYFUNCTION("""COMPUTED_VALUE"""),3722.0)</f>
        <v>3722</v>
      </c>
      <c r="N15" s="125">
        <f>IFERROR(__xludf.DUMMYFUNCTION("""COMPUTED_VALUE"""),3712.0)</f>
        <v>3712</v>
      </c>
      <c r="O15" s="125">
        <f>IFERROR(__xludf.DUMMYFUNCTION("""COMPUTED_VALUE"""),10.0)</f>
        <v>10</v>
      </c>
      <c r="P15" s="125">
        <f>IFERROR(__xludf.DUMMYFUNCTION("""COMPUTED_VALUE"""),0.0)</f>
        <v>0</v>
      </c>
      <c r="Q15" s="125">
        <f>IFERROR(__xludf.DUMMYFUNCTION("""COMPUTED_VALUE"""),3729.0)</f>
        <v>3729</v>
      </c>
      <c r="R15" s="125">
        <f>IFERROR(__xludf.DUMMYFUNCTION("""COMPUTED_VALUE"""),3719.0)</f>
        <v>3719</v>
      </c>
      <c r="S15" s="125">
        <f>IFERROR(__xludf.DUMMYFUNCTION("""COMPUTED_VALUE"""),10.0)</f>
        <v>10</v>
      </c>
      <c r="T15" s="125">
        <f>IFERROR(__xludf.DUMMYFUNCTION("""COMPUTED_VALUE"""),0.0)</f>
        <v>0</v>
      </c>
      <c r="U15" s="125">
        <f>IFERROR(__xludf.DUMMYFUNCTION("""COMPUTED_VALUE"""),3729.0)</f>
        <v>3729</v>
      </c>
      <c r="V15" s="125">
        <f>IFERROR(__xludf.DUMMYFUNCTION("""COMPUTED_VALUE"""),3719.0)</f>
        <v>3719</v>
      </c>
      <c r="W15" s="125">
        <f>IFERROR(__xludf.DUMMYFUNCTION("""COMPUTED_VALUE"""),10.0)</f>
        <v>10</v>
      </c>
      <c r="X15" s="125">
        <f>IFERROR(__xludf.DUMMYFUNCTION("""COMPUTED_VALUE"""),0.0)</f>
        <v>0</v>
      </c>
      <c r="Y15" s="125">
        <f>IFERROR(__xludf.DUMMYFUNCTION("""COMPUTED_VALUE"""),3729.0)</f>
        <v>3729</v>
      </c>
      <c r="Z15" s="125">
        <f>IFERROR(__xludf.DUMMYFUNCTION("""COMPUTED_VALUE"""),3719.0)</f>
        <v>3719</v>
      </c>
      <c r="AA15" s="125">
        <f>IFERROR(__xludf.DUMMYFUNCTION("""COMPUTED_VALUE"""),10.0)</f>
        <v>10</v>
      </c>
      <c r="AB15" s="125">
        <f>IFERROR(__xludf.DUMMYFUNCTION("""COMPUTED_VALUE"""),0.0)</f>
        <v>0</v>
      </c>
      <c r="AC15" s="125">
        <f>IFERROR(__xludf.DUMMYFUNCTION("""COMPUTED_VALUE"""),3730.0)</f>
        <v>3730</v>
      </c>
      <c r="AD15" s="125">
        <f>IFERROR(__xludf.DUMMYFUNCTION("""COMPUTED_VALUE"""),3720.0)</f>
        <v>3720</v>
      </c>
      <c r="AE15" s="125">
        <f>IFERROR(__xludf.DUMMYFUNCTION("""COMPUTED_VALUE"""),10.0)</f>
        <v>10</v>
      </c>
      <c r="AF15" s="125">
        <f>IFERROR(__xludf.DUMMYFUNCTION("""COMPUTED_VALUE"""),0.0)</f>
        <v>0</v>
      </c>
      <c r="AG15" s="125">
        <f>IFERROR(__xludf.DUMMYFUNCTION("""COMPUTED_VALUE"""),0.0)</f>
        <v>0</v>
      </c>
      <c r="AH15" s="125">
        <f>IFERROR(__xludf.DUMMYFUNCTION("""COMPUTED_VALUE"""),0.0)</f>
        <v>0</v>
      </c>
      <c r="AI15" s="125">
        <f>IFERROR(__xludf.DUMMYFUNCTION("""COMPUTED_VALUE"""),0.0)</f>
        <v>0</v>
      </c>
      <c r="AJ15" s="125">
        <f>IFERROR(__xludf.DUMMYFUNCTION("""COMPUTED_VALUE"""),0.0)</f>
        <v>0</v>
      </c>
      <c r="AK15" s="125">
        <f>IFERROR(__xludf.DUMMYFUNCTION("""COMPUTED_VALUE"""),0.0)</f>
        <v>0</v>
      </c>
      <c r="AL15" s="125">
        <f>IFERROR(__xludf.DUMMYFUNCTION("""COMPUTED_VALUE"""),0.0)</f>
        <v>0</v>
      </c>
      <c r="AM15" s="125">
        <f>IFERROR(__xludf.DUMMYFUNCTION("""COMPUTED_VALUE"""),0.0)</f>
        <v>0</v>
      </c>
      <c r="AN15" s="125">
        <f>IFERROR(__xludf.DUMMYFUNCTION("""COMPUTED_VALUE"""),0.0)</f>
        <v>0</v>
      </c>
      <c r="AO15" s="125">
        <f>IFERROR(__xludf.DUMMYFUNCTION("""COMPUTED_VALUE"""),0.0)</f>
        <v>0</v>
      </c>
      <c r="AP15" s="125">
        <f>IFERROR(__xludf.DUMMYFUNCTION("""COMPUTED_VALUE"""),0.0)</f>
        <v>0</v>
      </c>
      <c r="AQ15" s="125">
        <f>IFERROR(__xludf.DUMMYFUNCTION("""COMPUTED_VALUE"""),0.0)</f>
        <v>0</v>
      </c>
      <c r="AR15" s="125">
        <f>IFERROR(__xludf.DUMMYFUNCTION("""COMPUTED_VALUE"""),0.0)</f>
        <v>0</v>
      </c>
      <c r="AS15" s="125">
        <f>IFERROR(__xludf.DUMMYFUNCTION("""COMPUTED_VALUE"""),0.0)</f>
        <v>0</v>
      </c>
      <c r="AT15" s="125">
        <f>IFERROR(__xludf.DUMMYFUNCTION("""COMPUTED_VALUE"""),0.0)</f>
        <v>0</v>
      </c>
      <c r="AU15" s="125">
        <f>IFERROR(__xludf.DUMMYFUNCTION("""COMPUTED_VALUE"""),0.0)</f>
        <v>0</v>
      </c>
      <c r="AV15" s="125">
        <f>IFERROR(__xludf.DUMMYFUNCTION("""COMPUTED_VALUE"""),0.0)</f>
        <v>0</v>
      </c>
      <c r="AW15" s="125">
        <f>IFERROR(__xludf.DUMMYFUNCTION("""COMPUTED_VALUE"""),0.0)</f>
        <v>0</v>
      </c>
      <c r="AX15" s="125">
        <f>IFERROR(__xludf.DUMMYFUNCTION("""COMPUTED_VALUE"""),0.0)</f>
        <v>0</v>
      </c>
      <c r="AY15" s="125">
        <f>IFERROR(__xludf.DUMMYFUNCTION("""COMPUTED_VALUE"""),0.0)</f>
        <v>0</v>
      </c>
      <c r="AZ15" s="127">
        <f>IFERROR(__xludf.DUMMYFUNCTION("""COMPUTED_VALUE"""),0.0)</f>
        <v>0</v>
      </c>
      <c r="BA15" s="195"/>
    </row>
    <row r="16" ht="15.75" customHeight="1">
      <c r="A16" s="29"/>
      <c r="B16" s="48" t="str">
        <f>IFERROR(__xludf.DUMMYFUNCTION("""COMPUTED_VALUE"""),"Chia ra:")</f>
        <v>Chia ra:</v>
      </c>
      <c r="C16" s="49"/>
      <c r="D16" s="3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50"/>
      <c r="BA16" s="195"/>
    </row>
    <row r="17" ht="15.75" customHeight="1">
      <c r="A17" s="29"/>
      <c r="B17" s="67" t="str">
        <f>IFERROR(__xludf.DUMMYFUNCTION("""COMPUTED_VALUE""")," + Số lớp 1")</f>
        <v> + Số lớp 1</v>
      </c>
      <c r="C17" s="31"/>
      <c r="D17" s="31" t="str">
        <f>IFERROR(__xludf.DUMMYFUNCTION("""COMPUTED_VALUE"""),"Lớp")</f>
        <v>Lớp</v>
      </c>
      <c r="E17" s="41">
        <f>IFERROR(__xludf.DUMMYFUNCTION("""COMPUTED_VALUE"""),772.0)</f>
        <v>772</v>
      </c>
      <c r="F17" s="197">
        <f>IFERROR(__xludf.DUMMYFUNCTION("""COMPUTED_VALUE"""),770.0)</f>
        <v>770</v>
      </c>
      <c r="G17" s="197">
        <f>IFERROR(__xludf.DUMMYFUNCTION("""COMPUTED_VALUE"""),2.0)</f>
        <v>2</v>
      </c>
      <c r="H17" s="197">
        <f>IFERROR(__xludf.DUMMYFUNCTION("""COMPUTED_VALUE"""),0.0)</f>
        <v>0</v>
      </c>
      <c r="I17" s="41">
        <f>IFERROR(__xludf.DUMMYFUNCTION("""COMPUTED_VALUE"""),772.0)</f>
        <v>772</v>
      </c>
      <c r="J17" s="197">
        <f>IFERROR(__xludf.DUMMYFUNCTION("""COMPUTED_VALUE"""),770.0)</f>
        <v>770</v>
      </c>
      <c r="K17" s="197">
        <f>IFERROR(__xludf.DUMMYFUNCTION("""COMPUTED_VALUE"""),2.0)</f>
        <v>2</v>
      </c>
      <c r="L17" s="197">
        <f>IFERROR(__xludf.DUMMYFUNCTION("""COMPUTED_VALUE"""),0.0)</f>
        <v>0</v>
      </c>
      <c r="M17" s="41">
        <f>IFERROR(__xludf.DUMMYFUNCTION("""COMPUTED_VALUE"""),775.0)</f>
        <v>775</v>
      </c>
      <c r="N17" s="197">
        <f>IFERROR(__xludf.DUMMYFUNCTION("""COMPUTED_VALUE"""),773.0)</f>
        <v>773</v>
      </c>
      <c r="O17" s="197">
        <f>IFERROR(__xludf.DUMMYFUNCTION("""COMPUTED_VALUE"""),2.0)</f>
        <v>2</v>
      </c>
      <c r="P17" s="197">
        <f>IFERROR(__xludf.DUMMYFUNCTION("""COMPUTED_VALUE"""),0.0)</f>
        <v>0</v>
      </c>
      <c r="Q17" s="41">
        <f>IFERROR(__xludf.DUMMYFUNCTION("""COMPUTED_VALUE"""),777.0)</f>
        <v>777</v>
      </c>
      <c r="R17" s="197">
        <f>IFERROR(__xludf.DUMMYFUNCTION("""COMPUTED_VALUE"""),775.0)</f>
        <v>775</v>
      </c>
      <c r="S17" s="197">
        <f>IFERROR(__xludf.DUMMYFUNCTION("""COMPUTED_VALUE"""),2.0)</f>
        <v>2</v>
      </c>
      <c r="T17" s="197">
        <f>IFERROR(__xludf.DUMMYFUNCTION("""COMPUTED_VALUE"""),0.0)</f>
        <v>0</v>
      </c>
      <c r="U17" s="41">
        <f>IFERROR(__xludf.DUMMYFUNCTION("""COMPUTED_VALUE"""),777.0)</f>
        <v>777</v>
      </c>
      <c r="V17" s="197">
        <f>IFERROR(__xludf.DUMMYFUNCTION("""COMPUTED_VALUE"""),775.0)</f>
        <v>775</v>
      </c>
      <c r="W17" s="197">
        <f>IFERROR(__xludf.DUMMYFUNCTION("""COMPUTED_VALUE"""),2.0)</f>
        <v>2</v>
      </c>
      <c r="X17" s="197">
        <f>IFERROR(__xludf.DUMMYFUNCTION("""COMPUTED_VALUE"""),0.0)</f>
        <v>0</v>
      </c>
      <c r="Y17" s="41">
        <f>IFERROR(__xludf.DUMMYFUNCTION("""COMPUTED_VALUE"""),777.0)</f>
        <v>777</v>
      </c>
      <c r="Z17" s="197">
        <f>IFERROR(__xludf.DUMMYFUNCTION("""COMPUTED_VALUE"""),775.0)</f>
        <v>775</v>
      </c>
      <c r="AA17" s="197">
        <f>IFERROR(__xludf.DUMMYFUNCTION("""COMPUTED_VALUE"""),2.0)</f>
        <v>2</v>
      </c>
      <c r="AB17" s="197">
        <f>IFERROR(__xludf.DUMMYFUNCTION("""COMPUTED_VALUE"""),0.0)</f>
        <v>0</v>
      </c>
      <c r="AC17" s="41">
        <f>IFERROR(__xludf.DUMMYFUNCTION("""COMPUTED_VALUE"""),777.0)</f>
        <v>777</v>
      </c>
      <c r="AD17" s="197">
        <f>IFERROR(__xludf.DUMMYFUNCTION("""COMPUTED_VALUE"""),775.0)</f>
        <v>775</v>
      </c>
      <c r="AE17" s="197">
        <f>IFERROR(__xludf.DUMMYFUNCTION("""COMPUTED_VALUE"""),2.0)</f>
        <v>2</v>
      </c>
      <c r="AF17" s="197">
        <f>IFERROR(__xludf.DUMMYFUNCTION("""COMPUTED_VALUE"""),0.0)</f>
        <v>0</v>
      </c>
      <c r="AG17" s="41">
        <f>IFERROR(__xludf.DUMMYFUNCTION("""COMPUTED_VALUE"""),0.0)</f>
        <v>0</v>
      </c>
      <c r="AH17" s="197">
        <f>IFERROR(__xludf.DUMMYFUNCTION("""COMPUTED_VALUE"""),0.0)</f>
        <v>0</v>
      </c>
      <c r="AI17" s="197">
        <f>IFERROR(__xludf.DUMMYFUNCTION("""COMPUTED_VALUE"""),0.0)</f>
        <v>0</v>
      </c>
      <c r="AJ17" s="197">
        <f>IFERROR(__xludf.DUMMYFUNCTION("""COMPUTED_VALUE"""),0.0)</f>
        <v>0</v>
      </c>
      <c r="AK17" s="41">
        <f>IFERROR(__xludf.DUMMYFUNCTION("""COMPUTED_VALUE"""),0.0)</f>
        <v>0</v>
      </c>
      <c r="AL17" s="197">
        <f>IFERROR(__xludf.DUMMYFUNCTION("""COMPUTED_VALUE"""),0.0)</f>
        <v>0</v>
      </c>
      <c r="AM17" s="197">
        <f>IFERROR(__xludf.DUMMYFUNCTION("""COMPUTED_VALUE"""),0.0)</f>
        <v>0</v>
      </c>
      <c r="AN17" s="197">
        <f>IFERROR(__xludf.DUMMYFUNCTION("""COMPUTED_VALUE"""),0.0)</f>
        <v>0</v>
      </c>
      <c r="AO17" s="41">
        <f>IFERROR(__xludf.DUMMYFUNCTION("""COMPUTED_VALUE"""),0.0)</f>
        <v>0</v>
      </c>
      <c r="AP17" s="197">
        <f>IFERROR(__xludf.DUMMYFUNCTION("""COMPUTED_VALUE"""),0.0)</f>
        <v>0</v>
      </c>
      <c r="AQ17" s="197">
        <f>IFERROR(__xludf.DUMMYFUNCTION("""COMPUTED_VALUE"""),0.0)</f>
        <v>0</v>
      </c>
      <c r="AR17" s="197">
        <f>IFERROR(__xludf.DUMMYFUNCTION("""COMPUTED_VALUE"""),0.0)</f>
        <v>0</v>
      </c>
      <c r="AS17" s="41">
        <f>IFERROR(__xludf.DUMMYFUNCTION("""COMPUTED_VALUE"""),0.0)</f>
        <v>0</v>
      </c>
      <c r="AT17" s="197">
        <f>IFERROR(__xludf.DUMMYFUNCTION("""COMPUTED_VALUE"""),0.0)</f>
        <v>0</v>
      </c>
      <c r="AU17" s="197">
        <f>IFERROR(__xludf.DUMMYFUNCTION("""COMPUTED_VALUE"""),0.0)</f>
        <v>0</v>
      </c>
      <c r="AV17" s="197">
        <f>IFERROR(__xludf.DUMMYFUNCTION("""COMPUTED_VALUE"""),0.0)</f>
        <v>0</v>
      </c>
      <c r="AW17" s="41">
        <f>IFERROR(__xludf.DUMMYFUNCTION("""COMPUTED_VALUE"""),0.0)</f>
        <v>0</v>
      </c>
      <c r="AX17" s="197">
        <f>IFERROR(__xludf.DUMMYFUNCTION("""COMPUTED_VALUE"""),0.0)</f>
        <v>0</v>
      </c>
      <c r="AY17" s="197">
        <f>IFERROR(__xludf.DUMMYFUNCTION("""COMPUTED_VALUE"""),0.0)</f>
        <v>0</v>
      </c>
      <c r="AZ17" s="198">
        <f>IFERROR(__xludf.DUMMYFUNCTION("""COMPUTED_VALUE"""),0.0)</f>
        <v>0</v>
      </c>
      <c r="BA17" s="195"/>
    </row>
    <row r="18" ht="15.75" customHeight="1">
      <c r="A18" s="29"/>
      <c r="B18" s="67" t="str">
        <f>IFERROR(__xludf.DUMMYFUNCTION("""COMPUTED_VALUE""")," + Số lớp 2")</f>
        <v> + Số lớp 2</v>
      </c>
      <c r="C18" s="31"/>
      <c r="D18" s="31" t="str">
        <f>IFERROR(__xludf.DUMMYFUNCTION("""COMPUTED_VALUE"""),"""")</f>
        <v>"</v>
      </c>
      <c r="E18" s="41">
        <f>IFERROR(__xludf.DUMMYFUNCTION("""COMPUTED_VALUE"""),752.0)</f>
        <v>752</v>
      </c>
      <c r="F18" s="197">
        <f>IFERROR(__xludf.DUMMYFUNCTION("""COMPUTED_VALUE"""),750.0)</f>
        <v>750</v>
      </c>
      <c r="G18" s="197">
        <f>IFERROR(__xludf.DUMMYFUNCTION("""COMPUTED_VALUE"""),2.0)</f>
        <v>2</v>
      </c>
      <c r="H18" s="197">
        <f>IFERROR(__xludf.DUMMYFUNCTION("""COMPUTED_VALUE"""),0.0)</f>
        <v>0</v>
      </c>
      <c r="I18" s="41">
        <f>IFERROR(__xludf.DUMMYFUNCTION("""COMPUTED_VALUE"""),751.0)</f>
        <v>751</v>
      </c>
      <c r="J18" s="197">
        <f>IFERROR(__xludf.DUMMYFUNCTION("""COMPUTED_VALUE"""),749.0)</f>
        <v>749</v>
      </c>
      <c r="K18" s="197">
        <f>IFERROR(__xludf.DUMMYFUNCTION("""COMPUTED_VALUE"""),2.0)</f>
        <v>2</v>
      </c>
      <c r="L18" s="197">
        <f>IFERROR(__xludf.DUMMYFUNCTION("""COMPUTED_VALUE"""),0.0)</f>
        <v>0</v>
      </c>
      <c r="M18" s="41">
        <f>IFERROR(__xludf.DUMMYFUNCTION("""COMPUTED_VALUE"""),753.0)</f>
        <v>753</v>
      </c>
      <c r="N18" s="197">
        <f>IFERROR(__xludf.DUMMYFUNCTION("""COMPUTED_VALUE"""),751.0)</f>
        <v>751</v>
      </c>
      <c r="O18" s="197">
        <f>IFERROR(__xludf.DUMMYFUNCTION("""COMPUTED_VALUE"""),2.0)</f>
        <v>2</v>
      </c>
      <c r="P18" s="197">
        <f>IFERROR(__xludf.DUMMYFUNCTION("""COMPUTED_VALUE"""),0.0)</f>
        <v>0</v>
      </c>
      <c r="Q18" s="41">
        <f>IFERROR(__xludf.DUMMYFUNCTION("""COMPUTED_VALUE"""),754.0)</f>
        <v>754</v>
      </c>
      <c r="R18" s="197">
        <f>IFERROR(__xludf.DUMMYFUNCTION("""COMPUTED_VALUE"""),752.0)</f>
        <v>752</v>
      </c>
      <c r="S18" s="197">
        <f>IFERROR(__xludf.DUMMYFUNCTION("""COMPUTED_VALUE"""),2.0)</f>
        <v>2</v>
      </c>
      <c r="T18" s="197">
        <f>IFERROR(__xludf.DUMMYFUNCTION("""COMPUTED_VALUE"""),0.0)</f>
        <v>0</v>
      </c>
      <c r="U18" s="41">
        <f>IFERROR(__xludf.DUMMYFUNCTION("""COMPUTED_VALUE"""),754.0)</f>
        <v>754</v>
      </c>
      <c r="V18" s="197">
        <f>IFERROR(__xludf.DUMMYFUNCTION("""COMPUTED_VALUE"""),752.0)</f>
        <v>752</v>
      </c>
      <c r="W18" s="197">
        <f>IFERROR(__xludf.DUMMYFUNCTION("""COMPUTED_VALUE"""),2.0)</f>
        <v>2</v>
      </c>
      <c r="X18" s="197">
        <f>IFERROR(__xludf.DUMMYFUNCTION("""COMPUTED_VALUE"""),0.0)</f>
        <v>0</v>
      </c>
      <c r="Y18" s="41">
        <f>IFERROR(__xludf.DUMMYFUNCTION("""COMPUTED_VALUE"""),754.0)</f>
        <v>754</v>
      </c>
      <c r="Z18" s="197">
        <f>IFERROR(__xludf.DUMMYFUNCTION("""COMPUTED_VALUE"""),752.0)</f>
        <v>752</v>
      </c>
      <c r="AA18" s="197">
        <f>IFERROR(__xludf.DUMMYFUNCTION("""COMPUTED_VALUE"""),2.0)</f>
        <v>2</v>
      </c>
      <c r="AB18" s="197">
        <f>IFERROR(__xludf.DUMMYFUNCTION("""COMPUTED_VALUE"""),0.0)</f>
        <v>0</v>
      </c>
      <c r="AC18" s="41">
        <f>IFERROR(__xludf.DUMMYFUNCTION("""COMPUTED_VALUE"""),754.0)</f>
        <v>754</v>
      </c>
      <c r="AD18" s="197">
        <f>IFERROR(__xludf.DUMMYFUNCTION("""COMPUTED_VALUE"""),752.0)</f>
        <v>752</v>
      </c>
      <c r="AE18" s="197">
        <f>IFERROR(__xludf.DUMMYFUNCTION("""COMPUTED_VALUE"""),2.0)</f>
        <v>2</v>
      </c>
      <c r="AF18" s="197">
        <f>IFERROR(__xludf.DUMMYFUNCTION("""COMPUTED_VALUE"""),0.0)</f>
        <v>0</v>
      </c>
      <c r="AG18" s="41">
        <f>IFERROR(__xludf.DUMMYFUNCTION("""COMPUTED_VALUE"""),0.0)</f>
        <v>0</v>
      </c>
      <c r="AH18" s="197">
        <f>IFERROR(__xludf.DUMMYFUNCTION("""COMPUTED_VALUE"""),0.0)</f>
        <v>0</v>
      </c>
      <c r="AI18" s="197">
        <f>IFERROR(__xludf.DUMMYFUNCTION("""COMPUTED_VALUE"""),0.0)</f>
        <v>0</v>
      </c>
      <c r="AJ18" s="197">
        <f>IFERROR(__xludf.DUMMYFUNCTION("""COMPUTED_VALUE"""),0.0)</f>
        <v>0</v>
      </c>
      <c r="AK18" s="41">
        <f>IFERROR(__xludf.DUMMYFUNCTION("""COMPUTED_VALUE"""),0.0)</f>
        <v>0</v>
      </c>
      <c r="AL18" s="197">
        <f>IFERROR(__xludf.DUMMYFUNCTION("""COMPUTED_VALUE"""),0.0)</f>
        <v>0</v>
      </c>
      <c r="AM18" s="197">
        <f>IFERROR(__xludf.DUMMYFUNCTION("""COMPUTED_VALUE"""),0.0)</f>
        <v>0</v>
      </c>
      <c r="AN18" s="197">
        <f>IFERROR(__xludf.DUMMYFUNCTION("""COMPUTED_VALUE"""),0.0)</f>
        <v>0</v>
      </c>
      <c r="AO18" s="41">
        <f>IFERROR(__xludf.DUMMYFUNCTION("""COMPUTED_VALUE"""),0.0)</f>
        <v>0</v>
      </c>
      <c r="AP18" s="197">
        <f>IFERROR(__xludf.DUMMYFUNCTION("""COMPUTED_VALUE"""),0.0)</f>
        <v>0</v>
      </c>
      <c r="AQ18" s="197">
        <f>IFERROR(__xludf.DUMMYFUNCTION("""COMPUTED_VALUE"""),0.0)</f>
        <v>0</v>
      </c>
      <c r="AR18" s="197">
        <f>IFERROR(__xludf.DUMMYFUNCTION("""COMPUTED_VALUE"""),0.0)</f>
        <v>0</v>
      </c>
      <c r="AS18" s="41">
        <f>IFERROR(__xludf.DUMMYFUNCTION("""COMPUTED_VALUE"""),0.0)</f>
        <v>0</v>
      </c>
      <c r="AT18" s="197">
        <f>IFERROR(__xludf.DUMMYFUNCTION("""COMPUTED_VALUE"""),0.0)</f>
        <v>0</v>
      </c>
      <c r="AU18" s="197">
        <f>IFERROR(__xludf.DUMMYFUNCTION("""COMPUTED_VALUE"""),0.0)</f>
        <v>0</v>
      </c>
      <c r="AV18" s="197">
        <f>IFERROR(__xludf.DUMMYFUNCTION("""COMPUTED_VALUE"""),0.0)</f>
        <v>0</v>
      </c>
      <c r="AW18" s="41">
        <f>IFERROR(__xludf.DUMMYFUNCTION("""COMPUTED_VALUE"""),0.0)</f>
        <v>0</v>
      </c>
      <c r="AX18" s="197">
        <f>IFERROR(__xludf.DUMMYFUNCTION("""COMPUTED_VALUE"""),0.0)</f>
        <v>0</v>
      </c>
      <c r="AY18" s="197">
        <f>IFERROR(__xludf.DUMMYFUNCTION("""COMPUTED_VALUE"""),0.0)</f>
        <v>0</v>
      </c>
      <c r="AZ18" s="198">
        <f>IFERROR(__xludf.DUMMYFUNCTION("""COMPUTED_VALUE"""),0.0)</f>
        <v>0</v>
      </c>
      <c r="BA18" s="195"/>
    </row>
    <row r="19" ht="15.75" customHeight="1">
      <c r="A19" s="29"/>
      <c r="B19" s="67" t="str">
        <f>IFERROR(__xludf.DUMMYFUNCTION("""COMPUTED_VALUE""")," + Số lớp 3")</f>
        <v> + Số lớp 3</v>
      </c>
      <c r="C19" s="31"/>
      <c r="D19" s="31" t="str">
        <f>IFERROR(__xludf.DUMMYFUNCTION("""COMPUTED_VALUE"""),"""")</f>
        <v>"</v>
      </c>
      <c r="E19" s="41">
        <f>IFERROR(__xludf.DUMMYFUNCTION("""COMPUTED_VALUE"""),712.0)</f>
        <v>712</v>
      </c>
      <c r="F19" s="197">
        <f>IFERROR(__xludf.DUMMYFUNCTION("""COMPUTED_VALUE"""),710.0)</f>
        <v>710</v>
      </c>
      <c r="G19" s="197">
        <f>IFERROR(__xludf.DUMMYFUNCTION("""COMPUTED_VALUE"""),2.0)</f>
        <v>2</v>
      </c>
      <c r="H19" s="197">
        <f>IFERROR(__xludf.DUMMYFUNCTION("""COMPUTED_VALUE"""),0.0)</f>
        <v>0</v>
      </c>
      <c r="I19" s="41">
        <f>IFERROR(__xludf.DUMMYFUNCTION("""COMPUTED_VALUE"""),713.0)</f>
        <v>713</v>
      </c>
      <c r="J19" s="197">
        <f>IFERROR(__xludf.DUMMYFUNCTION("""COMPUTED_VALUE"""),711.0)</f>
        <v>711</v>
      </c>
      <c r="K19" s="197">
        <f>IFERROR(__xludf.DUMMYFUNCTION("""COMPUTED_VALUE"""),2.0)</f>
        <v>2</v>
      </c>
      <c r="L19" s="197">
        <f>IFERROR(__xludf.DUMMYFUNCTION("""COMPUTED_VALUE"""),0.0)</f>
        <v>0</v>
      </c>
      <c r="M19" s="41">
        <f>IFERROR(__xludf.DUMMYFUNCTION("""COMPUTED_VALUE"""),715.0)</f>
        <v>715</v>
      </c>
      <c r="N19" s="197">
        <f>IFERROR(__xludf.DUMMYFUNCTION("""COMPUTED_VALUE"""),713.0)</f>
        <v>713</v>
      </c>
      <c r="O19" s="197">
        <f>IFERROR(__xludf.DUMMYFUNCTION("""COMPUTED_VALUE"""),2.0)</f>
        <v>2</v>
      </c>
      <c r="P19" s="197">
        <f>IFERROR(__xludf.DUMMYFUNCTION("""COMPUTED_VALUE"""),0.0)</f>
        <v>0</v>
      </c>
      <c r="Q19" s="41">
        <f>IFERROR(__xludf.DUMMYFUNCTION("""COMPUTED_VALUE"""),716.0)</f>
        <v>716</v>
      </c>
      <c r="R19" s="197">
        <f>IFERROR(__xludf.DUMMYFUNCTION("""COMPUTED_VALUE"""),714.0)</f>
        <v>714</v>
      </c>
      <c r="S19" s="197">
        <f>IFERROR(__xludf.DUMMYFUNCTION("""COMPUTED_VALUE"""),2.0)</f>
        <v>2</v>
      </c>
      <c r="T19" s="197">
        <f>IFERROR(__xludf.DUMMYFUNCTION("""COMPUTED_VALUE"""),0.0)</f>
        <v>0</v>
      </c>
      <c r="U19" s="41">
        <f>IFERROR(__xludf.DUMMYFUNCTION("""COMPUTED_VALUE"""),715.0)</f>
        <v>715</v>
      </c>
      <c r="V19" s="197">
        <f>IFERROR(__xludf.DUMMYFUNCTION("""COMPUTED_VALUE"""),713.0)</f>
        <v>713</v>
      </c>
      <c r="W19" s="197">
        <f>IFERROR(__xludf.DUMMYFUNCTION("""COMPUTED_VALUE"""),2.0)</f>
        <v>2</v>
      </c>
      <c r="X19" s="197">
        <f>IFERROR(__xludf.DUMMYFUNCTION("""COMPUTED_VALUE"""),0.0)</f>
        <v>0</v>
      </c>
      <c r="Y19" s="41">
        <f>IFERROR(__xludf.DUMMYFUNCTION("""COMPUTED_VALUE"""),715.0)</f>
        <v>715</v>
      </c>
      <c r="Z19" s="197">
        <f>IFERROR(__xludf.DUMMYFUNCTION("""COMPUTED_VALUE"""),713.0)</f>
        <v>713</v>
      </c>
      <c r="AA19" s="197">
        <f>IFERROR(__xludf.DUMMYFUNCTION("""COMPUTED_VALUE"""),2.0)</f>
        <v>2</v>
      </c>
      <c r="AB19" s="197">
        <f>IFERROR(__xludf.DUMMYFUNCTION("""COMPUTED_VALUE"""),0.0)</f>
        <v>0</v>
      </c>
      <c r="AC19" s="41">
        <f>IFERROR(__xludf.DUMMYFUNCTION("""COMPUTED_VALUE"""),717.0)</f>
        <v>717</v>
      </c>
      <c r="AD19" s="197">
        <f>IFERROR(__xludf.DUMMYFUNCTION("""COMPUTED_VALUE"""),715.0)</f>
        <v>715</v>
      </c>
      <c r="AE19" s="197">
        <f>IFERROR(__xludf.DUMMYFUNCTION("""COMPUTED_VALUE"""),2.0)</f>
        <v>2</v>
      </c>
      <c r="AF19" s="197">
        <f>IFERROR(__xludf.DUMMYFUNCTION("""COMPUTED_VALUE"""),0.0)</f>
        <v>0</v>
      </c>
      <c r="AG19" s="41">
        <f>IFERROR(__xludf.DUMMYFUNCTION("""COMPUTED_VALUE"""),0.0)</f>
        <v>0</v>
      </c>
      <c r="AH19" s="197">
        <f>IFERROR(__xludf.DUMMYFUNCTION("""COMPUTED_VALUE"""),0.0)</f>
        <v>0</v>
      </c>
      <c r="AI19" s="197">
        <f>IFERROR(__xludf.DUMMYFUNCTION("""COMPUTED_VALUE"""),0.0)</f>
        <v>0</v>
      </c>
      <c r="AJ19" s="197">
        <f>IFERROR(__xludf.DUMMYFUNCTION("""COMPUTED_VALUE"""),0.0)</f>
        <v>0</v>
      </c>
      <c r="AK19" s="41">
        <f>IFERROR(__xludf.DUMMYFUNCTION("""COMPUTED_VALUE"""),0.0)</f>
        <v>0</v>
      </c>
      <c r="AL19" s="197">
        <f>IFERROR(__xludf.DUMMYFUNCTION("""COMPUTED_VALUE"""),0.0)</f>
        <v>0</v>
      </c>
      <c r="AM19" s="197">
        <f>IFERROR(__xludf.DUMMYFUNCTION("""COMPUTED_VALUE"""),0.0)</f>
        <v>0</v>
      </c>
      <c r="AN19" s="197">
        <f>IFERROR(__xludf.DUMMYFUNCTION("""COMPUTED_VALUE"""),0.0)</f>
        <v>0</v>
      </c>
      <c r="AO19" s="41">
        <f>IFERROR(__xludf.DUMMYFUNCTION("""COMPUTED_VALUE"""),0.0)</f>
        <v>0</v>
      </c>
      <c r="AP19" s="197">
        <f>IFERROR(__xludf.DUMMYFUNCTION("""COMPUTED_VALUE"""),0.0)</f>
        <v>0</v>
      </c>
      <c r="AQ19" s="197">
        <f>IFERROR(__xludf.DUMMYFUNCTION("""COMPUTED_VALUE"""),0.0)</f>
        <v>0</v>
      </c>
      <c r="AR19" s="197">
        <f>IFERROR(__xludf.DUMMYFUNCTION("""COMPUTED_VALUE"""),0.0)</f>
        <v>0</v>
      </c>
      <c r="AS19" s="41">
        <f>IFERROR(__xludf.DUMMYFUNCTION("""COMPUTED_VALUE"""),0.0)</f>
        <v>0</v>
      </c>
      <c r="AT19" s="197">
        <f>IFERROR(__xludf.DUMMYFUNCTION("""COMPUTED_VALUE"""),0.0)</f>
        <v>0</v>
      </c>
      <c r="AU19" s="197">
        <f>IFERROR(__xludf.DUMMYFUNCTION("""COMPUTED_VALUE"""),0.0)</f>
        <v>0</v>
      </c>
      <c r="AV19" s="197">
        <f>IFERROR(__xludf.DUMMYFUNCTION("""COMPUTED_VALUE"""),0.0)</f>
        <v>0</v>
      </c>
      <c r="AW19" s="41">
        <f>IFERROR(__xludf.DUMMYFUNCTION("""COMPUTED_VALUE"""),0.0)</f>
        <v>0</v>
      </c>
      <c r="AX19" s="197">
        <f>IFERROR(__xludf.DUMMYFUNCTION("""COMPUTED_VALUE"""),0.0)</f>
        <v>0</v>
      </c>
      <c r="AY19" s="197">
        <f>IFERROR(__xludf.DUMMYFUNCTION("""COMPUTED_VALUE"""),0.0)</f>
        <v>0</v>
      </c>
      <c r="AZ19" s="198">
        <f>IFERROR(__xludf.DUMMYFUNCTION("""COMPUTED_VALUE"""),0.0)</f>
        <v>0</v>
      </c>
      <c r="BA19" s="195"/>
    </row>
    <row r="20" ht="15.75" customHeight="1">
      <c r="A20" s="29"/>
      <c r="B20" s="67" t="str">
        <f>IFERROR(__xludf.DUMMYFUNCTION("""COMPUTED_VALUE""")," + Số lớp 4")</f>
        <v> + Số lớp 4</v>
      </c>
      <c r="C20" s="31"/>
      <c r="D20" s="31" t="str">
        <f>IFERROR(__xludf.DUMMYFUNCTION("""COMPUTED_VALUE"""),"""")</f>
        <v>"</v>
      </c>
      <c r="E20" s="41">
        <f>IFERROR(__xludf.DUMMYFUNCTION("""COMPUTED_VALUE"""),736.0)</f>
        <v>736</v>
      </c>
      <c r="F20" s="197">
        <f>IFERROR(__xludf.DUMMYFUNCTION("""COMPUTED_VALUE"""),734.0)</f>
        <v>734</v>
      </c>
      <c r="G20" s="197">
        <f>IFERROR(__xludf.DUMMYFUNCTION("""COMPUTED_VALUE"""),2.0)</f>
        <v>2</v>
      </c>
      <c r="H20" s="197">
        <f>IFERROR(__xludf.DUMMYFUNCTION("""COMPUTED_VALUE"""),0.0)</f>
        <v>0</v>
      </c>
      <c r="I20" s="41">
        <f>IFERROR(__xludf.DUMMYFUNCTION("""COMPUTED_VALUE"""),735.0)</f>
        <v>735</v>
      </c>
      <c r="J20" s="197">
        <f>IFERROR(__xludf.DUMMYFUNCTION("""COMPUTED_VALUE"""),733.0)</f>
        <v>733</v>
      </c>
      <c r="K20" s="197">
        <f>IFERROR(__xludf.DUMMYFUNCTION("""COMPUTED_VALUE"""),2.0)</f>
        <v>2</v>
      </c>
      <c r="L20" s="197">
        <f>IFERROR(__xludf.DUMMYFUNCTION("""COMPUTED_VALUE"""),0.0)</f>
        <v>0</v>
      </c>
      <c r="M20" s="41">
        <f>IFERROR(__xludf.DUMMYFUNCTION("""COMPUTED_VALUE"""),737.0)</f>
        <v>737</v>
      </c>
      <c r="N20" s="197">
        <f>IFERROR(__xludf.DUMMYFUNCTION("""COMPUTED_VALUE"""),735.0)</f>
        <v>735</v>
      </c>
      <c r="O20" s="197">
        <f>IFERROR(__xludf.DUMMYFUNCTION("""COMPUTED_VALUE"""),2.0)</f>
        <v>2</v>
      </c>
      <c r="P20" s="197">
        <f>IFERROR(__xludf.DUMMYFUNCTION("""COMPUTED_VALUE"""),0.0)</f>
        <v>0</v>
      </c>
      <c r="Q20" s="41">
        <f>IFERROR(__xludf.DUMMYFUNCTION("""COMPUTED_VALUE"""),738.0)</f>
        <v>738</v>
      </c>
      <c r="R20" s="197">
        <f>IFERROR(__xludf.DUMMYFUNCTION("""COMPUTED_VALUE"""),736.0)</f>
        <v>736</v>
      </c>
      <c r="S20" s="197">
        <f>IFERROR(__xludf.DUMMYFUNCTION("""COMPUTED_VALUE"""),2.0)</f>
        <v>2</v>
      </c>
      <c r="T20" s="197">
        <f>IFERROR(__xludf.DUMMYFUNCTION("""COMPUTED_VALUE"""),0.0)</f>
        <v>0</v>
      </c>
      <c r="U20" s="41">
        <f>IFERROR(__xludf.DUMMYFUNCTION("""COMPUTED_VALUE"""),739.0)</f>
        <v>739</v>
      </c>
      <c r="V20" s="197">
        <f>IFERROR(__xludf.DUMMYFUNCTION("""COMPUTED_VALUE"""),737.0)</f>
        <v>737</v>
      </c>
      <c r="W20" s="197">
        <f>IFERROR(__xludf.DUMMYFUNCTION("""COMPUTED_VALUE"""),2.0)</f>
        <v>2</v>
      </c>
      <c r="X20" s="197">
        <f>IFERROR(__xludf.DUMMYFUNCTION("""COMPUTED_VALUE"""),0.0)</f>
        <v>0</v>
      </c>
      <c r="Y20" s="41">
        <f>IFERROR(__xludf.DUMMYFUNCTION("""COMPUTED_VALUE"""),739.0)</f>
        <v>739</v>
      </c>
      <c r="Z20" s="197">
        <f>IFERROR(__xludf.DUMMYFUNCTION("""COMPUTED_VALUE"""),737.0)</f>
        <v>737</v>
      </c>
      <c r="AA20" s="197">
        <f>IFERROR(__xludf.DUMMYFUNCTION("""COMPUTED_VALUE"""),2.0)</f>
        <v>2</v>
      </c>
      <c r="AB20" s="197">
        <f>IFERROR(__xludf.DUMMYFUNCTION("""COMPUTED_VALUE"""),0.0)</f>
        <v>0</v>
      </c>
      <c r="AC20" s="41">
        <f>IFERROR(__xludf.DUMMYFUNCTION("""COMPUTED_VALUE"""),738.0)</f>
        <v>738</v>
      </c>
      <c r="AD20" s="197">
        <f>IFERROR(__xludf.DUMMYFUNCTION("""COMPUTED_VALUE"""),736.0)</f>
        <v>736</v>
      </c>
      <c r="AE20" s="197">
        <f>IFERROR(__xludf.DUMMYFUNCTION("""COMPUTED_VALUE"""),2.0)</f>
        <v>2</v>
      </c>
      <c r="AF20" s="197">
        <f>IFERROR(__xludf.DUMMYFUNCTION("""COMPUTED_VALUE"""),0.0)</f>
        <v>0</v>
      </c>
      <c r="AG20" s="41">
        <f>IFERROR(__xludf.DUMMYFUNCTION("""COMPUTED_VALUE"""),0.0)</f>
        <v>0</v>
      </c>
      <c r="AH20" s="197">
        <f>IFERROR(__xludf.DUMMYFUNCTION("""COMPUTED_VALUE"""),0.0)</f>
        <v>0</v>
      </c>
      <c r="AI20" s="197">
        <f>IFERROR(__xludf.DUMMYFUNCTION("""COMPUTED_VALUE"""),0.0)</f>
        <v>0</v>
      </c>
      <c r="AJ20" s="197">
        <f>IFERROR(__xludf.DUMMYFUNCTION("""COMPUTED_VALUE"""),0.0)</f>
        <v>0</v>
      </c>
      <c r="AK20" s="41">
        <f>IFERROR(__xludf.DUMMYFUNCTION("""COMPUTED_VALUE"""),0.0)</f>
        <v>0</v>
      </c>
      <c r="AL20" s="197">
        <f>IFERROR(__xludf.DUMMYFUNCTION("""COMPUTED_VALUE"""),0.0)</f>
        <v>0</v>
      </c>
      <c r="AM20" s="197">
        <f>IFERROR(__xludf.DUMMYFUNCTION("""COMPUTED_VALUE"""),0.0)</f>
        <v>0</v>
      </c>
      <c r="AN20" s="197">
        <f>IFERROR(__xludf.DUMMYFUNCTION("""COMPUTED_VALUE"""),0.0)</f>
        <v>0</v>
      </c>
      <c r="AO20" s="41">
        <f>IFERROR(__xludf.DUMMYFUNCTION("""COMPUTED_VALUE"""),0.0)</f>
        <v>0</v>
      </c>
      <c r="AP20" s="197">
        <f>IFERROR(__xludf.DUMMYFUNCTION("""COMPUTED_VALUE"""),0.0)</f>
        <v>0</v>
      </c>
      <c r="AQ20" s="197">
        <f>IFERROR(__xludf.DUMMYFUNCTION("""COMPUTED_VALUE"""),0.0)</f>
        <v>0</v>
      </c>
      <c r="AR20" s="197">
        <f>IFERROR(__xludf.DUMMYFUNCTION("""COMPUTED_VALUE"""),0.0)</f>
        <v>0</v>
      </c>
      <c r="AS20" s="41">
        <f>IFERROR(__xludf.DUMMYFUNCTION("""COMPUTED_VALUE"""),0.0)</f>
        <v>0</v>
      </c>
      <c r="AT20" s="197">
        <f>IFERROR(__xludf.DUMMYFUNCTION("""COMPUTED_VALUE"""),0.0)</f>
        <v>0</v>
      </c>
      <c r="AU20" s="197">
        <f>IFERROR(__xludf.DUMMYFUNCTION("""COMPUTED_VALUE"""),0.0)</f>
        <v>0</v>
      </c>
      <c r="AV20" s="197">
        <f>IFERROR(__xludf.DUMMYFUNCTION("""COMPUTED_VALUE"""),0.0)</f>
        <v>0</v>
      </c>
      <c r="AW20" s="41">
        <f>IFERROR(__xludf.DUMMYFUNCTION("""COMPUTED_VALUE"""),0.0)</f>
        <v>0</v>
      </c>
      <c r="AX20" s="197">
        <f>IFERROR(__xludf.DUMMYFUNCTION("""COMPUTED_VALUE"""),0.0)</f>
        <v>0</v>
      </c>
      <c r="AY20" s="197">
        <f>IFERROR(__xludf.DUMMYFUNCTION("""COMPUTED_VALUE"""),0.0)</f>
        <v>0</v>
      </c>
      <c r="AZ20" s="198">
        <f>IFERROR(__xludf.DUMMYFUNCTION("""COMPUTED_VALUE"""),0.0)</f>
        <v>0</v>
      </c>
      <c r="BA20" s="195"/>
    </row>
    <row r="21" ht="15.75" customHeight="1">
      <c r="A21" s="29"/>
      <c r="B21" s="67" t="str">
        <f>IFERROR(__xludf.DUMMYFUNCTION("""COMPUTED_VALUE""")," + Số lớp 5")</f>
        <v> + Số lớp 5</v>
      </c>
      <c r="C21" s="31"/>
      <c r="D21" s="31" t="str">
        <f>IFERROR(__xludf.DUMMYFUNCTION("""COMPUTED_VALUE"""),"""")</f>
        <v>"</v>
      </c>
      <c r="E21" s="41">
        <f>IFERROR(__xludf.DUMMYFUNCTION("""COMPUTED_VALUE"""),740.0)</f>
        <v>740</v>
      </c>
      <c r="F21" s="197">
        <f>IFERROR(__xludf.DUMMYFUNCTION("""COMPUTED_VALUE"""),738.0)</f>
        <v>738</v>
      </c>
      <c r="G21" s="197">
        <f>IFERROR(__xludf.DUMMYFUNCTION("""COMPUTED_VALUE"""),2.0)</f>
        <v>2</v>
      </c>
      <c r="H21" s="197">
        <f>IFERROR(__xludf.DUMMYFUNCTION("""COMPUTED_VALUE"""),0.0)</f>
        <v>0</v>
      </c>
      <c r="I21" s="41">
        <f>IFERROR(__xludf.DUMMYFUNCTION("""COMPUTED_VALUE"""),740.0)</f>
        <v>740</v>
      </c>
      <c r="J21" s="197">
        <f>IFERROR(__xludf.DUMMYFUNCTION("""COMPUTED_VALUE"""),738.0)</f>
        <v>738</v>
      </c>
      <c r="K21" s="197">
        <f>IFERROR(__xludf.DUMMYFUNCTION("""COMPUTED_VALUE"""),2.0)</f>
        <v>2</v>
      </c>
      <c r="L21" s="197">
        <f>IFERROR(__xludf.DUMMYFUNCTION("""COMPUTED_VALUE"""),0.0)</f>
        <v>0</v>
      </c>
      <c r="M21" s="41">
        <f>IFERROR(__xludf.DUMMYFUNCTION("""COMPUTED_VALUE"""),742.0)</f>
        <v>742</v>
      </c>
      <c r="N21" s="197">
        <f>IFERROR(__xludf.DUMMYFUNCTION("""COMPUTED_VALUE"""),740.0)</f>
        <v>740</v>
      </c>
      <c r="O21" s="197">
        <f>IFERROR(__xludf.DUMMYFUNCTION("""COMPUTED_VALUE"""),2.0)</f>
        <v>2</v>
      </c>
      <c r="P21" s="197">
        <f>IFERROR(__xludf.DUMMYFUNCTION("""COMPUTED_VALUE"""),0.0)</f>
        <v>0</v>
      </c>
      <c r="Q21" s="41">
        <f>IFERROR(__xludf.DUMMYFUNCTION("""COMPUTED_VALUE"""),744.0)</f>
        <v>744</v>
      </c>
      <c r="R21" s="197">
        <f>IFERROR(__xludf.DUMMYFUNCTION("""COMPUTED_VALUE"""),742.0)</f>
        <v>742</v>
      </c>
      <c r="S21" s="197">
        <f>IFERROR(__xludf.DUMMYFUNCTION("""COMPUTED_VALUE"""),2.0)</f>
        <v>2</v>
      </c>
      <c r="T21" s="197">
        <f>IFERROR(__xludf.DUMMYFUNCTION("""COMPUTED_VALUE"""),0.0)</f>
        <v>0</v>
      </c>
      <c r="U21" s="41">
        <f>IFERROR(__xludf.DUMMYFUNCTION("""COMPUTED_VALUE"""),744.0)</f>
        <v>744</v>
      </c>
      <c r="V21" s="197">
        <f>IFERROR(__xludf.DUMMYFUNCTION("""COMPUTED_VALUE"""),742.0)</f>
        <v>742</v>
      </c>
      <c r="W21" s="197">
        <f>IFERROR(__xludf.DUMMYFUNCTION("""COMPUTED_VALUE"""),2.0)</f>
        <v>2</v>
      </c>
      <c r="X21" s="197">
        <f>IFERROR(__xludf.DUMMYFUNCTION("""COMPUTED_VALUE"""),0.0)</f>
        <v>0</v>
      </c>
      <c r="Y21" s="41">
        <f>IFERROR(__xludf.DUMMYFUNCTION("""COMPUTED_VALUE"""),744.0)</f>
        <v>744</v>
      </c>
      <c r="Z21" s="197">
        <f>IFERROR(__xludf.DUMMYFUNCTION("""COMPUTED_VALUE"""),742.0)</f>
        <v>742</v>
      </c>
      <c r="AA21" s="197">
        <f>IFERROR(__xludf.DUMMYFUNCTION("""COMPUTED_VALUE"""),2.0)</f>
        <v>2</v>
      </c>
      <c r="AB21" s="197">
        <f>IFERROR(__xludf.DUMMYFUNCTION("""COMPUTED_VALUE"""),0.0)</f>
        <v>0</v>
      </c>
      <c r="AC21" s="41">
        <f>IFERROR(__xludf.DUMMYFUNCTION("""COMPUTED_VALUE"""),744.0)</f>
        <v>744</v>
      </c>
      <c r="AD21" s="197">
        <f>IFERROR(__xludf.DUMMYFUNCTION("""COMPUTED_VALUE"""),742.0)</f>
        <v>742</v>
      </c>
      <c r="AE21" s="197">
        <f>IFERROR(__xludf.DUMMYFUNCTION("""COMPUTED_VALUE"""),2.0)</f>
        <v>2</v>
      </c>
      <c r="AF21" s="197">
        <f>IFERROR(__xludf.DUMMYFUNCTION("""COMPUTED_VALUE"""),0.0)</f>
        <v>0</v>
      </c>
      <c r="AG21" s="41">
        <f>IFERROR(__xludf.DUMMYFUNCTION("""COMPUTED_VALUE"""),0.0)</f>
        <v>0</v>
      </c>
      <c r="AH21" s="197">
        <f>IFERROR(__xludf.DUMMYFUNCTION("""COMPUTED_VALUE"""),0.0)</f>
        <v>0</v>
      </c>
      <c r="AI21" s="197">
        <f>IFERROR(__xludf.DUMMYFUNCTION("""COMPUTED_VALUE"""),0.0)</f>
        <v>0</v>
      </c>
      <c r="AJ21" s="197">
        <f>IFERROR(__xludf.DUMMYFUNCTION("""COMPUTED_VALUE"""),0.0)</f>
        <v>0</v>
      </c>
      <c r="AK21" s="41">
        <f>IFERROR(__xludf.DUMMYFUNCTION("""COMPUTED_VALUE"""),0.0)</f>
        <v>0</v>
      </c>
      <c r="AL21" s="197">
        <f>IFERROR(__xludf.DUMMYFUNCTION("""COMPUTED_VALUE"""),0.0)</f>
        <v>0</v>
      </c>
      <c r="AM21" s="197">
        <f>IFERROR(__xludf.DUMMYFUNCTION("""COMPUTED_VALUE"""),0.0)</f>
        <v>0</v>
      </c>
      <c r="AN21" s="197">
        <f>IFERROR(__xludf.DUMMYFUNCTION("""COMPUTED_VALUE"""),0.0)</f>
        <v>0</v>
      </c>
      <c r="AO21" s="41">
        <f>IFERROR(__xludf.DUMMYFUNCTION("""COMPUTED_VALUE"""),0.0)</f>
        <v>0</v>
      </c>
      <c r="AP21" s="197">
        <f>IFERROR(__xludf.DUMMYFUNCTION("""COMPUTED_VALUE"""),0.0)</f>
        <v>0</v>
      </c>
      <c r="AQ21" s="197">
        <f>IFERROR(__xludf.DUMMYFUNCTION("""COMPUTED_VALUE"""),0.0)</f>
        <v>0</v>
      </c>
      <c r="AR21" s="197">
        <f>IFERROR(__xludf.DUMMYFUNCTION("""COMPUTED_VALUE"""),0.0)</f>
        <v>0</v>
      </c>
      <c r="AS21" s="41">
        <f>IFERROR(__xludf.DUMMYFUNCTION("""COMPUTED_VALUE"""),0.0)</f>
        <v>0</v>
      </c>
      <c r="AT21" s="197">
        <f>IFERROR(__xludf.DUMMYFUNCTION("""COMPUTED_VALUE"""),0.0)</f>
        <v>0</v>
      </c>
      <c r="AU21" s="197">
        <f>IFERROR(__xludf.DUMMYFUNCTION("""COMPUTED_VALUE"""),0.0)</f>
        <v>0</v>
      </c>
      <c r="AV21" s="197">
        <f>IFERROR(__xludf.DUMMYFUNCTION("""COMPUTED_VALUE"""),0.0)</f>
        <v>0</v>
      </c>
      <c r="AW21" s="41">
        <f>IFERROR(__xludf.DUMMYFUNCTION("""COMPUTED_VALUE"""),0.0)</f>
        <v>0</v>
      </c>
      <c r="AX21" s="197">
        <f>IFERROR(__xludf.DUMMYFUNCTION("""COMPUTED_VALUE"""),0.0)</f>
        <v>0</v>
      </c>
      <c r="AY21" s="197">
        <f>IFERROR(__xludf.DUMMYFUNCTION("""COMPUTED_VALUE"""),0.0)</f>
        <v>0</v>
      </c>
      <c r="AZ21" s="198">
        <f>IFERROR(__xludf.DUMMYFUNCTION("""COMPUTED_VALUE"""),0.0)</f>
        <v>0</v>
      </c>
      <c r="BA21" s="195"/>
    </row>
    <row r="22" ht="15.75" customHeight="1">
      <c r="A22" s="29"/>
      <c r="B22" s="67" t="str">
        <f>IFERROR(__xludf.DUMMYFUNCTION("""COMPUTED_VALUE""")," + Số lớp ghép")</f>
        <v> + Số lớp ghép</v>
      </c>
      <c r="C22" s="31"/>
      <c r="D22" s="31" t="str">
        <f>IFERROR(__xludf.DUMMYFUNCTION("""COMPUTED_VALUE"""),"""")</f>
        <v>"</v>
      </c>
      <c r="E22" s="41">
        <f>IFERROR(__xludf.DUMMYFUNCTION("""COMPUTED_VALUE"""),0.0)</f>
        <v>0</v>
      </c>
      <c r="F22" s="197">
        <f>IFERROR(__xludf.DUMMYFUNCTION("""COMPUTED_VALUE"""),0.0)</f>
        <v>0</v>
      </c>
      <c r="G22" s="197">
        <f>IFERROR(__xludf.DUMMYFUNCTION("""COMPUTED_VALUE"""),0.0)</f>
        <v>0</v>
      </c>
      <c r="H22" s="197">
        <f>IFERROR(__xludf.DUMMYFUNCTION("""COMPUTED_VALUE"""),0.0)</f>
        <v>0</v>
      </c>
      <c r="I22" s="41">
        <f>IFERROR(__xludf.DUMMYFUNCTION("""COMPUTED_VALUE"""),0.0)</f>
        <v>0</v>
      </c>
      <c r="J22" s="197">
        <f>IFERROR(__xludf.DUMMYFUNCTION("""COMPUTED_VALUE"""),0.0)</f>
        <v>0</v>
      </c>
      <c r="K22" s="197">
        <f>IFERROR(__xludf.DUMMYFUNCTION("""COMPUTED_VALUE"""),0.0)</f>
        <v>0</v>
      </c>
      <c r="L22" s="197">
        <f>IFERROR(__xludf.DUMMYFUNCTION("""COMPUTED_VALUE"""),0.0)</f>
        <v>0</v>
      </c>
      <c r="M22" s="41">
        <f>IFERROR(__xludf.DUMMYFUNCTION("""COMPUTED_VALUE"""),0.0)</f>
        <v>0</v>
      </c>
      <c r="N22" s="197">
        <f>IFERROR(__xludf.DUMMYFUNCTION("""COMPUTED_VALUE"""),0.0)</f>
        <v>0</v>
      </c>
      <c r="O22" s="197">
        <f>IFERROR(__xludf.DUMMYFUNCTION("""COMPUTED_VALUE"""),0.0)</f>
        <v>0</v>
      </c>
      <c r="P22" s="197">
        <f>IFERROR(__xludf.DUMMYFUNCTION("""COMPUTED_VALUE"""),0.0)</f>
        <v>0</v>
      </c>
      <c r="Q22" s="41">
        <f>IFERROR(__xludf.DUMMYFUNCTION("""COMPUTED_VALUE"""),0.0)</f>
        <v>0</v>
      </c>
      <c r="R22" s="197">
        <f>IFERROR(__xludf.DUMMYFUNCTION("""COMPUTED_VALUE"""),0.0)</f>
        <v>0</v>
      </c>
      <c r="S22" s="197">
        <f>IFERROR(__xludf.DUMMYFUNCTION("""COMPUTED_VALUE"""),0.0)</f>
        <v>0</v>
      </c>
      <c r="T22" s="197">
        <f>IFERROR(__xludf.DUMMYFUNCTION("""COMPUTED_VALUE"""),0.0)</f>
        <v>0</v>
      </c>
      <c r="U22" s="41">
        <f>IFERROR(__xludf.DUMMYFUNCTION("""COMPUTED_VALUE"""),0.0)</f>
        <v>0</v>
      </c>
      <c r="V22" s="197">
        <f>IFERROR(__xludf.DUMMYFUNCTION("""COMPUTED_VALUE"""),0.0)</f>
        <v>0</v>
      </c>
      <c r="W22" s="197">
        <f>IFERROR(__xludf.DUMMYFUNCTION("""COMPUTED_VALUE"""),0.0)</f>
        <v>0</v>
      </c>
      <c r="X22" s="197">
        <f>IFERROR(__xludf.DUMMYFUNCTION("""COMPUTED_VALUE"""),0.0)</f>
        <v>0</v>
      </c>
      <c r="Y22" s="41">
        <f>IFERROR(__xludf.DUMMYFUNCTION("""COMPUTED_VALUE"""),0.0)</f>
        <v>0</v>
      </c>
      <c r="Z22" s="197">
        <f>IFERROR(__xludf.DUMMYFUNCTION("""COMPUTED_VALUE"""),0.0)</f>
        <v>0</v>
      </c>
      <c r="AA22" s="197">
        <f>IFERROR(__xludf.DUMMYFUNCTION("""COMPUTED_VALUE"""),0.0)</f>
        <v>0</v>
      </c>
      <c r="AB22" s="197">
        <f>IFERROR(__xludf.DUMMYFUNCTION("""COMPUTED_VALUE"""),0.0)</f>
        <v>0</v>
      </c>
      <c r="AC22" s="41">
        <f>IFERROR(__xludf.DUMMYFUNCTION("""COMPUTED_VALUE"""),0.0)</f>
        <v>0</v>
      </c>
      <c r="AD22" s="197">
        <f>IFERROR(__xludf.DUMMYFUNCTION("""COMPUTED_VALUE"""),0.0)</f>
        <v>0</v>
      </c>
      <c r="AE22" s="197">
        <f>IFERROR(__xludf.DUMMYFUNCTION("""COMPUTED_VALUE"""),0.0)</f>
        <v>0</v>
      </c>
      <c r="AF22" s="197">
        <f>IFERROR(__xludf.DUMMYFUNCTION("""COMPUTED_VALUE"""),0.0)</f>
        <v>0</v>
      </c>
      <c r="AG22" s="41">
        <f>IFERROR(__xludf.DUMMYFUNCTION("""COMPUTED_VALUE"""),0.0)</f>
        <v>0</v>
      </c>
      <c r="AH22" s="197">
        <f>IFERROR(__xludf.DUMMYFUNCTION("""COMPUTED_VALUE"""),0.0)</f>
        <v>0</v>
      </c>
      <c r="AI22" s="197">
        <f>IFERROR(__xludf.DUMMYFUNCTION("""COMPUTED_VALUE"""),0.0)</f>
        <v>0</v>
      </c>
      <c r="AJ22" s="197">
        <f>IFERROR(__xludf.DUMMYFUNCTION("""COMPUTED_VALUE"""),0.0)</f>
        <v>0</v>
      </c>
      <c r="AK22" s="41">
        <f>IFERROR(__xludf.DUMMYFUNCTION("""COMPUTED_VALUE"""),0.0)</f>
        <v>0</v>
      </c>
      <c r="AL22" s="197">
        <f>IFERROR(__xludf.DUMMYFUNCTION("""COMPUTED_VALUE"""),0.0)</f>
        <v>0</v>
      </c>
      <c r="AM22" s="197">
        <f>IFERROR(__xludf.DUMMYFUNCTION("""COMPUTED_VALUE"""),0.0)</f>
        <v>0</v>
      </c>
      <c r="AN22" s="197">
        <f>IFERROR(__xludf.DUMMYFUNCTION("""COMPUTED_VALUE"""),0.0)</f>
        <v>0</v>
      </c>
      <c r="AO22" s="41">
        <f>IFERROR(__xludf.DUMMYFUNCTION("""COMPUTED_VALUE"""),0.0)</f>
        <v>0</v>
      </c>
      <c r="AP22" s="197">
        <f>IFERROR(__xludf.DUMMYFUNCTION("""COMPUTED_VALUE"""),0.0)</f>
        <v>0</v>
      </c>
      <c r="AQ22" s="197">
        <f>IFERROR(__xludf.DUMMYFUNCTION("""COMPUTED_VALUE"""),0.0)</f>
        <v>0</v>
      </c>
      <c r="AR22" s="197">
        <f>IFERROR(__xludf.DUMMYFUNCTION("""COMPUTED_VALUE"""),0.0)</f>
        <v>0</v>
      </c>
      <c r="AS22" s="41">
        <f>IFERROR(__xludf.DUMMYFUNCTION("""COMPUTED_VALUE"""),0.0)</f>
        <v>0</v>
      </c>
      <c r="AT22" s="197">
        <f>IFERROR(__xludf.DUMMYFUNCTION("""COMPUTED_VALUE"""),0.0)</f>
        <v>0</v>
      </c>
      <c r="AU22" s="197">
        <f>IFERROR(__xludf.DUMMYFUNCTION("""COMPUTED_VALUE"""),0.0)</f>
        <v>0</v>
      </c>
      <c r="AV22" s="197">
        <f>IFERROR(__xludf.DUMMYFUNCTION("""COMPUTED_VALUE"""),0.0)</f>
        <v>0</v>
      </c>
      <c r="AW22" s="41">
        <f>IFERROR(__xludf.DUMMYFUNCTION("""COMPUTED_VALUE"""),0.0)</f>
        <v>0</v>
      </c>
      <c r="AX22" s="197">
        <f>IFERROR(__xludf.DUMMYFUNCTION("""COMPUTED_VALUE"""),0.0)</f>
        <v>0</v>
      </c>
      <c r="AY22" s="197">
        <f>IFERROR(__xludf.DUMMYFUNCTION("""COMPUTED_VALUE"""),0.0)</f>
        <v>0</v>
      </c>
      <c r="AZ22" s="198">
        <f>IFERROR(__xludf.DUMMYFUNCTION("""COMPUTED_VALUE"""),0.0)</f>
        <v>0</v>
      </c>
      <c r="BA22" s="195"/>
    </row>
    <row r="23" ht="15.75" customHeight="1">
      <c r="A23" s="29"/>
      <c r="B23" s="30" t="str">
        <f>IFERROR(__xludf.DUMMYFUNCTION("""COMPUTED_VALUE"""),"3. HỌC SINH")</f>
        <v>3. HỌC SINH</v>
      </c>
      <c r="C23" s="31" t="str">
        <f>IFERROR(__xludf.DUMMYFUNCTION("""COMPUTED_VALUE"""),"Tháng")</f>
        <v>Tháng</v>
      </c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3"/>
      <c r="BA23" s="195"/>
    </row>
    <row r="24" ht="15.75" customHeight="1">
      <c r="A24" s="29"/>
      <c r="B24" s="196" t="str">
        <f>IFERROR(__xludf.DUMMYFUNCTION("""COMPUTED_VALUE"""),"3.1. Tổng số")</f>
        <v>3.1. Tổng số</v>
      </c>
      <c r="C24" s="57"/>
      <c r="D24" s="57" t="str">
        <f>IFERROR(__xludf.DUMMYFUNCTION("""COMPUTED_VALUE"""),"Người")</f>
        <v>Người</v>
      </c>
      <c r="E24" s="125">
        <f>IFERROR(__xludf.DUMMYFUNCTION("""COMPUTED_VALUE"""),108636.0)</f>
        <v>108636</v>
      </c>
      <c r="F24" s="125">
        <f>IFERROR(__xludf.DUMMYFUNCTION("""COMPUTED_VALUE"""),108340.0)</f>
        <v>108340</v>
      </c>
      <c r="G24" s="125">
        <f>IFERROR(__xludf.DUMMYFUNCTION("""COMPUTED_VALUE"""),296.0)</f>
        <v>296</v>
      </c>
      <c r="H24" s="125">
        <f>IFERROR(__xludf.DUMMYFUNCTION("""COMPUTED_VALUE"""),0.0)</f>
        <v>0</v>
      </c>
      <c r="I24" s="125">
        <f>IFERROR(__xludf.DUMMYFUNCTION("""COMPUTED_VALUE"""),108117.0)</f>
        <v>108117</v>
      </c>
      <c r="J24" s="125">
        <f>IFERROR(__xludf.DUMMYFUNCTION("""COMPUTED_VALUE"""),107821.0)</f>
        <v>107821</v>
      </c>
      <c r="K24" s="125">
        <f>IFERROR(__xludf.DUMMYFUNCTION("""COMPUTED_VALUE"""),296.0)</f>
        <v>296</v>
      </c>
      <c r="L24" s="125">
        <f>IFERROR(__xludf.DUMMYFUNCTION("""COMPUTED_VALUE"""),0.0)</f>
        <v>0</v>
      </c>
      <c r="M24" s="125">
        <f>IFERROR(__xludf.DUMMYFUNCTION("""COMPUTED_VALUE"""),108400.0)</f>
        <v>108400</v>
      </c>
      <c r="N24" s="125">
        <f>IFERROR(__xludf.DUMMYFUNCTION("""COMPUTED_VALUE"""),108104.0)</f>
        <v>108104</v>
      </c>
      <c r="O24" s="125">
        <f>IFERROR(__xludf.DUMMYFUNCTION("""COMPUTED_VALUE"""),296.0)</f>
        <v>296</v>
      </c>
      <c r="P24" s="125">
        <f>IFERROR(__xludf.DUMMYFUNCTION("""COMPUTED_VALUE"""),0.0)</f>
        <v>0</v>
      </c>
      <c r="Q24" s="125">
        <f>IFERROR(__xludf.DUMMYFUNCTION("""COMPUTED_VALUE"""),108121.0)</f>
        <v>108121</v>
      </c>
      <c r="R24" s="125">
        <f>IFERROR(__xludf.DUMMYFUNCTION("""COMPUTED_VALUE"""),107827.0)</f>
        <v>107827</v>
      </c>
      <c r="S24" s="125">
        <f>IFERROR(__xludf.DUMMYFUNCTION("""COMPUTED_VALUE"""),294.0)</f>
        <v>294</v>
      </c>
      <c r="T24" s="125">
        <f>IFERROR(__xludf.DUMMYFUNCTION("""COMPUTED_VALUE"""),0.0)</f>
        <v>0</v>
      </c>
      <c r="U24" s="125">
        <f>IFERROR(__xludf.DUMMYFUNCTION("""COMPUTED_VALUE"""),108015.0)</f>
        <v>108015</v>
      </c>
      <c r="V24" s="125">
        <f>IFERROR(__xludf.DUMMYFUNCTION("""COMPUTED_VALUE"""),107721.0)</f>
        <v>107721</v>
      </c>
      <c r="W24" s="125">
        <f>IFERROR(__xludf.DUMMYFUNCTION("""COMPUTED_VALUE"""),294.0)</f>
        <v>294</v>
      </c>
      <c r="X24" s="125">
        <f>IFERROR(__xludf.DUMMYFUNCTION("""COMPUTED_VALUE"""),0.0)</f>
        <v>0</v>
      </c>
      <c r="Y24" s="125">
        <f>IFERROR(__xludf.DUMMYFUNCTION("""COMPUTED_VALUE"""),96507.421)</f>
        <v>96507.421</v>
      </c>
      <c r="Z24" s="125">
        <f>IFERROR(__xludf.DUMMYFUNCTION("""COMPUTED_VALUE"""),96213.421)</f>
        <v>96213.421</v>
      </c>
      <c r="AA24" s="125">
        <f>IFERROR(__xludf.DUMMYFUNCTION("""COMPUTED_VALUE"""),294.0)</f>
        <v>294</v>
      </c>
      <c r="AB24" s="125">
        <f>IFERROR(__xludf.DUMMYFUNCTION("""COMPUTED_VALUE"""),0.0)</f>
        <v>0</v>
      </c>
      <c r="AC24" s="125">
        <f>IFERROR(__xludf.DUMMYFUNCTION("""COMPUTED_VALUE"""),96471.421)</f>
        <v>96471.421</v>
      </c>
      <c r="AD24" s="125">
        <f>IFERROR(__xludf.DUMMYFUNCTION("""COMPUTED_VALUE"""),96177.421)</f>
        <v>96177.421</v>
      </c>
      <c r="AE24" s="125">
        <f>IFERROR(__xludf.DUMMYFUNCTION("""COMPUTED_VALUE"""),294.0)</f>
        <v>294</v>
      </c>
      <c r="AF24" s="125">
        <f>IFERROR(__xludf.DUMMYFUNCTION("""COMPUTED_VALUE"""),0.0)</f>
        <v>0</v>
      </c>
      <c r="AG24" s="125">
        <f>IFERROR(__xludf.DUMMYFUNCTION("""COMPUTED_VALUE"""),0.0)</f>
        <v>0</v>
      </c>
      <c r="AH24" s="125">
        <f>IFERROR(__xludf.DUMMYFUNCTION("""COMPUTED_VALUE"""),0.0)</f>
        <v>0</v>
      </c>
      <c r="AI24" s="125">
        <f>IFERROR(__xludf.DUMMYFUNCTION("""COMPUTED_VALUE"""),0.0)</f>
        <v>0</v>
      </c>
      <c r="AJ24" s="125">
        <f>IFERROR(__xludf.DUMMYFUNCTION("""COMPUTED_VALUE"""),0.0)</f>
        <v>0</v>
      </c>
      <c r="AK24" s="125">
        <f>IFERROR(__xludf.DUMMYFUNCTION("""COMPUTED_VALUE"""),0.0)</f>
        <v>0</v>
      </c>
      <c r="AL24" s="125">
        <f>IFERROR(__xludf.DUMMYFUNCTION("""COMPUTED_VALUE"""),0.0)</f>
        <v>0</v>
      </c>
      <c r="AM24" s="125">
        <f>IFERROR(__xludf.DUMMYFUNCTION("""COMPUTED_VALUE"""),0.0)</f>
        <v>0</v>
      </c>
      <c r="AN24" s="125">
        <f>IFERROR(__xludf.DUMMYFUNCTION("""COMPUTED_VALUE"""),0.0)</f>
        <v>0</v>
      </c>
      <c r="AO24" s="125">
        <f>IFERROR(__xludf.DUMMYFUNCTION("""COMPUTED_VALUE"""),0.0)</f>
        <v>0</v>
      </c>
      <c r="AP24" s="125">
        <f>IFERROR(__xludf.DUMMYFUNCTION("""COMPUTED_VALUE"""),0.0)</f>
        <v>0</v>
      </c>
      <c r="AQ24" s="125">
        <f>IFERROR(__xludf.DUMMYFUNCTION("""COMPUTED_VALUE"""),0.0)</f>
        <v>0</v>
      </c>
      <c r="AR24" s="125">
        <f>IFERROR(__xludf.DUMMYFUNCTION("""COMPUTED_VALUE"""),0.0)</f>
        <v>0</v>
      </c>
      <c r="AS24" s="125">
        <f>IFERROR(__xludf.DUMMYFUNCTION("""COMPUTED_VALUE"""),0.0)</f>
        <v>0</v>
      </c>
      <c r="AT24" s="125">
        <f>IFERROR(__xludf.DUMMYFUNCTION("""COMPUTED_VALUE"""),0.0)</f>
        <v>0</v>
      </c>
      <c r="AU24" s="125">
        <f>IFERROR(__xludf.DUMMYFUNCTION("""COMPUTED_VALUE"""),0.0)</f>
        <v>0</v>
      </c>
      <c r="AV24" s="125">
        <f>IFERROR(__xludf.DUMMYFUNCTION("""COMPUTED_VALUE"""),0.0)</f>
        <v>0</v>
      </c>
      <c r="AW24" s="125">
        <f>IFERROR(__xludf.DUMMYFUNCTION("""COMPUTED_VALUE"""),0.0)</f>
        <v>0</v>
      </c>
      <c r="AX24" s="125">
        <f>IFERROR(__xludf.DUMMYFUNCTION("""COMPUTED_VALUE"""),0.0)</f>
        <v>0</v>
      </c>
      <c r="AY24" s="125">
        <f>IFERROR(__xludf.DUMMYFUNCTION("""COMPUTED_VALUE"""),0.0)</f>
        <v>0</v>
      </c>
      <c r="AZ24" s="127">
        <f>IFERROR(__xludf.DUMMYFUNCTION("""COMPUTED_VALUE"""),0.0)</f>
        <v>0</v>
      </c>
      <c r="BA24" s="195"/>
    </row>
    <row r="25" ht="15.75" customHeight="1">
      <c r="A25" s="29"/>
      <c r="B25" s="48" t="str">
        <f>IFERROR(__xludf.DUMMYFUNCTION("""COMPUTED_VALUE"""),"Chia ra:")</f>
        <v>Chia ra:</v>
      </c>
      <c r="C25" s="49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3"/>
      <c r="BA25" s="195"/>
    </row>
    <row r="26" ht="15.75" customHeight="1">
      <c r="A26" s="29"/>
      <c r="B26" s="67" t="str">
        <f>IFERROR(__xludf.DUMMYFUNCTION("""COMPUTED_VALUE""")," + Lớp 1")</f>
        <v> + Lớp 1</v>
      </c>
      <c r="C26" s="31"/>
      <c r="D26" s="31" t="str">
        <f>IFERROR(__xludf.DUMMYFUNCTION("""COMPUTED_VALUE""")," Người")</f>
        <v> Người</v>
      </c>
      <c r="E26" s="41">
        <f>IFERROR(__xludf.DUMMYFUNCTION("""COMPUTED_VALUE"""),22235.0)</f>
        <v>22235</v>
      </c>
      <c r="F26" s="197">
        <f>IFERROR(__xludf.DUMMYFUNCTION("""COMPUTED_VALUE"""),22169.0)</f>
        <v>22169</v>
      </c>
      <c r="G26" s="197">
        <f>IFERROR(__xludf.DUMMYFUNCTION("""COMPUTED_VALUE"""),66.0)</f>
        <v>66</v>
      </c>
      <c r="H26" s="197">
        <f>IFERROR(__xludf.DUMMYFUNCTION("""COMPUTED_VALUE"""),0.0)</f>
        <v>0</v>
      </c>
      <c r="I26" s="41">
        <f>IFERROR(__xludf.DUMMYFUNCTION("""COMPUTED_VALUE"""),22157.0)</f>
        <v>22157</v>
      </c>
      <c r="J26" s="197">
        <f>IFERROR(__xludf.DUMMYFUNCTION("""COMPUTED_VALUE"""),22091.0)</f>
        <v>22091</v>
      </c>
      <c r="K26" s="197">
        <f>IFERROR(__xludf.DUMMYFUNCTION("""COMPUTED_VALUE"""),66.0)</f>
        <v>66</v>
      </c>
      <c r="L26" s="197">
        <f>IFERROR(__xludf.DUMMYFUNCTION("""COMPUTED_VALUE"""),0.0)</f>
        <v>0</v>
      </c>
      <c r="M26" s="41">
        <f>IFERROR(__xludf.DUMMYFUNCTION("""COMPUTED_VALUE"""),22229.0)</f>
        <v>22229</v>
      </c>
      <c r="N26" s="197">
        <f>IFERROR(__xludf.DUMMYFUNCTION("""COMPUTED_VALUE"""),22163.0)</f>
        <v>22163</v>
      </c>
      <c r="O26" s="197">
        <f>IFERROR(__xludf.DUMMYFUNCTION("""COMPUTED_VALUE"""),66.0)</f>
        <v>66</v>
      </c>
      <c r="P26" s="197">
        <f>IFERROR(__xludf.DUMMYFUNCTION("""COMPUTED_VALUE"""),0.0)</f>
        <v>0</v>
      </c>
      <c r="Q26" s="41">
        <f>IFERROR(__xludf.DUMMYFUNCTION("""COMPUTED_VALUE"""),22197.0)</f>
        <v>22197</v>
      </c>
      <c r="R26" s="197">
        <f>IFERROR(__xludf.DUMMYFUNCTION("""COMPUTED_VALUE"""),22132.0)</f>
        <v>22132</v>
      </c>
      <c r="S26" s="197">
        <f>IFERROR(__xludf.DUMMYFUNCTION("""COMPUTED_VALUE"""),65.0)</f>
        <v>65</v>
      </c>
      <c r="T26" s="197">
        <f>IFERROR(__xludf.DUMMYFUNCTION("""COMPUTED_VALUE"""),0.0)</f>
        <v>0</v>
      </c>
      <c r="U26" s="41">
        <f>IFERROR(__xludf.DUMMYFUNCTION("""COMPUTED_VALUE"""),22170.0)</f>
        <v>22170</v>
      </c>
      <c r="V26" s="197">
        <f>IFERROR(__xludf.DUMMYFUNCTION("""COMPUTED_VALUE"""),22105.0)</f>
        <v>22105</v>
      </c>
      <c r="W26" s="197">
        <f>IFERROR(__xludf.DUMMYFUNCTION("""COMPUTED_VALUE"""),65.0)</f>
        <v>65</v>
      </c>
      <c r="X26" s="197">
        <f>IFERROR(__xludf.DUMMYFUNCTION("""COMPUTED_VALUE"""),0.0)</f>
        <v>0</v>
      </c>
      <c r="Y26" s="41">
        <f>IFERROR(__xludf.DUMMYFUNCTION("""COMPUTED_VALUE"""),19833.316)</f>
        <v>19833.316</v>
      </c>
      <c r="Z26" s="197">
        <f>IFERROR(__xludf.DUMMYFUNCTION("""COMPUTED_VALUE"""),19768.316)</f>
        <v>19768.316</v>
      </c>
      <c r="AA26" s="197">
        <f>IFERROR(__xludf.DUMMYFUNCTION("""COMPUTED_VALUE"""),65.0)</f>
        <v>65</v>
      </c>
      <c r="AB26" s="197">
        <f>IFERROR(__xludf.DUMMYFUNCTION("""COMPUTED_VALUE"""),0.0)</f>
        <v>0</v>
      </c>
      <c r="AC26" s="41">
        <f>IFERROR(__xludf.DUMMYFUNCTION("""COMPUTED_VALUE"""),19823.316)</f>
        <v>19823.316</v>
      </c>
      <c r="AD26" s="197">
        <f>IFERROR(__xludf.DUMMYFUNCTION("""COMPUTED_VALUE"""),19758.316)</f>
        <v>19758.316</v>
      </c>
      <c r="AE26" s="197">
        <f>IFERROR(__xludf.DUMMYFUNCTION("""COMPUTED_VALUE"""),65.0)</f>
        <v>65</v>
      </c>
      <c r="AF26" s="197">
        <f>IFERROR(__xludf.DUMMYFUNCTION("""COMPUTED_VALUE"""),0.0)</f>
        <v>0</v>
      </c>
      <c r="AG26" s="41">
        <f>IFERROR(__xludf.DUMMYFUNCTION("""COMPUTED_VALUE"""),0.0)</f>
        <v>0</v>
      </c>
      <c r="AH26" s="197">
        <f>IFERROR(__xludf.DUMMYFUNCTION("""COMPUTED_VALUE"""),0.0)</f>
        <v>0</v>
      </c>
      <c r="AI26" s="197">
        <f>IFERROR(__xludf.DUMMYFUNCTION("""COMPUTED_VALUE"""),0.0)</f>
        <v>0</v>
      </c>
      <c r="AJ26" s="197">
        <f>IFERROR(__xludf.DUMMYFUNCTION("""COMPUTED_VALUE"""),0.0)</f>
        <v>0</v>
      </c>
      <c r="AK26" s="41">
        <f>IFERROR(__xludf.DUMMYFUNCTION("""COMPUTED_VALUE"""),0.0)</f>
        <v>0</v>
      </c>
      <c r="AL26" s="197">
        <f>IFERROR(__xludf.DUMMYFUNCTION("""COMPUTED_VALUE"""),0.0)</f>
        <v>0</v>
      </c>
      <c r="AM26" s="197">
        <f>IFERROR(__xludf.DUMMYFUNCTION("""COMPUTED_VALUE"""),0.0)</f>
        <v>0</v>
      </c>
      <c r="AN26" s="197">
        <f>IFERROR(__xludf.DUMMYFUNCTION("""COMPUTED_VALUE"""),0.0)</f>
        <v>0</v>
      </c>
      <c r="AO26" s="41">
        <f>IFERROR(__xludf.DUMMYFUNCTION("""COMPUTED_VALUE"""),0.0)</f>
        <v>0</v>
      </c>
      <c r="AP26" s="197">
        <f>IFERROR(__xludf.DUMMYFUNCTION("""COMPUTED_VALUE"""),0.0)</f>
        <v>0</v>
      </c>
      <c r="AQ26" s="197">
        <f>IFERROR(__xludf.DUMMYFUNCTION("""COMPUTED_VALUE"""),0.0)</f>
        <v>0</v>
      </c>
      <c r="AR26" s="197">
        <f>IFERROR(__xludf.DUMMYFUNCTION("""COMPUTED_VALUE"""),0.0)</f>
        <v>0</v>
      </c>
      <c r="AS26" s="41">
        <f>IFERROR(__xludf.DUMMYFUNCTION("""COMPUTED_VALUE"""),0.0)</f>
        <v>0</v>
      </c>
      <c r="AT26" s="197">
        <f>IFERROR(__xludf.DUMMYFUNCTION("""COMPUTED_VALUE"""),0.0)</f>
        <v>0</v>
      </c>
      <c r="AU26" s="197">
        <f>IFERROR(__xludf.DUMMYFUNCTION("""COMPUTED_VALUE"""),0.0)</f>
        <v>0</v>
      </c>
      <c r="AV26" s="197">
        <f>IFERROR(__xludf.DUMMYFUNCTION("""COMPUTED_VALUE"""),0.0)</f>
        <v>0</v>
      </c>
      <c r="AW26" s="41">
        <f>IFERROR(__xludf.DUMMYFUNCTION("""COMPUTED_VALUE"""),0.0)</f>
        <v>0</v>
      </c>
      <c r="AX26" s="197">
        <f>IFERROR(__xludf.DUMMYFUNCTION("""COMPUTED_VALUE"""),0.0)</f>
        <v>0</v>
      </c>
      <c r="AY26" s="197">
        <f>IFERROR(__xludf.DUMMYFUNCTION("""COMPUTED_VALUE"""),0.0)</f>
        <v>0</v>
      </c>
      <c r="AZ26" s="198">
        <f>IFERROR(__xludf.DUMMYFUNCTION("""COMPUTED_VALUE"""),0.0)</f>
        <v>0</v>
      </c>
      <c r="BA26" s="195"/>
    </row>
    <row r="27" ht="15.75" customHeight="1">
      <c r="A27" s="29"/>
      <c r="B27" s="67" t="str">
        <f>IFERROR(__xludf.DUMMYFUNCTION("""COMPUTED_VALUE""")," + Lớp 2")</f>
        <v> + Lớp 2</v>
      </c>
      <c r="C27" s="31"/>
      <c r="D27" s="31" t="str">
        <f>IFERROR(__xludf.DUMMYFUNCTION("""COMPUTED_VALUE"""),"""")</f>
        <v>"</v>
      </c>
      <c r="E27" s="41">
        <f>IFERROR(__xludf.DUMMYFUNCTION("""COMPUTED_VALUE"""),21650.0)</f>
        <v>21650</v>
      </c>
      <c r="F27" s="197">
        <f>IFERROR(__xludf.DUMMYFUNCTION("""COMPUTED_VALUE"""),21593.0)</f>
        <v>21593</v>
      </c>
      <c r="G27" s="197">
        <f>IFERROR(__xludf.DUMMYFUNCTION("""COMPUTED_VALUE"""),57.0)</f>
        <v>57</v>
      </c>
      <c r="H27" s="197">
        <f>IFERROR(__xludf.DUMMYFUNCTION("""COMPUTED_VALUE"""),0.0)</f>
        <v>0</v>
      </c>
      <c r="I27" s="41">
        <f>IFERROR(__xludf.DUMMYFUNCTION("""COMPUTED_VALUE"""),21575.0)</f>
        <v>21575</v>
      </c>
      <c r="J27" s="197">
        <f>IFERROR(__xludf.DUMMYFUNCTION("""COMPUTED_VALUE"""),21518.0)</f>
        <v>21518</v>
      </c>
      <c r="K27" s="197">
        <f>IFERROR(__xludf.DUMMYFUNCTION("""COMPUTED_VALUE"""),57.0)</f>
        <v>57</v>
      </c>
      <c r="L27" s="197">
        <f>IFERROR(__xludf.DUMMYFUNCTION("""COMPUTED_VALUE"""),0.0)</f>
        <v>0</v>
      </c>
      <c r="M27" s="41">
        <f>IFERROR(__xludf.DUMMYFUNCTION("""COMPUTED_VALUE"""),21627.0)</f>
        <v>21627</v>
      </c>
      <c r="N27" s="197">
        <f>IFERROR(__xludf.DUMMYFUNCTION("""COMPUTED_VALUE"""),21570.0)</f>
        <v>21570</v>
      </c>
      <c r="O27" s="197">
        <f>IFERROR(__xludf.DUMMYFUNCTION("""COMPUTED_VALUE"""),57.0)</f>
        <v>57</v>
      </c>
      <c r="P27" s="197">
        <f>IFERROR(__xludf.DUMMYFUNCTION("""COMPUTED_VALUE"""),0.0)</f>
        <v>0</v>
      </c>
      <c r="Q27" s="41">
        <f>IFERROR(__xludf.DUMMYFUNCTION("""COMPUTED_VALUE"""),21555.0)</f>
        <v>21555</v>
      </c>
      <c r="R27" s="197">
        <f>IFERROR(__xludf.DUMMYFUNCTION("""COMPUTED_VALUE"""),21498.0)</f>
        <v>21498</v>
      </c>
      <c r="S27" s="197">
        <f>IFERROR(__xludf.DUMMYFUNCTION("""COMPUTED_VALUE"""),57.0)</f>
        <v>57</v>
      </c>
      <c r="T27" s="197">
        <f>IFERROR(__xludf.DUMMYFUNCTION("""COMPUTED_VALUE"""),0.0)</f>
        <v>0</v>
      </c>
      <c r="U27" s="41">
        <f>IFERROR(__xludf.DUMMYFUNCTION("""COMPUTED_VALUE"""),21535.0)</f>
        <v>21535</v>
      </c>
      <c r="V27" s="197">
        <f>IFERROR(__xludf.DUMMYFUNCTION("""COMPUTED_VALUE"""),21478.0)</f>
        <v>21478</v>
      </c>
      <c r="W27" s="197">
        <f>IFERROR(__xludf.DUMMYFUNCTION("""COMPUTED_VALUE"""),57.0)</f>
        <v>57</v>
      </c>
      <c r="X27" s="197">
        <f>IFERROR(__xludf.DUMMYFUNCTION("""COMPUTED_VALUE"""),0.0)</f>
        <v>0</v>
      </c>
      <c r="Y27" s="41">
        <f>IFERROR(__xludf.DUMMYFUNCTION("""COMPUTED_VALUE"""),19245.285)</f>
        <v>19245.285</v>
      </c>
      <c r="Z27" s="197">
        <f>IFERROR(__xludf.DUMMYFUNCTION("""COMPUTED_VALUE"""),19188.285)</f>
        <v>19188.285</v>
      </c>
      <c r="AA27" s="197">
        <f>IFERROR(__xludf.DUMMYFUNCTION("""COMPUTED_VALUE"""),57.0)</f>
        <v>57</v>
      </c>
      <c r="AB27" s="197">
        <f>IFERROR(__xludf.DUMMYFUNCTION("""COMPUTED_VALUE"""),0.0)</f>
        <v>0</v>
      </c>
      <c r="AC27" s="41">
        <f>IFERROR(__xludf.DUMMYFUNCTION("""COMPUTED_VALUE"""),19242.285)</f>
        <v>19242.285</v>
      </c>
      <c r="AD27" s="197">
        <f>IFERROR(__xludf.DUMMYFUNCTION("""COMPUTED_VALUE"""),19185.285)</f>
        <v>19185.285</v>
      </c>
      <c r="AE27" s="197">
        <f>IFERROR(__xludf.DUMMYFUNCTION("""COMPUTED_VALUE"""),57.0)</f>
        <v>57</v>
      </c>
      <c r="AF27" s="197">
        <f>IFERROR(__xludf.DUMMYFUNCTION("""COMPUTED_VALUE"""),0.0)</f>
        <v>0</v>
      </c>
      <c r="AG27" s="41">
        <f>IFERROR(__xludf.DUMMYFUNCTION("""COMPUTED_VALUE"""),0.0)</f>
        <v>0</v>
      </c>
      <c r="AH27" s="197">
        <f>IFERROR(__xludf.DUMMYFUNCTION("""COMPUTED_VALUE"""),0.0)</f>
        <v>0</v>
      </c>
      <c r="AI27" s="197">
        <f>IFERROR(__xludf.DUMMYFUNCTION("""COMPUTED_VALUE"""),0.0)</f>
        <v>0</v>
      </c>
      <c r="AJ27" s="197">
        <f>IFERROR(__xludf.DUMMYFUNCTION("""COMPUTED_VALUE"""),0.0)</f>
        <v>0</v>
      </c>
      <c r="AK27" s="41">
        <f>IFERROR(__xludf.DUMMYFUNCTION("""COMPUTED_VALUE"""),0.0)</f>
        <v>0</v>
      </c>
      <c r="AL27" s="197">
        <f>IFERROR(__xludf.DUMMYFUNCTION("""COMPUTED_VALUE"""),0.0)</f>
        <v>0</v>
      </c>
      <c r="AM27" s="197">
        <f>IFERROR(__xludf.DUMMYFUNCTION("""COMPUTED_VALUE"""),0.0)</f>
        <v>0</v>
      </c>
      <c r="AN27" s="197">
        <f>IFERROR(__xludf.DUMMYFUNCTION("""COMPUTED_VALUE"""),0.0)</f>
        <v>0</v>
      </c>
      <c r="AO27" s="41">
        <f>IFERROR(__xludf.DUMMYFUNCTION("""COMPUTED_VALUE"""),0.0)</f>
        <v>0</v>
      </c>
      <c r="AP27" s="197">
        <f>IFERROR(__xludf.DUMMYFUNCTION("""COMPUTED_VALUE"""),0.0)</f>
        <v>0</v>
      </c>
      <c r="AQ27" s="197">
        <f>IFERROR(__xludf.DUMMYFUNCTION("""COMPUTED_VALUE"""),0.0)</f>
        <v>0</v>
      </c>
      <c r="AR27" s="197">
        <f>IFERROR(__xludf.DUMMYFUNCTION("""COMPUTED_VALUE"""),0.0)</f>
        <v>0</v>
      </c>
      <c r="AS27" s="41">
        <f>IFERROR(__xludf.DUMMYFUNCTION("""COMPUTED_VALUE"""),0.0)</f>
        <v>0</v>
      </c>
      <c r="AT27" s="197">
        <f>IFERROR(__xludf.DUMMYFUNCTION("""COMPUTED_VALUE"""),0.0)</f>
        <v>0</v>
      </c>
      <c r="AU27" s="197">
        <f>IFERROR(__xludf.DUMMYFUNCTION("""COMPUTED_VALUE"""),0.0)</f>
        <v>0</v>
      </c>
      <c r="AV27" s="197">
        <f>IFERROR(__xludf.DUMMYFUNCTION("""COMPUTED_VALUE"""),0.0)</f>
        <v>0</v>
      </c>
      <c r="AW27" s="41">
        <f>IFERROR(__xludf.DUMMYFUNCTION("""COMPUTED_VALUE"""),0.0)</f>
        <v>0</v>
      </c>
      <c r="AX27" s="197">
        <f>IFERROR(__xludf.DUMMYFUNCTION("""COMPUTED_VALUE"""),0.0)</f>
        <v>0</v>
      </c>
      <c r="AY27" s="197">
        <f>IFERROR(__xludf.DUMMYFUNCTION("""COMPUTED_VALUE"""),0.0)</f>
        <v>0</v>
      </c>
      <c r="AZ27" s="198">
        <f>IFERROR(__xludf.DUMMYFUNCTION("""COMPUTED_VALUE"""),0.0)</f>
        <v>0</v>
      </c>
      <c r="BA27" s="195"/>
    </row>
    <row r="28" ht="15.75" customHeight="1">
      <c r="A28" s="29"/>
      <c r="B28" s="67" t="str">
        <f>IFERROR(__xludf.DUMMYFUNCTION("""COMPUTED_VALUE""")," + Lớp 3")</f>
        <v> + Lớp 3</v>
      </c>
      <c r="C28" s="31"/>
      <c r="D28" s="31" t="str">
        <f>IFERROR(__xludf.DUMMYFUNCTION("""COMPUTED_VALUE"""),"""")</f>
        <v>"</v>
      </c>
      <c r="E28" s="41">
        <f>IFERROR(__xludf.DUMMYFUNCTION("""COMPUTED_VALUE"""),20665.0)</f>
        <v>20665</v>
      </c>
      <c r="F28" s="197">
        <f>IFERROR(__xludf.DUMMYFUNCTION("""COMPUTED_VALUE"""),20595.0)</f>
        <v>20595</v>
      </c>
      <c r="G28" s="197">
        <f>IFERROR(__xludf.DUMMYFUNCTION("""COMPUTED_VALUE"""),70.0)</f>
        <v>70</v>
      </c>
      <c r="H28" s="197">
        <f>IFERROR(__xludf.DUMMYFUNCTION("""COMPUTED_VALUE"""),0.0)</f>
        <v>0</v>
      </c>
      <c r="I28" s="41">
        <f>IFERROR(__xludf.DUMMYFUNCTION("""COMPUTED_VALUE"""),20526.0)</f>
        <v>20526</v>
      </c>
      <c r="J28" s="197">
        <f>IFERROR(__xludf.DUMMYFUNCTION("""COMPUTED_VALUE"""),20456.0)</f>
        <v>20456</v>
      </c>
      <c r="K28" s="197">
        <f>IFERROR(__xludf.DUMMYFUNCTION("""COMPUTED_VALUE"""),70.0)</f>
        <v>70</v>
      </c>
      <c r="L28" s="197">
        <f>IFERROR(__xludf.DUMMYFUNCTION("""COMPUTED_VALUE"""),0.0)</f>
        <v>0</v>
      </c>
      <c r="M28" s="41">
        <f>IFERROR(__xludf.DUMMYFUNCTION("""COMPUTED_VALUE"""),20578.0)</f>
        <v>20578</v>
      </c>
      <c r="N28" s="197">
        <f>IFERROR(__xludf.DUMMYFUNCTION("""COMPUTED_VALUE"""),20508.0)</f>
        <v>20508</v>
      </c>
      <c r="O28" s="197">
        <f>IFERROR(__xludf.DUMMYFUNCTION("""COMPUTED_VALUE"""),70.0)</f>
        <v>70</v>
      </c>
      <c r="P28" s="197">
        <f>IFERROR(__xludf.DUMMYFUNCTION("""COMPUTED_VALUE"""),0.0)</f>
        <v>0</v>
      </c>
      <c r="Q28" s="41">
        <f>IFERROR(__xludf.DUMMYFUNCTION("""COMPUTED_VALUE"""),20538.0)</f>
        <v>20538</v>
      </c>
      <c r="R28" s="197">
        <f>IFERROR(__xludf.DUMMYFUNCTION("""COMPUTED_VALUE"""),20469.0)</f>
        <v>20469</v>
      </c>
      <c r="S28" s="197">
        <f>IFERROR(__xludf.DUMMYFUNCTION("""COMPUTED_VALUE"""),69.0)</f>
        <v>69</v>
      </c>
      <c r="T28" s="197">
        <f>IFERROR(__xludf.DUMMYFUNCTION("""COMPUTED_VALUE"""),0.0)</f>
        <v>0</v>
      </c>
      <c r="U28" s="41">
        <f>IFERROR(__xludf.DUMMYFUNCTION("""COMPUTED_VALUE"""),20517.0)</f>
        <v>20517</v>
      </c>
      <c r="V28" s="197">
        <f>IFERROR(__xludf.DUMMYFUNCTION("""COMPUTED_VALUE"""),20448.0)</f>
        <v>20448</v>
      </c>
      <c r="W28" s="197">
        <f>IFERROR(__xludf.DUMMYFUNCTION("""COMPUTED_VALUE"""),69.0)</f>
        <v>69</v>
      </c>
      <c r="X28" s="197">
        <f>IFERROR(__xludf.DUMMYFUNCTION("""COMPUTED_VALUE"""),0.0)</f>
        <v>0</v>
      </c>
      <c r="Y28" s="41">
        <f>IFERROR(__xludf.DUMMYFUNCTION("""COMPUTED_VALUE"""),18337.161)</f>
        <v>18337.161</v>
      </c>
      <c r="Z28" s="197">
        <f>IFERROR(__xludf.DUMMYFUNCTION("""COMPUTED_VALUE"""),18268.161)</f>
        <v>18268.161</v>
      </c>
      <c r="AA28" s="197">
        <f>IFERROR(__xludf.DUMMYFUNCTION("""COMPUTED_VALUE"""),69.0)</f>
        <v>69</v>
      </c>
      <c r="AB28" s="197">
        <f>IFERROR(__xludf.DUMMYFUNCTION("""COMPUTED_VALUE"""),0.0)</f>
        <v>0</v>
      </c>
      <c r="AC28" s="41">
        <f>IFERROR(__xludf.DUMMYFUNCTION("""COMPUTED_VALUE"""),18328.161)</f>
        <v>18328.161</v>
      </c>
      <c r="AD28" s="197">
        <f>IFERROR(__xludf.DUMMYFUNCTION("""COMPUTED_VALUE"""),18259.161)</f>
        <v>18259.161</v>
      </c>
      <c r="AE28" s="197">
        <f>IFERROR(__xludf.DUMMYFUNCTION("""COMPUTED_VALUE"""),69.0)</f>
        <v>69</v>
      </c>
      <c r="AF28" s="197">
        <f>IFERROR(__xludf.DUMMYFUNCTION("""COMPUTED_VALUE"""),0.0)</f>
        <v>0</v>
      </c>
      <c r="AG28" s="41">
        <f>IFERROR(__xludf.DUMMYFUNCTION("""COMPUTED_VALUE"""),0.0)</f>
        <v>0</v>
      </c>
      <c r="AH28" s="197">
        <f>IFERROR(__xludf.DUMMYFUNCTION("""COMPUTED_VALUE"""),0.0)</f>
        <v>0</v>
      </c>
      <c r="AI28" s="197">
        <f>IFERROR(__xludf.DUMMYFUNCTION("""COMPUTED_VALUE"""),0.0)</f>
        <v>0</v>
      </c>
      <c r="AJ28" s="197">
        <f>IFERROR(__xludf.DUMMYFUNCTION("""COMPUTED_VALUE"""),0.0)</f>
        <v>0</v>
      </c>
      <c r="AK28" s="41">
        <f>IFERROR(__xludf.DUMMYFUNCTION("""COMPUTED_VALUE"""),0.0)</f>
        <v>0</v>
      </c>
      <c r="AL28" s="197">
        <f>IFERROR(__xludf.DUMMYFUNCTION("""COMPUTED_VALUE"""),0.0)</f>
        <v>0</v>
      </c>
      <c r="AM28" s="197">
        <f>IFERROR(__xludf.DUMMYFUNCTION("""COMPUTED_VALUE"""),0.0)</f>
        <v>0</v>
      </c>
      <c r="AN28" s="197">
        <f>IFERROR(__xludf.DUMMYFUNCTION("""COMPUTED_VALUE"""),0.0)</f>
        <v>0</v>
      </c>
      <c r="AO28" s="41">
        <f>IFERROR(__xludf.DUMMYFUNCTION("""COMPUTED_VALUE"""),0.0)</f>
        <v>0</v>
      </c>
      <c r="AP28" s="197">
        <f>IFERROR(__xludf.DUMMYFUNCTION("""COMPUTED_VALUE"""),0.0)</f>
        <v>0</v>
      </c>
      <c r="AQ28" s="197">
        <f>IFERROR(__xludf.DUMMYFUNCTION("""COMPUTED_VALUE"""),0.0)</f>
        <v>0</v>
      </c>
      <c r="AR28" s="197">
        <f>IFERROR(__xludf.DUMMYFUNCTION("""COMPUTED_VALUE"""),0.0)</f>
        <v>0</v>
      </c>
      <c r="AS28" s="41">
        <f>IFERROR(__xludf.DUMMYFUNCTION("""COMPUTED_VALUE"""),0.0)</f>
        <v>0</v>
      </c>
      <c r="AT28" s="197">
        <f>IFERROR(__xludf.DUMMYFUNCTION("""COMPUTED_VALUE"""),0.0)</f>
        <v>0</v>
      </c>
      <c r="AU28" s="197">
        <f>IFERROR(__xludf.DUMMYFUNCTION("""COMPUTED_VALUE"""),0.0)</f>
        <v>0</v>
      </c>
      <c r="AV28" s="197">
        <f>IFERROR(__xludf.DUMMYFUNCTION("""COMPUTED_VALUE"""),0.0)</f>
        <v>0</v>
      </c>
      <c r="AW28" s="41">
        <f>IFERROR(__xludf.DUMMYFUNCTION("""COMPUTED_VALUE"""),0.0)</f>
        <v>0</v>
      </c>
      <c r="AX28" s="197">
        <f>IFERROR(__xludf.DUMMYFUNCTION("""COMPUTED_VALUE"""),0.0)</f>
        <v>0</v>
      </c>
      <c r="AY28" s="197">
        <f>IFERROR(__xludf.DUMMYFUNCTION("""COMPUTED_VALUE"""),0.0)</f>
        <v>0</v>
      </c>
      <c r="AZ28" s="198">
        <f>IFERROR(__xludf.DUMMYFUNCTION("""COMPUTED_VALUE"""),0.0)</f>
        <v>0</v>
      </c>
      <c r="BA28" s="195"/>
    </row>
    <row r="29" ht="15.75" customHeight="1">
      <c r="A29" s="29"/>
      <c r="B29" s="67" t="str">
        <f>IFERROR(__xludf.DUMMYFUNCTION("""COMPUTED_VALUE""")," + Lớp 4")</f>
        <v> + Lớp 4</v>
      </c>
      <c r="C29" s="31"/>
      <c r="D29" s="31" t="str">
        <f>IFERROR(__xludf.DUMMYFUNCTION("""COMPUTED_VALUE"""),"""")</f>
        <v>"</v>
      </c>
      <c r="E29" s="41">
        <f>IFERROR(__xludf.DUMMYFUNCTION("""COMPUTED_VALUE"""),21595.0)</f>
        <v>21595</v>
      </c>
      <c r="F29" s="197">
        <f>IFERROR(__xludf.DUMMYFUNCTION("""COMPUTED_VALUE"""),21545.0)</f>
        <v>21545</v>
      </c>
      <c r="G29" s="197">
        <f>IFERROR(__xludf.DUMMYFUNCTION("""COMPUTED_VALUE"""),50.0)</f>
        <v>50</v>
      </c>
      <c r="H29" s="197">
        <f>IFERROR(__xludf.DUMMYFUNCTION("""COMPUTED_VALUE"""),0.0)</f>
        <v>0</v>
      </c>
      <c r="I29" s="41">
        <f>IFERROR(__xludf.DUMMYFUNCTION("""COMPUTED_VALUE"""),21495.0)</f>
        <v>21495</v>
      </c>
      <c r="J29" s="197">
        <f>IFERROR(__xludf.DUMMYFUNCTION("""COMPUTED_VALUE"""),21445.0)</f>
        <v>21445</v>
      </c>
      <c r="K29" s="197">
        <f>IFERROR(__xludf.DUMMYFUNCTION("""COMPUTED_VALUE"""),50.0)</f>
        <v>50</v>
      </c>
      <c r="L29" s="197">
        <f>IFERROR(__xludf.DUMMYFUNCTION("""COMPUTED_VALUE"""),0.0)</f>
        <v>0</v>
      </c>
      <c r="M29" s="41">
        <f>IFERROR(__xludf.DUMMYFUNCTION("""COMPUTED_VALUE"""),21533.0)</f>
        <v>21533</v>
      </c>
      <c r="N29" s="197">
        <f>IFERROR(__xludf.DUMMYFUNCTION("""COMPUTED_VALUE"""),21483.0)</f>
        <v>21483</v>
      </c>
      <c r="O29" s="197">
        <f>IFERROR(__xludf.DUMMYFUNCTION("""COMPUTED_VALUE"""),50.0)</f>
        <v>50</v>
      </c>
      <c r="P29" s="197">
        <f>IFERROR(__xludf.DUMMYFUNCTION("""COMPUTED_VALUE"""),0.0)</f>
        <v>0</v>
      </c>
      <c r="Q29" s="41">
        <f>IFERROR(__xludf.DUMMYFUNCTION("""COMPUTED_VALUE"""),21467.0)</f>
        <v>21467</v>
      </c>
      <c r="R29" s="197">
        <f>IFERROR(__xludf.DUMMYFUNCTION("""COMPUTED_VALUE"""),21417.0)</f>
        <v>21417</v>
      </c>
      <c r="S29" s="197">
        <f>IFERROR(__xludf.DUMMYFUNCTION("""COMPUTED_VALUE"""),50.0)</f>
        <v>50</v>
      </c>
      <c r="T29" s="197">
        <f>IFERROR(__xludf.DUMMYFUNCTION("""COMPUTED_VALUE"""),0.0)</f>
        <v>0</v>
      </c>
      <c r="U29" s="41">
        <f>IFERROR(__xludf.DUMMYFUNCTION("""COMPUTED_VALUE"""),21453.0)</f>
        <v>21453</v>
      </c>
      <c r="V29" s="197">
        <f>IFERROR(__xludf.DUMMYFUNCTION("""COMPUTED_VALUE"""),21403.0)</f>
        <v>21403</v>
      </c>
      <c r="W29" s="197">
        <f>IFERROR(__xludf.DUMMYFUNCTION("""COMPUTED_VALUE"""),50.0)</f>
        <v>50</v>
      </c>
      <c r="X29" s="197">
        <f>IFERROR(__xludf.DUMMYFUNCTION("""COMPUTED_VALUE"""),0.0)</f>
        <v>0</v>
      </c>
      <c r="Y29" s="41">
        <f>IFERROR(__xludf.DUMMYFUNCTION("""COMPUTED_VALUE"""),19172.264)</f>
        <v>19172.264</v>
      </c>
      <c r="Z29" s="197">
        <f>IFERROR(__xludf.DUMMYFUNCTION("""COMPUTED_VALUE"""),19122.264)</f>
        <v>19122.264</v>
      </c>
      <c r="AA29" s="197">
        <f>IFERROR(__xludf.DUMMYFUNCTION("""COMPUTED_VALUE"""),50.0)</f>
        <v>50</v>
      </c>
      <c r="AB29" s="197">
        <f>IFERROR(__xludf.DUMMYFUNCTION("""COMPUTED_VALUE"""),0.0)</f>
        <v>0</v>
      </c>
      <c r="AC29" s="41">
        <f>IFERROR(__xludf.DUMMYFUNCTION("""COMPUTED_VALUE"""),19168.264)</f>
        <v>19168.264</v>
      </c>
      <c r="AD29" s="197">
        <f>IFERROR(__xludf.DUMMYFUNCTION("""COMPUTED_VALUE"""),19118.264)</f>
        <v>19118.264</v>
      </c>
      <c r="AE29" s="197">
        <f>IFERROR(__xludf.DUMMYFUNCTION("""COMPUTED_VALUE"""),50.0)</f>
        <v>50</v>
      </c>
      <c r="AF29" s="197">
        <f>IFERROR(__xludf.DUMMYFUNCTION("""COMPUTED_VALUE"""),0.0)</f>
        <v>0</v>
      </c>
      <c r="AG29" s="41">
        <f>IFERROR(__xludf.DUMMYFUNCTION("""COMPUTED_VALUE"""),0.0)</f>
        <v>0</v>
      </c>
      <c r="AH29" s="197">
        <f>IFERROR(__xludf.DUMMYFUNCTION("""COMPUTED_VALUE"""),0.0)</f>
        <v>0</v>
      </c>
      <c r="AI29" s="197">
        <f>IFERROR(__xludf.DUMMYFUNCTION("""COMPUTED_VALUE"""),0.0)</f>
        <v>0</v>
      </c>
      <c r="AJ29" s="197">
        <f>IFERROR(__xludf.DUMMYFUNCTION("""COMPUTED_VALUE"""),0.0)</f>
        <v>0</v>
      </c>
      <c r="AK29" s="41">
        <f>IFERROR(__xludf.DUMMYFUNCTION("""COMPUTED_VALUE"""),0.0)</f>
        <v>0</v>
      </c>
      <c r="AL29" s="197">
        <f>IFERROR(__xludf.DUMMYFUNCTION("""COMPUTED_VALUE"""),0.0)</f>
        <v>0</v>
      </c>
      <c r="AM29" s="197">
        <f>IFERROR(__xludf.DUMMYFUNCTION("""COMPUTED_VALUE"""),0.0)</f>
        <v>0</v>
      </c>
      <c r="AN29" s="197">
        <f>IFERROR(__xludf.DUMMYFUNCTION("""COMPUTED_VALUE"""),0.0)</f>
        <v>0</v>
      </c>
      <c r="AO29" s="41">
        <f>IFERROR(__xludf.DUMMYFUNCTION("""COMPUTED_VALUE"""),0.0)</f>
        <v>0</v>
      </c>
      <c r="AP29" s="197">
        <f>IFERROR(__xludf.DUMMYFUNCTION("""COMPUTED_VALUE"""),0.0)</f>
        <v>0</v>
      </c>
      <c r="AQ29" s="197">
        <f>IFERROR(__xludf.DUMMYFUNCTION("""COMPUTED_VALUE"""),0.0)</f>
        <v>0</v>
      </c>
      <c r="AR29" s="197">
        <f>IFERROR(__xludf.DUMMYFUNCTION("""COMPUTED_VALUE"""),0.0)</f>
        <v>0</v>
      </c>
      <c r="AS29" s="41">
        <f>IFERROR(__xludf.DUMMYFUNCTION("""COMPUTED_VALUE"""),0.0)</f>
        <v>0</v>
      </c>
      <c r="AT29" s="197">
        <f>IFERROR(__xludf.DUMMYFUNCTION("""COMPUTED_VALUE"""),0.0)</f>
        <v>0</v>
      </c>
      <c r="AU29" s="197">
        <f>IFERROR(__xludf.DUMMYFUNCTION("""COMPUTED_VALUE"""),0.0)</f>
        <v>0</v>
      </c>
      <c r="AV29" s="197">
        <f>IFERROR(__xludf.DUMMYFUNCTION("""COMPUTED_VALUE"""),0.0)</f>
        <v>0</v>
      </c>
      <c r="AW29" s="41">
        <f>IFERROR(__xludf.DUMMYFUNCTION("""COMPUTED_VALUE"""),0.0)</f>
        <v>0</v>
      </c>
      <c r="AX29" s="197">
        <f>IFERROR(__xludf.DUMMYFUNCTION("""COMPUTED_VALUE"""),0.0)</f>
        <v>0</v>
      </c>
      <c r="AY29" s="197">
        <f>IFERROR(__xludf.DUMMYFUNCTION("""COMPUTED_VALUE"""),0.0)</f>
        <v>0</v>
      </c>
      <c r="AZ29" s="198">
        <f>IFERROR(__xludf.DUMMYFUNCTION("""COMPUTED_VALUE"""),0.0)</f>
        <v>0</v>
      </c>
      <c r="BA29" s="195"/>
    </row>
    <row r="30" ht="15.75" customHeight="1">
      <c r="A30" s="29"/>
      <c r="B30" s="67" t="str">
        <f>IFERROR(__xludf.DUMMYFUNCTION("""COMPUTED_VALUE""")," + Lớp 5")</f>
        <v> + Lớp 5</v>
      </c>
      <c r="C30" s="31"/>
      <c r="D30" s="31" t="str">
        <f>IFERROR(__xludf.DUMMYFUNCTION("""COMPUTED_VALUE"""),"""")</f>
        <v>"</v>
      </c>
      <c r="E30" s="41">
        <f>IFERROR(__xludf.DUMMYFUNCTION("""COMPUTED_VALUE"""),22491.0)</f>
        <v>22491</v>
      </c>
      <c r="F30" s="197">
        <f>IFERROR(__xludf.DUMMYFUNCTION("""COMPUTED_VALUE"""),22438.0)</f>
        <v>22438</v>
      </c>
      <c r="G30" s="197">
        <f>IFERROR(__xludf.DUMMYFUNCTION("""COMPUTED_VALUE"""),53.0)</f>
        <v>53</v>
      </c>
      <c r="H30" s="197">
        <f>IFERROR(__xludf.DUMMYFUNCTION("""COMPUTED_VALUE"""),0.0)</f>
        <v>0</v>
      </c>
      <c r="I30" s="41">
        <f>IFERROR(__xludf.DUMMYFUNCTION("""COMPUTED_VALUE"""),22364.0)</f>
        <v>22364</v>
      </c>
      <c r="J30" s="197">
        <f>IFERROR(__xludf.DUMMYFUNCTION("""COMPUTED_VALUE"""),22311.0)</f>
        <v>22311</v>
      </c>
      <c r="K30" s="197">
        <f>IFERROR(__xludf.DUMMYFUNCTION("""COMPUTED_VALUE"""),53.0)</f>
        <v>53</v>
      </c>
      <c r="L30" s="197">
        <f>IFERROR(__xludf.DUMMYFUNCTION("""COMPUTED_VALUE"""),0.0)</f>
        <v>0</v>
      </c>
      <c r="M30" s="41">
        <f>IFERROR(__xludf.DUMMYFUNCTION("""COMPUTED_VALUE"""),22433.0)</f>
        <v>22433</v>
      </c>
      <c r="N30" s="197">
        <f>IFERROR(__xludf.DUMMYFUNCTION("""COMPUTED_VALUE"""),22380.0)</f>
        <v>22380</v>
      </c>
      <c r="O30" s="197">
        <f>IFERROR(__xludf.DUMMYFUNCTION("""COMPUTED_VALUE"""),53.0)</f>
        <v>53</v>
      </c>
      <c r="P30" s="197">
        <f>IFERROR(__xludf.DUMMYFUNCTION("""COMPUTED_VALUE"""),0.0)</f>
        <v>0</v>
      </c>
      <c r="Q30" s="41">
        <f>IFERROR(__xludf.DUMMYFUNCTION("""COMPUTED_VALUE"""),22364.0)</f>
        <v>22364</v>
      </c>
      <c r="R30" s="197">
        <f>IFERROR(__xludf.DUMMYFUNCTION("""COMPUTED_VALUE"""),22311.0)</f>
        <v>22311</v>
      </c>
      <c r="S30" s="197">
        <f>IFERROR(__xludf.DUMMYFUNCTION("""COMPUTED_VALUE"""),53.0)</f>
        <v>53</v>
      </c>
      <c r="T30" s="197">
        <f>IFERROR(__xludf.DUMMYFUNCTION("""COMPUTED_VALUE"""),0.0)</f>
        <v>0</v>
      </c>
      <c r="U30" s="41">
        <f>IFERROR(__xludf.DUMMYFUNCTION("""COMPUTED_VALUE"""),22340.0)</f>
        <v>22340</v>
      </c>
      <c r="V30" s="197">
        <f>IFERROR(__xludf.DUMMYFUNCTION("""COMPUTED_VALUE"""),22287.0)</f>
        <v>22287</v>
      </c>
      <c r="W30" s="197">
        <f>IFERROR(__xludf.DUMMYFUNCTION("""COMPUTED_VALUE"""),53.0)</f>
        <v>53</v>
      </c>
      <c r="X30" s="197">
        <f>IFERROR(__xludf.DUMMYFUNCTION("""COMPUTED_VALUE"""),0.0)</f>
        <v>0</v>
      </c>
      <c r="Y30" s="41">
        <f>IFERROR(__xludf.DUMMYFUNCTION("""COMPUTED_VALUE"""),19919.395)</f>
        <v>19919.395</v>
      </c>
      <c r="Z30" s="197">
        <f>IFERROR(__xludf.DUMMYFUNCTION("""COMPUTED_VALUE"""),19866.395)</f>
        <v>19866.395</v>
      </c>
      <c r="AA30" s="197">
        <f>IFERROR(__xludf.DUMMYFUNCTION("""COMPUTED_VALUE"""),53.0)</f>
        <v>53</v>
      </c>
      <c r="AB30" s="197">
        <f>IFERROR(__xludf.DUMMYFUNCTION("""COMPUTED_VALUE"""),0.0)</f>
        <v>0</v>
      </c>
      <c r="AC30" s="41">
        <f>IFERROR(__xludf.DUMMYFUNCTION("""COMPUTED_VALUE"""),19909.395)</f>
        <v>19909.395</v>
      </c>
      <c r="AD30" s="197">
        <f>IFERROR(__xludf.DUMMYFUNCTION("""COMPUTED_VALUE"""),19856.395)</f>
        <v>19856.395</v>
      </c>
      <c r="AE30" s="197">
        <f>IFERROR(__xludf.DUMMYFUNCTION("""COMPUTED_VALUE"""),53.0)</f>
        <v>53</v>
      </c>
      <c r="AF30" s="197">
        <f>IFERROR(__xludf.DUMMYFUNCTION("""COMPUTED_VALUE"""),0.0)</f>
        <v>0</v>
      </c>
      <c r="AG30" s="41">
        <f>IFERROR(__xludf.DUMMYFUNCTION("""COMPUTED_VALUE"""),0.0)</f>
        <v>0</v>
      </c>
      <c r="AH30" s="197">
        <f>IFERROR(__xludf.DUMMYFUNCTION("""COMPUTED_VALUE"""),0.0)</f>
        <v>0</v>
      </c>
      <c r="AI30" s="197">
        <f>IFERROR(__xludf.DUMMYFUNCTION("""COMPUTED_VALUE"""),0.0)</f>
        <v>0</v>
      </c>
      <c r="AJ30" s="197">
        <f>IFERROR(__xludf.DUMMYFUNCTION("""COMPUTED_VALUE"""),0.0)</f>
        <v>0</v>
      </c>
      <c r="AK30" s="41">
        <f>IFERROR(__xludf.DUMMYFUNCTION("""COMPUTED_VALUE"""),0.0)</f>
        <v>0</v>
      </c>
      <c r="AL30" s="197">
        <f>IFERROR(__xludf.DUMMYFUNCTION("""COMPUTED_VALUE"""),0.0)</f>
        <v>0</v>
      </c>
      <c r="AM30" s="197">
        <f>IFERROR(__xludf.DUMMYFUNCTION("""COMPUTED_VALUE"""),0.0)</f>
        <v>0</v>
      </c>
      <c r="AN30" s="197">
        <f>IFERROR(__xludf.DUMMYFUNCTION("""COMPUTED_VALUE"""),0.0)</f>
        <v>0</v>
      </c>
      <c r="AO30" s="41">
        <f>IFERROR(__xludf.DUMMYFUNCTION("""COMPUTED_VALUE"""),0.0)</f>
        <v>0</v>
      </c>
      <c r="AP30" s="197">
        <f>IFERROR(__xludf.DUMMYFUNCTION("""COMPUTED_VALUE"""),0.0)</f>
        <v>0</v>
      </c>
      <c r="AQ30" s="197">
        <f>IFERROR(__xludf.DUMMYFUNCTION("""COMPUTED_VALUE"""),0.0)</f>
        <v>0</v>
      </c>
      <c r="AR30" s="197">
        <f>IFERROR(__xludf.DUMMYFUNCTION("""COMPUTED_VALUE"""),0.0)</f>
        <v>0</v>
      </c>
      <c r="AS30" s="41">
        <f>IFERROR(__xludf.DUMMYFUNCTION("""COMPUTED_VALUE"""),0.0)</f>
        <v>0</v>
      </c>
      <c r="AT30" s="197">
        <f>IFERROR(__xludf.DUMMYFUNCTION("""COMPUTED_VALUE"""),0.0)</f>
        <v>0</v>
      </c>
      <c r="AU30" s="197">
        <f>IFERROR(__xludf.DUMMYFUNCTION("""COMPUTED_VALUE"""),0.0)</f>
        <v>0</v>
      </c>
      <c r="AV30" s="197">
        <f>IFERROR(__xludf.DUMMYFUNCTION("""COMPUTED_VALUE"""),0.0)</f>
        <v>0</v>
      </c>
      <c r="AW30" s="41">
        <f>IFERROR(__xludf.DUMMYFUNCTION("""COMPUTED_VALUE"""),0.0)</f>
        <v>0</v>
      </c>
      <c r="AX30" s="197">
        <f>IFERROR(__xludf.DUMMYFUNCTION("""COMPUTED_VALUE"""),0.0)</f>
        <v>0</v>
      </c>
      <c r="AY30" s="197">
        <f>IFERROR(__xludf.DUMMYFUNCTION("""COMPUTED_VALUE"""),0.0)</f>
        <v>0</v>
      </c>
      <c r="AZ30" s="198">
        <f>IFERROR(__xludf.DUMMYFUNCTION("""COMPUTED_VALUE"""),0.0)</f>
        <v>0</v>
      </c>
      <c r="BA30" s="195"/>
    </row>
    <row r="31" ht="15.75" customHeight="1">
      <c r="A31" s="29"/>
      <c r="B31" s="67" t="str">
        <f>IFERROR(__xludf.DUMMYFUNCTION("""COMPUTED_VALUE""")," + Lớp ghép")</f>
        <v> + Lớp ghép</v>
      </c>
      <c r="C31" s="31"/>
      <c r="D31" s="31" t="str">
        <f>IFERROR(__xludf.DUMMYFUNCTION("""COMPUTED_VALUE"""),"""")</f>
        <v>"</v>
      </c>
      <c r="E31" s="41">
        <f>IFERROR(__xludf.DUMMYFUNCTION("""COMPUTED_VALUE"""),0.0)</f>
        <v>0</v>
      </c>
      <c r="F31" s="197">
        <f>IFERROR(__xludf.DUMMYFUNCTION("""COMPUTED_VALUE"""),0.0)</f>
        <v>0</v>
      </c>
      <c r="G31" s="197">
        <f>IFERROR(__xludf.DUMMYFUNCTION("""COMPUTED_VALUE"""),0.0)</f>
        <v>0</v>
      </c>
      <c r="H31" s="197">
        <f>IFERROR(__xludf.DUMMYFUNCTION("""COMPUTED_VALUE"""),0.0)</f>
        <v>0</v>
      </c>
      <c r="I31" s="41">
        <f>IFERROR(__xludf.DUMMYFUNCTION("""COMPUTED_VALUE"""),0.0)</f>
        <v>0</v>
      </c>
      <c r="J31" s="197">
        <f>IFERROR(__xludf.DUMMYFUNCTION("""COMPUTED_VALUE"""),0.0)</f>
        <v>0</v>
      </c>
      <c r="K31" s="197">
        <f>IFERROR(__xludf.DUMMYFUNCTION("""COMPUTED_VALUE"""),0.0)</f>
        <v>0</v>
      </c>
      <c r="L31" s="197">
        <f>IFERROR(__xludf.DUMMYFUNCTION("""COMPUTED_VALUE"""),0.0)</f>
        <v>0</v>
      </c>
      <c r="M31" s="41">
        <f>IFERROR(__xludf.DUMMYFUNCTION("""COMPUTED_VALUE"""),0.0)</f>
        <v>0</v>
      </c>
      <c r="N31" s="197">
        <f>IFERROR(__xludf.DUMMYFUNCTION("""COMPUTED_VALUE"""),0.0)</f>
        <v>0</v>
      </c>
      <c r="O31" s="197">
        <f>IFERROR(__xludf.DUMMYFUNCTION("""COMPUTED_VALUE"""),0.0)</f>
        <v>0</v>
      </c>
      <c r="P31" s="197">
        <f>IFERROR(__xludf.DUMMYFUNCTION("""COMPUTED_VALUE"""),0.0)</f>
        <v>0</v>
      </c>
      <c r="Q31" s="41">
        <f>IFERROR(__xludf.DUMMYFUNCTION("""COMPUTED_VALUE"""),0.0)</f>
        <v>0</v>
      </c>
      <c r="R31" s="197">
        <f>IFERROR(__xludf.DUMMYFUNCTION("""COMPUTED_VALUE"""),0.0)</f>
        <v>0</v>
      </c>
      <c r="S31" s="197">
        <f>IFERROR(__xludf.DUMMYFUNCTION("""COMPUTED_VALUE"""),0.0)</f>
        <v>0</v>
      </c>
      <c r="T31" s="197">
        <f>IFERROR(__xludf.DUMMYFUNCTION("""COMPUTED_VALUE"""),0.0)</f>
        <v>0</v>
      </c>
      <c r="U31" s="41">
        <f>IFERROR(__xludf.DUMMYFUNCTION("""COMPUTED_VALUE"""),0.0)</f>
        <v>0</v>
      </c>
      <c r="V31" s="197">
        <f>IFERROR(__xludf.DUMMYFUNCTION("""COMPUTED_VALUE"""),0.0)</f>
        <v>0</v>
      </c>
      <c r="W31" s="197">
        <f>IFERROR(__xludf.DUMMYFUNCTION("""COMPUTED_VALUE"""),0.0)</f>
        <v>0</v>
      </c>
      <c r="X31" s="197">
        <f>IFERROR(__xludf.DUMMYFUNCTION("""COMPUTED_VALUE"""),0.0)</f>
        <v>0</v>
      </c>
      <c r="Y31" s="41">
        <f>IFERROR(__xludf.DUMMYFUNCTION("""COMPUTED_VALUE"""),0.0)</f>
        <v>0</v>
      </c>
      <c r="Z31" s="197">
        <f>IFERROR(__xludf.DUMMYFUNCTION("""COMPUTED_VALUE"""),0.0)</f>
        <v>0</v>
      </c>
      <c r="AA31" s="197">
        <f>IFERROR(__xludf.DUMMYFUNCTION("""COMPUTED_VALUE"""),0.0)</f>
        <v>0</v>
      </c>
      <c r="AB31" s="197">
        <f>IFERROR(__xludf.DUMMYFUNCTION("""COMPUTED_VALUE"""),0.0)</f>
        <v>0</v>
      </c>
      <c r="AC31" s="41">
        <f>IFERROR(__xludf.DUMMYFUNCTION("""COMPUTED_VALUE"""),0.0)</f>
        <v>0</v>
      </c>
      <c r="AD31" s="197">
        <f>IFERROR(__xludf.DUMMYFUNCTION("""COMPUTED_VALUE"""),0.0)</f>
        <v>0</v>
      </c>
      <c r="AE31" s="197">
        <f>IFERROR(__xludf.DUMMYFUNCTION("""COMPUTED_VALUE"""),0.0)</f>
        <v>0</v>
      </c>
      <c r="AF31" s="197">
        <f>IFERROR(__xludf.DUMMYFUNCTION("""COMPUTED_VALUE"""),0.0)</f>
        <v>0</v>
      </c>
      <c r="AG31" s="41">
        <f>IFERROR(__xludf.DUMMYFUNCTION("""COMPUTED_VALUE"""),0.0)</f>
        <v>0</v>
      </c>
      <c r="AH31" s="197">
        <f>IFERROR(__xludf.DUMMYFUNCTION("""COMPUTED_VALUE"""),0.0)</f>
        <v>0</v>
      </c>
      <c r="AI31" s="197">
        <f>IFERROR(__xludf.DUMMYFUNCTION("""COMPUTED_VALUE"""),0.0)</f>
        <v>0</v>
      </c>
      <c r="AJ31" s="197">
        <f>IFERROR(__xludf.DUMMYFUNCTION("""COMPUTED_VALUE"""),0.0)</f>
        <v>0</v>
      </c>
      <c r="AK31" s="41">
        <f>IFERROR(__xludf.DUMMYFUNCTION("""COMPUTED_VALUE"""),0.0)</f>
        <v>0</v>
      </c>
      <c r="AL31" s="197">
        <f>IFERROR(__xludf.DUMMYFUNCTION("""COMPUTED_VALUE"""),0.0)</f>
        <v>0</v>
      </c>
      <c r="AM31" s="197">
        <f>IFERROR(__xludf.DUMMYFUNCTION("""COMPUTED_VALUE"""),0.0)</f>
        <v>0</v>
      </c>
      <c r="AN31" s="197">
        <f>IFERROR(__xludf.DUMMYFUNCTION("""COMPUTED_VALUE"""),0.0)</f>
        <v>0</v>
      </c>
      <c r="AO31" s="41">
        <f>IFERROR(__xludf.DUMMYFUNCTION("""COMPUTED_VALUE"""),0.0)</f>
        <v>0</v>
      </c>
      <c r="AP31" s="197">
        <f>IFERROR(__xludf.DUMMYFUNCTION("""COMPUTED_VALUE"""),0.0)</f>
        <v>0</v>
      </c>
      <c r="AQ31" s="197">
        <f>IFERROR(__xludf.DUMMYFUNCTION("""COMPUTED_VALUE"""),0.0)</f>
        <v>0</v>
      </c>
      <c r="AR31" s="197">
        <f>IFERROR(__xludf.DUMMYFUNCTION("""COMPUTED_VALUE"""),0.0)</f>
        <v>0</v>
      </c>
      <c r="AS31" s="41">
        <f>IFERROR(__xludf.DUMMYFUNCTION("""COMPUTED_VALUE"""),0.0)</f>
        <v>0</v>
      </c>
      <c r="AT31" s="197">
        <f>IFERROR(__xludf.DUMMYFUNCTION("""COMPUTED_VALUE"""),0.0)</f>
        <v>0</v>
      </c>
      <c r="AU31" s="197">
        <f>IFERROR(__xludf.DUMMYFUNCTION("""COMPUTED_VALUE"""),0.0)</f>
        <v>0</v>
      </c>
      <c r="AV31" s="197">
        <f>IFERROR(__xludf.DUMMYFUNCTION("""COMPUTED_VALUE"""),0.0)</f>
        <v>0</v>
      </c>
      <c r="AW31" s="41">
        <f>IFERROR(__xludf.DUMMYFUNCTION("""COMPUTED_VALUE"""),0.0)</f>
        <v>0</v>
      </c>
      <c r="AX31" s="197">
        <f>IFERROR(__xludf.DUMMYFUNCTION("""COMPUTED_VALUE"""),0.0)</f>
        <v>0</v>
      </c>
      <c r="AY31" s="197">
        <f>IFERROR(__xludf.DUMMYFUNCTION("""COMPUTED_VALUE"""),0.0)</f>
        <v>0</v>
      </c>
      <c r="AZ31" s="198">
        <f>IFERROR(__xludf.DUMMYFUNCTION("""COMPUTED_VALUE"""),0.0)</f>
        <v>0</v>
      </c>
      <c r="BA31" s="195"/>
    </row>
    <row r="32" ht="15.75" customHeight="1">
      <c r="A32" s="92"/>
      <c r="B32" s="93" t="str">
        <f>IFERROR(__xludf.DUMMYFUNCTION("""COMPUTED_VALUE"""),"3.2. Trong tổng số có")</f>
        <v>3.2. Trong tổng số có</v>
      </c>
      <c r="C32" s="94"/>
      <c r="D32" s="87"/>
      <c r="E32" s="88">
        <f>IFERROR(__xludf.DUMMYFUNCTION("""COMPUTED_VALUE"""),108636.0)</f>
        <v>108636</v>
      </c>
      <c r="F32" s="88">
        <f>IFERROR(__xludf.DUMMYFUNCTION("""COMPUTED_VALUE"""),108340.0)</f>
        <v>108340</v>
      </c>
      <c r="G32" s="88">
        <f>IFERROR(__xludf.DUMMYFUNCTION("""COMPUTED_VALUE"""),296.0)</f>
        <v>296</v>
      </c>
      <c r="H32" s="88">
        <f>IFERROR(__xludf.DUMMYFUNCTION("""COMPUTED_VALUE"""),0.0)</f>
        <v>0</v>
      </c>
      <c r="I32" s="88">
        <f>IFERROR(__xludf.DUMMYFUNCTION("""COMPUTED_VALUE"""),108117.0)</f>
        <v>108117</v>
      </c>
      <c r="J32" s="88">
        <f>IFERROR(__xludf.DUMMYFUNCTION("""COMPUTED_VALUE"""),107821.0)</f>
        <v>107821</v>
      </c>
      <c r="K32" s="88">
        <f>IFERROR(__xludf.DUMMYFUNCTION("""COMPUTED_VALUE"""),296.0)</f>
        <v>296</v>
      </c>
      <c r="L32" s="88">
        <f>IFERROR(__xludf.DUMMYFUNCTION("""COMPUTED_VALUE"""),0.0)</f>
        <v>0</v>
      </c>
      <c r="M32" s="88">
        <f>IFERROR(__xludf.DUMMYFUNCTION("""COMPUTED_VALUE"""),108400.0)</f>
        <v>108400</v>
      </c>
      <c r="N32" s="88">
        <f>IFERROR(__xludf.DUMMYFUNCTION("""COMPUTED_VALUE"""),108104.0)</f>
        <v>108104</v>
      </c>
      <c r="O32" s="88">
        <f>IFERROR(__xludf.DUMMYFUNCTION("""COMPUTED_VALUE"""),296.0)</f>
        <v>296</v>
      </c>
      <c r="P32" s="88">
        <f>IFERROR(__xludf.DUMMYFUNCTION("""COMPUTED_VALUE"""),0.0)</f>
        <v>0</v>
      </c>
      <c r="Q32" s="88">
        <f>IFERROR(__xludf.DUMMYFUNCTION("""COMPUTED_VALUE"""),108121.0)</f>
        <v>108121</v>
      </c>
      <c r="R32" s="88">
        <f>IFERROR(__xludf.DUMMYFUNCTION("""COMPUTED_VALUE"""),107827.0)</f>
        <v>107827</v>
      </c>
      <c r="S32" s="88">
        <f>IFERROR(__xludf.DUMMYFUNCTION("""COMPUTED_VALUE"""),294.0)</f>
        <v>294</v>
      </c>
      <c r="T32" s="88">
        <f>IFERROR(__xludf.DUMMYFUNCTION("""COMPUTED_VALUE"""),0.0)</f>
        <v>0</v>
      </c>
      <c r="U32" s="88">
        <f>IFERROR(__xludf.DUMMYFUNCTION("""COMPUTED_VALUE"""),108015.0)</f>
        <v>108015</v>
      </c>
      <c r="V32" s="88">
        <f>IFERROR(__xludf.DUMMYFUNCTION("""COMPUTED_VALUE"""),107721.0)</f>
        <v>107721</v>
      </c>
      <c r="W32" s="88">
        <f>IFERROR(__xludf.DUMMYFUNCTION("""COMPUTED_VALUE"""),294.0)</f>
        <v>294</v>
      </c>
      <c r="X32" s="88">
        <f>IFERROR(__xludf.DUMMYFUNCTION("""COMPUTED_VALUE"""),0.0)</f>
        <v>0</v>
      </c>
      <c r="Y32" s="88">
        <f>IFERROR(__xludf.DUMMYFUNCTION("""COMPUTED_VALUE"""),96507.421)</f>
        <v>96507.421</v>
      </c>
      <c r="Z32" s="88">
        <f>IFERROR(__xludf.DUMMYFUNCTION("""COMPUTED_VALUE"""),96213.421)</f>
        <v>96213.421</v>
      </c>
      <c r="AA32" s="88">
        <f>IFERROR(__xludf.DUMMYFUNCTION("""COMPUTED_VALUE"""),294.0)</f>
        <v>294</v>
      </c>
      <c r="AB32" s="88">
        <f>IFERROR(__xludf.DUMMYFUNCTION("""COMPUTED_VALUE"""),0.0)</f>
        <v>0</v>
      </c>
      <c r="AC32" s="88">
        <f>IFERROR(__xludf.DUMMYFUNCTION("""COMPUTED_VALUE"""),96471.421)</f>
        <v>96471.421</v>
      </c>
      <c r="AD32" s="88">
        <f>IFERROR(__xludf.DUMMYFUNCTION("""COMPUTED_VALUE"""),96177.421)</f>
        <v>96177.421</v>
      </c>
      <c r="AE32" s="88">
        <f>IFERROR(__xludf.DUMMYFUNCTION("""COMPUTED_VALUE"""),294.0)</f>
        <v>294</v>
      </c>
      <c r="AF32" s="88">
        <f>IFERROR(__xludf.DUMMYFUNCTION("""COMPUTED_VALUE"""),0.0)</f>
        <v>0</v>
      </c>
      <c r="AG32" s="88">
        <f>IFERROR(__xludf.DUMMYFUNCTION("""COMPUTED_VALUE"""),0.0)</f>
        <v>0</v>
      </c>
      <c r="AH32" s="88">
        <f>IFERROR(__xludf.DUMMYFUNCTION("""COMPUTED_VALUE"""),0.0)</f>
        <v>0</v>
      </c>
      <c r="AI32" s="88">
        <f>IFERROR(__xludf.DUMMYFUNCTION("""COMPUTED_VALUE"""),0.0)</f>
        <v>0</v>
      </c>
      <c r="AJ32" s="88">
        <f>IFERROR(__xludf.DUMMYFUNCTION("""COMPUTED_VALUE"""),0.0)</f>
        <v>0</v>
      </c>
      <c r="AK32" s="88">
        <f>IFERROR(__xludf.DUMMYFUNCTION("""COMPUTED_VALUE"""),0.0)</f>
        <v>0</v>
      </c>
      <c r="AL32" s="88">
        <f>IFERROR(__xludf.DUMMYFUNCTION("""COMPUTED_VALUE"""),0.0)</f>
        <v>0</v>
      </c>
      <c r="AM32" s="88">
        <f>IFERROR(__xludf.DUMMYFUNCTION("""COMPUTED_VALUE"""),0.0)</f>
        <v>0</v>
      </c>
      <c r="AN32" s="88">
        <f>IFERROR(__xludf.DUMMYFUNCTION("""COMPUTED_VALUE"""),0.0)</f>
        <v>0</v>
      </c>
      <c r="AO32" s="88">
        <f>IFERROR(__xludf.DUMMYFUNCTION("""COMPUTED_VALUE"""),0.0)</f>
        <v>0</v>
      </c>
      <c r="AP32" s="88">
        <f>IFERROR(__xludf.DUMMYFUNCTION("""COMPUTED_VALUE"""),0.0)</f>
        <v>0</v>
      </c>
      <c r="AQ32" s="88">
        <f>IFERROR(__xludf.DUMMYFUNCTION("""COMPUTED_VALUE"""),0.0)</f>
        <v>0</v>
      </c>
      <c r="AR32" s="88">
        <f>IFERROR(__xludf.DUMMYFUNCTION("""COMPUTED_VALUE"""),0.0)</f>
        <v>0</v>
      </c>
      <c r="AS32" s="88">
        <f>IFERROR(__xludf.DUMMYFUNCTION("""COMPUTED_VALUE"""),0.0)</f>
        <v>0</v>
      </c>
      <c r="AT32" s="88">
        <f>IFERROR(__xludf.DUMMYFUNCTION("""COMPUTED_VALUE"""),0.0)</f>
        <v>0</v>
      </c>
      <c r="AU32" s="88">
        <f>IFERROR(__xludf.DUMMYFUNCTION("""COMPUTED_VALUE"""),0.0)</f>
        <v>0</v>
      </c>
      <c r="AV32" s="88">
        <f>IFERROR(__xludf.DUMMYFUNCTION("""COMPUTED_VALUE"""),0.0)</f>
        <v>0</v>
      </c>
      <c r="AW32" s="88">
        <f>IFERROR(__xludf.DUMMYFUNCTION("""COMPUTED_VALUE"""),0.0)</f>
        <v>0</v>
      </c>
      <c r="AX32" s="88">
        <f>IFERROR(__xludf.DUMMYFUNCTION("""COMPUTED_VALUE"""),0.0)</f>
        <v>0</v>
      </c>
      <c r="AY32" s="88">
        <f>IFERROR(__xludf.DUMMYFUNCTION("""COMPUTED_VALUE"""),0.0)</f>
        <v>0</v>
      </c>
      <c r="AZ32" s="95">
        <f>IFERROR(__xludf.DUMMYFUNCTION("""COMPUTED_VALUE"""),0.0)</f>
        <v>0</v>
      </c>
      <c r="BA32" s="195"/>
    </row>
    <row r="33" ht="15.75" customHeight="1">
      <c r="A33" s="29"/>
      <c r="B33" s="67" t="str">
        <f>IFERROR(__xludf.DUMMYFUNCTION("""COMPUTED_VALUE""")," + Nữ")</f>
        <v> + Nữ</v>
      </c>
      <c r="C33" s="31"/>
      <c r="D33" s="31" t="str">
        <f>IFERROR(__xludf.DUMMYFUNCTION("""COMPUTED_VALUE""")," Người")</f>
        <v> Người</v>
      </c>
      <c r="E33" s="41">
        <f>IFERROR(__xludf.DUMMYFUNCTION("""COMPUTED_VALUE"""),53098.0)</f>
        <v>53098</v>
      </c>
      <c r="F33" s="197">
        <f>IFERROR(__xludf.DUMMYFUNCTION("""COMPUTED_VALUE"""),52663.0)</f>
        <v>52663</v>
      </c>
      <c r="G33" s="197">
        <f>IFERROR(__xludf.DUMMYFUNCTION("""COMPUTED_VALUE"""),435.0)</f>
        <v>435</v>
      </c>
      <c r="H33" s="197">
        <f>IFERROR(__xludf.DUMMYFUNCTION("""COMPUTED_VALUE"""),0.0)</f>
        <v>0</v>
      </c>
      <c r="I33" s="41">
        <f>IFERROR(__xludf.DUMMYFUNCTION("""COMPUTED_VALUE"""),51951.0)</f>
        <v>51951</v>
      </c>
      <c r="J33" s="197">
        <f>IFERROR(__xludf.DUMMYFUNCTION("""COMPUTED_VALUE"""),51516.0)</f>
        <v>51516</v>
      </c>
      <c r="K33" s="197">
        <f>IFERROR(__xludf.DUMMYFUNCTION("""COMPUTED_VALUE"""),435.0)</f>
        <v>435</v>
      </c>
      <c r="L33" s="197">
        <f>IFERROR(__xludf.DUMMYFUNCTION("""COMPUTED_VALUE"""),0.0)</f>
        <v>0</v>
      </c>
      <c r="M33" s="41">
        <f>IFERROR(__xludf.DUMMYFUNCTION("""COMPUTED_VALUE"""),52940.0)</f>
        <v>52940</v>
      </c>
      <c r="N33" s="197">
        <f>IFERROR(__xludf.DUMMYFUNCTION("""COMPUTED_VALUE"""),52505.0)</f>
        <v>52505</v>
      </c>
      <c r="O33" s="197">
        <f>IFERROR(__xludf.DUMMYFUNCTION("""COMPUTED_VALUE"""),435.0)</f>
        <v>435</v>
      </c>
      <c r="P33" s="197">
        <f>IFERROR(__xludf.DUMMYFUNCTION("""COMPUTED_VALUE"""),0.0)</f>
        <v>0</v>
      </c>
      <c r="Q33" s="41">
        <f>IFERROR(__xludf.DUMMYFUNCTION("""COMPUTED_VALUE"""),52967.0)</f>
        <v>52967</v>
      </c>
      <c r="R33" s="197">
        <f>IFERROR(__xludf.DUMMYFUNCTION("""COMPUTED_VALUE"""),52536.0)</f>
        <v>52536</v>
      </c>
      <c r="S33" s="197">
        <f>IFERROR(__xludf.DUMMYFUNCTION("""COMPUTED_VALUE"""),431.0)</f>
        <v>431</v>
      </c>
      <c r="T33" s="197">
        <f>IFERROR(__xludf.DUMMYFUNCTION("""COMPUTED_VALUE"""),0.0)</f>
        <v>0</v>
      </c>
      <c r="U33" s="41">
        <f>IFERROR(__xludf.DUMMYFUNCTION("""COMPUTED_VALUE"""),52892.0)</f>
        <v>52892</v>
      </c>
      <c r="V33" s="197">
        <f>IFERROR(__xludf.DUMMYFUNCTION("""COMPUTED_VALUE"""),52461.0)</f>
        <v>52461</v>
      </c>
      <c r="W33" s="197">
        <f>IFERROR(__xludf.DUMMYFUNCTION("""COMPUTED_VALUE"""),431.0)</f>
        <v>431</v>
      </c>
      <c r="X33" s="197">
        <f>IFERROR(__xludf.DUMMYFUNCTION("""COMPUTED_VALUE"""),0.0)</f>
        <v>0</v>
      </c>
      <c r="Y33" s="41">
        <f>IFERROR(__xludf.DUMMYFUNCTION("""COMPUTED_VALUE"""),47406.554000000004)</f>
        <v>47406.554</v>
      </c>
      <c r="Z33" s="197">
        <f>IFERROR(__xludf.DUMMYFUNCTION("""COMPUTED_VALUE"""),46975.554000000004)</f>
        <v>46975.554</v>
      </c>
      <c r="AA33" s="197">
        <f>IFERROR(__xludf.DUMMYFUNCTION("""COMPUTED_VALUE"""),431.0)</f>
        <v>431</v>
      </c>
      <c r="AB33" s="197">
        <f>IFERROR(__xludf.DUMMYFUNCTION("""COMPUTED_VALUE"""),0.0)</f>
        <v>0</v>
      </c>
      <c r="AC33" s="41">
        <f>IFERROR(__xludf.DUMMYFUNCTION("""COMPUTED_VALUE"""),47408.554000000004)</f>
        <v>47408.554</v>
      </c>
      <c r="AD33" s="197">
        <f>IFERROR(__xludf.DUMMYFUNCTION("""COMPUTED_VALUE"""),46977.554000000004)</f>
        <v>46977.554</v>
      </c>
      <c r="AE33" s="197">
        <f>IFERROR(__xludf.DUMMYFUNCTION("""COMPUTED_VALUE"""),431.0)</f>
        <v>431</v>
      </c>
      <c r="AF33" s="197">
        <f>IFERROR(__xludf.DUMMYFUNCTION("""COMPUTED_VALUE"""),0.0)</f>
        <v>0</v>
      </c>
      <c r="AG33" s="41">
        <f>IFERROR(__xludf.DUMMYFUNCTION("""COMPUTED_VALUE"""),0.0)</f>
        <v>0</v>
      </c>
      <c r="AH33" s="197">
        <f>IFERROR(__xludf.DUMMYFUNCTION("""COMPUTED_VALUE"""),0.0)</f>
        <v>0</v>
      </c>
      <c r="AI33" s="197">
        <f>IFERROR(__xludf.DUMMYFUNCTION("""COMPUTED_VALUE"""),0.0)</f>
        <v>0</v>
      </c>
      <c r="AJ33" s="197">
        <f>IFERROR(__xludf.DUMMYFUNCTION("""COMPUTED_VALUE"""),0.0)</f>
        <v>0</v>
      </c>
      <c r="AK33" s="41">
        <f>IFERROR(__xludf.DUMMYFUNCTION("""COMPUTED_VALUE"""),0.0)</f>
        <v>0</v>
      </c>
      <c r="AL33" s="197">
        <f>IFERROR(__xludf.DUMMYFUNCTION("""COMPUTED_VALUE"""),0.0)</f>
        <v>0</v>
      </c>
      <c r="AM33" s="197">
        <f>IFERROR(__xludf.DUMMYFUNCTION("""COMPUTED_VALUE"""),0.0)</f>
        <v>0</v>
      </c>
      <c r="AN33" s="197">
        <f>IFERROR(__xludf.DUMMYFUNCTION("""COMPUTED_VALUE"""),0.0)</f>
        <v>0</v>
      </c>
      <c r="AO33" s="41">
        <f>IFERROR(__xludf.DUMMYFUNCTION("""COMPUTED_VALUE"""),0.0)</f>
        <v>0</v>
      </c>
      <c r="AP33" s="197">
        <f>IFERROR(__xludf.DUMMYFUNCTION("""COMPUTED_VALUE"""),0.0)</f>
        <v>0</v>
      </c>
      <c r="AQ33" s="197">
        <f>IFERROR(__xludf.DUMMYFUNCTION("""COMPUTED_VALUE"""),0.0)</f>
        <v>0</v>
      </c>
      <c r="AR33" s="197">
        <f>IFERROR(__xludf.DUMMYFUNCTION("""COMPUTED_VALUE"""),0.0)</f>
        <v>0</v>
      </c>
      <c r="AS33" s="41">
        <f>IFERROR(__xludf.DUMMYFUNCTION("""COMPUTED_VALUE"""),0.0)</f>
        <v>0</v>
      </c>
      <c r="AT33" s="197">
        <f>IFERROR(__xludf.DUMMYFUNCTION("""COMPUTED_VALUE"""),0.0)</f>
        <v>0</v>
      </c>
      <c r="AU33" s="197">
        <f>IFERROR(__xludf.DUMMYFUNCTION("""COMPUTED_VALUE"""),0.0)</f>
        <v>0</v>
      </c>
      <c r="AV33" s="197">
        <f>IFERROR(__xludf.DUMMYFUNCTION("""COMPUTED_VALUE"""),0.0)</f>
        <v>0</v>
      </c>
      <c r="AW33" s="41">
        <f>IFERROR(__xludf.DUMMYFUNCTION("""COMPUTED_VALUE"""),0.0)</f>
        <v>0</v>
      </c>
      <c r="AX33" s="197">
        <f>IFERROR(__xludf.DUMMYFUNCTION("""COMPUTED_VALUE"""),0.0)</f>
        <v>0</v>
      </c>
      <c r="AY33" s="197">
        <f>IFERROR(__xludf.DUMMYFUNCTION("""COMPUTED_VALUE"""),0.0)</f>
        <v>0</v>
      </c>
      <c r="AZ33" s="198">
        <f>IFERROR(__xludf.DUMMYFUNCTION("""COMPUTED_VALUE"""),0.0)</f>
        <v>0</v>
      </c>
      <c r="BA33" s="195"/>
    </row>
    <row r="34" ht="15.75" customHeight="1">
      <c r="A34" s="29"/>
      <c r="B34" s="67" t="str">
        <f>IFERROR(__xludf.DUMMYFUNCTION("""COMPUTED_VALUE""")," + Dân tộc thiểu số")</f>
        <v> + Dân tộc thiểu số</v>
      </c>
      <c r="C34" s="31"/>
      <c r="D34" s="31" t="str">
        <f>IFERROR(__xludf.DUMMYFUNCTION("""COMPUTED_VALUE"""),"""")</f>
        <v>"</v>
      </c>
      <c r="E34" s="41">
        <f>IFERROR(__xludf.DUMMYFUNCTION("""COMPUTED_VALUE"""),46966.0)</f>
        <v>46966</v>
      </c>
      <c r="F34" s="197">
        <f>IFERROR(__xludf.DUMMYFUNCTION("""COMPUTED_VALUE"""),46215.0)</f>
        <v>46215</v>
      </c>
      <c r="G34" s="197">
        <f>IFERROR(__xludf.DUMMYFUNCTION("""COMPUTED_VALUE"""),751.0)</f>
        <v>751</v>
      </c>
      <c r="H34" s="197">
        <f>IFERROR(__xludf.DUMMYFUNCTION("""COMPUTED_VALUE"""),0.0)</f>
        <v>0</v>
      </c>
      <c r="I34" s="41">
        <f>IFERROR(__xludf.DUMMYFUNCTION("""COMPUTED_VALUE"""),47496.0)</f>
        <v>47496</v>
      </c>
      <c r="J34" s="197">
        <f>IFERROR(__xludf.DUMMYFUNCTION("""COMPUTED_VALUE"""),46745.0)</f>
        <v>46745</v>
      </c>
      <c r="K34" s="197">
        <f>IFERROR(__xludf.DUMMYFUNCTION("""COMPUTED_VALUE"""),751.0)</f>
        <v>751</v>
      </c>
      <c r="L34" s="197">
        <f>IFERROR(__xludf.DUMMYFUNCTION("""COMPUTED_VALUE"""),0.0)</f>
        <v>0</v>
      </c>
      <c r="M34" s="41">
        <f>IFERROR(__xludf.DUMMYFUNCTION("""COMPUTED_VALUE"""),47348.0)</f>
        <v>47348</v>
      </c>
      <c r="N34" s="197">
        <f>IFERROR(__xludf.DUMMYFUNCTION("""COMPUTED_VALUE"""),46597.0)</f>
        <v>46597</v>
      </c>
      <c r="O34" s="197">
        <f>IFERROR(__xludf.DUMMYFUNCTION("""COMPUTED_VALUE"""),751.0)</f>
        <v>751</v>
      </c>
      <c r="P34" s="197">
        <f>IFERROR(__xludf.DUMMYFUNCTION("""COMPUTED_VALUE"""),0.0)</f>
        <v>0</v>
      </c>
      <c r="Q34" s="41">
        <f>IFERROR(__xludf.DUMMYFUNCTION("""COMPUTED_VALUE"""),47355.0)</f>
        <v>47355</v>
      </c>
      <c r="R34" s="197">
        <f>IFERROR(__xludf.DUMMYFUNCTION("""COMPUTED_VALUE"""),46608.0)</f>
        <v>46608</v>
      </c>
      <c r="S34" s="197">
        <f>IFERROR(__xludf.DUMMYFUNCTION("""COMPUTED_VALUE"""),747.0)</f>
        <v>747</v>
      </c>
      <c r="T34" s="197">
        <f>IFERROR(__xludf.DUMMYFUNCTION("""COMPUTED_VALUE"""),0.0)</f>
        <v>0</v>
      </c>
      <c r="U34" s="41">
        <f>IFERROR(__xludf.DUMMYFUNCTION("""COMPUTED_VALUE"""),46035.0)</f>
        <v>46035</v>
      </c>
      <c r="V34" s="197">
        <f>IFERROR(__xludf.DUMMYFUNCTION("""COMPUTED_VALUE"""),45288.0)</f>
        <v>45288</v>
      </c>
      <c r="W34" s="197">
        <f>IFERROR(__xludf.DUMMYFUNCTION("""COMPUTED_VALUE"""),747.0)</f>
        <v>747</v>
      </c>
      <c r="X34" s="197">
        <f>IFERROR(__xludf.DUMMYFUNCTION("""COMPUTED_VALUE"""),0.0)</f>
        <v>0</v>
      </c>
      <c r="Y34" s="41">
        <f>IFERROR(__xludf.DUMMYFUNCTION("""COMPUTED_VALUE"""),41667.33)</f>
        <v>41667.33</v>
      </c>
      <c r="Z34" s="197">
        <f>IFERROR(__xludf.DUMMYFUNCTION("""COMPUTED_VALUE"""),40920.33)</f>
        <v>40920.33</v>
      </c>
      <c r="AA34" s="197">
        <f>IFERROR(__xludf.DUMMYFUNCTION("""COMPUTED_VALUE"""),747.0)</f>
        <v>747</v>
      </c>
      <c r="AB34" s="197">
        <f>IFERROR(__xludf.DUMMYFUNCTION("""COMPUTED_VALUE"""),0.0)</f>
        <v>0</v>
      </c>
      <c r="AC34" s="41">
        <f>IFERROR(__xludf.DUMMYFUNCTION("""COMPUTED_VALUE"""),41681.33)</f>
        <v>41681.33</v>
      </c>
      <c r="AD34" s="197">
        <f>IFERROR(__xludf.DUMMYFUNCTION("""COMPUTED_VALUE"""),40934.33)</f>
        <v>40934.33</v>
      </c>
      <c r="AE34" s="197">
        <f>IFERROR(__xludf.DUMMYFUNCTION("""COMPUTED_VALUE"""),747.0)</f>
        <v>747</v>
      </c>
      <c r="AF34" s="197">
        <f>IFERROR(__xludf.DUMMYFUNCTION("""COMPUTED_VALUE"""),0.0)</f>
        <v>0</v>
      </c>
      <c r="AG34" s="41">
        <f>IFERROR(__xludf.DUMMYFUNCTION("""COMPUTED_VALUE"""),0.0)</f>
        <v>0</v>
      </c>
      <c r="AH34" s="197">
        <f>IFERROR(__xludf.DUMMYFUNCTION("""COMPUTED_VALUE"""),0.0)</f>
        <v>0</v>
      </c>
      <c r="AI34" s="197">
        <f>IFERROR(__xludf.DUMMYFUNCTION("""COMPUTED_VALUE"""),0.0)</f>
        <v>0</v>
      </c>
      <c r="AJ34" s="197">
        <f>IFERROR(__xludf.DUMMYFUNCTION("""COMPUTED_VALUE"""),0.0)</f>
        <v>0</v>
      </c>
      <c r="AK34" s="41">
        <f>IFERROR(__xludf.DUMMYFUNCTION("""COMPUTED_VALUE"""),0.0)</f>
        <v>0</v>
      </c>
      <c r="AL34" s="197">
        <f>IFERROR(__xludf.DUMMYFUNCTION("""COMPUTED_VALUE"""),0.0)</f>
        <v>0</v>
      </c>
      <c r="AM34" s="197">
        <f>IFERROR(__xludf.DUMMYFUNCTION("""COMPUTED_VALUE"""),0.0)</f>
        <v>0</v>
      </c>
      <c r="AN34" s="197">
        <f>IFERROR(__xludf.DUMMYFUNCTION("""COMPUTED_VALUE"""),0.0)</f>
        <v>0</v>
      </c>
      <c r="AO34" s="41">
        <f>IFERROR(__xludf.DUMMYFUNCTION("""COMPUTED_VALUE"""),0.0)</f>
        <v>0</v>
      </c>
      <c r="AP34" s="197">
        <f>IFERROR(__xludf.DUMMYFUNCTION("""COMPUTED_VALUE"""),0.0)</f>
        <v>0</v>
      </c>
      <c r="AQ34" s="197">
        <f>IFERROR(__xludf.DUMMYFUNCTION("""COMPUTED_VALUE"""),0.0)</f>
        <v>0</v>
      </c>
      <c r="AR34" s="197">
        <f>IFERROR(__xludf.DUMMYFUNCTION("""COMPUTED_VALUE"""),0.0)</f>
        <v>0</v>
      </c>
      <c r="AS34" s="41">
        <f>IFERROR(__xludf.DUMMYFUNCTION("""COMPUTED_VALUE"""),0.0)</f>
        <v>0</v>
      </c>
      <c r="AT34" s="197">
        <f>IFERROR(__xludf.DUMMYFUNCTION("""COMPUTED_VALUE"""),0.0)</f>
        <v>0</v>
      </c>
      <c r="AU34" s="197">
        <f>IFERROR(__xludf.DUMMYFUNCTION("""COMPUTED_VALUE"""),0.0)</f>
        <v>0</v>
      </c>
      <c r="AV34" s="197">
        <f>IFERROR(__xludf.DUMMYFUNCTION("""COMPUTED_VALUE"""),0.0)</f>
        <v>0</v>
      </c>
      <c r="AW34" s="41">
        <f>IFERROR(__xludf.DUMMYFUNCTION("""COMPUTED_VALUE"""),0.0)</f>
        <v>0</v>
      </c>
      <c r="AX34" s="197">
        <f>IFERROR(__xludf.DUMMYFUNCTION("""COMPUTED_VALUE"""),0.0)</f>
        <v>0</v>
      </c>
      <c r="AY34" s="197">
        <f>IFERROR(__xludf.DUMMYFUNCTION("""COMPUTED_VALUE"""),0.0)</f>
        <v>0</v>
      </c>
      <c r="AZ34" s="198">
        <f>IFERROR(__xludf.DUMMYFUNCTION("""COMPUTED_VALUE"""),0.0)</f>
        <v>0</v>
      </c>
      <c r="BA34" s="195"/>
    </row>
    <row r="35" ht="15.75" customHeight="1">
      <c r="A35" s="29"/>
      <c r="B35" s="67" t="str">
        <f>IFERROR(__xludf.DUMMYFUNCTION("""COMPUTED_VALUE""")," + Nữ dân tộc thiểu số")</f>
        <v> + Nữ dân tộc thiểu số</v>
      </c>
      <c r="C35" s="31"/>
      <c r="D35" s="31" t="str">
        <f>IFERROR(__xludf.DUMMYFUNCTION("""COMPUTED_VALUE"""),"""")</f>
        <v>"</v>
      </c>
      <c r="E35" s="41">
        <f>IFERROR(__xludf.DUMMYFUNCTION("""COMPUTED_VALUE"""),22864.0)</f>
        <v>22864</v>
      </c>
      <c r="F35" s="197">
        <f>IFERROR(__xludf.DUMMYFUNCTION("""COMPUTED_VALUE"""),22520.0)</f>
        <v>22520</v>
      </c>
      <c r="G35" s="197">
        <f>IFERROR(__xludf.DUMMYFUNCTION("""COMPUTED_VALUE"""),344.0)</f>
        <v>344</v>
      </c>
      <c r="H35" s="197">
        <f>IFERROR(__xludf.DUMMYFUNCTION("""COMPUTED_VALUE"""),0.0)</f>
        <v>0</v>
      </c>
      <c r="I35" s="41">
        <f>IFERROR(__xludf.DUMMYFUNCTION("""COMPUTED_VALUE"""),23143.0)</f>
        <v>23143</v>
      </c>
      <c r="J35" s="197">
        <f>IFERROR(__xludf.DUMMYFUNCTION("""COMPUTED_VALUE"""),22799.0)</f>
        <v>22799</v>
      </c>
      <c r="K35" s="197">
        <f>IFERROR(__xludf.DUMMYFUNCTION("""COMPUTED_VALUE"""),344.0)</f>
        <v>344</v>
      </c>
      <c r="L35" s="197">
        <f>IFERROR(__xludf.DUMMYFUNCTION("""COMPUTED_VALUE"""),0.0)</f>
        <v>0</v>
      </c>
      <c r="M35" s="41">
        <f>IFERROR(__xludf.DUMMYFUNCTION("""COMPUTED_VALUE"""),23136.0)</f>
        <v>23136</v>
      </c>
      <c r="N35" s="197">
        <f>IFERROR(__xludf.DUMMYFUNCTION("""COMPUTED_VALUE"""),22792.0)</f>
        <v>22792</v>
      </c>
      <c r="O35" s="197">
        <f>IFERROR(__xludf.DUMMYFUNCTION("""COMPUTED_VALUE"""),344.0)</f>
        <v>344</v>
      </c>
      <c r="P35" s="197">
        <f>IFERROR(__xludf.DUMMYFUNCTION("""COMPUTED_VALUE"""),0.0)</f>
        <v>0</v>
      </c>
      <c r="Q35" s="41">
        <f>IFERROR(__xludf.DUMMYFUNCTION("""COMPUTED_VALUE"""),23135.0)</f>
        <v>23135</v>
      </c>
      <c r="R35" s="197">
        <f>IFERROR(__xludf.DUMMYFUNCTION("""COMPUTED_VALUE"""),22792.0)</f>
        <v>22792</v>
      </c>
      <c r="S35" s="197">
        <f>IFERROR(__xludf.DUMMYFUNCTION("""COMPUTED_VALUE"""),343.0)</f>
        <v>343</v>
      </c>
      <c r="T35" s="197">
        <f>IFERROR(__xludf.DUMMYFUNCTION("""COMPUTED_VALUE"""),0.0)</f>
        <v>0</v>
      </c>
      <c r="U35" s="41">
        <f>IFERROR(__xludf.DUMMYFUNCTION("""COMPUTED_VALUE"""),22499.0)</f>
        <v>22499</v>
      </c>
      <c r="V35" s="197">
        <f>IFERROR(__xludf.DUMMYFUNCTION("""COMPUTED_VALUE"""),22156.0)</f>
        <v>22156</v>
      </c>
      <c r="W35" s="197">
        <f>IFERROR(__xludf.DUMMYFUNCTION("""COMPUTED_VALUE"""),343.0)</f>
        <v>343</v>
      </c>
      <c r="X35" s="197">
        <f>IFERROR(__xludf.DUMMYFUNCTION("""COMPUTED_VALUE"""),0.0)</f>
        <v>0</v>
      </c>
      <c r="Y35" s="41">
        <f>IFERROR(__xludf.DUMMYFUNCTION("""COMPUTED_VALUE"""),20278.148999999998)</f>
        <v>20278.149</v>
      </c>
      <c r="Z35" s="197">
        <f>IFERROR(__xludf.DUMMYFUNCTION("""COMPUTED_VALUE"""),19935.148999999998)</f>
        <v>19935.149</v>
      </c>
      <c r="AA35" s="197">
        <f>IFERROR(__xludf.DUMMYFUNCTION("""COMPUTED_VALUE"""),343.0)</f>
        <v>343</v>
      </c>
      <c r="AB35" s="197">
        <f>IFERROR(__xludf.DUMMYFUNCTION("""COMPUTED_VALUE"""),0.0)</f>
        <v>0</v>
      </c>
      <c r="AC35" s="41">
        <f>IFERROR(__xludf.DUMMYFUNCTION("""COMPUTED_VALUE"""),20270.148999999998)</f>
        <v>20270.149</v>
      </c>
      <c r="AD35" s="197">
        <f>IFERROR(__xludf.DUMMYFUNCTION("""COMPUTED_VALUE"""),19927.148999999998)</f>
        <v>19927.149</v>
      </c>
      <c r="AE35" s="197">
        <f>IFERROR(__xludf.DUMMYFUNCTION("""COMPUTED_VALUE"""),343.0)</f>
        <v>343</v>
      </c>
      <c r="AF35" s="197">
        <f>IFERROR(__xludf.DUMMYFUNCTION("""COMPUTED_VALUE"""),0.0)</f>
        <v>0</v>
      </c>
      <c r="AG35" s="41">
        <f>IFERROR(__xludf.DUMMYFUNCTION("""COMPUTED_VALUE"""),0.0)</f>
        <v>0</v>
      </c>
      <c r="AH35" s="197">
        <f>IFERROR(__xludf.DUMMYFUNCTION("""COMPUTED_VALUE"""),0.0)</f>
        <v>0</v>
      </c>
      <c r="AI35" s="197">
        <f>IFERROR(__xludf.DUMMYFUNCTION("""COMPUTED_VALUE"""),0.0)</f>
        <v>0</v>
      </c>
      <c r="AJ35" s="197">
        <f>IFERROR(__xludf.DUMMYFUNCTION("""COMPUTED_VALUE"""),0.0)</f>
        <v>0</v>
      </c>
      <c r="AK35" s="41">
        <f>IFERROR(__xludf.DUMMYFUNCTION("""COMPUTED_VALUE"""),0.0)</f>
        <v>0</v>
      </c>
      <c r="AL35" s="197">
        <f>IFERROR(__xludf.DUMMYFUNCTION("""COMPUTED_VALUE"""),0.0)</f>
        <v>0</v>
      </c>
      <c r="AM35" s="197">
        <f>IFERROR(__xludf.DUMMYFUNCTION("""COMPUTED_VALUE"""),0.0)</f>
        <v>0</v>
      </c>
      <c r="AN35" s="197">
        <f>IFERROR(__xludf.DUMMYFUNCTION("""COMPUTED_VALUE"""),0.0)</f>
        <v>0</v>
      </c>
      <c r="AO35" s="41">
        <f>IFERROR(__xludf.DUMMYFUNCTION("""COMPUTED_VALUE"""),0.0)</f>
        <v>0</v>
      </c>
      <c r="AP35" s="197">
        <f>IFERROR(__xludf.DUMMYFUNCTION("""COMPUTED_VALUE"""),0.0)</f>
        <v>0</v>
      </c>
      <c r="AQ35" s="197">
        <f>IFERROR(__xludf.DUMMYFUNCTION("""COMPUTED_VALUE"""),0.0)</f>
        <v>0</v>
      </c>
      <c r="AR35" s="197">
        <f>IFERROR(__xludf.DUMMYFUNCTION("""COMPUTED_VALUE"""),0.0)</f>
        <v>0</v>
      </c>
      <c r="AS35" s="41">
        <f>IFERROR(__xludf.DUMMYFUNCTION("""COMPUTED_VALUE"""),0.0)</f>
        <v>0</v>
      </c>
      <c r="AT35" s="197">
        <f>IFERROR(__xludf.DUMMYFUNCTION("""COMPUTED_VALUE"""),0.0)</f>
        <v>0</v>
      </c>
      <c r="AU35" s="197">
        <f>IFERROR(__xludf.DUMMYFUNCTION("""COMPUTED_VALUE"""),0.0)</f>
        <v>0</v>
      </c>
      <c r="AV35" s="197">
        <f>IFERROR(__xludf.DUMMYFUNCTION("""COMPUTED_VALUE"""),0.0)</f>
        <v>0</v>
      </c>
      <c r="AW35" s="41">
        <f>IFERROR(__xludf.DUMMYFUNCTION("""COMPUTED_VALUE"""),0.0)</f>
        <v>0</v>
      </c>
      <c r="AX35" s="197">
        <f>IFERROR(__xludf.DUMMYFUNCTION("""COMPUTED_VALUE"""),0.0)</f>
        <v>0</v>
      </c>
      <c r="AY35" s="197">
        <f>IFERROR(__xludf.DUMMYFUNCTION("""COMPUTED_VALUE"""),0.0)</f>
        <v>0</v>
      </c>
      <c r="AZ35" s="198">
        <f>IFERROR(__xludf.DUMMYFUNCTION("""COMPUTED_VALUE"""),0.0)</f>
        <v>0</v>
      </c>
      <c r="BA35" s="195"/>
    </row>
    <row r="36" ht="15.75" customHeight="1">
      <c r="A36" s="29"/>
      <c r="B36" s="67" t="str">
        <f>IFERROR(__xludf.DUMMYFUNCTION("""COMPUTED_VALUE""")," + Khuyết tật")</f>
        <v> + Khuyết tật</v>
      </c>
      <c r="C36" s="31"/>
      <c r="D36" s="31" t="str">
        <f>IFERROR(__xludf.DUMMYFUNCTION("""COMPUTED_VALUE"""),"""")</f>
        <v>"</v>
      </c>
      <c r="E36" s="41">
        <f>IFERROR(__xludf.DUMMYFUNCTION("""COMPUTED_VALUE"""),333.0)</f>
        <v>333</v>
      </c>
      <c r="F36" s="197">
        <f>IFERROR(__xludf.DUMMYFUNCTION("""COMPUTED_VALUE"""),333.0)</f>
        <v>333</v>
      </c>
      <c r="G36" s="197">
        <f>IFERROR(__xludf.DUMMYFUNCTION("""COMPUTED_VALUE"""),0.0)</f>
        <v>0</v>
      </c>
      <c r="H36" s="197">
        <f>IFERROR(__xludf.DUMMYFUNCTION("""COMPUTED_VALUE"""),0.0)</f>
        <v>0</v>
      </c>
      <c r="I36" s="41">
        <f>IFERROR(__xludf.DUMMYFUNCTION("""COMPUTED_VALUE"""),377.0)</f>
        <v>377</v>
      </c>
      <c r="J36" s="197">
        <f>IFERROR(__xludf.DUMMYFUNCTION("""COMPUTED_VALUE"""),377.0)</f>
        <v>377</v>
      </c>
      <c r="K36" s="197">
        <f>IFERROR(__xludf.DUMMYFUNCTION("""COMPUTED_VALUE"""),0.0)</f>
        <v>0</v>
      </c>
      <c r="L36" s="197">
        <f>IFERROR(__xludf.DUMMYFUNCTION("""COMPUTED_VALUE"""),0.0)</f>
        <v>0</v>
      </c>
      <c r="M36" s="41">
        <f>IFERROR(__xludf.DUMMYFUNCTION("""COMPUTED_VALUE"""),377.0)</f>
        <v>377</v>
      </c>
      <c r="N36" s="197">
        <f>IFERROR(__xludf.DUMMYFUNCTION("""COMPUTED_VALUE"""),377.0)</f>
        <v>377</v>
      </c>
      <c r="O36" s="197">
        <f>IFERROR(__xludf.DUMMYFUNCTION("""COMPUTED_VALUE"""),0.0)</f>
        <v>0</v>
      </c>
      <c r="P36" s="197">
        <f>IFERROR(__xludf.DUMMYFUNCTION("""COMPUTED_VALUE"""),0.0)</f>
        <v>0</v>
      </c>
      <c r="Q36" s="41">
        <f>IFERROR(__xludf.DUMMYFUNCTION("""COMPUTED_VALUE"""),358.0)</f>
        <v>358</v>
      </c>
      <c r="R36" s="197">
        <f>IFERROR(__xludf.DUMMYFUNCTION("""COMPUTED_VALUE"""),358.0)</f>
        <v>358</v>
      </c>
      <c r="S36" s="197">
        <f>IFERROR(__xludf.DUMMYFUNCTION("""COMPUTED_VALUE"""),0.0)</f>
        <v>0</v>
      </c>
      <c r="T36" s="197">
        <f>IFERROR(__xludf.DUMMYFUNCTION("""COMPUTED_VALUE"""),0.0)</f>
        <v>0</v>
      </c>
      <c r="U36" s="41">
        <f>IFERROR(__xludf.DUMMYFUNCTION("""COMPUTED_VALUE"""),341.0)</f>
        <v>341</v>
      </c>
      <c r="V36" s="197">
        <f>IFERROR(__xludf.DUMMYFUNCTION("""COMPUTED_VALUE"""),341.0)</f>
        <v>341</v>
      </c>
      <c r="W36" s="197">
        <f>IFERROR(__xludf.DUMMYFUNCTION("""COMPUTED_VALUE"""),0.0)</f>
        <v>0</v>
      </c>
      <c r="X36" s="197">
        <f>IFERROR(__xludf.DUMMYFUNCTION("""COMPUTED_VALUE"""),0.0)</f>
        <v>0</v>
      </c>
      <c r="Y36" s="41">
        <f>IFERROR(__xludf.DUMMYFUNCTION("""COMPUTED_VALUE"""),340.0)</f>
        <v>340</v>
      </c>
      <c r="Z36" s="197">
        <f>IFERROR(__xludf.DUMMYFUNCTION("""COMPUTED_VALUE"""),340.0)</f>
        <v>340</v>
      </c>
      <c r="AA36" s="197">
        <f>IFERROR(__xludf.DUMMYFUNCTION("""COMPUTED_VALUE"""),0.0)</f>
        <v>0</v>
      </c>
      <c r="AB36" s="197">
        <f>IFERROR(__xludf.DUMMYFUNCTION("""COMPUTED_VALUE"""),0.0)</f>
        <v>0</v>
      </c>
      <c r="AC36" s="41">
        <f>IFERROR(__xludf.DUMMYFUNCTION("""COMPUTED_VALUE"""),340.0)</f>
        <v>340</v>
      </c>
      <c r="AD36" s="197">
        <f>IFERROR(__xludf.DUMMYFUNCTION("""COMPUTED_VALUE"""),340.0)</f>
        <v>340</v>
      </c>
      <c r="AE36" s="197">
        <f>IFERROR(__xludf.DUMMYFUNCTION("""COMPUTED_VALUE"""),0.0)</f>
        <v>0</v>
      </c>
      <c r="AF36" s="197">
        <f>IFERROR(__xludf.DUMMYFUNCTION("""COMPUTED_VALUE"""),0.0)</f>
        <v>0</v>
      </c>
      <c r="AG36" s="41">
        <f>IFERROR(__xludf.DUMMYFUNCTION("""COMPUTED_VALUE"""),0.0)</f>
        <v>0</v>
      </c>
      <c r="AH36" s="197">
        <f>IFERROR(__xludf.DUMMYFUNCTION("""COMPUTED_VALUE"""),0.0)</f>
        <v>0</v>
      </c>
      <c r="AI36" s="197">
        <f>IFERROR(__xludf.DUMMYFUNCTION("""COMPUTED_VALUE"""),0.0)</f>
        <v>0</v>
      </c>
      <c r="AJ36" s="197">
        <f>IFERROR(__xludf.DUMMYFUNCTION("""COMPUTED_VALUE"""),0.0)</f>
        <v>0</v>
      </c>
      <c r="AK36" s="41">
        <f>IFERROR(__xludf.DUMMYFUNCTION("""COMPUTED_VALUE"""),0.0)</f>
        <v>0</v>
      </c>
      <c r="AL36" s="197">
        <f>IFERROR(__xludf.DUMMYFUNCTION("""COMPUTED_VALUE"""),0.0)</f>
        <v>0</v>
      </c>
      <c r="AM36" s="197">
        <f>IFERROR(__xludf.DUMMYFUNCTION("""COMPUTED_VALUE"""),0.0)</f>
        <v>0</v>
      </c>
      <c r="AN36" s="197">
        <f>IFERROR(__xludf.DUMMYFUNCTION("""COMPUTED_VALUE"""),0.0)</f>
        <v>0</v>
      </c>
      <c r="AO36" s="41">
        <f>IFERROR(__xludf.DUMMYFUNCTION("""COMPUTED_VALUE"""),0.0)</f>
        <v>0</v>
      </c>
      <c r="AP36" s="197">
        <f>IFERROR(__xludf.DUMMYFUNCTION("""COMPUTED_VALUE"""),0.0)</f>
        <v>0</v>
      </c>
      <c r="AQ36" s="197">
        <f>IFERROR(__xludf.DUMMYFUNCTION("""COMPUTED_VALUE"""),0.0)</f>
        <v>0</v>
      </c>
      <c r="AR36" s="197">
        <f>IFERROR(__xludf.DUMMYFUNCTION("""COMPUTED_VALUE"""),0.0)</f>
        <v>0</v>
      </c>
      <c r="AS36" s="41">
        <f>IFERROR(__xludf.DUMMYFUNCTION("""COMPUTED_VALUE"""),0.0)</f>
        <v>0</v>
      </c>
      <c r="AT36" s="197">
        <f>IFERROR(__xludf.DUMMYFUNCTION("""COMPUTED_VALUE"""),0.0)</f>
        <v>0</v>
      </c>
      <c r="AU36" s="197">
        <f>IFERROR(__xludf.DUMMYFUNCTION("""COMPUTED_VALUE"""),0.0)</f>
        <v>0</v>
      </c>
      <c r="AV36" s="197">
        <f>IFERROR(__xludf.DUMMYFUNCTION("""COMPUTED_VALUE"""),0.0)</f>
        <v>0</v>
      </c>
      <c r="AW36" s="41">
        <f>IFERROR(__xludf.DUMMYFUNCTION("""COMPUTED_VALUE"""),0.0)</f>
        <v>0</v>
      </c>
      <c r="AX36" s="197">
        <f>IFERROR(__xludf.DUMMYFUNCTION("""COMPUTED_VALUE"""),0.0)</f>
        <v>0</v>
      </c>
      <c r="AY36" s="197">
        <f>IFERROR(__xludf.DUMMYFUNCTION("""COMPUTED_VALUE"""),0.0)</f>
        <v>0</v>
      </c>
      <c r="AZ36" s="198">
        <f>IFERROR(__xludf.DUMMYFUNCTION("""COMPUTED_VALUE"""),0.0)</f>
        <v>0</v>
      </c>
      <c r="BA36" s="195"/>
    </row>
    <row r="37" ht="15.75" customHeight="1">
      <c r="A37" s="29"/>
      <c r="B37" s="67" t="str">
        <f>IFERROR(__xludf.DUMMYFUNCTION("""COMPUTED_VALUE""")," + Nhóm tuổi (từ 6 đến 10 tuổi)")</f>
        <v> + Nhóm tuổi (từ 6 đến 10 tuổi)</v>
      </c>
      <c r="C37" s="31"/>
      <c r="D37" s="31" t="str">
        <f>IFERROR(__xludf.DUMMYFUNCTION("""COMPUTED_VALUE""")," Người")</f>
        <v> Người</v>
      </c>
      <c r="E37" s="41">
        <f>IFERROR(__xludf.DUMMYFUNCTION("""COMPUTED_VALUE"""),88370.0)</f>
        <v>88370</v>
      </c>
      <c r="F37" s="197">
        <f>IFERROR(__xludf.DUMMYFUNCTION("""COMPUTED_VALUE"""),87502.0)</f>
        <v>87502</v>
      </c>
      <c r="G37" s="197">
        <f>IFERROR(__xludf.DUMMYFUNCTION("""COMPUTED_VALUE"""),868.0)</f>
        <v>868</v>
      </c>
      <c r="H37" s="197">
        <f>IFERROR(__xludf.DUMMYFUNCTION("""COMPUTED_VALUE"""),0.0)</f>
        <v>0</v>
      </c>
      <c r="I37" s="41">
        <f>IFERROR(__xludf.DUMMYFUNCTION("""COMPUTED_VALUE"""),83063.0)</f>
        <v>83063</v>
      </c>
      <c r="J37" s="197">
        <f>IFERROR(__xludf.DUMMYFUNCTION("""COMPUTED_VALUE"""),82195.0)</f>
        <v>82195</v>
      </c>
      <c r="K37" s="197">
        <f>IFERROR(__xludf.DUMMYFUNCTION("""COMPUTED_VALUE"""),868.0)</f>
        <v>868</v>
      </c>
      <c r="L37" s="197">
        <f>IFERROR(__xludf.DUMMYFUNCTION("""COMPUTED_VALUE"""),0.0)</f>
        <v>0</v>
      </c>
      <c r="M37" s="41">
        <f>IFERROR(__xludf.DUMMYFUNCTION("""COMPUTED_VALUE"""),74672.0)</f>
        <v>74672</v>
      </c>
      <c r="N37" s="197">
        <f>IFERROR(__xludf.DUMMYFUNCTION("""COMPUTED_VALUE"""),73804.0)</f>
        <v>73804</v>
      </c>
      <c r="O37" s="197">
        <f>IFERROR(__xludf.DUMMYFUNCTION("""COMPUTED_VALUE"""),868.0)</f>
        <v>868</v>
      </c>
      <c r="P37" s="197">
        <f>IFERROR(__xludf.DUMMYFUNCTION("""COMPUTED_VALUE"""),0.0)</f>
        <v>0</v>
      </c>
      <c r="Q37" s="41">
        <f>IFERROR(__xludf.DUMMYFUNCTION("""COMPUTED_VALUE"""),63383.0)</f>
        <v>63383</v>
      </c>
      <c r="R37" s="197">
        <f>IFERROR(__xludf.DUMMYFUNCTION("""COMPUTED_VALUE"""),63383.0)</f>
        <v>63383</v>
      </c>
      <c r="S37" s="197">
        <f>IFERROR(__xludf.DUMMYFUNCTION("""COMPUTED_VALUE"""),0.0)</f>
        <v>0</v>
      </c>
      <c r="T37" s="197">
        <f>IFERROR(__xludf.DUMMYFUNCTION("""COMPUTED_VALUE"""),0.0)</f>
        <v>0</v>
      </c>
      <c r="U37" s="41">
        <f>IFERROR(__xludf.DUMMYFUNCTION("""COMPUTED_VALUE"""),63381.0)</f>
        <v>63381</v>
      </c>
      <c r="V37" s="197">
        <f>IFERROR(__xludf.DUMMYFUNCTION("""COMPUTED_VALUE"""),63381.0)</f>
        <v>63381</v>
      </c>
      <c r="W37" s="197">
        <f>IFERROR(__xludf.DUMMYFUNCTION("""COMPUTED_VALUE"""),0.0)</f>
        <v>0</v>
      </c>
      <c r="X37" s="197">
        <f>IFERROR(__xludf.DUMMYFUNCTION("""COMPUTED_VALUE"""),0.0)</f>
        <v>0</v>
      </c>
      <c r="Y37" s="41">
        <f>IFERROR(__xludf.DUMMYFUNCTION("""COMPUTED_VALUE"""),55026.426999999996)</f>
        <v>55026.427</v>
      </c>
      <c r="Z37" s="197">
        <f>IFERROR(__xludf.DUMMYFUNCTION("""COMPUTED_VALUE"""),55026.426999999996)</f>
        <v>55026.427</v>
      </c>
      <c r="AA37" s="197">
        <f>IFERROR(__xludf.DUMMYFUNCTION("""COMPUTED_VALUE"""),0.0)</f>
        <v>0</v>
      </c>
      <c r="AB37" s="197">
        <f>IFERROR(__xludf.DUMMYFUNCTION("""COMPUTED_VALUE"""),0.0)</f>
        <v>0</v>
      </c>
      <c r="AC37" s="41">
        <f>IFERROR(__xludf.DUMMYFUNCTION("""COMPUTED_VALUE"""),55044.426999999996)</f>
        <v>55044.427</v>
      </c>
      <c r="AD37" s="197">
        <f>IFERROR(__xludf.DUMMYFUNCTION("""COMPUTED_VALUE"""),55044.426999999996)</f>
        <v>55044.427</v>
      </c>
      <c r="AE37" s="197">
        <f>IFERROR(__xludf.DUMMYFUNCTION("""COMPUTED_VALUE"""),0.0)</f>
        <v>0</v>
      </c>
      <c r="AF37" s="197">
        <f>IFERROR(__xludf.DUMMYFUNCTION("""COMPUTED_VALUE"""),0.0)</f>
        <v>0</v>
      </c>
      <c r="AG37" s="41">
        <f>IFERROR(__xludf.DUMMYFUNCTION("""COMPUTED_VALUE"""),0.0)</f>
        <v>0</v>
      </c>
      <c r="AH37" s="197">
        <f>IFERROR(__xludf.DUMMYFUNCTION("""COMPUTED_VALUE"""),0.0)</f>
        <v>0</v>
      </c>
      <c r="AI37" s="197">
        <f>IFERROR(__xludf.DUMMYFUNCTION("""COMPUTED_VALUE"""),0.0)</f>
        <v>0</v>
      </c>
      <c r="AJ37" s="197">
        <f>IFERROR(__xludf.DUMMYFUNCTION("""COMPUTED_VALUE"""),0.0)</f>
        <v>0</v>
      </c>
      <c r="AK37" s="41">
        <f>IFERROR(__xludf.DUMMYFUNCTION("""COMPUTED_VALUE"""),0.0)</f>
        <v>0</v>
      </c>
      <c r="AL37" s="197">
        <f>IFERROR(__xludf.DUMMYFUNCTION("""COMPUTED_VALUE"""),0.0)</f>
        <v>0</v>
      </c>
      <c r="AM37" s="197">
        <f>IFERROR(__xludf.DUMMYFUNCTION("""COMPUTED_VALUE"""),0.0)</f>
        <v>0</v>
      </c>
      <c r="AN37" s="197">
        <f>IFERROR(__xludf.DUMMYFUNCTION("""COMPUTED_VALUE"""),0.0)</f>
        <v>0</v>
      </c>
      <c r="AO37" s="41">
        <f>IFERROR(__xludf.DUMMYFUNCTION("""COMPUTED_VALUE"""),0.0)</f>
        <v>0</v>
      </c>
      <c r="AP37" s="197">
        <f>IFERROR(__xludf.DUMMYFUNCTION("""COMPUTED_VALUE"""),0.0)</f>
        <v>0</v>
      </c>
      <c r="AQ37" s="197">
        <f>IFERROR(__xludf.DUMMYFUNCTION("""COMPUTED_VALUE"""),0.0)</f>
        <v>0</v>
      </c>
      <c r="AR37" s="197">
        <f>IFERROR(__xludf.DUMMYFUNCTION("""COMPUTED_VALUE"""),0.0)</f>
        <v>0</v>
      </c>
      <c r="AS37" s="41">
        <f>IFERROR(__xludf.DUMMYFUNCTION("""COMPUTED_VALUE"""),0.0)</f>
        <v>0</v>
      </c>
      <c r="AT37" s="197">
        <f>IFERROR(__xludf.DUMMYFUNCTION("""COMPUTED_VALUE"""),0.0)</f>
        <v>0</v>
      </c>
      <c r="AU37" s="197">
        <f>IFERROR(__xludf.DUMMYFUNCTION("""COMPUTED_VALUE"""),0.0)</f>
        <v>0</v>
      </c>
      <c r="AV37" s="197">
        <f>IFERROR(__xludf.DUMMYFUNCTION("""COMPUTED_VALUE"""),0.0)</f>
        <v>0</v>
      </c>
      <c r="AW37" s="41">
        <f>IFERROR(__xludf.DUMMYFUNCTION("""COMPUTED_VALUE"""),0.0)</f>
        <v>0</v>
      </c>
      <c r="AX37" s="197">
        <f>IFERROR(__xludf.DUMMYFUNCTION("""COMPUTED_VALUE"""),0.0)</f>
        <v>0</v>
      </c>
      <c r="AY37" s="197">
        <f>IFERROR(__xludf.DUMMYFUNCTION("""COMPUTED_VALUE"""),0.0)</f>
        <v>0</v>
      </c>
      <c r="AZ37" s="198">
        <f>IFERROR(__xludf.DUMMYFUNCTION("""COMPUTED_VALUE"""),0.0)</f>
        <v>0</v>
      </c>
      <c r="BA37" s="195"/>
    </row>
    <row r="38" ht="15.75" customHeight="1">
      <c r="A38" s="214"/>
      <c r="B38" s="215" t="str">
        <f>IFERROR(__xludf.DUMMYFUNCTION("""COMPUTED_VALUE"""),"4. Tỷ lệ học sinh đi học")</f>
        <v>4. Tỷ lệ học sinh đi học</v>
      </c>
      <c r="C38" s="216"/>
      <c r="D38" s="216" t="str">
        <f>IFERROR(__xludf.DUMMYFUNCTION("""COMPUTED_VALUE"""),"%")</f>
        <v>%</v>
      </c>
      <c r="E38" s="217" t="str">
        <f>IFERROR(__xludf.DUMMYFUNCTION("""COMPUTED_VALUE"""),"#VALUE!")</f>
        <v>#VALUE!</v>
      </c>
      <c r="F38" s="218" t="str">
        <f>IFERROR(__xludf.DUMMYFUNCTION("""COMPUTED_VALUE"""),"X")</f>
        <v>X</v>
      </c>
      <c r="G38" s="218" t="str">
        <f>IFERROR(__xludf.DUMMYFUNCTION("""COMPUTED_VALUE"""),"X")</f>
        <v>X</v>
      </c>
      <c r="H38" s="218" t="str">
        <f>IFERROR(__xludf.DUMMYFUNCTION("""COMPUTED_VALUE"""),"X")</f>
        <v>X</v>
      </c>
      <c r="I38" s="217" t="str">
        <f>IFERROR(__xludf.DUMMYFUNCTION("""COMPUTED_VALUE"""),"#VALUE!")</f>
        <v>#VALUE!</v>
      </c>
      <c r="J38" s="218" t="str">
        <f>IFERROR(__xludf.DUMMYFUNCTION("""COMPUTED_VALUE"""),"X")</f>
        <v>X</v>
      </c>
      <c r="K38" s="218" t="str">
        <f>IFERROR(__xludf.DUMMYFUNCTION("""COMPUTED_VALUE"""),"X")</f>
        <v>X</v>
      </c>
      <c r="L38" s="218" t="str">
        <f>IFERROR(__xludf.DUMMYFUNCTION("""COMPUTED_VALUE"""),"X")</f>
        <v>X</v>
      </c>
      <c r="M38" s="217" t="str">
        <f>IFERROR(__xludf.DUMMYFUNCTION("""COMPUTED_VALUE"""),"#VALUE!")</f>
        <v>#VALUE!</v>
      </c>
      <c r="N38" s="218" t="str">
        <f>IFERROR(__xludf.DUMMYFUNCTION("""COMPUTED_VALUE"""),"X")</f>
        <v>X</v>
      </c>
      <c r="O38" s="218" t="str">
        <f>IFERROR(__xludf.DUMMYFUNCTION("""COMPUTED_VALUE"""),"X")</f>
        <v>X</v>
      </c>
      <c r="P38" s="218" t="str">
        <f>IFERROR(__xludf.DUMMYFUNCTION("""COMPUTED_VALUE"""),"X")</f>
        <v>X</v>
      </c>
      <c r="Q38" s="217" t="str">
        <f>IFERROR(__xludf.DUMMYFUNCTION("""COMPUTED_VALUE"""),"#VALUE!")</f>
        <v>#VALUE!</v>
      </c>
      <c r="R38" s="218" t="str">
        <f>IFERROR(__xludf.DUMMYFUNCTION("""COMPUTED_VALUE"""),"X")</f>
        <v>X</v>
      </c>
      <c r="S38" s="218" t="str">
        <f>IFERROR(__xludf.DUMMYFUNCTION("""COMPUTED_VALUE"""),"X")</f>
        <v>X</v>
      </c>
      <c r="T38" s="218" t="str">
        <f>IFERROR(__xludf.DUMMYFUNCTION("""COMPUTED_VALUE"""),"X")</f>
        <v>X</v>
      </c>
      <c r="U38" s="217" t="str">
        <f>IFERROR(__xludf.DUMMYFUNCTION("""COMPUTED_VALUE"""),"#VALUE!")</f>
        <v>#VALUE!</v>
      </c>
      <c r="V38" s="218" t="str">
        <f>IFERROR(__xludf.DUMMYFUNCTION("""COMPUTED_VALUE"""),"X")</f>
        <v>X</v>
      </c>
      <c r="W38" s="218" t="str">
        <f>IFERROR(__xludf.DUMMYFUNCTION("""COMPUTED_VALUE"""),"X")</f>
        <v>X</v>
      </c>
      <c r="X38" s="218" t="str">
        <f>IFERROR(__xludf.DUMMYFUNCTION("""COMPUTED_VALUE"""),"X")</f>
        <v>X</v>
      </c>
      <c r="Y38" s="217" t="str">
        <f>IFERROR(__xludf.DUMMYFUNCTION("""COMPUTED_VALUE"""),"#VALUE!")</f>
        <v>#VALUE!</v>
      </c>
      <c r="Z38" s="218" t="str">
        <f>IFERROR(__xludf.DUMMYFUNCTION("""COMPUTED_VALUE"""),"X")</f>
        <v>X</v>
      </c>
      <c r="AA38" s="218" t="str">
        <f>IFERROR(__xludf.DUMMYFUNCTION("""COMPUTED_VALUE"""),"X")</f>
        <v>X</v>
      </c>
      <c r="AB38" s="218" t="str">
        <f>IFERROR(__xludf.DUMMYFUNCTION("""COMPUTED_VALUE"""),"X")</f>
        <v>X</v>
      </c>
      <c r="AC38" s="217" t="str">
        <f>IFERROR(__xludf.DUMMYFUNCTION("""COMPUTED_VALUE"""),"#VALUE!")</f>
        <v>#VALUE!</v>
      </c>
      <c r="AD38" s="218" t="str">
        <f>IFERROR(__xludf.DUMMYFUNCTION("""COMPUTED_VALUE"""),"X")</f>
        <v>X</v>
      </c>
      <c r="AE38" s="218" t="str">
        <f>IFERROR(__xludf.DUMMYFUNCTION("""COMPUTED_VALUE"""),"X")</f>
        <v>X</v>
      </c>
      <c r="AF38" s="218" t="str">
        <f>IFERROR(__xludf.DUMMYFUNCTION("""COMPUTED_VALUE"""),"X")</f>
        <v>X</v>
      </c>
      <c r="AG38" s="217" t="str">
        <f>IFERROR(__xludf.DUMMYFUNCTION("""COMPUTED_VALUE"""),"#DIV/0!")</f>
        <v>#DIV/0!</v>
      </c>
      <c r="AH38" s="218" t="str">
        <f>IFERROR(__xludf.DUMMYFUNCTION("""COMPUTED_VALUE"""),"X")</f>
        <v>X</v>
      </c>
      <c r="AI38" s="218" t="str">
        <f>IFERROR(__xludf.DUMMYFUNCTION("""COMPUTED_VALUE"""),"X")</f>
        <v>X</v>
      </c>
      <c r="AJ38" s="218" t="str">
        <f>IFERROR(__xludf.DUMMYFUNCTION("""COMPUTED_VALUE"""),"X")</f>
        <v>X</v>
      </c>
      <c r="AK38" s="217" t="str">
        <f>IFERROR(__xludf.DUMMYFUNCTION("""COMPUTED_VALUE"""),"#DIV/0!")</f>
        <v>#DIV/0!</v>
      </c>
      <c r="AL38" s="218" t="str">
        <f>IFERROR(__xludf.DUMMYFUNCTION("""COMPUTED_VALUE"""),"X")</f>
        <v>X</v>
      </c>
      <c r="AM38" s="218" t="str">
        <f>IFERROR(__xludf.DUMMYFUNCTION("""COMPUTED_VALUE"""),"X")</f>
        <v>X</v>
      </c>
      <c r="AN38" s="218" t="str">
        <f>IFERROR(__xludf.DUMMYFUNCTION("""COMPUTED_VALUE"""),"X")</f>
        <v>X</v>
      </c>
      <c r="AO38" s="217" t="str">
        <f>IFERROR(__xludf.DUMMYFUNCTION("""COMPUTED_VALUE"""),"#DIV/0!")</f>
        <v>#DIV/0!</v>
      </c>
      <c r="AP38" s="218" t="str">
        <f>IFERROR(__xludf.DUMMYFUNCTION("""COMPUTED_VALUE"""),"X")</f>
        <v>X</v>
      </c>
      <c r="AQ38" s="218" t="str">
        <f>IFERROR(__xludf.DUMMYFUNCTION("""COMPUTED_VALUE"""),"X")</f>
        <v>X</v>
      </c>
      <c r="AR38" s="218" t="str">
        <f>IFERROR(__xludf.DUMMYFUNCTION("""COMPUTED_VALUE"""),"X")</f>
        <v>X</v>
      </c>
      <c r="AS38" s="217" t="str">
        <f>IFERROR(__xludf.DUMMYFUNCTION("""COMPUTED_VALUE"""),"#DIV/0!")</f>
        <v>#DIV/0!</v>
      </c>
      <c r="AT38" s="218" t="str">
        <f>IFERROR(__xludf.DUMMYFUNCTION("""COMPUTED_VALUE"""),"X")</f>
        <v>X</v>
      </c>
      <c r="AU38" s="218" t="str">
        <f>IFERROR(__xludf.DUMMYFUNCTION("""COMPUTED_VALUE"""),"X")</f>
        <v>X</v>
      </c>
      <c r="AV38" s="218" t="str">
        <f>IFERROR(__xludf.DUMMYFUNCTION("""COMPUTED_VALUE"""),"X")</f>
        <v>X</v>
      </c>
      <c r="AW38" s="217" t="str">
        <f>IFERROR(__xludf.DUMMYFUNCTION("""COMPUTED_VALUE"""),"#DIV/0!")</f>
        <v>#DIV/0!</v>
      </c>
      <c r="AX38" s="218" t="str">
        <f>IFERROR(__xludf.DUMMYFUNCTION("""COMPUTED_VALUE"""),"X")</f>
        <v>X</v>
      </c>
      <c r="AY38" s="218" t="str">
        <f>IFERROR(__xludf.DUMMYFUNCTION("""COMPUTED_VALUE"""),"X")</f>
        <v>X</v>
      </c>
      <c r="AZ38" s="219" t="str">
        <f>IFERROR(__xludf.DUMMYFUNCTION("""COMPUTED_VALUE"""),"X")</f>
        <v>X</v>
      </c>
      <c r="BA38" s="220"/>
    </row>
    <row r="39" ht="15.75" customHeight="1">
      <c r="A39" s="29"/>
      <c r="B39" s="30" t="str">
        <f>IFERROR(__xludf.DUMMYFUNCTION("""COMPUTED_VALUE"""),"5. ĐỘI NGŨ")</f>
        <v>5. ĐỘI NGŨ</v>
      </c>
      <c r="C39" s="31" t="str">
        <f>IFERROR(__xludf.DUMMYFUNCTION("""COMPUTED_VALUE"""),"Quí")</f>
        <v>Quí</v>
      </c>
      <c r="D39" s="31" t="str">
        <f>IFERROR(__xludf.DUMMYFUNCTION("""COMPUTED_VALUE"""),"Người")</f>
        <v>Người</v>
      </c>
      <c r="E39" s="32">
        <f>IFERROR(__xludf.DUMMYFUNCTION("""COMPUTED_VALUE"""),6806.0)</f>
        <v>6806</v>
      </c>
      <c r="F39" s="32">
        <f>IFERROR(__xludf.DUMMYFUNCTION("""COMPUTED_VALUE"""),6765.0)</f>
        <v>6765</v>
      </c>
      <c r="G39" s="32">
        <f>IFERROR(__xludf.DUMMYFUNCTION("""COMPUTED_VALUE"""),41.0)</f>
        <v>41</v>
      </c>
      <c r="H39" s="32">
        <f>IFERROR(__xludf.DUMMYFUNCTION("""COMPUTED_VALUE"""),0.0)</f>
        <v>0</v>
      </c>
      <c r="I39" s="32">
        <f>IFERROR(__xludf.DUMMYFUNCTION("""COMPUTED_VALUE"""),6740.0)</f>
        <v>6740</v>
      </c>
      <c r="J39" s="32">
        <f>IFERROR(__xludf.DUMMYFUNCTION("""COMPUTED_VALUE"""),6699.0)</f>
        <v>6699</v>
      </c>
      <c r="K39" s="32">
        <f>IFERROR(__xludf.DUMMYFUNCTION("""COMPUTED_VALUE"""),41.0)</f>
        <v>41</v>
      </c>
      <c r="L39" s="32">
        <f>IFERROR(__xludf.DUMMYFUNCTION("""COMPUTED_VALUE"""),0.0)</f>
        <v>0</v>
      </c>
      <c r="M39" s="32">
        <f>IFERROR(__xludf.DUMMYFUNCTION("""COMPUTED_VALUE"""),6421.0)</f>
        <v>6421</v>
      </c>
      <c r="N39" s="32">
        <f>IFERROR(__xludf.DUMMYFUNCTION("""COMPUTED_VALUE"""),6380.0)</f>
        <v>6380</v>
      </c>
      <c r="O39" s="32">
        <f>IFERROR(__xludf.DUMMYFUNCTION("""COMPUTED_VALUE"""),41.0)</f>
        <v>41</v>
      </c>
      <c r="P39" s="32">
        <f>IFERROR(__xludf.DUMMYFUNCTION("""COMPUTED_VALUE"""),0.0)</f>
        <v>0</v>
      </c>
      <c r="Q39" s="32">
        <f>IFERROR(__xludf.DUMMYFUNCTION("""COMPUTED_VALUE"""),6416.0)</f>
        <v>6416</v>
      </c>
      <c r="R39" s="32">
        <f>IFERROR(__xludf.DUMMYFUNCTION("""COMPUTED_VALUE"""),6375.0)</f>
        <v>6375</v>
      </c>
      <c r="S39" s="32">
        <f>IFERROR(__xludf.DUMMYFUNCTION("""COMPUTED_VALUE"""),41.0)</f>
        <v>41</v>
      </c>
      <c r="T39" s="32">
        <f>IFERROR(__xludf.DUMMYFUNCTION("""COMPUTED_VALUE"""),0.0)</f>
        <v>0</v>
      </c>
      <c r="U39" s="32">
        <f>IFERROR(__xludf.DUMMYFUNCTION("""COMPUTED_VALUE"""),6346.0)</f>
        <v>6346</v>
      </c>
      <c r="V39" s="32">
        <f>IFERROR(__xludf.DUMMYFUNCTION("""COMPUTED_VALUE"""),6305.0)</f>
        <v>6305</v>
      </c>
      <c r="W39" s="32">
        <f>IFERROR(__xludf.DUMMYFUNCTION("""COMPUTED_VALUE"""),41.0)</f>
        <v>41</v>
      </c>
      <c r="X39" s="32">
        <f>IFERROR(__xludf.DUMMYFUNCTION("""COMPUTED_VALUE"""),0.0)</f>
        <v>0</v>
      </c>
      <c r="Y39" s="32">
        <f>IFERROR(__xludf.DUMMYFUNCTION("""COMPUTED_VALUE"""),6342.0)</f>
        <v>6342</v>
      </c>
      <c r="Z39" s="32">
        <f>IFERROR(__xludf.DUMMYFUNCTION("""COMPUTED_VALUE"""),6301.0)</f>
        <v>6301</v>
      </c>
      <c r="AA39" s="32">
        <f>IFERROR(__xludf.DUMMYFUNCTION("""COMPUTED_VALUE"""),41.0)</f>
        <v>41</v>
      </c>
      <c r="AB39" s="32">
        <f>IFERROR(__xludf.DUMMYFUNCTION("""COMPUTED_VALUE"""),0.0)</f>
        <v>0</v>
      </c>
      <c r="AC39" s="32">
        <f>IFERROR(__xludf.DUMMYFUNCTION("""COMPUTED_VALUE"""),6737.0)</f>
        <v>6737</v>
      </c>
      <c r="AD39" s="32">
        <f>IFERROR(__xludf.DUMMYFUNCTION("""COMPUTED_VALUE"""),6696.0)</f>
        <v>6696</v>
      </c>
      <c r="AE39" s="32">
        <f>IFERROR(__xludf.DUMMYFUNCTION("""COMPUTED_VALUE"""),41.0)</f>
        <v>41</v>
      </c>
      <c r="AF39" s="32">
        <f>IFERROR(__xludf.DUMMYFUNCTION("""COMPUTED_VALUE"""),0.0)</f>
        <v>0</v>
      </c>
      <c r="AG39" s="32">
        <f>IFERROR(__xludf.DUMMYFUNCTION("""COMPUTED_VALUE"""),0.0)</f>
        <v>0</v>
      </c>
      <c r="AH39" s="32">
        <f>IFERROR(__xludf.DUMMYFUNCTION("""COMPUTED_VALUE"""),0.0)</f>
        <v>0</v>
      </c>
      <c r="AI39" s="32">
        <f>IFERROR(__xludf.DUMMYFUNCTION("""COMPUTED_VALUE"""),0.0)</f>
        <v>0</v>
      </c>
      <c r="AJ39" s="32">
        <f>IFERROR(__xludf.DUMMYFUNCTION("""COMPUTED_VALUE"""),0.0)</f>
        <v>0</v>
      </c>
      <c r="AK39" s="32">
        <f>IFERROR(__xludf.DUMMYFUNCTION("""COMPUTED_VALUE"""),0.0)</f>
        <v>0</v>
      </c>
      <c r="AL39" s="32">
        <f>IFERROR(__xludf.DUMMYFUNCTION("""COMPUTED_VALUE"""),0.0)</f>
        <v>0</v>
      </c>
      <c r="AM39" s="32">
        <f>IFERROR(__xludf.DUMMYFUNCTION("""COMPUTED_VALUE"""),0.0)</f>
        <v>0</v>
      </c>
      <c r="AN39" s="32">
        <f>IFERROR(__xludf.DUMMYFUNCTION("""COMPUTED_VALUE"""),0.0)</f>
        <v>0</v>
      </c>
      <c r="AO39" s="32">
        <f>IFERROR(__xludf.DUMMYFUNCTION("""COMPUTED_VALUE"""),0.0)</f>
        <v>0</v>
      </c>
      <c r="AP39" s="32">
        <f>IFERROR(__xludf.DUMMYFUNCTION("""COMPUTED_VALUE"""),0.0)</f>
        <v>0</v>
      </c>
      <c r="AQ39" s="32">
        <f>IFERROR(__xludf.DUMMYFUNCTION("""COMPUTED_VALUE"""),0.0)</f>
        <v>0</v>
      </c>
      <c r="AR39" s="32">
        <f>IFERROR(__xludf.DUMMYFUNCTION("""COMPUTED_VALUE"""),0.0)</f>
        <v>0</v>
      </c>
      <c r="AS39" s="32">
        <f>IFERROR(__xludf.DUMMYFUNCTION("""COMPUTED_VALUE"""),0.0)</f>
        <v>0</v>
      </c>
      <c r="AT39" s="32">
        <f>IFERROR(__xludf.DUMMYFUNCTION("""COMPUTED_VALUE"""),0.0)</f>
        <v>0</v>
      </c>
      <c r="AU39" s="32">
        <f>IFERROR(__xludf.DUMMYFUNCTION("""COMPUTED_VALUE"""),0.0)</f>
        <v>0</v>
      </c>
      <c r="AV39" s="32">
        <f>IFERROR(__xludf.DUMMYFUNCTION("""COMPUTED_VALUE"""),0.0)</f>
        <v>0</v>
      </c>
      <c r="AW39" s="32">
        <f>IFERROR(__xludf.DUMMYFUNCTION("""COMPUTED_VALUE"""),0.0)</f>
        <v>0</v>
      </c>
      <c r="AX39" s="32">
        <f>IFERROR(__xludf.DUMMYFUNCTION("""COMPUTED_VALUE"""),0.0)</f>
        <v>0</v>
      </c>
      <c r="AY39" s="32">
        <f>IFERROR(__xludf.DUMMYFUNCTION("""COMPUTED_VALUE"""),0.0)</f>
        <v>0</v>
      </c>
      <c r="AZ39" s="33">
        <f>IFERROR(__xludf.DUMMYFUNCTION("""COMPUTED_VALUE"""),0.0)</f>
        <v>0</v>
      </c>
      <c r="BA39" s="195"/>
    </row>
    <row r="40" ht="15.75" customHeight="1">
      <c r="A40" s="29"/>
      <c r="B40" s="196" t="str">
        <f>IFERROR(__xludf.DUMMYFUNCTION("""COMPUTED_VALUE"""),"5.1. Tổng số cán bộ quản lí (C.chức+V.chức)")</f>
        <v>5.1. Tổng số cán bộ quản lí (C.chức+V.chức)</v>
      </c>
      <c r="C40" s="57"/>
      <c r="D40" s="57" t="str">
        <f>IFERROR(__xludf.DUMMYFUNCTION("""COMPUTED_VALUE""")," Người")</f>
        <v> Người</v>
      </c>
      <c r="E40" s="125">
        <f>IFERROR(__xludf.DUMMYFUNCTION("""COMPUTED_VALUE"""),396.0)</f>
        <v>396</v>
      </c>
      <c r="F40" s="201">
        <f>IFERROR(__xludf.DUMMYFUNCTION("""COMPUTED_VALUE"""),394.0)</f>
        <v>394</v>
      </c>
      <c r="G40" s="201">
        <f>IFERROR(__xludf.DUMMYFUNCTION("""COMPUTED_VALUE"""),2.0)</f>
        <v>2</v>
      </c>
      <c r="H40" s="201">
        <f>IFERROR(__xludf.DUMMYFUNCTION("""COMPUTED_VALUE"""),0.0)</f>
        <v>0</v>
      </c>
      <c r="I40" s="125">
        <f>IFERROR(__xludf.DUMMYFUNCTION("""COMPUTED_VALUE"""),398.0)</f>
        <v>398</v>
      </c>
      <c r="J40" s="201">
        <f>IFERROR(__xludf.DUMMYFUNCTION("""COMPUTED_VALUE"""),396.0)</f>
        <v>396</v>
      </c>
      <c r="K40" s="201">
        <f>IFERROR(__xludf.DUMMYFUNCTION("""COMPUTED_VALUE"""),2.0)</f>
        <v>2</v>
      </c>
      <c r="L40" s="201">
        <f>IFERROR(__xludf.DUMMYFUNCTION("""COMPUTED_VALUE"""),0.0)</f>
        <v>0</v>
      </c>
      <c r="M40" s="125">
        <f>IFERROR(__xludf.DUMMYFUNCTION("""COMPUTED_VALUE"""),398.0)</f>
        <v>398</v>
      </c>
      <c r="N40" s="201">
        <f>IFERROR(__xludf.DUMMYFUNCTION("""COMPUTED_VALUE"""),396.0)</f>
        <v>396</v>
      </c>
      <c r="O40" s="201">
        <f>IFERROR(__xludf.DUMMYFUNCTION("""COMPUTED_VALUE"""),2.0)</f>
        <v>2</v>
      </c>
      <c r="P40" s="201">
        <f>IFERROR(__xludf.DUMMYFUNCTION("""COMPUTED_VALUE"""),0.0)</f>
        <v>0</v>
      </c>
      <c r="Q40" s="125">
        <f>IFERROR(__xludf.DUMMYFUNCTION("""COMPUTED_VALUE"""),374.0)</f>
        <v>374</v>
      </c>
      <c r="R40" s="201">
        <f>IFERROR(__xludf.DUMMYFUNCTION("""COMPUTED_VALUE"""),372.0)</f>
        <v>372</v>
      </c>
      <c r="S40" s="201">
        <f>IFERROR(__xludf.DUMMYFUNCTION("""COMPUTED_VALUE"""),2.0)</f>
        <v>2</v>
      </c>
      <c r="T40" s="201">
        <f>IFERROR(__xludf.DUMMYFUNCTION("""COMPUTED_VALUE"""),0.0)</f>
        <v>0</v>
      </c>
      <c r="U40" s="125">
        <f>IFERROR(__xludf.DUMMYFUNCTION("""COMPUTED_VALUE"""),374.0)</f>
        <v>374</v>
      </c>
      <c r="V40" s="201">
        <f>IFERROR(__xludf.DUMMYFUNCTION("""COMPUTED_VALUE"""),372.0)</f>
        <v>372</v>
      </c>
      <c r="W40" s="201">
        <f>IFERROR(__xludf.DUMMYFUNCTION("""COMPUTED_VALUE"""),2.0)</f>
        <v>2</v>
      </c>
      <c r="X40" s="201">
        <f>IFERROR(__xludf.DUMMYFUNCTION("""COMPUTED_VALUE"""),0.0)</f>
        <v>0</v>
      </c>
      <c r="Y40" s="125">
        <f>IFERROR(__xludf.DUMMYFUNCTION("""COMPUTED_VALUE"""),374.0)</f>
        <v>374</v>
      </c>
      <c r="Z40" s="201">
        <f>IFERROR(__xludf.DUMMYFUNCTION("""COMPUTED_VALUE"""),372.0)</f>
        <v>372</v>
      </c>
      <c r="AA40" s="201">
        <f>IFERROR(__xludf.DUMMYFUNCTION("""COMPUTED_VALUE"""),2.0)</f>
        <v>2</v>
      </c>
      <c r="AB40" s="201">
        <f>IFERROR(__xludf.DUMMYFUNCTION("""COMPUTED_VALUE"""),0.0)</f>
        <v>0</v>
      </c>
      <c r="AC40" s="125">
        <f>IFERROR(__xludf.DUMMYFUNCTION("""COMPUTED_VALUE"""),773.0)</f>
        <v>773</v>
      </c>
      <c r="AD40" s="201">
        <f>IFERROR(__xludf.DUMMYFUNCTION("""COMPUTED_VALUE"""),771.0)</f>
        <v>771</v>
      </c>
      <c r="AE40" s="201">
        <f>IFERROR(__xludf.DUMMYFUNCTION("""COMPUTED_VALUE"""),2.0)</f>
        <v>2</v>
      </c>
      <c r="AF40" s="201">
        <f>IFERROR(__xludf.DUMMYFUNCTION("""COMPUTED_VALUE"""),0.0)</f>
        <v>0</v>
      </c>
      <c r="AG40" s="125">
        <f>IFERROR(__xludf.DUMMYFUNCTION("""COMPUTED_VALUE"""),0.0)</f>
        <v>0</v>
      </c>
      <c r="AH40" s="201">
        <f>IFERROR(__xludf.DUMMYFUNCTION("""COMPUTED_VALUE"""),0.0)</f>
        <v>0</v>
      </c>
      <c r="AI40" s="201">
        <f>IFERROR(__xludf.DUMMYFUNCTION("""COMPUTED_VALUE"""),0.0)</f>
        <v>0</v>
      </c>
      <c r="AJ40" s="201">
        <f>IFERROR(__xludf.DUMMYFUNCTION("""COMPUTED_VALUE"""),0.0)</f>
        <v>0</v>
      </c>
      <c r="AK40" s="125">
        <f>IFERROR(__xludf.DUMMYFUNCTION("""COMPUTED_VALUE"""),0.0)</f>
        <v>0</v>
      </c>
      <c r="AL40" s="201">
        <f>IFERROR(__xludf.DUMMYFUNCTION("""COMPUTED_VALUE"""),0.0)</f>
        <v>0</v>
      </c>
      <c r="AM40" s="201">
        <f>IFERROR(__xludf.DUMMYFUNCTION("""COMPUTED_VALUE"""),0.0)</f>
        <v>0</v>
      </c>
      <c r="AN40" s="201">
        <f>IFERROR(__xludf.DUMMYFUNCTION("""COMPUTED_VALUE"""),0.0)</f>
        <v>0</v>
      </c>
      <c r="AO40" s="125">
        <f>IFERROR(__xludf.DUMMYFUNCTION("""COMPUTED_VALUE"""),0.0)</f>
        <v>0</v>
      </c>
      <c r="AP40" s="201">
        <f>IFERROR(__xludf.DUMMYFUNCTION("""COMPUTED_VALUE"""),0.0)</f>
        <v>0</v>
      </c>
      <c r="AQ40" s="201">
        <f>IFERROR(__xludf.DUMMYFUNCTION("""COMPUTED_VALUE"""),0.0)</f>
        <v>0</v>
      </c>
      <c r="AR40" s="201">
        <f>IFERROR(__xludf.DUMMYFUNCTION("""COMPUTED_VALUE"""),0.0)</f>
        <v>0</v>
      </c>
      <c r="AS40" s="125">
        <f>IFERROR(__xludf.DUMMYFUNCTION("""COMPUTED_VALUE"""),0.0)</f>
        <v>0</v>
      </c>
      <c r="AT40" s="201">
        <f>IFERROR(__xludf.DUMMYFUNCTION("""COMPUTED_VALUE"""),0.0)</f>
        <v>0</v>
      </c>
      <c r="AU40" s="201">
        <f>IFERROR(__xludf.DUMMYFUNCTION("""COMPUTED_VALUE"""),0.0)</f>
        <v>0</v>
      </c>
      <c r="AV40" s="201">
        <f>IFERROR(__xludf.DUMMYFUNCTION("""COMPUTED_VALUE"""),0.0)</f>
        <v>0</v>
      </c>
      <c r="AW40" s="125">
        <f>IFERROR(__xludf.DUMMYFUNCTION("""COMPUTED_VALUE"""),0.0)</f>
        <v>0</v>
      </c>
      <c r="AX40" s="201">
        <f>IFERROR(__xludf.DUMMYFUNCTION("""COMPUTED_VALUE"""),0.0)</f>
        <v>0</v>
      </c>
      <c r="AY40" s="201">
        <f>IFERROR(__xludf.DUMMYFUNCTION("""COMPUTED_VALUE"""),0.0)</f>
        <v>0</v>
      </c>
      <c r="AZ40" s="202">
        <f>IFERROR(__xludf.DUMMYFUNCTION("""COMPUTED_VALUE"""),0.0)</f>
        <v>0</v>
      </c>
      <c r="BA40" s="195"/>
    </row>
    <row r="41" ht="15.75" customHeight="1">
      <c r="A41" s="29"/>
      <c r="B41" s="196" t="str">
        <f>IFERROR(__xludf.DUMMYFUNCTION("""COMPUTED_VALUE"""),"5.2. Tổng số giáo viên biên chế")</f>
        <v>5.2. Tổng số giáo viên biên chế</v>
      </c>
      <c r="C41" s="57"/>
      <c r="D41" s="57" t="str">
        <f>IFERROR(__xludf.DUMMYFUNCTION("""COMPUTED_VALUE""")," Người")</f>
        <v> Người</v>
      </c>
      <c r="E41" s="125">
        <f>IFERROR(__xludf.DUMMYFUNCTION("""COMPUTED_VALUE"""),5571.0)</f>
        <v>5571</v>
      </c>
      <c r="F41" s="201">
        <f>IFERROR(__xludf.DUMMYFUNCTION("""COMPUTED_VALUE"""),5553.0)</f>
        <v>5553</v>
      </c>
      <c r="G41" s="201">
        <f>IFERROR(__xludf.DUMMYFUNCTION("""COMPUTED_VALUE"""),18.0)</f>
        <v>18</v>
      </c>
      <c r="H41" s="201">
        <f>IFERROR(__xludf.DUMMYFUNCTION("""COMPUTED_VALUE"""),0.0)</f>
        <v>0</v>
      </c>
      <c r="I41" s="125">
        <f>IFERROR(__xludf.DUMMYFUNCTION("""COMPUTED_VALUE"""),5557.0)</f>
        <v>5557</v>
      </c>
      <c r="J41" s="201">
        <f>IFERROR(__xludf.DUMMYFUNCTION("""COMPUTED_VALUE"""),5539.0)</f>
        <v>5539</v>
      </c>
      <c r="K41" s="201">
        <f>IFERROR(__xludf.DUMMYFUNCTION("""COMPUTED_VALUE"""),18.0)</f>
        <v>18</v>
      </c>
      <c r="L41" s="201">
        <f>IFERROR(__xludf.DUMMYFUNCTION("""COMPUTED_VALUE"""),0.0)</f>
        <v>0</v>
      </c>
      <c r="M41" s="125">
        <f>IFERROR(__xludf.DUMMYFUNCTION("""COMPUTED_VALUE"""),5238.0)</f>
        <v>5238</v>
      </c>
      <c r="N41" s="201">
        <f>IFERROR(__xludf.DUMMYFUNCTION("""COMPUTED_VALUE"""),5220.0)</f>
        <v>5220</v>
      </c>
      <c r="O41" s="201">
        <f>IFERROR(__xludf.DUMMYFUNCTION("""COMPUTED_VALUE"""),18.0)</f>
        <v>18</v>
      </c>
      <c r="P41" s="201">
        <f>IFERROR(__xludf.DUMMYFUNCTION("""COMPUTED_VALUE"""),0.0)</f>
        <v>0</v>
      </c>
      <c r="Q41" s="125">
        <f>IFERROR(__xludf.DUMMYFUNCTION("""COMPUTED_VALUE"""),5225.0)</f>
        <v>5225</v>
      </c>
      <c r="R41" s="201">
        <f>IFERROR(__xludf.DUMMYFUNCTION("""COMPUTED_VALUE"""),5207.0)</f>
        <v>5207</v>
      </c>
      <c r="S41" s="201">
        <f>IFERROR(__xludf.DUMMYFUNCTION("""COMPUTED_VALUE"""),18.0)</f>
        <v>18</v>
      </c>
      <c r="T41" s="201">
        <f>IFERROR(__xludf.DUMMYFUNCTION("""COMPUTED_VALUE"""),0.0)</f>
        <v>0</v>
      </c>
      <c r="U41" s="125">
        <f>IFERROR(__xludf.DUMMYFUNCTION("""COMPUTED_VALUE"""),5226.0)</f>
        <v>5226</v>
      </c>
      <c r="V41" s="201">
        <f>IFERROR(__xludf.DUMMYFUNCTION("""COMPUTED_VALUE"""),5208.0)</f>
        <v>5208</v>
      </c>
      <c r="W41" s="201">
        <f>IFERROR(__xludf.DUMMYFUNCTION("""COMPUTED_VALUE"""),18.0)</f>
        <v>18</v>
      </c>
      <c r="X41" s="201">
        <f>IFERROR(__xludf.DUMMYFUNCTION("""COMPUTED_VALUE"""),0.0)</f>
        <v>0</v>
      </c>
      <c r="Y41" s="125">
        <f>IFERROR(__xludf.DUMMYFUNCTION("""COMPUTED_VALUE"""),5225.0)</f>
        <v>5225</v>
      </c>
      <c r="Z41" s="201">
        <f>IFERROR(__xludf.DUMMYFUNCTION("""COMPUTED_VALUE"""),5207.0)</f>
        <v>5207</v>
      </c>
      <c r="AA41" s="201">
        <f>IFERROR(__xludf.DUMMYFUNCTION("""COMPUTED_VALUE"""),18.0)</f>
        <v>18</v>
      </c>
      <c r="AB41" s="201">
        <f>IFERROR(__xludf.DUMMYFUNCTION("""COMPUTED_VALUE"""),0.0)</f>
        <v>0</v>
      </c>
      <c r="AC41" s="125">
        <f>IFERROR(__xludf.DUMMYFUNCTION("""COMPUTED_VALUE"""),5229.0)</f>
        <v>5229</v>
      </c>
      <c r="AD41" s="201">
        <f>IFERROR(__xludf.DUMMYFUNCTION("""COMPUTED_VALUE"""),5211.0)</f>
        <v>5211</v>
      </c>
      <c r="AE41" s="201">
        <f>IFERROR(__xludf.DUMMYFUNCTION("""COMPUTED_VALUE"""),18.0)</f>
        <v>18</v>
      </c>
      <c r="AF41" s="201">
        <f>IFERROR(__xludf.DUMMYFUNCTION("""COMPUTED_VALUE"""),0.0)</f>
        <v>0</v>
      </c>
      <c r="AG41" s="125">
        <f>IFERROR(__xludf.DUMMYFUNCTION("""COMPUTED_VALUE"""),0.0)</f>
        <v>0</v>
      </c>
      <c r="AH41" s="201">
        <f>IFERROR(__xludf.DUMMYFUNCTION("""COMPUTED_VALUE"""),0.0)</f>
        <v>0</v>
      </c>
      <c r="AI41" s="201">
        <f>IFERROR(__xludf.DUMMYFUNCTION("""COMPUTED_VALUE"""),0.0)</f>
        <v>0</v>
      </c>
      <c r="AJ41" s="201">
        <f>IFERROR(__xludf.DUMMYFUNCTION("""COMPUTED_VALUE"""),0.0)</f>
        <v>0</v>
      </c>
      <c r="AK41" s="125">
        <f>IFERROR(__xludf.DUMMYFUNCTION("""COMPUTED_VALUE"""),0.0)</f>
        <v>0</v>
      </c>
      <c r="AL41" s="201">
        <f>IFERROR(__xludf.DUMMYFUNCTION("""COMPUTED_VALUE"""),0.0)</f>
        <v>0</v>
      </c>
      <c r="AM41" s="201">
        <f>IFERROR(__xludf.DUMMYFUNCTION("""COMPUTED_VALUE"""),0.0)</f>
        <v>0</v>
      </c>
      <c r="AN41" s="201">
        <f>IFERROR(__xludf.DUMMYFUNCTION("""COMPUTED_VALUE"""),0.0)</f>
        <v>0</v>
      </c>
      <c r="AO41" s="125">
        <f>IFERROR(__xludf.DUMMYFUNCTION("""COMPUTED_VALUE"""),0.0)</f>
        <v>0</v>
      </c>
      <c r="AP41" s="201">
        <f>IFERROR(__xludf.DUMMYFUNCTION("""COMPUTED_VALUE"""),0.0)</f>
        <v>0</v>
      </c>
      <c r="AQ41" s="201">
        <f>IFERROR(__xludf.DUMMYFUNCTION("""COMPUTED_VALUE"""),0.0)</f>
        <v>0</v>
      </c>
      <c r="AR41" s="201">
        <f>IFERROR(__xludf.DUMMYFUNCTION("""COMPUTED_VALUE"""),0.0)</f>
        <v>0</v>
      </c>
      <c r="AS41" s="125">
        <f>IFERROR(__xludf.DUMMYFUNCTION("""COMPUTED_VALUE"""),0.0)</f>
        <v>0</v>
      </c>
      <c r="AT41" s="201">
        <f>IFERROR(__xludf.DUMMYFUNCTION("""COMPUTED_VALUE"""),0.0)</f>
        <v>0</v>
      </c>
      <c r="AU41" s="201">
        <f>IFERROR(__xludf.DUMMYFUNCTION("""COMPUTED_VALUE"""),0.0)</f>
        <v>0</v>
      </c>
      <c r="AV41" s="201">
        <f>IFERROR(__xludf.DUMMYFUNCTION("""COMPUTED_VALUE"""),0.0)</f>
        <v>0</v>
      </c>
      <c r="AW41" s="125">
        <f>IFERROR(__xludf.DUMMYFUNCTION("""COMPUTED_VALUE"""),0.0)</f>
        <v>0</v>
      </c>
      <c r="AX41" s="201">
        <f>IFERROR(__xludf.DUMMYFUNCTION("""COMPUTED_VALUE"""),0.0)</f>
        <v>0</v>
      </c>
      <c r="AY41" s="201">
        <f>IFERROR(__xludf.DUMMYFUNCTION("""COMPUTED_VALUE"""),0.0)</f>
        <v>0</v>
      </c>
      <c r="AZ41" s="202">
        <f>IFERROR(__xludf.DUMMYFUNCTION("""COMPUTED_VALUE"""),0.0)</f>
        <v>0</v>
      </c>
      <c r="BA41" s="195"/>
    </row>
    <row r="42" ht="15.75" customHeight="1">
      <c r="A42" s="29"/>
      <c r="B42" s="48" t="str">
        <f>IFERROR(__xludf.DUMMYFUNCTION("""COMPUTED_VALUE"""),"Chia ra:")</f>
        <v>Chia ra:</v>
      </c>
      <c r="C42" s="49"/>
      <c r="D42" s="3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50"/>
      <c r="BA42" s="195"/>
    </row>
    <row r="43" ht="15.75" customHeight="1">
      <c r="A43" s="29"/>
      <c r="B43" s="67" t="str">
        <f>IFERROR(__xludf.DUMMYFUNCTION("""COMPUTED_VALUE""")," + Chưa đạt chuẩn")</f>
        <v> + Chưa đạt chuẩn</v>
      </c>
      <c r="C43" s="31"/>
      <c r="D43" s="31" t="str">
        <f>IFERROR(__xludf.DUMMYFUNCTION("""COMPUTED_VALUE""")," Người")</f>
        <v> Người</v>
      </c>
      <c r="E43" s="41">
        <f>IFERROR(__xludf.DUMMYFUNCTION("""COMPUTED_VALUE"""),487.0)</f>
        <v>487</v>
      </c>
      <c r="F43" s="197">
        <f>IFERROR(__xludf.DUMMYFUNCTION("""COMPUTED_VALUE"""),487.0)</f>
        <v>487</v>
      </c>
      <c r="G43" s="197">
        <f>IFERROR(__xludf.DUMMYFUNCTION("""COMPUTED_VALUE"""),0.0)</f>
        <v>0</v>
      </c>
      <c r="H43" s="197">
        <f>IFERROR(__xludf.DUMMYFUNCTION("""COMPUTED_VALUE"""),0.0)</f>
        <v>0</v>
      </c>
      <c r="I43" s="41">
        <f>IFERROR(__xludf.DUMMYFUNCTION("""COMPUTED_VALUE"""),451.0)</f>
        <v>451</v>
      </c>
      <c r="J43" s="197">
        <f>IFERROR(__xludf.DUMMYFUNCTION("""COMPUTED_VALUE"""),451.0)</f>
        <v>451</v>
      </c>
      <c r="K43" s="197">
        <f>IFERROR(__xludf.DUMMYFUNCTION("""COMPUTED_VALUE"""),0.0)</f>
        <v>0</v>
      </c>
      <c r="L43" s="197">
        <f>IFERROR(__xludf.DUMMYFUNCTION("""COMPUTED_VALUE"""),0.0)</f>
        <v>0</v>
      </c>
      <c r="M43" s="41">
        <f>IFERROR(__xludf.DUMMYFUNCTION("""COMPUTED_VALUE"""),451.0)</f>
        <v>451</v>
      </c>
      <c r="N43" s="197">
        <f>IFERROR(__xludf.DUMMYFUNCTION("""COMPUTED_VALUE"""),451.0)</f>
        <v>451</v>
      </c>
      <c r="O43" s="197">
        <f>IFERROR(__xludf.DUMMYFUNCTION("""COMPUTED_VALUE"""),0.0)</f>
        <v>0</v>
      </c>
      <c r="P43" s="197">
        <f>IFERROR(__xludf.DUMMYFUNCTION("""COMPUTED_VALUE"""),0.0)</f>
        <v>0</v>
      </c>
      <c r="Q43" s="41">
        <f>IFERROR(__xludf.DUMMYFUNCTION("""COMPUTED_VALUE"""),432.0)</f>
        <v>432</v>
      </c>
      <c r="R43" s="197">
        <f>IFERROR(__xludf.DUMMYFUNCTION("""COMPUTED_VALUE"""),432.0)</f>
        <v>432</v>
      </c>
      <c r="S43" s="197">
        <f>IFERROR(__xludf.DUMMYFUNCTION("""COMPUTED_VALUE"""),0.0)</f>
        <v>0</v>
      </c>
      <c r="T43" s="197">
        <f>IFERROR(__xludf.DUMMYFUNCTION("""COMPUTED_VALUE"""),0.0)</f>
        <v>0</v>
      </c>
      <c r="U43" s="41">
        <f>IFERROR(__xludf.DUMMYFUNCTION("""COMPUTED_VALUE"""),435.0)</f>
        <v>435</v>
      </c>
      <c r="V43" s="197">
        <f>IFERROR(__xludf.DUMMYFUNCTION("""COMPUTED_VALUE"""),435.0)</f>
        <v>435</v>
      </c>
      <c r="W43" s="197">
        <f>IFERROR(__xludf.DUMMYFUNCTION("""COMPUTED_VALUE"""),0.0)</f>
        <v>0</v>
      </c>
      <c r="X43" s="197">
        <f>IFERROR(__xludf.DUMMYFUNCTION("""COMPUTED_VALUE"""),0.0)</f>
        <v>0</v>
      </c>
      <c r="Y43" s="41">
        <f>IFERROR(__xludf.DUMMYFUNCTION("""COMPUTED_VALUE"""),415.0)</f>
        <v>415</v>
      </c>
      <c r="Z43" s="197">
        <f>IFERROR(__xludf.DUMMYFUNCTION("""COMPUTED_VALUE"""),415.0)</f>
        <v>415</v>
      </c>
      <c r="AA43" s="197">
        <f>IFERROR(__xludf.DUMMYFUNCTION("""COMPUTED_VALUE"""),0.0)</f>
        <v>0</v>
      </c>
      <c r="AB43" s="197">
        <f>IFERROR(__xludf.DUMMYFUNCTION("""COMPUTED_VALUE"""),0.0)</f>
        <v>0</v>
      </c>
      <c r="AC43" s="41">
        <f>IFERROR(__xludf.DUMMYFUNCTION("""COMPUTED_VALUE"""),450.0)</f>
        <v>450</v>
      </c>
      <c r="AD43" s="197">
        <f>IFERROR(__xludf.DUMMYFUNCTION("""COMPUTED_VALUE"""),450.0)</f>
        <v>450</v>
      </c>
      <c r="AE43" s="197">
        <f>IFERROR(__xludf.DUMMYFUNCTION("""COMPUTED_VALUE"""),0.0)</f>
        <v>0</v>
      </c>
      <c r="AF43" s="197">
        <f>IFERROR(__xludf.DUMMYFUNCTION("""COMPUTED_VALUE"""),0.0)</f>
        <v>0</v>
      </c>
      <c r="AG43" s="41">
        <f>IFERROR(__xludf.DUMMYFUNCTION("""COMPUTED_VALUE"""),0.0)</f>
        <v>0</v>
      </c>
      <c r="AH43" s="197">
        <f>IFERROR(__xludf.DUMMYFUNCTION("""COMPUTED_VALUE"""),0.0)</f>
        <v>0</v>
      </c>
      <c r="AI43" s="197">
        <f>IFERROR(__xludf.DUMMYFUNCTION("""COMPUTED_VALUE"""),0.0)</f>
        <v>0</v>
      </c>
      <c r="AJ43" s="197">
        <f>IFERROR(__xludf.DUMMYFUNCTION("""COMPUTED_VALUE"""),0.0)</f>
        <v>0</v>
      </c>
      <c r="AK43" s="41">
        <f>IFERROR(__xludf.DUMMYFUNCTION("""COMPUTED_VALUE"""),0.0)</f>
        <v>0</v>
      </c>
      <c r="AL43" s="197">
        <f>IFERROR(__xludf.DUMMYFUNCTION("""COMPUTED_VALUE"""),0.0)</f>
        <v>0</v>
      </c>
      <c r="AM43" s="197">
        <f>IFERROR(__xludf.DUMMYFUNCTION("""COMPUTED_VALUE"""),0.0)</f>
        <v>0</v>
      </c>
      <c r="AN43" s="197">
        <f>IFERROR(__xludf.DUMMYFUNCTION("""COMPUTED_VALUE"""),0.0)</f>
        <v>0</v>
      </c>
      <c r="AO43" s="41">
        <f>IFERROR(__xludf.DUMMYFUNCTION("""COMPUTED_VALUE"""),0.0)</f>
        <v>0</v>
      </c>
      <c r="AP43" s="197">
        <f>IFERROR(__xludf.DUMMYFUNCTION("""COMPUTED_VALUE"""),0.0)</f>
        <v>0</v>
      </c>
      <c r="AQ43" s="197">
        <f>IFERROR(__xludf.DUMMYFUNCTION("""COMPUTED_VALUE"""),0.0)</f>
        <v>0</v>
      </c>
      <c r="AR43" s="197">
        <f>IFERROR(__xludf.DUMMYFUNCTION("""COMPUTED_VALUE"""),0.0)</f>
        <v>0</v>
      </c>
      <c r="AS43" s="41">
        <f>IFERROR(__xludf.DUMMYFUNCTION("""COMPUTED_VALUE"""),0.0)</f>
        <v>0</v>
      </c>
      <c r="AT43" s="197">
        <f>IFERROR(__xludf.DUMMYFUNCTION("""COMPUTED_VALUE"""),0.0)</f>
        <v>0</v>
      </c>
      <c r="AU43" s="197">
        <f>IFERROR(__xludf.DUMMYFUNCTION("""COMPUTED_VALUE"""),0.0)</f>
        <v>0</v>
      </c>
      <c r="AV43" s="197">
        <f>IFERROR(__xludf.DUMMYFUNCTION("""COMPUTED_VALUE"""),0.0)</f>
        <v>0</v>
      </c>
      <c r="AW43" s="41">
        <f>IFERROR(__xludf.DUMMYFUNCTION("""COMPUTED_VALUE"""),0.0)</f>
        <v>0</v>
      </c>
      <c r="AX43" s="197">
        <f>IFERROR(__xludf.DUMMYFUNCTION("""COMPUTED_VALUE"""),0.0)</f>
        <v>0</v>
      </c>
      <c r="AY43" s="197">
        <f>IFERROR(__xludf.DUMMYFUNCTION("""COMPUTED_VALUE"""),0.0)</f>
        <v>0</v>
      </c>
      <c r="AZ43" s="198">
        <f>IFERROR(__xludf.DUMMYFUNCTION("""COMPUTED_VALUE"""),0.0)</f>
        <v>0</v>
      </c>
      <c r="BA43" s="195"/>
    </row>
    <row r="44" ht="15.75" customHeight="1">
      <c r="A44" s="29"/>
      <c r="B44" s="67" t="str">
        <f>IFERROR(__xludf.DUMMYFUNCTION("""COMPUTED_VALUE""")," + Đạt chuẩn")</f>
        <v> + Đạt chuẩn</v>
      </c>
      <c r="C44" s="31"/>
      <c r="D44" s="31" t="str">
        <f>IFERROR(__xludf.DUMMYFUNCTION("""COMPUTED_VALUE"""),"""")</f>
        <v>"</v>
      </c>
      <c r="E44" s="41">
        <f>IFERROR(__xludf.DUMMYFUNCTION("""COMPUTED_VALUE"""),4587.0)</f>
        <v>4587</v>
      </c>
      <c r="F44" s="197">
        <f>IFERROR(__xludf.DUMMYFUNCTION("""COMPUTED_VALUE"""),4562.0)</f>
        <v>4562</v>
      </c>
      <c r="G44" s="197">
        <f>IFERROR(__xludf.DUMMYFUNCTION("""COMPUTED_VALUE"""),25.0)</f>
        <v>25</v>
      </c>
      <c r="H44" s="197">
        <f>IFERROR(__xludf.DUMMYFUNCTION("""COMPUTED_VALUE"""),0.0)</f>
        <v>0</v>
      </c>
      <c r="I44" s="41">
        <f>IFERROR(__xludf.DUMMYFUNCTION("""COMPUTED_VALUE"""),4637.0)</f>
        <v>4637</v>
      </c>
      <c r="J44" s="197">
        <f>IFERROR(__xludf.DUMMYFUNCTION("""COMPUTED_VALUE"""),4612.0)</f>
        <v>4612</v>
      </c>
      <c r="K44" s="197">
        <f>IFERROR(__xludf.DUMMYFUNCTION("""COMPUTED_VALUE"""),25.0)</f>
        <v>25</v>
      </c>
      <c r="L44" s="197">
        <f>IFERROR(__xludf.DUMMYFUNCTION("""COMPUTED_VALUE"""),0.0)</f>
        <v>0</v>
      </c>
      <c r="M44" s="41">
        <f>IFERROR(__xludf.DUMMYFUNCTION("""COMPUTED_VALUE"""),4639.0)</f>
        <v>4639</v>
      </c>
      <c r="N44" s="197">
        <f>IFERROR(__xludf.DUMMYFUNCTION("""COMPUTED_VALUE"""),4614.0)</f>
        <v>4614</v>
      </c>
      <c r="O44" s="197">
        <f>IFERROR(__xludf.DUMMYFUNCTION("""COMPUTED_VALUE"""),25.0)</f>
        <v>25</v>
      </c>
      <c r="P44" s="197">
        <f>IFERROR(__xludf.DUMMYFUNCTION("""COMPUTED_VALUE"""),0.0)</f>
        <v>0</v>
      </c>
      <c r="Q44" s="41">
        <f>IFERROR(__xludf.DUMMYFUNCTION("""COMPUTED_VALUE"""),4613.0)</f>
        <v>4613</v>
      </c>
      <c r="R44" s="197">
        <f>IFERROR(__xludf.DUMMYFUNCTION("""COMPUTED_VALUE"""),4588.0)</f>
        <v>4588</v>
      </c>
      <c r="S44" s="197">
        <f>IFERROR(__xludf.DUMMYFUNCTION("""COMPUTED_VALUE"""),25.0)</f>
        <v>25</v>
      </c>
      <c r="T44" s="197">
        <f>IFERROR(__xludf.DUMMYFUNCTION("""COMPUTED_VALUE"""),0.0)</f>
        <v>0</v>
      </c>
      <c r="U44" s="41">
        <f>IFERROR(__xludf.DUMMYFUNCTION("""COMPUTED_VALUE"""),4575.0)</f>
        <v>4575</v>
      </c>
      <c r="V44" s="197">
        <f>IFERROR(__xludf.DUMMYFUNCTION("""COMPUTED_VALUE"""),4550.0)</f>
        <v>4550</v>
      </c>
      <c r="W44" s="197">
        <f>IFERROR(__xludf.DUMMYFUNCTION("""COMPUTED_VALUE"""),25.0)</f>
        <v>25</v>
      </c>
      <c r="X44" s="197">
        <f>IFERROR(__xludf.DUMMYFUNCTION("""COMPUTED_VALUE"""),0.0)</f>
        <v>0</v>
      </c>
      <c r="Y44" s="41">
        <f>IFERROR(__xludf.DUMMYFUNCTION("""COMPUTED_VALUE"""),4303.0)</f>
        <v>4303</v>
      </c>
      <c r="Z44" s="197">
        <f>IFERROR(__xludf.DUMMYFUNCTION("""COMPUTED_VALUE"""),4278.0)</f>
        <v>4278</v>
      </c>
      <c r="AA44" s="197">
        <f>IFERROR(__xludf.DUMMYFUNCTION("""COMPUTED_VALUE"""),25.0)</f>
        <v>25</v>
      </c>
      <c r="AB44" s="197">
        <f>IFERROR(__xludf.DUMMYFUNCTION("""COMPUTED_VALUE"""),0.0)</f>
        <v>0</v>
      </c>
      <c r="AC44" s="41">
        <f>IFERROR(__xludf.DUMMYFUNCTION("""COMPUTED_VALUE"""),4308.0)</f>
        <v>4308</v>
      </c>
      <c r="AD44" s="197">
        <f>IFERROR(__xludf.DUMMYFUNCTION("""COMPUTED_VALUE"""),4283.0)</f>
        <v>4283</v>
      </c>
      <c r="AE44" s="197">
        <f>IFERROR(__xludf.DUMMYFUNCTION("""COMPUTED_VALUE"""),25.0)</f>
        <v>25</v>
      </c>
      <c r="AF44" s="197">
        <f>IFERROR(__xludf.DUMMYFUNCTION("""COMPUTED_VALUE"""),0.0)</f>
        <v>0</v>
      </c>
      <c r="AG44" s="41">
        <f>IFERROR(__xludf.DUMMYFUNCTION("""COMPUTED_VALUE"""),0.0)</f>
        <v>0</v>
      </c>
      <c r="AH44" s="197">
        <f>IFERROR(__xludf.DUMMYFUNCTION("""COMPUTED_VALUE"""),0.0)</f>
        <v>0</v>
      </c>
      <c r="AI44" s="197">
        <f>IFERROR(__xludf.DUMMYFUNCTION("""COMPUTED_VALUE"""),0.0)</f>
        <v>0</v>
      </c>
      <c r="AJ44" s="197">
        <f>IFERROR(__xludf.DUMMYFUNCTION("""COMPUTED_VALUE"""),0.0)</f>
        <v>0</v>
      </c>
      <c r="AK44" s="41">
        <f>IFERROR(__xludf.DUMMYFUNCTION("""COMPUTED_VALUE"""),0.0)</f>
        <v>0</v>
      </c>
      <c r="AL44" s="197">
        <f>IFERROR(__xludf.DUMMYFUNCTION("""COMPUTED_VALUE"""),0.0)</f>
        <v>0</v>
      </c>
      <c r="AM44" s="197">
        <f>IFERROR(__xludf.DUMMYFUNCTION("""COMPUTED_VALUE"""),0.0)</f>
        <v>0</v>
      </c>
      <c r="AN44" s="197">
        <f>IFERROR(__xludf.DUMMYFUNCTION("""COMPUTED_VALUE"""),0.0)</f>
        <v>0</v>
      </c>
      <c r="AO44" s="41">
        <f>IFERROR(__xludf.DUMMYFUNCTION("""COMPUTED_VALUE"""),0.0)</f>
        <v>0</v>
      </c>
      <c r="AP44" s="197">
        <f>IFERROR(__xludf.DUMMYFUNCTION("""COMPUTED_VALUE"""),0.0)</f>
        <v>0</v>
      </c>
      <c r="AQ44" s="197">
        <f>IFERROR(__xludf.DUMMYFUNCTION("""COMPUTED_VALUE"""),0.0)</f>
        <v>0</v>
      </c>
      <c r="AR44" s="197">
        <f>IFERROR(__xludf.DUMMYFUNCTION("""COMPUTED_VALUE"""),0.0)</f>
        <v>0</v>
      </c>
      <c r="AS44" s="41">
        <f>IFERROR(__xludf.DUMMYFUNCTION("""COMPUTED_VALUE"""),0.0)</f>
        <v>0</v>
      </c>
      <c r="AT44" s="197">
        <f>IFERROR(__xludf.DUMMYFUNCTION("""COMPUTED_VALUE"""),0.0)</f>
        <v>0</v>
      </c>
      <c r="AU44" s="197">
        <f>IFERROR(__xludf.DUMMYFUNCTION("""COMPUTED_VALUE"""),0.0)</f>
        <v>0</v>
      </c>
      <c r="AV44" s="197">
        <f>IFERROR(__xludf.DUMMYFUNCTION("""COMPUTED_VALUE"""),0.0)</f>
        <v>0</v>
      </c>
      <c r="AW44" s="41">
        <f>IFERROR(__xludf.DUMMYFUNCTION("""COMPUTED_VALUE"""),0.0)</f>
        <v>0</v>
      </c>
      <c r="AX44" s="197">
        <f>IFERROR(__xludf.DUMMYFUNCTION("""COMPUTED_VALUE"""),0.0)</f>
        <v>0</v>
      </c>
      <c r="AY44" s="197">
        <f>IFERROR(__xludf.DUMMYFUNCTION("""COMPUTED_VALUE"""),0.0)</f>
        <v>0</v>
      </c>
      <c r="AZ44" s="198">
        <f>IFERROR(__xludf.DUMMYFUNCTION("""COMPUTED_VALUE"""),0.0)</f>
        <v>0</v>
      </c>
      <c r="BA44" s="195"/>
    </row>
    <row r="45" ht="15.75" customHeight="1">
      <c r="A45" s="29"/>
      <c r="B45" s="67" t="str">
        <f>IFERROR(__xludf.DUMMYFUNCTION("""COMPUTED_VALUE""")," + Trên chuẩn")</f>
        <v> + Trên chuẩn</v>
      </c>
      <c r="C45" s="31"/>
      <c r="D45" s="31" t="str">
        <f>IFERROR(__xludf.DUMMYFUNCTION("""COMPUTED_VALUE"""),"""")</f>
        <v>"</v>
      </c>
      <c r="E45" s="41">
        <f>IFERROR(__xludf.DUMMYFUNCTION("""COMPUTED_VALUE"""),14.0)</f>
        <v>14</v>
      </c>
      <c r="F45" s="197">
        <f>IFERROR(__xludf.DUMMYFUNCTION("""COMPUTED_VALUE"""),14.0)</f>
        <v>14</v>
      </c>
      <c r="G45" s="197">
        <f>IFERROR(__xludf.DUMMYFUNCTION("""COMPUTED_VALUE"""),0.0)</f>
        <v>0</v>
      </c>
      <c r="H45" s="197">
        <f>IFERROR(__xludf.DUMMYFUNCTION("""COMPUTED_VALUE"""),0.0)</f>
        <v>0</v>
      </c>
      <c r="I45" s="41">
        <f>IFERROR(__xludf.DUMMYFUNCTION("""COMPUTED_VALUE"""),13.0)</f>
        <v>13</v>
      </c>
      <c r="J45" s="197">
        <f>IFERROR(__xludf.DUMMYFUNCTION("""COMPUTED_VALUE"""),13.0)</f>
        <v>13</v>
      </c>
      <c r="K45" s="197">
        <f>IFERROR(__xludf.DUMMYFUNCTION("""COMPUTED_VALUE"""),0.0)</f>
        <v>0</v>
      </c>
      <c r="L45" s="197">
        <f>IFERROR(__xludf.DUMMYFUNCTION("""COMPUTED_VALUE"""),0.0)</f>
        <v>0</v>
      </c>
      <c r="M45" s="41">
        <f>IFERROR(__xludf.DUMMYFUNCTION("""COMPUTED_VALUE"""),12.0)</f>
        <v>12</v>
      </c>
      <c r="N45" s="197">
        <f>IFERROR(__xludf.DUMMYFUNCTION("""COMPUTED_VALUE"""),12.0)</f>
        <v>12</v>
      </c>
      <c r="O45" s="197">
        <f>IFERROR(__xludf.DUMMYFUNCTION("""COMPUTED_VALUE"""),0.0)</f>
        <v>0</v>
      </c>
      <c r="P45" s="197">
        <f>IFERROR(__xludf.DUMMYFUNCTION("""COMPUTED_VALUE"""),0.0)</f>
        <v>0</v>
      </c>
      <c r="Q45" s="41">
        <f>IFERROR(__xludf.DUMMYFUNCTION("""COMPUTED_VALUE"""),13.0)</f>
        <v>13</v>
      </c>
      <c r="R45" s="197">
        <f>IFERROR(__xludf.DUMMYFUNCTION("""COMPUTED_VALUE"""),13.0)</f>
        <v>13</v>
      </c>
      <c r="S45" s="197">
        <f>IFERROR(__xludf.DUMMYFUNCTION("""COMPUTED_VALUE"""),0.0)</f>
        <v>0</v>
      </c>
      <c r="T45" s="197">
        <f>IFERROR(__xludf.DUMMYFUNCTION("""COMPUTED_VALUE"""),0.0)</f>
        <v>0</v>
      </c>
      <c r="U45" s="41">
        <f>IFERROR(__xludf.DUMMYFUNCTION("""COMPUTED_VALUE"""),12.0)</f>
        <v>12</v>
      </c>
      <c r="V45" s="197">
        <f>IFERROR(__xludf.DUMMYFUNCTION("""COMPUTED_VALUE"""),12.0)</f>
        <v>12</v>
      </c>
      <c r="W45" s="197">
        <f>IFERROR(__xludf.DUMMYFUNCTION("""COMPUTED_VALUE"""),0.0)</f>
        <v>0</v>
      </c>
      <c r="X45" s="197">
        <f>IFERROR(__xludf.DUMMYFUNCTION("""COMPUTED_VALUE"""),0.0)</f>
        <v>0</v>
      </c>
      <c r="Y45" s="41">
        <f>IFERROR(__xludf.DUMMYFUNCTION("""COMPUTED_VALUE"""),11.0)</f>
        <v>11</v>
      </c>
      <c r="Z45" s="197">
        <f>IFERROR(__xludf.DUMMYFUNCTION("""COMPUTED_VALUE"""),11.0)</f>
        <v>11</v>
      </c>
      <c r="AA45" s="197">
        <f>IFERROR(__xludf.DUMMYFUNCTION("""COMPUTED_VALUE"""),0.0)</f>
        <v>0</v>
      </c>
      <c r="AB45" s="197">
        <f>IFERROR(__xludf.DUMMYFUNCTION("""COMPUTED_VALUE"""),0.0)</f>
        <v>0</v>
      </c>
      <c r="AC45" s="41">
        <f>IFERROR(__xludf.DUMMYFUNCTION("""COMPUTED_VALUE"""),12.0)</f>
        <v>12</v>
      </c>
      <c r="AD45" s="197">
        <f>IFERROR(__xludf.DUMMYFUNCTION("""COMPUTED_VALUE"""),12.0)</f>
        <v>12</v>
      </c>
      <c r="AE45" s="197">
        <f>IFERROR(__xludf.DUMMYFUNCTION("""COMPUTED_VALUE"""),0.0)</f>
        <v>0</v>
      </c>
      <c r="AF45" s="197">
        <f>IFERROR(__xludf.DUMMYFUNCTION("""COMPUTED_VALUE"""),0.0)</f>
        <v>0</v>
      </c>
      <c r="AG45" s="41">
        <f>IFERROR(__xludf.DUMMYFUNCTION("""COMPUTED_VALUE"""),0.0)</f>
        <v>0</v>
      </c>
      <c r="AH45" s="197">
        <f>IFERROR(__xludf.DUMMYFUNCTION("""COMPUTED_VALUE"""),0.0)</f>
        <v>0</v>
      </c>
      <c r="AI45" s="197">
        <f>IFERROR(__xludf.DUMMYFUNCTION("""COMPUTED_VALUE"""),0.0)</f>
        <v>0</v>
      </c>
      <c r="AJ45" s="197">
        <f>IFERROR(__xludf.DUMMYFUNCTION("""COMPUTED_VALUE"""),0.0)</f>
        <v>0</v>
      </c>
      <c r="AK45" s="41">
        <f>IFERROR(__xludf.DUMMYFUNCTION("""COMPUTED_VALUE"""),0.0)</f>
        <v>0</v>
      </c>
      <c r="AL45" s="197">
        <f>IFERROR(__xludf.DUMMYFUNCTION("""COMPUTED_VALUE"""),0.0)</f>
        <v>0</v>
      </c>
      <c r="AM45" s="197">
        <f>IFERROR(__xludf.DUMMYFUNCTION("""COMPUTED_VALUE"""),0.0)</f>
        <v>0</v>
      </c>
      <c r="AN45" s="197">
        <f>IFERROR(__xludf.DUMMYFUNCTION("""COMPUTED_VALUE"""),0.0)</f>
        <v>0</v>
      </c>
      <c r="AO45" s="41">
        <f>IFERROR(__xludf.DUMMYFUNCTION("""COMPUTED_VALUE"""),0.0)</f>
        <v>0</v>
      </c>
      <c r="AP45" s="197">
        <f>IFERROR(__xludf.DUMMYFUNCTION("""COMPUTED_VALUE"""),0.0)</f>
        <v>0</v>
      </c>
      <c r="AQ45" s="197">
        <f>IFERROR(__xludf.DUMMYFUNCTION("""COMPUTED_VALUE"""),0.0)</f>
        <v>0</v>
      </c>
      <c r="AR45" s="197">
        <f>IFERROR(__xludf.DUMMYFUNCTION("""COMPUTED_VALUE"""),0.0)</f>
        <v>0</v>
      </c>
      <c r="AS45" s="41">
        <f>IFERROR(__xludf.DUMMYFUNCTION("""COMPUTED_VALUE"""),0.0)</f>
        <v>0</v>
      </c>
      <c r="AT45" s="197">
        <f>IFERROR(__xludf.DUMMYFUNCTION("""COMPUTED_VALUE"""),0.0)</f>
        <v>0</v>
      </c>
      <c r="AU45" s="197">
        <f>IFERROR(__xludf.DUMMYFUNCTION("""COMPUTED_VALUE"""),0.0)</f>
        <v>0</v>
      </c>
      <c r="AV45" s="197">
        <f>IFERROR(__xludf.DUMMYFUNCTION("""COMPUTED_VALUE"""),0.0)</f>
        <v>0</v>
      </c>
      <c r="AW45" s="41">
        <f>IFERROR(__xludf.DUMMYFUNCTION("""COMPUTED_VALUE"""),0.0)</f>
        <v>0</v>
      </c>
      <c r="AX45" s="197">
        <f>IFERROR(__xludf.DUMMYFUNCTION("""COMPUTED_VALUE"""),0.0)</f>
        <v>0</v>
      </c>
      <c r="AY45" s="197">
        <f>IFERROR(__xludf.DUMMYFUNCTION("""COMPUTED_VALUE"""),0.0)</f>
        <v>0</v>
      </c>
      <c r="AZ45" s="198">
        <f>IFERROR(__xludf.DUMMYFUNCTION("""COMPUTED_VALUE"""),0.0)</f>
        <v>0</v>
      </c>
      <c r="BA45" s="195"/>
    </row>
    <row r="46" ht="15.75" customHeight="1">
      <c r="A46" s="29"/>
      <c r="B46" s="196" t="str">
        <f>IFERROR(__xludf.DUMMYFUNCTION("""COMPUTED_VALUE"""),"5.3. Tổng số giáo viên hợp đồng")</f>
        <v>5.3. Tổng số giáo viên hợp đồng</v>
      </c>
      <c r="C46" s="57"/>
      <c r="D46" s="57" t="str">
        <f>IFERROR(__xludf.DUMMYFUNCTION("""COMPUTED_VALUE""")," Người")</f>
        <v> Người</v>
      </c>
      <c r="E46" s="125">
        <f>IFERROR(__xludf.DUMMYFUNCTION("""COMPUTED_VALUE"""),166.0)</f>
        <v>166</v>
      </c>
      <c r="F46" s="201">
        <f>IFERROR(__xludf.DUMMYFUNCTION("""COMPUTED_VALUE"""),147.0)</f>
        <v>147</v>
      </c>
      <c r="G46" s="201">
        <f>IFERROR(__xludf.DUMMYFUNCTION("""COMPUTED_VALUE"""),19.0)</f>
        <v>19</v>
      </c>
      <c r="H46" s="201">
        <f>IFERROR(__xludf.DUMMYFUNCTION("""COMPUTED_VALUE"""),0.0)</f>
        <v>0</v>
      </c>
      <c r="I46" s="125">
        <f>IFERROR(__xludf.DUMMYFUNCTION("""COMPUTED_VALUE"""),179.0)</f>
        <v>179</v>
      </c>
      <c r="J46" s="201">
        <f>IFERROR(__xludf.DUMMYFUNCTION("""COMPUTED_VALUE"""),160.0)</f>
        <v>160</v>
      </c>
      <c r="K46" s="201">
        <f>IFERROR(__xludf.DUMMYFUNCTION("""COMPUTED_VALUE"""),19.0)</f>
        <v>19</v>
      </c>
      <c r="L46" s="201">
        <f>IFERROR(__xludf.DUMMYFUNCTION("""COMPUTED_VALUE"""),0.0)</f>
        <v>0</v>
      </c>
      <c r="M46" s="125">
        <f>IFERROR(__xludf.DUMMYFUNCTION("""COMPUTED_VALUE"""),179.0)</f>
        <v>179</v>
      </c>
      <c r="N46" s="201">
        <f>IFERROR(__xludf.DUMMYFUNCTION("""COMPUTED_VALUE"""),160.0)</f>
        <v>160</v>
      </c>
      <c r="O46" s="201">
        <f>IFERROR(__xludf.DUMMYFUNCTION("""COMPUTED_VALUE"""),19.0)</f>
        <v>19</v>
      </c>
      <c r="P46" s="201">
        <f>IFERROR(__xludf.DUMMYFUNCTION("""COMPUTED_VALUE"""),0.0)</f>
        <v>0</v>
      </c>
      <c r="Q46" s="125">
        <f>IFERROR(__xludf.DUMMYFUNCTION("""COMPUTED_VALUE"""),186.0)</f>
        <v>186</v>
      </c>
      <c r="R46" s="201">
        <f>IFERROR(__xludf.DUMMYFUNCTION("""COMPUTED_VALUE"""),167.0)</f>
        <v>167</v>
      </c>
      <c r="S46" s="201">
        <f>IFERROR(__xludf.DUMMYFUNCTION("""COMPUTED_VALUE"""),19.0)</f>
        <v>19</v>
      </c>
      <c r="T46" s="201">
        <f>IFERROR(__xludf.DUMMYFUNCTION("""COMPUTED_VALUE"""),0.0)</f>
        <v>0</v>
      </c>
      <c r="U46" s="125">
        <f>IFERROR(__xludf.DUMMYFUNCTION("""COMPUTED_VALUE"""),188.0)</f>
        <v>188</v>
      </c>
      <c r="V46" s="201">
        <f>IFERROR(__xludf.DUMMYFUNCTION("""COMPUTED_VALUE"""),169.0)</f>
        <v>169</v>
      </c>
      <c r="W46" s="201">
        <f>IFERROR(__xludf.DUMMYFUNCTION("""COMPUTED_VALUE"""),19.0)</f>
        <v>19</v>
      </c>
      <c r="X46" s="201">
        <f>IFERROR(__xludf.DUMMYFUNCTION("""COMPUTED_VALUE"""),0.0)</f>
        <v>0</v>
      </c>
      <c r="Y46" s="125">
        <f>IFERROR(__xludf.DUMMYFUNCTION("""COMPUTED_VALUE"""),188.0)</f>
        <v>188</v>
      </c>
      <c r="Z46" s="201">
        <f>IFERROR(__xludf.DUMMYFUNCTION("""COMPUTED_VALUE"""),169.0)</f>
        <v>169</v>
      </c>
      <c r="AA46" s="201">
        <f>IFERROR(__xludf.DUMMYFUNCTION("""COMPUTED_VALUE"""),19.0)</f>
        <v>19</v>
      </c>
      <c r="AB46" s="201">
        <f>IFERROR(__xludf.DUMMYFUNCTION("""COMPUTED_VALUE"""),0.0)</f>
        <v>0</v>
      </c>
      <c r="AC46" s="125">
        <f>IFERROR(__xludf.DUMMYFUNCTION("""COMPUTED_VALUE"""),180.0)</f>
        <v>180</v>
      </c>
      <c r="AD46" s="201">
        <f>IFERROR(__xludf.DUMMYFUNCTION("""COMPUTED_VALUE"""),161.0)</f>
        <v>161</v>
      </c>
      <c r="AE46" s="201">
        <f>IFERROR(__xludf.DUMMYFUNCTION("""COMPUTED_VALUE"""),19.0)</f>
        <v>19</v>
      </c>
      <c r="AF46" s="201">
        <f>IFERROR(__xludf.DUMMYFUNCTION("""COMPUTED_VALUE"""),0.0)</f>
        <v>0</v>
      </c>
      <c r="AG46" s="125">
        <f>IFERROR(__xludf.DUMMYFUNCTION("""COMPUTED_VALUE"""),0.0)</f>
        <v>0</v>
      </c>
      <c r="AH46" s="201">
        <f>IFERROR(__xludf.DUMMYFUNCTION("""COMPUTED_VALUE"""),0.0)</f>
        <v>0</v>
      </c>
      <c r="AI46" s="201">
        <f>IFERROR(__xludf.DUMMYFUNCTION("""COMPUTED_VALUE"""),0.0)</f>
        <v>0</v>
      </c>
      <c r="AJ46" s="201">
        <f>IFERROR(__xludf.DUMMYFUNCTION("""COMPUTED_VALUE"""),0.0)</f>
        <v>0</v>
      </c>
      <c r="AK46" s="125">
        <f>IFERROR(__xludf.DUMMYFUNCTION("""COMPUTED_VALUE"""),0.0)</f>
        <v>0</v>
      </c>
      <c r="AL46" s="201">
        <f>IFERROR(__xludf.DUMMYFUNCTION("""COMPUTED_VALUE"""),0.0)</f>
        <v>0</v>
      </c>
      <c r="AM46" s="201">
        <f>IFERROR(__xludf.DUMMYFUNCTION("""COMPUTED_VALUE"""),0.0)</f>
        <v>0</v>
      </c>
      <c r="AN46" s="201">
        <f>IFERROR(__xludf.DUMMYFUNCTION("""COMPUTED_VALUE"""),0.0)</f>
        <v>0</v>
      </c>
      <c r="AO46" s="125">
        <f>IFERROR(__xludf.DUMMYFUNCTION("""COMPUTED_VALUE"""),0.0)</f>
        <v>0</v>
      </c>
      <c r="AP46" s="201">
        <f>IFERROR(__xludf.DUMMYFUNCTION("""COMPUTED_VALUE"""),0.0)</f>
        <v>0</v>
      </c>
      <c r="AQ46" s="201">
        <f>IFERROR(__xludf.DUMMYFUNCTION("""COMPUTED_VALUE"""),0.0)</f>
        <v>0</v>
      </c>
      <c r="AR46" s="201">
        <f>IFERROR(__xludf.DUMMYFUNCTION("""COMPUTED_VALUE"""),0.0)</f>
        <v>0</v>
      </c>
      <c r="AS46" s="125">
        <f>IFERROR(__xludf.DUMMYFUNCTION("""COMPUTED_VALUE"""),0.0)</f>
        <v>0</v>
      </c>
      <c r="AT46" s="201">
        <f>IFERROR(__xludf.DUMMYFUNCTION("""COMPUTED_VALUE"""),0.0)</f>
        <v>0</v>
      </c>
      <c r="AU46" s="201">
        <f>IFERROR(__xludf.DUMMYFUNCTION("""COMPUTED_VALUE"""),0.0)</f>
        <v>0</v>
      </c>
      <c r="AV46" s="201">
        <f>IFERROR(__xludf.DUMMYFUNCTION("""COMPUTED_VALUE"""),0.0)</f>
        <v>0</v>
      </c>
      <c r="AW46" s="125">
        <f>IFERROR(__xludf.DUMMYFUNCTION("""COMPUTED_VALUE"""),0.0)</f>
        <v>0</v>
      </c>
      <c r="AX46" s="201">
        <f>IFERROR(__xludf.DUMMYFUNCTION("""COMPUTED_VALUE"""),0.0)</f>
        <v>0</v>
      </c>
      <c r="AY46" s="201">
        <f>IFERROR(__xludf.DUMMYFUNCTION("""COMPUTED_VALUE"""),0.0)</f>
        <v>0</v>
      </c>
      <c r="AZ46" s="202">
        <f>IFERROR(__xludf.DUMMYFUNCTION("""COMPUTED_VALUE"""),0.0)</f>
        <v>0</v>
      </c>
      <c r="BA46" s="195"/>
    </row>
    <row r="47" ht="15.75" customHeight="1">
      <c r="A47" s="29"/>
      <c r="B47" s="196" t="str">
        <f>IFERROR(__xludf.DUMMYFUNCTION("""COMPUTED_VALUE"""),"5.4. Tổng số nhân viên")</f>
        <v>5.4. Tổng số nhân viên</v>
      </c>
      <c r="C47" s="57"/>
      <c r="D47" s="57" t="str">
        <f>IFERROR(__xludf.DUMMYFUNCTION("""COMPUTED_VALUE""")," Người")</f>
        <v> Người</v>
      </c>
      <c r="E47" s="125">
        <f>IFERROR(__xludf.DUMMYFUNCTION("""COMPUTED_VALUE"""),673.0)</f>
        <v>673</v>
      </c>
      <c r="F47" s="201">
        <f>IFERROR(__xludf.DUMMYFUNCTION("""COMPUTED_VALUE"""),671.0)</f>
        <v>671</v>
      </c>
      <c r="G47" s="201">
        <f>IFERROR(__xludf.DUMMYFUNCTION("""COMPUTED_VALUE"""),2.0)</f>
        <v>2</v>
      </c>
      <c r="H47" s="201">
        <f>IFERROR(__xludf.DUMMYFUNCTION("""COMPUTED_VALUE"""),0.0)</f>
        <v>0</v>
      </c>
      <c r="I47" s="125">
        <f>IFERROR(__xludf.DUMMYFUNCTION("""COMPUTED_VALUE"""),606.0)</f>
        <v>606</v>
      </c>
      <c r="J47" s="201">
        <f>IFERROR(__xludf.DUMMYFUNCTION("""COMPUTED_VALUE"""),604.0)</f>
        <v>604</v>
      </c>
      <c r="K47" s="201">
        <f>IFERROR(__xludf.DUMMYFUNCTION("""COMPUTED_VALUE"""),2.0)</f>
        <v>2</v>
      </c>
      <c r="L47" s="201">
        <f>IFERROR(__xludf.DUMMYFUNCTION("""COMPUTED_VALUE"""),0.0)</f>
        <v>0</v>
      </c>
      <c r="M47" s="125">
        <f>IFERROR(__xludf.DUMMYFUNCTION("""COMPUTED_VALUE"""),606.0)</f>
        <v>606</v>
      </c>
      <c r="N47" s="201">
        <f>IFERROR(__xludf.DUMMYFUNCTION("""COMPUTED_VALUE"""),604.0)</f>
        <v>604</v>
      </c>
      <c r="O47" s="201">
        <f>IFERROR(__xludf.DUMMYFUNCTION("""COMPUTED_VALUE"""),2.0)</f>
        <v>2</v>
      </c>
      <c r="P47" s="201">
        <f>IFERROR(__xludf.DUMMYFUNCTION("""COMPUTED_VALUE"""),0.0)</f>
        <v>0</v>
      </c>
      <c r="Q47" s="125">
        <f>IFERROR(__xludf.DUMMYFUNCTION("""COMPUTED_VALUE"""),631.0)</f>
        <v>631</v>
      </c>
      <c r="R47" s="201">
        <f>IFERROR(__xludf.DUMMYFUNCTION("""COMPUTED_VALUE"""),629.0)</f>
        <v>629</v>
      </c>
      <c r="S47" s="201">
        <f>IFERROR(__xludf.DUMMYFUNCTION("""COMPUTED_VALUE"""),2.0)</f>
        <v>2</v>
      </c>
      <c r="T47" s="201">
        <f>IFERROR(__xludf.DUMMYFUNCTION("""COMPUTED_VALUE"""),0.0)</f>
        <v>0</v>
      </c>
      <c r="U47" s="125">
        <f>IFERROR(__xludf.DUMMYFUNCTION("""COMPUTED_VALUE"""),558.0)</f>
        <v>558</v>
      </c>
      <c r="V47" s="201">
        <f>IFERROR(__xludf.DUMMYFUNCTION("""COMPUTED_VALUE"""),556.0)</f>
        <v>556</v>
      </c>
      <c r="W47" s="201">
        <f>IFERROR(__xludf.DUMMYFUNCTION("""COMPUTED_VALUE"""),2.0)</f>
        <v>2</v>
      </c>
      <c r="X47" s="201">
        <f>IFERROR(__xludf.DUMMYFUNCTION("""COMPUTED_VALUE"""),0.0)</f>
        <v>0</v>
      </c>
      <c r="Y47" s="125">
        <f>IFERROR(__xludf.DUMMYFUNCTION("""COMPUTED_VALUE"""),555.0)</f>
        <v>555</v>
      </c>
      <c r="Z47" s="201">
        <f>IFERROR(__xludf.DUMMYFUNCTION("""COMPUTED_VALUE"""),553.0)</f>
        <v>553</v>
      </c>
      <c r="AA47" s="201">
        <f>IFERROR(__xludf.DUMMYFUNCTION("""COMPUTED_VALUE"""),2.0)</f>
        <v>2</v>
      </c>
      <c r="AB47" s="201">
        <f>IFERROR(__xludf.DUMMYFUNCTION("""COMPUTED_VALUE"""),0.0)</f>
        <v>0</v>
      </c>
      <c r="AC47" s="125">
        <f>IFERROR(__xludf.DUMMYFUNCTION("""COMPUTED_VALUE"""),555.0)</f>
        <v>555</v>
      </c>
      <c r="AD47" s="201">
        <f>IFERROR(__xludf.DUMMYFUNCTION("""COMPUTED_VALUE"""),553.0)</f>
        <v>553</v>
      </c>
      <c r="AE47" s="201">
        <f>IFERROR(__xludf.DUMMYFUNCTION("""COMPUTED_VALUE"""),2.0)</f>
        <v>2</v>
      </c>
      <c r="AF47" s="201">
        <f>IFERROR(__xludf.DUMMYFUNCTION("""COMPUTED_VALUE"""),0.0)</f>
        <v>0</v>
      </c>
      <c r="AG47" s="125">
        <f>IFERROR(__xludf.DUMMYFUNCTION("""COMPUTED_VALUE"""),0.0)</f>
        <v>0</v>
      </c>
      <c r="AH47" s="201">
        <f>IFERROR(__xludf.DUMMYFUNCTION("""COMPUTED_VALUE"""),0.0)</f>
        <v>0</v>
      </c>
      <c r="AI47" s="201">
        <f>IFERROR(__xludf.DUMMYFUNCTION("""COMPUTED_VALUE"""),0.0)</f>
        <v>0</v>
      </c>
      <c r="AJ47" s="201">
        <f>IFERROR(__xludf.DUMMYFUNCTION("""COMPUTED_VALUE"""),0.0)</f>
        <v>0</v>
      </c>
      <c r="AK47" s="125">
        <f>IFERROR(__xludf.DUMMYFUNCTION("""COMPUTED_VALUE"""),0.0)</f>
        <v>0</v>
      </c>
      <c r="AL47" s="201">
        <f>IFERROR(__xludf.DUMMYFUNCTION("""COMPUTED_VALUE"""),0.0)</f>
        <v>0</v>
      </c>
      <c r="AM47" s="201">
        <f>IFERROR(__xludf.DUMMYFUNCTION("""COMPUTED_VALUE"""),0.0)</f>
        <v>0</v>
      </c>
      <c r="AN47" s="201">
        <f>IFERROR(__xludf.DUMMYFUNCTION("""COMPUTED_VALUE"""),0.0)</f>
        <v>0</v>
      </c>
      <c r="AO47" s="125">
        <f>IFERROR(__xludf.DUMMYFUNCTION("""COMPUTED_VALUE"""),0.0)</f>
        <v>0</v>
      </c>
      <c r="AP47" s="201">
        <f>IFERROR(__xludf.DUMMYFUNCTION("""COMPUTED_VALUE"""),0.0)</f>
        <v>0</v>
      </c>
      <c r="AQ47" s="201">
        <f>IFERROR(__xludf.DUMMYFUNCTION("""COMPUTED_VALUE"""),0.0)</f>
        <v>0</v>
      </c>
      <c r="AR47" s="201">
        <f>IFERROR(__xludf.DUMMYFUNCTION("""COMPUTED_VALUE"""),0.0)</f>
        <v>0</v>
      </c>
      <c r="AS47" s="125">
        <f>IFERROR(__xludf.DUMMYFUNCTION("""COMPUTED_VALUE"""),0.0)</f>
        <v>0</v>
      </c>
      <c r="AT47" s="201">
        <f>IFERROR(__xludf.DUMMYFUNCTION("""COMPUTED_VALUE"""),0.0)</f>
        <v>0</v>
      </c>
      <c r="AU47" s="201">
        <f>IFERROR(__xludf.DUMMYFUNCTION("""COMPUTED_VALUE"""),0.0)</f>
        <v>0</v>
      </c>
      <c r="AV47" s="201">
        <f>IFERROR(__xludf.DUMMYFUNCTION("""COMPUTED_VALUE"""),0.0)</f>
        <v>0</v>
      </c>
      <c r="AW47" s="125">
        <f>IFERROR(__xludf.DUMMYFUNCTION("""COMPUTED_VALUE"""),0.0)</f>
        <v>0</v>
      </c>
      <c r="AX47" s="201">
        <f>IFERROR(__xludf.DUMMYFUNCTION("""COMPUTED_VALUE"""),0.0)</f>
        <v>0</v>
      </c>
      <c r="AY47" s="201">
        <f>IFERROR(__xludf.DUMMYFUNCTION("""COMPUTED_VALUE"""),0.0)</f>
        <v>0</v>
      </c>
      <c r="AZ47" s="202">
        <f>IFERROR(__xludf.DUMMYFUNCTION("""COMPUTED_VALUE"""),0.0)</f>
        <v>0</v>
      </c>
      <c r="BA47" s="195"/>
    </row>
    <row r="48" ht="15.75" customHeight="1">
      <c r="A48" s="29"/>
      <c r="B48" s="30" t="str">
        <f>IFERROR(__xludf.DUMMYFUNCTION("""COMPUTED_VALUE"""),"6. KHỐI PHÒNG HỌC TẬP")</f>
        <v>6. KHỐI PHÒNG HỌC TẬP</v>
      </c>
      <c r="C48" s="31" t="str">
        <f>IFERROR(__xludf.DUMMYFUNCTION("""COMPUTED_VALUE"""),"Quí")</f>
        <v>Quí</v>
      </c>
      <c r="D48" s="31" t="str">
        <f>IFERROR(__xludf.DUMMYFUNCTION("""COMPUTED_VALUE"""),"Phòng")</f>
        <v>Phòng</v>
      </c>
      <c r="E48" s="32">
        <f>IFERROR(__xludf.DUMMYFUNCTION("""COMPUTED_VALUE"""),4199.0)</f>
        <v>4199</v>
      </c>
      <c r="F48" s="32">
        <f>IFERROR(__xludf.DUMMYFUNCTION("""COMPUTED_VALUE"""),4173.0)</f>
        <v>4173</v>
      </c>
      <c r="G48" s="32">
        <f>IFERROR(__xludf.DUMMYFUNCTION("""COMPUTED_VALUE"""),26.0)</f>
        <v>26</v>
      </c>
      <c r="H48" s="32">
        <f>IFERROR(__xludf.DUMMYFUNCTION("""COMPUTED_VALUE"""),0.0)</f>
        <v>0</v>
      </c>
      <c r="I48" s="32">
        <f>IFERROR(__xludf.DUMMYFUNCTION("""COMPUTED_VALUE"""),4213.0)</f>
        <v>4213</v>
      </c>
      <c r="J48" s="32">
        <f>IFERROR(__xludf.DUMMYFUNCTION("""COMPUTED_VALUE"""),4187.0)</f>
        <v>4187</v>
      </c>
      <c r="K48" s="32">
        <f>IFERROR(__xludf.DUMMYFUNCTION("""COMPUTED_VALUE"""),26.0)</f>
        <v>26</v>
      </c>
      <c r="L48" s="32">
        <f>IFERROR(__xludf.DUMMYFUNCTION("""COMPUTED_VALUE"""),0.0)</f>
        <v>0</v>
      </c>
      <c r="M48" s="32">
        <f>IFERROR(__xludf.DUMMYFUNCTION("""COMPUTED_VALUE"""),4213.0)</f>
        <v>4213</v>
      </c>
      <c r="N48" s="32">
        <f>IFERROR(__xludf.DUMMYFUNCTION("""COMPUTED_VALUE"""),4187.0)</f>
        <v>4187</v>
      </c>
      <c r="O48" s="32">
        <f>IFERROR(__xludf.DUMMYFUNCTION("""COMPUTED_VALUE"""),26.0)</f>
        <v>26</v>
      </c>
      <c r="P48" s="32">
        <f>IFERROR(__xludf.DUMMYFUNCTION("""COMPUTED_VALUE"""),0.0)</f>
        <v>0</v>
      </c>
      <c r="Q48" s="32">
        <f>IFERROR(__xludf.DUMMYFUNCTION("""COMPUTED_VALUE"""),4246.0)</f>
        <v>4246</v>
      </c>
      <c r="R48" s="32">
        <f>IFERROR(__xludf.DUMMYFUNCTION("""COMPUTED_VALUE"""),4220.0)</f>
        <v>4220</v>
      </c>
      <c r="S48" s="32">
        <f>IFERROR(__xludf.DUMMYFUNCTION("""COMPUTED_VALUE"""),26.0)</f>
        <v>26</v>
      </c>
      <c r="T48" s="32">
        <f>IFERROR(__xludf.DUMMYFUNCTION("""COMPUTED_VALUE"""),0.0)</f>
        <v>0</v>
      </c>
      <c r="U48" s="32">
        <f>IFERROR(__xludf.DUMMYFUNCTION("""COMPUTED_VALUE"""),3819.0)</f>
        <v>3819</v>
      </c>
      <c r="V48" s="32">
        <f>IFERROR(__xludf.DUMMYFUNCTION("""COMPUTED_VALUE"""),3793.0)</f>
        <v>3793</v>
      </c>
      <c r="W48" s="32">
        <f>IFERROR(__xludf.DUMMYFUNCTION("""COMPUTED_VALUE"""),26.0)</f>
        <v>26</v>
      </c>
      <c r="X48" s="32">
        <f>IFERROR(__xludf.DUMMYFUNCTION("""COMPUTED_VALUE"""),0.0)</f>
        <v>0</v>
      </c>
      <c r="Y48" s="32">
        <f>IFERROR(__xludf.DUMMYFUNCTION("""COMPUTED_VALUE"""),3819.0)</f>
        <v>3819</v>
      </c>
      <c r="Z48" s="32">
        <f>IFERROR(__xludf.DUMMYFUNCTION("""COMPUTED_VALUE"""),3793.0)</f>
        <v>3793</v>
      </c>
      <c r="AA48" s="32">
        <f>IFERROR(__xludf.DUMMYFUNCTION("""COMPUTED_VALUE"""),26.0)</f>
        <v>26</v>
      </c>
      <c r="AB48" s="32">
        <f>IFERROR(__xludf.DUMMYFUNCTION("""COMPUTED_VALUE"""),0.0)</f>
        <v>0</v>
      </c>
      <c r="AC48" s="32">
        <f>IFERROR(__xludf.DUMMYFUNCTION("""COMPUTED_VALUE"""),3813.0)</f>
        <v>3813</v>
      </c>
      <c r="AD48" s="32">
        <f>IFERROR(__xludf.DUMMYFUNCTION("""COMPUTED_VALUE"""),3787.0)</f>
        <v>3787</v>
      </c>
      <c r="AE48" s="32">
        <f>IFERROR(__xludf.DUMMYFUNCTION("""COMPUTED_VALUE"""),26.0)</f>
        <v>26</v>
      </c>
      <c r="AF48" s="32">
        <f>IFERROR(__xludf.DUMMYFUNCTION("""COMPUTED_VALUE"""),0.0)</f>
        <v>0</v>
      </c>
      <c r="AG48" s="32">
        <f>IFERROR(__xludf.DUMMYFUNCTION("""COMPUTED_VALUE"""),0.0)</f>
        <v>0</v>
      </c>
      <c r="AH48" s="32">
        <f>IFERROR(__xludf.DUMMYFUNCTION("""COMPUTED_VALUE"""),0.0)</f>
        <v>0</v>
      </c>
      <c r="AI48" s="32">
        <f>IFERROR(__xludf.DUMMYFUNCTION("""COMPUTED_VALUE"""),0.0)</f>
        <v>0</v>
      </c>
      <c r="AJ48" s="32">
        <f>IFERROR(__xludf.DUMMYFUNCTION("""COMPUTED_VALUE"""),0.0)</f>
        <v>0</v>
      </c>
      <c r="AK48" s="32">
        <f>IFERROR(__xludf.DUMMYFUNCTION("""COMPUTED_VALUE"""),0.0)</f>
        <v>0</v>
      </c>
      <c r="AL48" s="32">
        <f>IFERROR(__xludf.DUMMYFUNCTION("""COMPUTED_VALUE"""),0.0)</f>
        <v>0</v>
      </c>
      <c r="AM48" s="32">
        <f>IFERROR(__xludf.DUMMYFUNCTION("""COMPUTED_VALUE"""),0.0)</f>
        <v>0</v>
      </c>
      <c r="AN48" s="32">
        <f>IFERROR(__xludf.DUMMYFUNCTION("""COMPUTED_VALUE"""),0.0)</f>
        <v>0</v>
      </c>
      <c r="AO48" s="32">
        <f>IFERROR(__xludf.DUMMYFUNCTION("""COMPUTED_VALUE"""),0.0)</f>
        <v>0</v>
      </c>
      <c r="AP48" s="32">
        <f>IFERROR(__xludf.DUMMYFUNCTION("""COMPUTED_VALUE"""),0.0)</f>
        <v>0</v>
      </c>
      <c r="AQ48" s="32">
        <f>IFERROR(__xludf.DUMMYFUNCTION("""COMPUTED_VALUE"""),0.0)</f>
        <v>0</v>
      </c>
      <c r="AR48" s="32">
        <f>IFERROR(__xludf.DUMMYFUNCTION("""COMPUTED_VALUE"""),0.0)</f>
        <v>0</v>
      </c>
      <c r="AS48" s="32">
        <f>IFERROR(__xludf.DUMMYFUNCTION("""COMPUTED_VALUE"""),0.0)</f>
        <v>0</v>
      </c>
      <c r="AT48" s="32">
        <f>IFERROR(__xludf.DUMMYFUNCTION("""COMPUTED_VALUE"""),0.0)</f>
        <v>0</v>
      </c>
      <c r="AU48" s="32">
        <f>IFERROR(__xludf.DUMMYFUNCTION("""COMPUTED_VALUE"""),0.0)</f>
        <v>0</v>
      </c>
      <c r="AV48" s="32">
        <f>IFERROR(__xludf.DUMMYFUNCTION("""COMPUTED_VALUE"""),0.0)</f>
        <v>0</v>
      </c>
      <c r="AW48" s="32">
        <f>IFERROR(__xludf.DUMMYFUNCTION("""COMPUTED_VALUE"""),0.0)</f>
        <v>0</v>
      </c>
      <c r="AX48" s="32">
        <f>IFERROR(__xludf.DUMMYFUNCTION("""COMPUTED_VALUE"""),0.0)</f>
        <v>0</v>
      </c>
      <c r="AY48" s="32">
        <f>IFERROR(__xludf.DUMMYFUNCTION("""COMPUTED_VALUE"""),0.0)</f>
        <v>0</v>
      </c>
      <c r="AZ48" s="33">
        <f>IFERROR(__xludf.DUMMYFUNCTION("""COMPUTED_VALUE"""),0.0)</f>
        <v>0</v>
      </c>
      <c r="BA48" s="195"/>
    </row>
    <row r="49" ht="15.75" customHeight="1">
      <c r="A49" s="29"/>
      <c r="B49" s="196" t="str">
        <f>IFERROR(__xludf.DUMMYFUNCTION("""COMPUTED_VALUE"""),"6.1. Tổng số phòng học")</f>
        <v>6.1. Tổng số phòng học</v>
      </c>
      <c r="C49" s="57"/>
      <c r="D49" s="57" t="str">
        <f>IFERROR(__xludf.DUMMYFUNCTION("""COMPUTED_VALUE"""),"Phòng")</f>
        <v>Phòng</v>
      </c>
      <c r="E49" s="125">
        <f>IFERROR(__xludf.DUMMYFUNCTION("""COMPUTED_VALUE"""),3731.0)</f>
        <v>3731</v>
      </c>
      <c r="F49" s="125">
        <f>IFERROR(__xludf.DUMMYFUNCTION("""COMPUTED_VALUE"""),3706.0)</f>
        <v>3706</v>
      </c>
      <c r="G49" s="125">
        <f>IFERROR(__xludf.DUMMYFUNCTION("""COMPUTED_VALUE"""),25.0)</f>
        <v>25</v>
      </c>
      <c r="H49" s="125">
        <f>IFERROR(__xludf.DUMMYFUNCTION("""COMPUTED_VALUE"""),0.0)</f>
        <v>0</v>
      </c>
      <c r="I49" s="125">
        <f>IFERROR(__xludf.DUMMYFUNCTION("""COMPUTED_VALUE"""),3732.0)</f>
        <v>3732</v>
      </c>
      <c r="J49" s="125">
        <f>IFERROR(__xludf.DUMMYFUNCTION("""COMPUTED_VALUE"""),3707.0)</f>
        <v>3707</v>
      </c>
      <c r="K49" s="125">
        <f>IFERROR(__xludf.DUMMYFUNCTION("""COMPUTED_VALUE"""),25.0)</f>
        <v>25</v>
      </c>
      <c r="L49" s="125">
        <f>IFERROR(__xludf.DUMMYFUNCTION("""COMPUTED_VALUE"""),0.0)</f>
        <v>0</v>
      </c>
      <c r="M49" s="125">
        <f>IFERROR(__xludf.DUMMYFUNCTION("""COMPUTED_VALUE"""),3732.0)</f>
        <v>3732</v>
      </c>
      <c r="N49" s="125">
        <f>IFERROR(__xludf.DUMMYFUNCTION("""COMPUTED_VALUE"""),3707.0)</f>
        <v>3707</v>
      </c>
      <c r="O49" s="125">
        <f>IFERROR(__xludf.DUMMYFUNCTION("""COMPUTED_VALUE"""),25.0)</f>
        <v>25</v>
      </c>
      <c r="P49" s="125">
        <f>IFERROR(__xludf.DUMMYFUNCTION("""COMPUTED_VALUE"""),0.0)</f>
        <v>0</v>
      </c>
      <c r="Q49" s="125">
        <f>IFERROR(__xludf.DUMMYFUNCTION("""COMPUTED_VALUE"""),3768.0)</f>
        <v>3768</v>
      </c>
      <c r="R49" s="125">
        <f>IFERROR(__xludf.DUMMYFUNCTION("""COMPUTED_VALUE"""),3743.0)</f>
        <v>3743</v>
      </c>
      <c r="S49" s="125">
        <f>IFERROR(__xludf.DUMMYFUNCTION("""COMPUTED_VALUE"""),25.0)</f>
        <v>25</v>
      </c>
      <c r="T49" s="125">
        <f>IFERROR(__xludf.DUMMYFUNCTION("""COMPUTED_VALUE"""),0.0)</f>
        <v>0</v>
      </c>
      <c r="U49" s="125">
        <f>IFERROR(__xludf.DUMMYFUNCTION("""COMPUTED_VALUE"""),3378.0)</f>
        <v>3378</v>
      </c>
      <c r="V49" s="125">
        <f>IFERROR(__xludf.DUMMYFUNCTION("""COMPUTED_VALUE"""),3353.0)</f>
        <v>3353</v>
      </c>
      <c r="W49" s="125">
        <f>IFERROR(__xludf.DUMMYFUNCTION("""COMPUTED_VALUE"""),25.0)</f>
        <v>25</v>
      </c>
      <c r="X49" s="125">
        <f>IFERROR(__xludf.DUMMYFUNCTION("""COMPUTED_VALUE"""),0.0)</f>
        <v>0</v>
      </c>
      <c r="Y49" s="125">
        <f>IFERROR(__xludf.DUMMYFUNCTION("""COMPUTED_VALUE"""),3378.0)</f>
        <v>3378</v>
      </c>
      <c r="Z49" s="125">
        <f>IFERROR(__xludf.DUMMYFUNCTION("""COMPUTED_VALUE"""),3353.0)</f>
        <v>3353</v>
      </c>
      <c r="AA49" s="125">
        <f>IFERROR(__xludf.DUMMYFUNCTION("""COMPUTED_VALUE"""),25.0)</f>
        <v>25</v>
      </c>
      <c r="AB49" s="125">
        <f>IFERROR(__xludf.DUMMYFUNCTION("""COMPUTED_VALUE"""),0.0)</f>
        <v>0</v>
      </c>
      <c r="AC49" s="125">
        <f>IFERROR(__xludf.DUMMYFUNCTION("""COMPUTED_VALUE"""),3375.0)</f>
        <v>3375</v>
      </c>
      <c r="AD49" s="125">
        <f>IFERROR(__xludf.DUMMYFUNCTION("""COMPUTED_VALUE"""),3350.0)</f>
        <v>3350</v>
      </c>
      <c r="AE49" s="125">
        <f>IFERROR(__xludf.DUMMYFUNCTION("""COMPUTED_VALUE"""),25.0)</f>
        <v>25</v>
      </c>
      <c r="AF49" s="125">
        <f>IFERROR(__xludf.DUMMYFUNCTION("""COMPUTED_VALUE"""),0.0)</f>
        <v>0</v>
      </c>
      <c r="AG49" s="125">
        <f>IFERROR(__xludf.DUMMYFUNCTION("""COMPUTED_VALUE"""),0.0)</f>
        <v>0</v>
      </c>
      <c r="AH49" s="125">
        <f>IFERROR(__xludf.DUMMYFUNCTION("""COMPUTED_VALUE"""),0.0)</f>
        <v>0</v>
      </c>
      <c r="AI49" s="125">
        <f>IFERROR(__xludf.DUMMYFUNCTION("""COMPUTED_VALUE"""),0.0)</f>
        <v>0</v>
      </c>
      <c r="AJ49" s="125">
        <f>IFERROR(__xludf.DUMMYFUNCTION("""COMPUTED_VALUE"""),0.0)</f>
        <v>0</v>
      </c>
      <c r="AK49" s="125">
        <f>IFERROR(__xludf.DUMMYFUNCTION("""COMPUTED_VALUE"""),0.0)</f>
        <v>0</v>
      </c>
      <c r="AL49" s="125">
        <f>IFERROR(__xludf.DUMMYFUNCTION("""COMPUTED_VALUE"""),0.0)</f>
        <v>0</v>
      </c>
      <c r="AM49" s="125">
        <f>IFERROR(__xludf.DUMMYFUNCTION("""COMPUTED_VALUE"""),0.0)</f>
        <v>0</v>
      </c>
      <c r="AN49" s="125">
        <f>IFERROR(__xludf.DUMMYFUNCTION("""COMPUTED_VALUE"""),0.0)</f>
        <v>0</v>
      </c>
      <c r="AO49" s="125">
        <f>IFERROR(__xludf.DUMMYFUNCTION("""COMPUTED_VALUE"""),0.0)</f>
        <v>0</v>
      </c>
      <c r="AP49" s="125">
        <f>IFERROR(__xludf.DUMMYFUNCTION("""COMPUTED_VALUE"""),0.0)</f>
        <v>0</v>
      </c>
      <c r="AQ49" s="125">
        <f>IFERROR(__xludf.DUMMYFUNCTION("""COMPUTED_VALUE"""),0.0)</f>
        <v>0</v>
      </c>
      <c r="AR49" s="125">
        <f>IFERROR(__xludf.DUMMYFUNCTION("""COMPUTED_VALUE"""),0.0)</f>
        <v>0</v>
      </c>
      <c r="AS49" s="125">
        <f>IFERROR(__xludf.DUMMYFUNCTION("""COMPUTED_VALUE"""),0.0)</f>
        <v>0</v>
      </c>
      <c r="AT49" s="125">
        <f>IFERROR(__xludf.DUMMYFUNCTION("""COMPUTED_VALUE"""),0.0)</f>
        <v>0</v>
      </c>
      <c r="AU49" s="125">
        <f>IFERROR(__xludf.DUMMYFUNCTION("""COMPUTED_VALUE"""),0.0)</f>
        <v>0</v>
      </c>
      <c r="AV49" s="125">
        <f>IFERROR(__xludf.DUMMYFUNCTION("""COMPUTED_VALUE"""),0.0)</f>
        <v>0</v>
      </c>
      <c r="AW49" s="125">
        <f>IFERROR(__xludf.DUMMYFUNCTION("""COMPUTED_VALUE"""),0.0)</f>
        <v>0</v>
      </c>
      <c r="AX49" s="125">
        <f>IFERROR(__xludf.DUMMYFUNCTION("""COMPUTED_VALUE"""),0.0)</f>
        <v>0</v>
      </c>
      <c r="AY49" s="125">
        <f>IFERROR(__xludf.DUMMYFUNCTION("""COMPUTED_VALUE"""),0.0)</f>
        <v>0</v>
      </c>
      <c r="AZ49" s="127">
        <f>IFERROR(__xludf.DUMMYFUNCTION("""COMPUTED_VALUE"""),0.0)</f>
        <v>0</v>
      </c>
      <c r="BA49" s="195"/>
    </row>
    <row r="50" ht="15.75" customHeight="1">
      <c r="A50" s="29"/>
      <c r="B50" s="48" t="str">
        <f>IFERROR(__xludf.DUMMYFUNCTION("""COMPUTED_VALUE"""),"Chia ra:")</f>
        <v>Chia ra:</v>
      </c>
      <c r="C50" s="49"/>
      <c r="D50" s="3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50"/>
      <c r="BA50" s="195"/>
    </row>
    <row r="51" ht="15.75" customHeight="1">
      <c r="A51" s="29"/>
      <c r="B51" s="67" t="str">
        <f>IFERROR(__xludf.DUMMYFUNCTION("""COMPUTED_VALUE""")," + Kiên cố")</f>
        <v> + Kiên cố</v>
      </c>
      <c r="C51" s="31"/>
      <c r="D51" s="31" t="str">
        <f>IFERROR(__xludf.DUMMYFUNCTION("""COMPUTED_VALUE"""),"""")</f>
        <v>"</v>
      </c>
      <c r="E51" s="41">
        <f>IFERROR(__xludf.DUMMYFUNCTION("""COMPUTED_VALUE"""),2754.0)</f>
        <v>2754</v>
      </c>
      <c r="F51" s="197">
        <f>IFERROR(__xludf.DUMMYFUNCTION("""COMPUTED_VALUE"""),2734.0)</f>
        <v>2734</v>
      </c>
      <c r="G51" s="197">
        <f>IFERROR(__xludf.DUMMYFUNCTION("""COMPUTED_VALUE"""),20.0)</f>
        <v>20</v>
      </c>
      <c r="H51" s="197">
        <f>IFERROR(__xludf.DUMMYFUNCTION("""COMPUTED_VALUE"""),0.0)</f>
        <v>0</v>
      </c>
      <c r="I51" s="41">
        <f>IFERROR(__xludf.DUMMYFUNCTION("""COMPUTED_VALUE"""),2756.0)</f>
        <v>2756</v>
      </c>
      <c r="J51" s="197">
        <f>IFERROR(__xludf.DUMMYFUNCTION("""COMPUTED_VALUE"""),2736.0)</f>
        <v>2736</v>
      </c>
      <c r="K51" s="197">
        <f>IFERROR(__xludf.DUMMYFUNCTION("""COMPUTED_VALUE"""),20.0)</f>
        <v>20</v>
      </c>
      <c r="L51" s="197">
        <f>IFERROR(__xludf.DUMMYFUNCTION("""COMPUTED_VALUE"""),0.0)</f>
        <v>0</v>
      </c>
      <c r="M51" s="41">
        <f>IFERROR(__xludf.DUMMYFUNCTION("""COMPUTED_VALUE"""),2756.0)</f>
        <v>2756</v>
      </c>
      <c r="N51" s="197">
        <f>IFERROR(__xludf.DUMMYFUNCTION("""COMPUTED_VALUE"""),2736.0)</f>
        <v>2736</v>
      </c>
      <c r="O51" s="197">
        <f>IFERROR(__xludf.DUMMYFUNCTION("""COMPUTED_VALUE"""),20.0)</f>
        <v>20</v>
      </c>
      <c r="P51" s="197">
        <f>IFERROR(__xludf.DUMMYFUNCTION("""COMPUTED_VALUE"""),0.0)</f>
        <v>0</v>
      </c>
      <c r="Q51" s="41">
        <f>IFERROR(__xludf.DUMMYFUNCTION("""COMPUTED_VALUE"""),2793.0)</f>
        <v>2793</v>
      </c>
      <c r="R51" s="197">
        <f>IFERROR(__xludf.DUMMYFUNCTION("""COMPUTED_VALUE"""),2773.0)</f>
        <v>2773</v>
      </c>
      <c r="S51" s="197">
        <f>IFERROR(__xludf.DUMMYFUNCTION("""COMPUTED_VALUE"""),20.0)</f>
        <v>20</v>
      </c>
      <c r="T51" s="197">
        <f>IFERROR(__xludf.DUMMYFUNCTION("""COMPUTED_VALUE"""),0.0)</f>
        <v>0</v>
      </c>
      <c r="U51" s="41">
        <f>IFERROR(__xludf.DUMMYFUNCTION("""COMPUTED_VALUE"""),2564.0)</f>
        <v>2564</v>
      </c>
      <c r="V51" s="197">
        <f>IFERROR(__xludf.DUMMYFUNCTION("""COMPUTED_VALUE"""),2544.0)</f>
        <v>2544</v>
      </c>
      <c r="W51" s="197">
        <f>IFERROR(__xludf.DUMMYFUNCTION("""COMPUTED_VALUE"""),20.0)</f>
        <v>20</v>
      </c>
      <c r="X51" s="197">
        <f>IFERROR(__xludf.DUMMYFUNCTION("""COMPUTED_VALUE"""),0.0)</f>
        <v>0</v>
      </c>
      <c r="Y51" s="41">
        <f>IFERROR(__xludf.DUMMYFUNCTION("""COMPUTED_VALUE"""),2564.0)</f>
        <v>2564</v>
      </c>
      <c r="Z51" s="197">
        <f>IFERROR(__xludf.DUMMYFUNCTION("""COMPUTED_VALUE"""),2544.0)</f>
        <v>2544</v>
      </c>
      <c r="AA51" s="197">
        <f>IFERROR(__xludf.DUMMYFUNCTION("""COMPUTED_VALUE"""),20.0)</f>
        <v>20</v>
      </c>
      <c r="AB51" s="197">
        <f>IFERROR(__xludf.DUMMYFUNCTION("""COMPUTED_VALUE"""),0.0)</f>
        <v>0</v>
      </c>
      <c r="AC51" s="41">
        <f>IFERROR(__xludf.DUMMYFUNCTION("""COMPUTED_VALUE"""),2564.0)</f>
        <v>2564</v>
      </c>
      <c r="AD51" s="197">
        <f>IFERROR(__xludf.DUMMYFUNCTION("""COMPUTED_VALUE"""),2544.0)</f>
        <v>2544</v>
      </c>
      <c r="AE51" s="197">
        <f>IFERROR(__xludf.DUMMYFUNCTION("""COMPUTED_VALUE"""),20.0)</f>
        <v>20</v>
      </c>
      <c r="AF51" s="197">
        <f>IFERROR(__xludf.DUMMYFUNCTION("""COMPUTED_VALUE"""),0.0)</f>
        <v>0</v>
      </c>
      <c r="AG51" s="41">
        <f>IFERROR(__xludf.DUMMYFUNCTION("""COMPUTED_VALUE"""),0.0)</f>
        <v>0</v>
      </c>
      <c r="AH51" s="197">
        <f>IFERROR(__xludf.DUMMYFUNCTION("""COMPUTED_VALUE"""),0.0)</f>
        <v>0</v>
      </c>
      <c r="AI51" s="197">
        <f>IFERROR(__xludf.DUMMYFUNCTION("""COMPUTED_VALUE"""),0.0)</f>
        <v>0</v>
      </c>
      <c r="AJ51" s="197">
        <f>IFERROR(__xludf.DUMMYFUNCTION("""COMPUTED_VALUE"""),0.0)</f>
        <v>0</v>
      </c>
      <c r="AK51" s="41">
        <f>IFERROR(__xludf.DUMMYFUNCTION("""COMPUTED_VALUE"""),0.0)</f>
        <v>0</v>
      </c>
      <c r="AL51" s="197">
        <f>IFERROR(__xludf.DUMMYFUNCTION("""COMPUTED_VALUE"""),0.0)</f>
        <v>0</v>
      </c>
      <c r="AM51" s="197">
        <f>IFERROR(__xludf.DUMMYFUNCTION("""COMPUTED_VALUE"""),0.0)</f>
        <v>0</v>
      </c>
      <c r="AN51" s="197">
        <f>IFERROR(__xludf.DUMMYFUNCTION("""COMPUTED_VALUE"""),0.0)</f>
        <v>0</v>
      </c>
      <c r="AO51" s="41">
        <f>IFERROR(__xludf.DUMMYFUNCTION("""COMPUTED_VALUE"""),0.0)</f>
        <v>0</v>
      </c>
      <c r="AP51" s="197">
        <f>IFERROR(__xludf.DUMMYFUNCTION("""COMPUTED_VALUE"""),0.0)</f>
        <v>0</v>
      </c>
      <c r="AQ51" s="197">
        <f>IFERROR(__xludf.DUMMYFUNCTION("""COMPUTED_VALUE"""),0.0)</f>
        <v>0</v>
      </c>
      <c r="AR51" s="197">
        <f>IFERROR(__xludf.DUMMYFUNCTION("""COMPUTED_VALUE"""),0.0)</f>
        <v>0</v>
      </c>
      <c r="AS51" s="41">
        <f>IFERROR(__xludf.DUMMYFUNCTION("""COMPUTED_VALUE"""),0.0)</f>
        <v>0</v>
      </c>
      <c r="AT51" s="197">
        <f>IFERROR(__xludf.DUMMYFUNCTION("""COMPUTED_VALUE"""),0.0)</f>
        <v>0</v>
      </c>
      <c r="AU51" s="197">
        <f>IFERROR(__xludf.DUMMYFUNCTION("""COMPUTED_VALUE"""),0.0)</f>
        <v>0</v>
      </c>
      <c r="AV51" s="197">
        <f>IFERROR(__xludf.DUMMYFUNCTION("""COMPUTED_VALUE"""),0.0)</f>
        <v>0</v>
      </c>
      <c r="AW51" s="41">
        <f>IFERROR(__xludf.DUMMYFUNCTION("""COMPUTED_VALUE"""),0.0)</f>
        <v>0</v>
      </c>
      <c r="AX51" s="197">
        <f>IFERROR(__xludf.DUMMYFUNCTION("""COMPUTED_VALUE"""),0.0)</f>
        <v>0</v>
      </c>
      <c r="AY51" s="197">
        <f>IFERROR(__xludf.DUMMYFUNCTION("""COMPUTED_VALUE"""),0.0)</f>
        <v>0</v>
      </c>
      <c r="AZ51" s="198">
        <f>IFERROR(__xludf.DUMMYFUNCTION("""COMPUTED_VALUE"""),0.0)</f>
        <v>0</v>
      </c>
      <c r="BA51" s="195"/>
    </row>
    <row r="52" ht="15.75" customHeight="1">
      <c r="A52" s="29"/>
      <c r="B52" s="67" t="str">
        <f>IFERROR(__xludf.DUMMYFUNCTION("""COMPUTED_VALUE""")," + Bán kiên cố")</f>
        <v> + Bán kiên cố</v>
      </c>
      <c r="C52" s="31"/>
      <c r="D52" s="31" t="str">
        <f>IFERROR(__xludf.DUMMYFUNCTION("""COMPUTED_VALUE"""),"""")</f>
        <v>"</v>
      </c>
      <c r="E52" s="41">
        <f>IFERROR(__xludf.DUMMYFUNCTION("""COMPUTED_VALUE"""),957.0)</f>
        <v>957</v>
      </c>
      <c r="F52" s="197">
        <f>IFERROR(__xludf.DUMMYFUNCTION("""COMPUTED_VALUE"""),952.0)</f>
        <v>952</v>
      </c>
      <c r="G52" s="197">
        <f>IFERROR(__xludf.DUMMYFUNCTION("""COMPUTED_VALUE"""),5.0)</f>
        <v>5</v>
      </c>
      <c r="H52" s="197">
        <f>IFERROR(__xludf.DUMMYFUNCTION("""COMPUTED_VALUE"""),0.0)</f>
        <v>0</v>
      </c>
      <c r="I52" s="41">
        <f>IFERROR(__xludf.DUMMYFUNCTION("""COMPUTED_VALUE"""),952.0)</f>
        <v>952</v>
      </c>
      <c r="J52" s="197">
        <f>IFERROR(__xludf.DUMMYFUNCTION("""COMPUTED_VALUE"""),947.0)</f>
        <v>947</v>
      </c>
      <c r="K52" s="197">
        <f>IFERROR(__xludf.DUMMYFUNCTION("""COMPUTED_VALUE"""),5.0)</f>
        <v>5</v>
      </c>
      <c r="L52" s="197">
        <f>IFERROR(__xludf.DUMMYFUNCTION("""COMPUTED_VALUE"""),0.0)</f>
        <v>0</v>
      </c>
      <c r="M52" s="41">
        <f>IFERROR(__xludf.DUMMYFUNCTION("""COMPUTED_VALUE"""),952.0)</f>
        <v>952</v>
      </c>
      <c r="N52" s="197">
        <f>IFERROR(__xludf.DUMMYFUNCTION("""COMPUTED_VALUE"""),947.0)</f>
        <v>947</v>
      </c>
      <c r="O52" s="197">
        <f>IFERROR(__xludf.DUMMYFUNCTION("""COMPUTED_VALUE"""),5.0)</f>
        <v>5</v>
      </c>
      <c r="P52" s="197">
        <f>IFERROR(__xludf.DUMMYFUNCTION("""COMPUTED_VALUE"""),0.0)</f>
        <v>0</v>
      </c>
      <c r="Q52" s="41">
        <f>IFERROR(__xludf.DUMMYFUNCTION("""COMPUTED_VALUE"""),951.0)</f>
        <v>951</v>
      </c>
      <c r="R52" s="197">
        <f>IFERROR(__xludf.DUMMYFUNCTION("""COMPUTED_VALUE"""),946.0)</f>
        <v>946</v>
      </c>
      <c r="S52" s="197">
        <f>IFERROR(__xludf.DUMMYFUNCTION("""COMPUTED_VALUE"""),5.0)</f>
        <v>5</v>
      </c>
      <c r="T52" s="197">
        <f>IFERROR(__xludf.DUMMYFUNCTION("""COMPUTED_VALUE"""),0.0)</f>
        <v>0</v>
      </c>
      <c r="U52" s="41">
        <f>IFERROR(__xludf.DUMMYFUNCTION("""COMPUTED_VALUE"""),800.0)</f>
        <v>800</v>
      </c>
      <c r="V52" s="197">
        <f>IFERROR(__xludf.DUMMYFUNCTION("""COMPUTED_VALUE"""),795.0)</f>
        <v>795</v>
      </c>
      <c r="W52" s="197">
        <f>IFERROR(__xludf.DUMMYFUNCTION("""COMPUTED_VALUE"""),5.0)</f>
        <v>5</v>
      </c>
      <c r="X52" s="197">
        <f>IFERROR(__xludf.DUMMYFUNCTION("""COMPUTED_VALUE"""),0.0)</f>
        <v>0</v>
      </c>
      <c r="Y52" s="41">
        <f>IFERROR(__xludf.DUMMYFUNCTION("""COMPUTED_VALUE"""),800.0)</f>
        <v>800</v>
      </c>
      <c r="Z52" s="197">
        <f>IFERROR(__xludf.DUMMYFUNCTION("""COMPUTED_VALUE"""),795.0)</f>
        <v>795</v>
      </c>
      <c r="AA52" s="197">
        <f>IFERROR(__xludf.DUMMYFUNCTION("""COMPUTED_VALUE"""),5.0)</f>
        <v>5</v>
      </c>
      <c r="AB52" s="197">
        <f>IFERROR(__xludf.DUMMYFUNCTION("""COMPUTED_VALUE"""),0.0)</f>
        <v>0</v>
      </c>
      <c r="AC52" s="41">
        <f>IFERROR(__xludf.DUMMYFUNCTION("""COMPUTED_VALUE"""),797.0)</f>
        <v>797</v>
      </c>
      <c r="AD52" s="197">
        <f>IFERROR(__xludf.DUMMYFUNCTION("""COMPUTED_VALUE"""),792.0)</f>
        <v>792</v>
      </c>
      <c r="AE52" s="197">
        <f>IFERROR(__xludf.DUMMYFUNCTION("""COMPUTED_VALUE"""),5.0)</f>
        <v>5</v>
      </c>
      <c r="AF52" s="197">
        <f>IFERROR(__xludf.DUMMYFUNCTION("""COMPUTED_VALUE"""),0.0)</f>
        <v>0</v>
      </c>
      <c r="AG52" s="41">
        <f>IFERROR(__xludf.DUMMYFUNCTION("""COMPUTED_VALUE"""),0.0)</f>
        <v>0</v>
      </c>
      <c r="AH52" s="197">
        <f>IFERROR(__xludf.DUMMYFUNCTION("""COMPUTED_VALUE"""),0.0)</f>
        <v>0</v>
      </c>
      <c r="AI52" s="197">
        <f>IFERROR(__xludf.DUMMYFUNCTION("""COMPUTED_VALUE"""),0.0)</f>
        <v>0</v>
      </c>
      <c r="AJ52" s="197">
        <f>IFERROR(__xludf.DUMMYFUNCTION("""COMPUTED_VALUE"""),0.0)</f>
        <v>0</v>
      </c>
      <c r="AK52" s="41">
        <f>IFERROR(__xludf.DUMMYFUNCTION("""COMPUTED_VALUE"""),0.0)</f>
        <v>0</v>
      </c>
      <c r="AL52" s="197">
        <f>IFERROR(__xludf.DUMMYFUNCTION("""COMPUTED_VALUE"""),0.0)</f>
        <v>0</v>
      </c>
      <c r="AM52" s="197">
        <f>IFERROR(__xludf.DUMMYFUNCTION("""COMPUTED_VALUE"""),0.0)</f>
        <v>0</v>
      </c>
      <c r="AN52" s="197">
        <f>IFERROR(__xludf.DUMMYFUNCTION("""COMPUTED_VALUE"""),0.0)</f>
        <v>0</v>
      </c>
      <c r="AO52" s="41">
        <f>IFERROR(__xludf.DUMMYFUNCTION("""COMPUTED_VALUE"""),0.0)</f>
        <v>0</v>
      </c>
      <c r="AP52" s="197">
        <f>IFERROR(__xludf.DUMMYFUNCTION("""COMPUTED_VALUE"""),0.0)</f>
        <v>0</v>
      </c>
      <c r="AQ52" s="197">
        <f>IFERROR(__xludf.DUMMYFUNCTION("""COMPUTED_VALUE"""),0.0)</f>
        <v>0</v>
      </c>
      <c r="AR52" s="197">
        <f>IFERROR(__xludf.DUMMYFUNCTION("""COMPUTED_VALUE"""),0.0)</f>
        <v>0</v>
      </c>
      <c r="AS52" s="41">
        <f>IFERROR(__xludf.DUMMYFUNCTION("""COMPUTED_VALUE"""),0.0)</f>
        <v>0</v>
      </c>
      <c r="AT52" s="197">
        <f>IFERROR(__xludf.DUMMYFUNCTION("""COMPUTED_VALUE"""),0.0)</f>
        <v>0</v>
      </c>
      <c r="AU52" s="197">
        <f>IFERROR(__xludf.DUMMYFUNCTION("""COMPUTED_VALUE"""),0.0)</f>
        <v>0</v>
      </c>
      <c r="AV52" s="197">
        <f>IFERROR(__xludf.DUMMYFUNCTION("""COMPUTED_VALUE"""),0.0)</f>
        <v>0</v>
      </c>
      <c r="AW52" s="41">
        <f>IFERROR(__xludf.DUMMYFUNCTION("""COMPUTED_VALUE"""),0.0)</f>
        <v>0</v>
      </c>
      <c r="AX52" s="197">
        <f>IFERROR(__xludf.DUMMYFUNCTION("""COMPUTED_VALUE"""),0.0)</f>
        <v>0</v>
      </c>
      <c r="AY52" s="197">
        <f>IFERROR(__xludf.DUMMYFUNCTION("""COMPUTED_VALUE"""),0.0)</f>
        <v>0</v>
      </c>
      <c r="AZ52" s="198">
        <f>IFERROR(__xludf.DUMMYFUNCTION("""COMPUTED_VALUE"""),0.0)</f>
        <v>0</v>
      </c>
      <c r="BA52" s="195"/>
    </row>
    <row r="53" ht="15.75" customHeight="1">
      <c r="A53" s="29"/>
      <c r="B53" s="67" t="str">
        <f>IFERROR(__xludf.DUMMYFUNCTION("""COMPUTED_VALUE""")," + Tạm")</f>
        <v> + Tạm</v>
      </c>
      <c r="C53" s="31"/>
      <c r="D53" s="31" t="str">
        <f>IFERROR(__xludf.DUMMYFUNCTION("""COMPUTED_VALUE"""),"""")</f>
        <v>"</v>
      </c>
      <c r="E53" s="41">
        <f>IFERROR(__xludf.DUMMYFUNCTION("""COMPUTED_VALUE"""),20.0)</f>
        <v>20</v>
      </c>
      <c r="F53" s="197">
        <f>IFERROR(__xludf.DUMMYFUNCTION("""COMPUTED_VALUE"""),20.0)</f>
        <v>20</v>
      </c>
      <c r="G53" s="197">
        <f>IFERROR(__xludf.DUMMYFUNCTION("""COMPUTED_VALUE"""),0.0)</f>
        <v>0</v>
      </c>
      <c r="H53" s="197">
        <f>IFERROR(__xludf.DUMMYFUNCTION("""COMPUTED_VALUE"""),0.0)</f>
        <v>0</v>
      </c>
      <c r="I53" s="41">
        <f>IFERROR(__xludf.DUMMYFUNCTION("""COMPUTED_VALUE"""),24.0)</f>
        <v>24</v>
      </c>
      <c r="J53" s="197">
        <f>IFERROR(__xludf.DUMMYFUNCTION("""COMPUTED_VALUE"""),24.0)</f>
        <v>24</v>
      </c>
      <c r="K53" s="197">
        <f>IFERROR(__xludf.DUMMYFUNCTION("""COMPUTED_VALUE"""),0.0)</f>
        <v>0</v>
      </c>
      <c r="L53" s="197">
        <f>IFERROR(__xludf.DUMMYFUNCTION("""COMPUTED_VALUE"""),0.0)</f>
        <v>0</v>
      </c>
      <c r="M53" s="41">
        <f>IFERROR(__xludf.DUMMYFUNCTION("""COMPUTED_VALUE"""),24.0)</f>
        <v>24</v>
      </c>
      <c r="N53" s="197">
        <f>IFERROR(__xludf.DUMMYFUNCTION("""COMPUTED_VALUE"""),24.0)</f>
        <v>24</v>
      </c>
      <c r="O53" s="197">
        <f>IFERROR(__xludf.DUMMYFUNCTION("""COMPUTED_VALUE"""),0.0)</f>
        <v>0</v>
      </c>
      <c r="P53" s="197">
        <f>IFERROR(__xludf.DUMMYFUNCTION("""COMPUTED_VALUE"""),0.0)</f>
        <v>0</v>
      </c>
      <c r="Q53" s="41">
        <f>IFERROR(__xludf.DUMMYFUNCTION("""COMPUTED_VALUE"""),24.0)</f>
        <v>24</v>
      </c>
      <c r="R53" s="197">
        <f>IFERROR(__xludf.DUMMYFUNCTION("""COMPUTED_VALUE"""),24.0)</f>
        <v>24</v>
      </c>
      <c r="S53" s="197">
        <f>IFERROR(__xludf.DUMMYFUNCTION("""COMPUTED_VALUE"""),0.0)</f>
        <v>0</v>
      </c>
      <c r="T53" s="197">
        <f>IFERROR(__xludf.DUMMYFUNCTION("""COMPUTED_VALUE"""),0.0)</f>
        <v>0</v>
      </c>
      <c r="U53" s="41">
        <f>IFERROR(__xludf.DUMMYFUNCTION("""COMPUTED_VALUE"""),14.0)</f>
        <v>14</v>
      </c>
      <c r="V53" s="197">
        <f>IFERROR(__xludf.DUMMYFUNCTION("""COMPUTED_VALUE"""),14.0)</f>
        <v>14</v>
      </c>
      <c r="W53" s="197">
        <f>IFERROR(__xludf.DUMMYFUNCTION("""COMPUTED_VALUE"""),0.0)</f>
        <v>0</v>
      </c>
      <c r="X53" s="197">
        <f>IFERROR(__xludf.DUMMYFUNCTION("""COMPUTED_VALUE"""),0.0)</f>
        <v>0</v>
      </c>
      <c r="Y53" s="41">
        <f>IFERROR(__xludf.DUMMYFUNCTION("""COMPUTED_VALUE"""),14.0)</f>
        <v>14</v>
      </c>
      <c r="Z53" s="197">
        <f>IFERROR(__xludf.DUMMYFUNCTION("""COMPUTED_VALUE"""),14.0)</f>
        <v>14</v>
      </c>
      <c r="AA53" s="197">
        <f>IFERROR(__xludf.DUMMYFUNCTION("""COMPUTED_VALUE"""),0.0)</f>
        <v>0</v>
      </c>
      <c r="AB53" s="197">
        <f>IFERROR(__xludf.DUMMYFUNCTION("""COMPUTED_VALUE"""),0.0)</f>
        <v>0</v>
      </c>
      <c r="AC53" s="41">
        <f>IFERROR(__xludf.DUMMYFUNCTION("""COMPUTED_VALUE"""),14.0)</f>
        <v>14</v>
      </c>
      <c r="AD53" s="197">
        <f>IFERROR(__xludf.DUMMYFUNCTION("""COMPUTED_VALUE"""),14.0)</f>
        <v>14</v>
      </c>
      <c r="AE53" s="197">
        <f>IFERROR(__xludf.DUMMYFUNCTION("""COMPUTED_VALUE"""),0.0)</f>
        <v>0</v>
      </c>
      <c r="AF53" s="197">
        <f>IFERROR(__xludf.DUMMYFUNCTION("""COMPUTED_VALUE"""),0.0)</f>
        <v>0</v>
      </c>
      <c r="AG53" s="41">
        <f>IFERROR(__xludf.DUMMYFUNCTION("""COMPUTED_VALUE"""),0.0)</f>
        <v>0</v>
      </c>
      <c r="AH53" s="197">
        <f>IFERROR(__xludf.DUMMYFUNCTION("""COMPUTED_VALUE"""),0.0)</f>
        <v>0</v>
      </c>
      <c r="AI53" s="197">
        <f>IFERROR(__xludf.DUMMYFUNCTION("""COMPUTED_VALUE"""),0.0)</f>
        <v>0</v>
      </c>
      <c r="AJ53" s="197">
        <f>IFERROR(__xludf.DUMMYFUNCTION("""COMPUTED_VALUE"""),0.0)</f>
        <v>0</v>
      </c>
      <c r="AK53" s="41">
        <f>IFERROR(__xludf.DUMMYFUNCTION("""COMPUTED_VALUE"""),0.0)</f>
        <v>0</v>
      </c>
      <c r="AL53" s="197">
        <f>IFERROR(__xludf.DUMMYFUNCTION("""COMPUTED_VALUE"""),0.0)</f>
        <v>0</v>
      </c>
      <c r="AM53" s="197">
        <f>IFERROR(__xludf.DUMMYFUNCTION("""COMPUTED_VALUE"""),0.0)</f>
        <v>0</v>
      </c>
      <c r="AN53" s="197">
        <f>IFERROR(__xludf.DUMMYFUNCTION("""COMPUTED_VALUE"""),0.0)</f>
        <v>0</v>
      </c>
      <c r="AO53" s="41">
        <f>IFERROR(__xludf.DUMMYFUNCTION("""COMPUTED_VALUE"""),0.0)</f>
        <v>0</v>
      </c>
      <c r="AP53" s="197">
        <f>IFERROR(__xludf.DUMMYFUNCTION("""COMPUTED_VALUE"""),0.0)</f>
        <v>0</v>
      </c>
      <c r="AQ53" s="197">
        <f>IFERROR(__xludf.DUMMYFUNCTION("""COMPUTED_VALUE"""),0.0)</f>
        <v>0</v>
      </c>
      <c r="AR53" s="197">
        <f>IFERROR(__xludf.DUMMYFUNCTION("""COMPUTED_VALUE"""),0.0)</f>
        <v>0</v>
      </c>
      <c r="AS53" s="41">
        <f>IFERROR(__xludf.DUMMYFUNCTION("""COMPUTED_VALUE"""),0.0)</f>
        <v>0</v>
      </c>
      <c r="AT53" s="197">
        <f>IFERROR(__xludf.DUMMYFUNCTION("""COMPUTED_VALUE"""),0.0)</f>
        <v>0</v>
      </c>
      <c r="AU53" s="197">
        <f>IFERROR(__xludf.DUMMYFUNCTION("""COMPUTED_VALUE"""),0.0)</f>
        <v>0</v>
      </c>
      <c r="AV53" s="197">
        <f>IFERROR(__xludf.DUMMYFUNCTION("""COMPUTED_VALUE"""),0.0)</f>
        <v>0</v>
      </c>
      <c r="AW53" s="41">
        <f>IFERROR(__xludf.DUMMYFUNCTION("""COMPUTED_VALUE"""),0.0)</f>
        <v>0</v>
      </c>
      <c r="AX53" s="197">
        <f>IFERROR(__xludf.DUMMYFUNCTION("""COMPUTED_VALUE"""),0.0)</f>
        <v>0</v>
      </c>
      <c r="AY53" s="197">
        <f>IFERROR(__xludf.DUMMYFUNCTION("""COMPUTED_VALUE"""),0.0)</f>
        <v>0</v>
      </c>
      <c r="AZ53" s="198">
        <f>IFERROR(__xludf.DUMMYFUNCTION("""COMPUTED_VALUE"""),0.0)</f>
        <v>0</v>
      </c>
      <c r="BA53" s="195"/>
    </row>
    <row r="54" ht="15.75" customHeight="1">
      <c r="A54" s="29"/>
      <c r="B54" s="196" t="str">
        <f>IFERROR(__xludf.DUMMYFUNCTION("""COMPUTED_VALUE"""),"6.2. Tổng số phòng học bộ môn")</f>
        <v>6.2. Tổng số phòng học bộ môn</v>
      </c>
      <c r="C54" s="57"/>
      <c r="D54" s="57" t="str">
        <f>IFERROR(__xludf.DUMMYFUNCTION("""COMPUTED_VALUE"""),"Phòng")</f>
        <v>Phòng</v>
      </c>
      <c r="E54" s="125">
        <f>IFERROR(__xludf.DUMMYFUNCTION("""COMPUTED_VALUE"""),427.0)</f>
        <v>427</v>
      </c>
      <c r="F54" s="125">
        <f>IFERROR(__xludf.DUMMYFUNCTION("""COMPUTED_VALUE"""),426.0)</f>
        <v>426</v>
      </c>
      <c r="G54" s="125">
        <f>IFERROR(__xludf.DUMMYFUNCTION("""COMPUTED_VALUE"""),1.0)</f>
        <v>1</v>
      </c>
      <c r="H54" s="125">
        <f>IFERROR(__xludf.DUMMYFUNCTION("""COMPUTED_VALUE"""),0.0)</f>
        <v>0</v>
      </c>
      <c r="I54" s="125">
        <f>IFERROR(__xludf.DUMMYFUNCTION("""COMPUTED_VALUE"""),430.0)</f>
        <v>430</v>
      </c>
      <c r="J54" s="125">
        <f>IFERROR(__xludf.DUMMYFUNCTION("""COMPUTED_VALUE"""),429.0)</f>
        <v>429</v>
      </c>
      <c r="K54" s="125">
        <f>IFERROR(__xludf.DUMMYFUNCTION("""COMPUTED_VALUE"""),1.0)</f>
        <v>1</v>
      </c>
      <c r="L54" s="125">
        <f>IFERROR(__xludf.DUMMYFUNCTION("""COMPUTED_VALUE"""),0.0)</f>
        <v>0</v>
      </c>
      <c r="M54" s="125">
        <f>IFERROR(__xludf.DUMMYFUNCTION("""COMPUTED_VALUE"""),430.0)</f>
        <v>430</v>
      </c>
      <c r="N54" s="125">
        <f>IFERROR(__xludf.DUMMYFUNCTION("""COMPUTED_VALUE"""),429.0)</f>
        <v>429</v>
      </c>
      <c r="O54" s="125">
        <f>IFERROR(__xludf.DUMMYFUNCTION("""COMPUTED_VALUE"""),1.0)</f>
        <v>1</v>
      </c>
      <c r="P54" s="125">
        <f>IFERROR(__xludf.DUMMYFUNCTION("""COMPUTED_VALUE"""),0.0)</f>
        <v>0</v>
      </c>
      <c r="Q54" s="125">
        <f>IFERROR(__xludf.DUMMYFUNCTION("""COMPUTED_VALUE"""),431.0)</f>
        <v>431</v>
      </c>
      <c r="R54" s="125">
        <f>IFERROR(__xludf.DUMMYFUNCTION("""COMPUTED_VALUE"""),430.0)</f>
        <v>430</v>
      </c>
      <c r="S54" s="125">
        <f>IFERROR(__xludf.DUMMYFUNCTION("""COMPUTED_VALUE"""),1.0)</f>
        <v>1</v>
      </c>
      <c r="T54" s="125">
        <f>IFERROR(__xludf.DUMMYFUNCTION("""COMPUTED_VALUE"""),0.0)</f>
        <v>0</v>
      </c>
      <c r="U54" s="125">
        <f>IFERROR(__xludf.DUMMYFUNCTION("""COMPUTED_VALUE"""),390.0)</f>
        <v>390</v>
      </c>
      <c r="V54" s="125">
        <f>IFERROR(__xludf.DUMMYFUNCTION("""COMPUTED_VALUE"""),389.0)</f>
        <v>389</v>
      </c>
      <c r="W54" s="125">
        <f>IFERROR(__xludf.DUMMYFUNCTION("""COMPUTED_VALUE"""),1.0)</f>
        <v>1</v>
      </c>
      <c r="X54" s="125">
        <f>IFERROR(__xludf.DUMMYFUNCTION("""COMPUTED_VALUE"""),0.0)</f>
        <v>0</v>
      </c>
      <c r="Y54" s="125">
        <f>IFERROR(__xludf.DUMMYFUNCTION("""COMPUTED_VALUE"""),390.0)</f>
        <v>390</v>
      </c>
      <c r="Z54" s="125">
        <f>IFERROR(__xludf.DUMMYFUNCTION("""COMPUTED_VALUE"""),389.0)</f>
        <v>389</v>
      </c>
      <c r="AA54" s="125">
        <f>IFERROR(__xludf.DUMMYFUNCTION("""COMPUTED_VALUE"""),1.0)</f>
        <v>1</v>
      </c>
      <c r="AB54" s="125">
        <f>IFERROR(__xludf.DUMMYFUNCTION("""COMPUTED_VALUE"""),0.0)</f>
        <v>0</v>
      </c>
      <c r="AC54" s="125">
        <f>IFERROR(__xludf.DUMMYFUNCTION("""COMPUTED_VALUE"""),391.0)</f>
        <v>391</v>
      </c>
      <c r="AD54" s="125">
        <f>IFERROR(__xludf.DUMMYFUNCTION("""COMPUTED_VALUE"""),390.0)</f>
        <v>390</v>
      </c>
      <c r="AE54" s="125">
        <f>IFERROR(__xludf.DUMMYFUNCTION("""COMPUTED_VALUE"""),1.0)</f>
        <v>1</v>
      </c>
      <c r="AF54" s="125">
        <f>IFERROR(__xludf.DUMMYFUNCTION("""COMPUTED_VALUE"""),0.0)</f>
        <v>0</v>
      </c>
      <c r="AG54" s="125">
        <f>IFERROR(__xludf.DUMMYFUNCTION("""COMPUTED_VALUE"""),0.0)</f>
        <v>0</v>
      </c>
      <c r="AH54" s="125">
        <f>IFERROR(__xludf.DUMMYFUNCTION("""COMPUTED_VALUE"""),0.0)</f>
        <v>0</v>
      </c>
      <c r="AI54" s="125">
        <f>IFERROR(__xludf.DUMMYFUNCTION("""COMPUTED_VALUE"""),0.0)</f>
        <v>0</v>
      </c>
      <c r="AJ54" s="125">
        <f>IFERROR(__xludf.DUMMYFUNCTION("""COMPUTED_VALUE"""),0.0)</f>
        <v>0</v>
      </c>
      <c r="AK54" s="125">
        <f>IFERROR(__xludf.DUMMYFUNCTION("""COMPUTED_VALUE"""),0.0)</f>
        <v>0</v>
      </c>
      <c r="AL54" s="125">
        <f>IFERROR(__xludf.DUMMYFUNCTION("""COMPUTED_VALUE"""),0.0)</f>
        <v>0</v>
      </c>
      <c r="AM54" s="125">
        <f>IFERROR(__xludf.DUMMYFUNCTION("""COMPUTED_VALUE"""),0.0)</f>
        <v>0</v>
      </c>
      <c r="AN54" s="125">
        <f>IFERROR(__xludf.DUMMYFUNCTION("""COMPUTED_VALUE"""),0.0)</f>
        <v>0</v>
      </c>
      <c r="AO54" s="125">
        <f>IFERROR(__xludf.DUMMYFUNCTION("""COMPUTED_VALUE"""),0.0)</f>
        <v>0</v>
      </c>
      <c r="AP54" s="125">
        <f>IFERROR(__xludf.DUMMYFUNCTION("""COMPUTED_VALUE"""),0.0)</f>
        <v>0</v>
      </c>
      <c r="AQ54" s="125">
        <f>IFERROR(__xludf.DUMMYFUNCTION("""COMPUTED_VALUE"""),0.0)</f>
        <v>0</v>
      </c>
      <c r="AR54" s="125">
        <f>IFERROR(__xludf.DUMMYFUNCTION("""COMPUTED_VALUE"""),0.0)</f>
        <v>0</v>
      </c>
      <c r="AS54" s="125">
        <f>IFERROR(__xludf.DUMMYFUNCTION("""COMPUTED_VALUE"""),0.0)</f>
        <v>0</v>
      </c>
      <c r="AT54" s="125">
        <f>IFERROR(__xludf.DUMMYFUNCTION("""COMPUTED_VALUE"""),0.0)</f>
        <v>0</v>
      </c>
      <c r="AU54" s="125">
        <f>IFERROR(__xludf.DUMMYFUNCTION("""COMPUTED_VALUE"""),0.0)</f>
        <v>0</v>
      </c>
      <c r="AV54" s="125">
        <f>IFERROR(__xludf.DUMMYFUNCTION("""COMPUTED_VALUE"""),0.0)</f>
        <v>0</v>
      </c>
      <c r="AW54" s="125">
        <f>IFERROR(__xludf.DUMMYFUNCTION("""COMPUTED_VALUE"""),0.0)</f>
        <v>0</v>
      </c>
      <c r="AX54" s="125">
        <f>IFERROR(__xludf.DUMMYFUNCTION("""COMPUTED_VALUE"""),0.0)</f>
        <v>0</v>
      </c>
      <c r="AY54" s="125">
        <f>IFERROR(__xludf.DUMMYFUNCTION("""COMPUTED_VALUE"""),0.0)</f>
        <v>0</v>
      </c>
      <c r="AZ54" s="127">
        <f>IFERROR(__xludf.DUMMYFUNCTION("""COMPUTED_VALUE"""),0.0)</f>
        <v>0</v>
      </c>
      <c r="BA54" s="195"/>
    </row>
    <row r="55" ht="15.75" customHeight="1">
      <c r="A55" s="29"/>
      <c r="B55" s="48" t="str">
        <f>IFERROR(__xludf.DUMMYFUNCTION("""COMPUTED_VALUE"""),"Chia ra:")</f>
        <v>Chia ra:</v>
      </c>
      <c r="C55" s="49"/>
      <c r="D55" s="3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50"/>
      <c r="BA55" s="195"/>
    </row>
    <row r="56" ht="15.75" customHeight="1">
      <c r="A56" s="29"/>
      <c r="B56" s="67" t="str">
        <f>IFERROR(__xludf.DUMMYFUNCTION("""COMPUTED_VALUE""")," + Kiên cố")</f>
        <v> + Kiên cố</v>
      </c>
      <c r="C56" s="31"/>
      <c r="D56" s="31" t="str">
        <f>IFERROR(__xludf.DUMMYFUNCTION("""COMPUTED_VALUE"""),"""")</f>
        <v>"</v>
      </c>
      <c r="E56" s="41">
        <f>IFERROR(__xludf.DUMMYFUNCTION("""COMPUTED_VALUE"""),386.0)</f>
        <v>386</v>
      </c>
      <c r="F56" s="197">
        <f>IFERROR(__xludf.DUMMYFUNCTION("""COMPUTED_VALUE"""),385.0)</f>
        <v>385</v>
      </c>
      <c r="G56" s="197">
        <f>IFERROR(__xludf.DUMMYFUNCTION("""COMPUTED_VALUE"""),1.0)</f>
        <v>1</v>
      </c>
      <c r="H56" s="197">
        <f>IFERROR(__xludf.DUMMYFUNCTION("""COMPUTED_VALUE"""),0.0)</f>
        <v>0</v>
      </c>
      <c r="I56" s="41">
        <f>IFERROR(__xludf.DUMMYFUNCTION("""COMPUTED_VALUE"""),386.0)</f>
        <v>386</v>
      </c>
      <c r="J56" s="197">
        <f>IFERROR(__xludf.DUMMYFUNCTION("""COMPUTED_VALUE"""),385.0)</f>
        <v>385</v>
      </c>
      <c r="K56" s="197">
        <f>IFERROR(__xludf.DUMMYFUNCTION("""COMPUTED_VALUE"""),1.0)</f>
        <v>1</v>
      </c>
      <c r="L56" s="197">
        <f>IFERROR(__xludf.DUMMYFUNCTION("""COMPUTED_VALUE"""),0.0)</f>
        <v>0</v>
      </c>
      <c r="M56" s="41">
        <f>IFERROR(__xludf.DUMMYFUNCTION("""COMPUTED_VALUE"""),386.0)</f>
        <v>386</v>
      </c>
      <c r="N56" s="197">
        <f>IFERROR(__xludf.DUMMYFUNCTION("""COMPUTED_VALUE"""),385.0)</f>
        <v>385</v>
      </c>
      <c r="O56" s="197">
        <f>IFERROR(__xludf.DUMMYFUNCTION("""COMPUTED_VALUE"""),1.0)</f>
        <v>1</v>
      </c>
      <c r="P56" s="197">
        <f>IFERROR(__xludf.DUMMYFUNCTION("""COMPUTED_VALUE"""),0.0)</f>
        <v>0</v>
      </c>
      <c r="Q56" s="41">
        <f>IFERROR(__xludf.DUMMYFUNCTION("""COMPUTED_VALUE"""),387.0)</f>
        <v>387</v>
      </c>
      <c r="R56" s="197">
        <f>IFERROR(__xludf.DUMMYFUNCTION("""COMPUTED_VALUE"""),386.0)</f>
        <v>386</v>
      </c>
      <c r="S56" s="197">
        <f>IFERROR(__xludf.DUMMYFUNCTION("""COMPUTED_VALUE"""),1.0)</f>
        <v>1</v>
      </c>
      <c r="T56" s="197">
        <f>IFERROR(__xludf.DUMMYFUNCTION("""COMPUTED_VALUE"""),0.0)</f>
        <v>0</v>
      </c>
      <c r="U56" s="41">
        <f>IFERROR(__xludf.DUMMYFUNCTION("""COMPUTED_VALUE"""),346.0)</f>
        <v>346</v>
      </c>
      <c r="V56" s="197">
        <f>IFERROR(__xludf.DUMMYFUNCTION("""COMPUTED_VALUE"""),345.0)</f>
        <v>345</v>
      </c>
      <c r="W56" s="197">
        <f>IFERROR(__xludf.DUMMYFUNCTION("""COMPUTED_VALUE"""),1.0)</f>
        <v>1</v>
      </c>
      <c r="X56" s="197">
        <f>IFERROR(__xludf.DUMMYFUNCTION("""COMPUTED_VALUE"""),0.0)</f>
        <v>0</v>
      </c>
      <c r="Y56" s="41">
        <f>IFERROR(__xludf.DUMMYFUNCTION("""COMPUTED_VALUE"""),346.0)</f>
        <v>346</v>
      </c>
      <c r="Z56" s="197">
        <f>IFERROR(__xludf.DUMMYFUNCTION("""COMPUTED_VALUE"""),345.0)</f>
        <v>345</v>
      </c>
      <c r="AA56" s="197">
        <f>IFERROR(__xludf.DUMMYFUNCTION("""COMPUTED_VALUE"""),1.0)</f>
        <v>1</v>
      </c>
      <c r="AB56" s="197">
        <f>IFERROR(__xludf.DUMMYFUNCTION("""COMPUTED_VALUE"""),0.0)</f>
        <v>0</v>
      </c>
      <c r="AC56" s="41">
        <f>IFERROR(__xludf.DUMMYFUNCTION("""COMPUTED_VALUE"""),347.0)</f>
        <v>347</v>
      </c>
      <c r="AD56" s="197">
        <f>IFERROR(__xludf.DUMMYFUNCTION("""COMPUTED_VALUE"""),346.0)</f>
        <v>346</v>
      </c>
      <c r="AE56" s="197">
        <f>IFERROR(__xludf.DUMMYFUNCTION("""COMPUTED_VALUE"""),1.0)</f>
        <v>1</v>
      </c>
      <c r="AF56" s="197">
        <f>IFERROR(__xludf.DUMMYFUNCTION("""COMPUTED_VALUE"""),0.0)</f>
        <v>0</v>
      </c>
      <c r="AG56" s="41">
        <f>IFERROR(__xludf.DUMMYFUNCTION("""COMPUTED_VALUE"""),0.0)</f>
        <v>0</v>
      </c>
      <c r="AH56" s="197">
        <f>IFERROR(__xludf.DUMMYFUNCTION("""COMPUTED_VALUE"""),0.0)</f>
        <v>0</v>
      </c>
      <c r="AI56" s="197">
        <f>IFERROR(__xludf.DUMMYFUNCTION("""COMPUTED_VALUE"""),0.0)</f>
        <v>0</v>
      </c>
      <c r="AJ56" s="197">
        <f>IFERROR(__xludf.DUMMYFUNCTION("""COMPUTED_VALUE"""),0.0)</f>
        <v>0</v>
      </c>
      <c r="AK56" s="41">
        <f>IFERROR(__xludf.DUMMYFUNCTION("""COMPUTED_VALUE"""),0.0)</f>
        <v>0</v>
      </c>
      <c r="AL56" s="197">
        <f>IFERROR(__xludf.DUMMYFUNCTION("""COMPUTED_VALUE"""),0.0)</f>
        <v>0</v>
      </c>
      <c r="AM56" s="197">
        <f>IFERROR(__xludf.DUMMYFUNCTION("""COMPUTED_VALUE"""),0.0)</f>
        <v>0</v>
      </c>
      <c r="AN56" s="197">
        <f>IFERROR(__xludf.DUMMYFUNCTION("""COMPUTED_VALUE"""),0.0)</f>
        <v>0</v>
      </c>
      <c r="AO56" s="41">
        <f>IFERROR(__xludf.DUMMYFUNCTION("""COMPUTED_VALUE"""),0.0)</f>
        <v>0</v>
      </c>
      <c r="AP56" s="197">
        <f>IFERROR(__xludf.DUMMYFUNCTION("""COMPUTED_VALUE"""),0.0)</f>
        <v>0</v>
      </c>
      <c r="AQ56" s="197">
        <f>IFERROR(__xludf.DUMMYFUNCTION("""COMPUTED_VALUE"""),0.0)</f>
        <v>0</v>
      </c>
      <c r="AR56" s="197">
        <f>IFERROR(__xludf.DUMMYFUNCTION("""COMPUTED_VALUE"""),0.0)</f>
        <v>0</v>
      </c>
      <c r="AS56" s="41">
        <f>IFERROR(__xludf.DUMMYFUNCTION("""COMPUTED_VALUE"""),0.0)</f>
        <v>0</v>
      </c>
      <c r="AT56" s="197">
        <f>IFERROR(__xludf.DUMMYFUNCTION("""COMPUTED_VALUE"""),0.0)</f>
        <v>0</v>
      </c>
      <c r="AU56" s="197">
        <f>IFERROR(__xludf.DUMMYFUNCTION("""COMPUTED_VALUE"""),0.0)</f>
        <v>0</v>
      </c>
      <c r="AV56" s="197">
        <f>IFERROR(__xludf.DUMMYFUNCTION("""COMPUTED_VALUE"""),0.0)</f>
        <v>0</v>
      </c>
      <c r="AW56" s="41">
        <f>IFERROR(__xludf.DUMMYFUNCTION("""COMPUTED_VALUE"""),0.0)</f>
        <v>0</v>
      </c>
      <c r="AX56" s="197">
        <f>IFERROR(__xludf.DUMMYFUNCTION("""COMPUTED_VALUE"""),0.0)</f>
        <v>0</v>
      </c>
      <c r="AY56" s="197">
        <f>IFERROR(__xludf.DUMMYFUNCTION("""COMPUTED_VALUE"""),0.0)</f>
        <v>0</v>
      </c>
      <c r="AZ56" s="198">
        <f>IFERROR(__xludf.DUMMYFUNCTION("""COMPUTED_VALUE"""),0.0)</f>
        <v>0</v>
      </c>
      <c r="BA56" s="195"/>
    </row>
    <row r="57" ht="15.75" customHeight="1">
      <c r="A57" s="29"/>
      <c r="B57" s="67" t="str">
        <f>IFERROR(__xludf.DUMMYFUNCTION("""COMPUTED_VALUE""")," + Bán kiên cố")</f>
        <v> + Bán kiên cố</v>
      </c>
      <c r="C57" s="31"/>
      <c r="D57" s="31" t="str">
        <f>IFERROR(__xludf.DUMMYFUNCTION("""COMPUTED_VALUE"""),"""")</f>
        <v>"</v>
      </c>
      <c r="E57" s="41">
        <f>IFERROR(__xludf.DUMMYFUNCTION("""COMPUTED_VALUE"""),41.0)</f>
        <v>41</v>
      </c>
      <c r="F57" s="197">
        <f>IFERROR(__xludf.DUMMYFUNCTION("""COMPUTED_VALUE"""),41.0)</f>
        <v>41</v>
      </c>
      <c r="G57" s="197">
        <f>IFERROR(__xludf.DUMMYFUNCTION("""COMPUTED_VALUE"""),0.0)</f>
        <v>0</v>
      </c>
      <c r="H57" s="197">
        <f>IFERROR(__xludf.DUMMYFUNCTION("""COMPUTED_VALUE"""),0.0)</f>
        <v>0</v>
      </c>
      <c r="I57" s="41">
        <f>IFERROR(__xludf.DUMMYFUNCTION("""COMPUTED_VALUE"""),44.0)</f>
        <v>44</v>
      </c>
      <c r="J57" s="197">
        <f>IFERROR(__xludf.DUMMYFUNCTION("""COMPUTED_VALUE"""),44.0)</f>
        <v>44</v>
      </c>
      <c r="K57" s="197">
        <f>IFERROR(__xludf.DUMMYFUNCTION("""COMPUTED_VALUE"""),0.0)</f>
        <v>0</v>
      </c>
      <c r="L57" s="197">
        <f>IFERROR(__xludf.DUMMYFUNCTION("""COMPUTED_VALUE"""),0.0)</f>
        <v>0</v>
      </c>
      <c r="M57" s="41">
        <f>IFERROR(__xludf.DUMMYFUNCTION("""COMPUTED_VALUE"""),44.0)</f>
        <v>44</v>
      </c>
      <c r="N57" s="197">
        <f>IFERROR(__xludf.DUMMYFUNCTION("""COMPUTED_VALUE"""),44.0)</f>
        <v>44</v>
      </c>
      <c r="O57" s="197">
        <f>IFERROR(__xludf.DUMMYFUNCTION("""COMPUTED_VALUE"""),0.0)</f>
        <v>0</v>
      </c>
      <c r="P57" s="197">
        <f>IFERROR(__xludf.DUMMYFUNCTION("""COMPUTED_VALUE"""),0.0)</f>
        <v>0</v>
      </c>
      <c r="Q57" s="41">
        <f>IFERROR(__xludf.DUMMYFUNCTION("""COMPUTED_VALUE"""),44.0)</f>
        <v>44</v>
      </c>
      <c r="R57" s="197">
        <f>IFERROR(__xludf.DUMMYFUNCTION("""COMPUTED_VALUE"""),44.0)</f>
        <v>44</v>
      </c>
      <c r="S57" s="197">
        <f>IFERROR(__xludf.DUMMYFUNCTION("""COMPUTED_VALUE"""),0.0)</f>
        <v>0</v>
      </c>
      <c r="T57" s="197">
        <f>IFERROR(__xludf.DUMMYFUNCTION("""COMPUTED_VALUE"""),0.0)</f>
        <v>0</v>
      </c>
      <c r="U57" s="41">
        <f>IFERROR(__xludf.DUMMYFUNCTION("""COMPUTED_VALUE"""),44.0)</f>
        <v>44</v>
      </c>
      <c r="V57" s="197">
        <f>IFERROR(__xludf.DUMMYFUNCTION("""COMPUTED_VALUE"""),44.0)</f>
        <v>44</v>
      </c>
      <c r="W57" s="197">
        <f>IFERROR(__xludf.DUMMYFUNCTION("""COMPUTED_VALUE"""),0.0)</f>
        <v>0</v>
      </c>
      <c r="X57" s="197">
        <f>IFERROR(__xludf.DUMMYFUNCTION("""COMPUTED_VALUE"""),0.0)</f>
        <v>0</v>
      </c>
      <c r="Y57" s="41">
        <f>IFERROR(__xludf.DUMMYFUNCTION("""COMPUTED_VALUE"""),44.0)</f>
        <v>44</v>
      </c>
      <c r="Z57" s="197">
        <f>IFERROR(__xludf.DUMMYFUNCTION("""COMPUTED_VALUE"""),44.0)</f>
        <v>44</v>
      </c>
      <c r="AA57" s="197">
        <f>IFERROR(__xludf.DUMMYFUNCTION("""COMPUTED_VALUE"""),0.0)</f>
        <v>0</v>
      </c>
      <c r="AB57" s="197">
        <f>IFERROR(__xludf.DUMMYFUNCTION("""COMPUTED_VALUE"""),0.0)</f>
        <v>0</v>
      </c>
      <c r="AC57" s="41">
        <f>IFERROR(__xludf.DUMMYFUNCTION("""COMPUTED_VALUE"""),44.0)</f>
        <v>44</v>
      </c>
      <c r="AD57" s="197">
        <f>IFERROR(__xludf.DUMMYFUNCTION("""COMPUTED_VALUE"""),44.0)</f>
        <v>44</v>
      </c>
      <c r="AE57" s="197">
        <f>IFERROR(__xludf.DUMMYFUNCTION("""COMPUTED_VALUE"""),0.0)</f>
        <v>0</v>
      </c>
      <c r="AF57" s="197">
        <f>IFERROR(__xludf.DUMMYFUNCTION("""COMPUTED_VALUE"""),0.0)</f>
        <v>0</v>
      </c>
      <c r="AG57" s="41">
        <f>IFERROR(__xludf.DUMMYFUNCTION("""COMPUTED_VALUE"""),0.0)</f>
        <v>0</v>
      </c>
      <c r="AH57" s="197">
        <f>IFERROR(__xludf.DUMMYFUNCTION("""COMPUTED_VALUE"""),0.0)</f>
        <v>0</v>
      </c>
      <c r="AI57" s="197">
        <f>IFERROR(__xludf.DUMMYFUNCTION("""COMPUTED_VALUE"""),0.0)</f>
        <v>0</v>
      </c>
      <c r="AJ57" s="197">
        <f>IFERROR(__xludf.DUMMYFUNCTION("""COMPUTED_VALUE"""),0.0)</f>
        <v>0</v>
      </c>
      <c r="AK57" s="41">
        <f>IFERROR(__xludf.DUMMYFUNCTION("""COMPUTED_VALUE"""),0.0)</f>
        <v>0</v>
      </c>
      <c r="AL57" s="197">
        <f>IFERROR(__xludf.DUMMYFUNCTION("""COMPUTED_VALUE"""),0.0)</f>
        <v>0</v>
      </c>
      <c r="AM57" s="197">
        <f>IFERROR(__xludf.DUMMYFUNCTION("""COMPUTED_VALUE"""),0.0)</f>
        <v>0</v>
      </c>
      <c r="AN57" s="197">
        <f>IFERROR(__xludf.DUMMYFUNCTION("""COMPUTED_VALUE"""),0.0)</f>
        <v>0</v>
      </c>
      <c r="AO57" s="41">
        <f>IFERROR(__xludf.DUMMYFUNCTION("""COMPUTED_VALUE"""),0.0)</f>
        <v>0</v>
      </c>
      <c r="AP57" s="197">
        <f>IFERROR(__xludf.DUMMYFUNCTION("""COMPUTED_VALUE"""),0.0)</f>
        <v>0</v>
      </c>
      <c r="AQ57" s="197">
        <f>IFERROR(__xludf.DUMMYFUNCTION("""COMPUTED_VALUE"""),0.0)</f>
        <v>0</v>
      </c>
      <c r="AR57" s="197">
        <f>IFERROR(__xludf.DUMMYFUNCTION("""COMPUTED_VALUE"""),0.0)</f>
        <v>0</v>
      </c>
      <c r="AS57" s="41">
        <f>IFERROR(__xludf.DUMMYFUNCTION("""COMPUTED_VALUE"""),0.0)</f>
        <v>0</v>
      </c>
      <c r="AT57" s="197">
        <f>IFERROR(__xludf.DUMMYFUNCTION("""COMPUTED_VALUE"""),0.0)</f>
        <v>0</v>
      </c>
      <c r="AU57" s="197">
        <f>IFERROR(__xludf.DUMMYFUNCTION("""COMPUTED_VALUE"""),0.0)</f>
        <v>0</v>
      </c>
      <c r="AV57" s="197">
        <f>IFERROR(__xludf.DUMMYFUNCTION("""COMPUTED_VALUE"""),0.0)</f>
        <v>0</v>
      </c>
      <c r="AW57" s="41">
        <f>IFERROR(__xludf.DUMMYFUNCTION("""COMPUTED_VALUE"""),0.0)</f>
        <v>0</v>
      </c>
      <c r="AX57" s="197">
        <f>IFERROR(__xludf.DUMMYFUNCTION("""COMPUTED_VALUE"""),0.0)</f>
        <v>0</v>
      </c>
      <c r="AY57" s="197">
        <f>IFERROR(__xludf.DUMMYFUNCTION("""COMPUTED_VALUE"""),0.0)</f>
        <v>0</v>
      </c>
      <c r="AZ57" s="198">
        <f>IFERROR(__xludf.DUMMYFUNCTION("""COMPUTED_VALUE"""),0.0)</f>
        <v>0</v>
      </c>
      <c r="BA57" s="195"/>
    </row>
    <row r="58" ht="15.75" customHeight="1">
      <c r="A58" s="29"/>
      <c r="B58" s="67" t="str">
        <f>IFERROR(__xludf.DUMMYFUNCTION("""COMPUTED_VALUE""")," + Tạm")</f>
        <v> + Tạm</v>
      </c>
      <c r="C58" s="31"/>
      <c r="D58" s="31" t="str">
        <f>IFERROR(__xludf.DUMMYFUNCTION("""COMPUTED_VALUE"""),"""")</f>
        <v>"</v>
      </c>
      <c r="E58" s="41">
        <f>IFERROR(__xludf.DUMMYFUNCTION("""COMPUTED_VALUE"""),0.0)</f>
        <v>0</v>
      </c>
      <c r="F58" s="197">
        <f>IFERROR(__xludf.DUMMYFUNCTION("""COMPUTED_VALUE"""),0.0)</f>
        <v>0</v>
      </c>
      <c r="G58" s="197">
        <f>IFERROR(__xludf.DUMMYFUNCTION("""COMPUTED_VALUE"""),0.0)</f>
        <v>0</v>
      </c>
      <c r="H58" s="197">
        <f>IFERROR(__xludf.DUMMYFUNCTION("""COMPUTED_VALUE"""),0.0)</f>
        <v>0</v>
      </c>
      <c r="I58" s="41">
        <f>IFERROR(__xludf.DUMMYFUNCTION("""COMPUTED_VALUE"""),0.0)</f>
        <v>0</v>
      </c>
      <c r="J58" s="197">
        <f>IFERROR(__xludf.DUMMYFUNCTION("""COMPUTED_VALUE"""),0.0)</f>
        <v>0</v>
      </c>
      <c r="K58" s="197">
        <f>IFERROR(__xludf.DUMMYFUNCTION("""COMPUTED_VALUE"""),0.0)</f>
        <v>0</v>
      </c>
      <c r="L58" s="197">
        <f>IFERROR(__xludf.DUMMYFUNCTION("""COMPUTED_VALUE"""),0.0)</f>
        <v>0</v>
      </c>
      <c r="M58" s="41">
        <f>IFERROR(__xludf.DUMMYFUNCTION("""COMPUTED_VALUE"""),0.0)</f>
        <v>0</v>
      </c>
      <c r="N58" s="197">
        <f>IFERROR(__xludf.DUMMYFUNCTION("""COMPUTED_VALUE"""),0.0)</f>
        <v>0</v>
      </c>
      <c r="O58" s="197">
        <f>IFERROR(__xludf.DUMMYFUNCTION("""COMPUTED_VALUE"""),0.0)</f>
        <v>0</v>
      </c>
      <c r="P58" s="197">
        <f>IFERROR(__xludf.DUMMYFUNCTION("""COMPUTED_VALUE"""),0.0)</f>
        <v>0</v>
      </c>
      <c r="Q58" s="41">
        <f>IFERROR(__xludf.DUMMYFUNCTION("""COMPUTED_VALUE"""),0.0)</f>
        <v>0</v>
      </c>
      <c r="R58" s="197">
        <f>IFERROR(__xludf.DUMMYFUNCTION("""COMPUTED_VALUE"""),0.0)</f>
        <v>0</v>
      </c>
      <c r="S58" s="197">
        <f>IFERROR(__xludf.DUMMYFUNCTION("""COMPUTED_VALUE"""),0.0)</f>
        <v>0</v>
      </c>
      <c r="T58" s="197">
        <f>IFERROR(__xludf.DUMMYFUNCTION("""COMPUTED_VALUE"""),0.0)</f>
        <v>0</v>
      </c>
      <c r="U58" s="41">
        <f>IFERROR(__xludf.DUMMYFUNCTION("""COMPUTED_VALUE"""),0.0)</f>
        <v>0</v>
      </c>
      <c r="V58" s="197">
        <f>IFERROR(__xludf.DUMMYFUNCTION("""COMPUTED_VALUE"""),0.0)</f>
        <v>0</v>
      </c>
      <c r="W58" s="197">
        <f>IFERROR(__xludf.DUMMYFUNCTION("""COMPUTED_VALUE"""),0.0)</f>
        <v>0</v>
      </c>
      <c r="X58" s="197">
        <f>IFERROR(__xludf.DUMMYFUNCTION("""COMPUTED_VALUE"""),0.0)</f>
        <v>0</v>
      </c>
      <c r="Y58" s="41">
        <f>IFERROR(__xludf.DUMMYFUNCTION("""COMPUTED_VALUE"""),0.0)</f>
        <v>0</v>
      </c>
      <c r="Z58" s="197">
        <f>IFERROR(__xludf.DUMMYFUNCTION("""COMPUTED_VALUE"""),0.0)</f>
        <v>0</v>
      </c>
      <c r="AA58" s="197">
        <f>IFERROR(__xludf.DUMMYFUNCTION("""COMPUTED_VALUE"""),0.0)</f>
        <v>0</v>
      </c>
      <c r="AB58" s="197">
        <f>IFERROR(__xludf.DUMMYFUNCTION("""COMPUTED_VALUE"""),0.0)</f>
        <v>0</v>
      </c>
      <c r="AC58" s="41">
        <f>IFERROR(__xludf.DUMMYFUNCTION("""COMPUTED_VALUE"""),0.0)</f>
        <v>0</v>
      </c>
      <c r="AD58" s="197">
        <f>IFERROR(__xludf.DUMMYFUNCTION("""COMPUTED_VALUE"""),0.0)</f>
        <v>0</v>
      </c>
      <c r="AE58" s="197">
        <f>IFERROR(__xludf.DUMMYFUNCTION("""COMPUTED_VALUE"""),0.0)</f>
        <v>0</v>
      </c>
      <c r="AF58" s="197">
        <f>IFERROR(__xludf.DUMMYFUNCTION("""COMPUTED_VALUE"""),0.0)</f>
        <v>0</v>
      </c>
      <c r="AG58" s="41">
        <f>IFERROR(__xludf.DUMMYFUNCTION("""COMPUTED_VALUE"""),0.0)</f>
        <v>0</v>
      </c>
      <c r="AH58" s="197">
        <f>IFERROR(__xludf.DUMMYFUNCTION("""COMPUTED_VALUE"""),0.0)</f>
        <v>0</v>
      </c>
      <c r="AI58" s="197">
        <f>IFERROR(__xludf.DUMMYFUNCTION("""COMPUTED_VALUE"""),0.0)</f>
        <v>0</v>
      </c>
      <c r="AJ58" s="197">
        <f>IFERROR(__xludf.DUMMYFUNCTION("""COMPUTED_VALUE"""),0.0)</f>
        <v>0</v>
      </c>
      <c r="AK58" s="41">
        <f>IFERROR(__xludf.DUMMYFUNCTION("""COMPUTED_VALUE"""),0.0)</f>
        <v>0</v>
      </c>
      <c r="AL58" s="197">
        <f>IFERROR(__xludf.DUMMYFUNCTION("""COMPUTED_VALUE"""),0.0)</f>
        <v>0</v>
      </c>
      <c r="AM58" s="197">
        <f>IFERROR(__xludf.DUMMYFUNCTION("""COMPUTED_VALUE"""),0.0)</f>
        <v>0</v>
      </c>
      <c r="AN58" s="197">
        <f>IFERROR(__xludf.DUMMYFUNCTION("""COMPUTED_VALUE"""),0.0)</f>
        <v>0</v>
      </c>
      <c r="AO58" s="41">
        <f>IFERROR(__xludf.DUMMYFUNCTION("""COMPUTED_VALUE"""),0.0)</f>
        <v>0</v>
      </c>
      <c r="AP58" s="197">
        <f>IFERROR(__xludf.DUMMYFUNCTION("""COMPUTED_VALUE"""),0.0)</f>
        <v>0</v>
      </c>
      <c r="AQ58" s="197">
        <f>IFERROR(__xludf.DUMMYFUNCTION("""COMPUTED_VALUE"""),0.0)</f>
        <v>0</v>
      </c>
      <c r="AR58" s="197">
        <f>IFERROR(__xludf.DUMMYFUNCTION("""COMPUTED_VALUE"""),0.0)</f>
        <v>0</v>
      </c>
      <c r="AS58" s="41">
        <f>IFERROR(__xludf.DUMMYFUNCTION("""COMPUTED_VALUE"""),0.0)</f>
        <v>0</v>
      </c>
      <c r="AT58" s="197">
        <f>IFERROR(__xludf.DUMMYFUNCTION("""COMPUTED_VALUE"""),0.0)</f>
        <v>0</v>
      </c>
      <c r="AU58" s="197">
        <f>IFERROR(__xludf.DUMMYFUNCTION("""COMPUTED_VALUE"""),0.0)</f>
        <v>0</v>
      </c>
      <c r="AV58" s="197">
        <f>IFERROR(__xludf.DUMMYFUNCTION("""COMPUTED_VALUE"""),0.0)</f>
        <v>0</v>
      </c>
      <c r="AW58" s="41">
        <f>IFERROR(__xludf.DUMMYFUNCTION("""COMPUTED_VALUE"""),0.0)</f>
        <v>0</v>
      </c>
      <c r="AX58" s="197">
        <f>IFERROR(__xludf.DUMMYFUNCTION("""COMPUTED_VALUE"""),0.0)</f>
        <v>0</v>
      </c>
      <c r="AY58" s="197">
        <f>IFERROR(__xludf.DUMMYFUNCTION("""COMPUTED_VALUE"""),0.0)</f>
        <v>0</v>
      </c>
      <c r="AZ58" s="198">
        <f>IFERROR(__xludf.DUMMYFUNCTION("""COMPUTED_VALUE"""),0.0)</f>
        <v>0</v>
      </c>
      <c r="BA58" s="195"/>
    </row>
    <row r="59" ht="15.75" customHeight="1">
      <c r="A59" s="29"/>
      <c r="B59" s="196" t="str">
        <f>IFERROR(__xludf.DUMMYFUNCTION("""COMPUTED_VALUE"""),"6.3. Tổng số phòng đa chức năng")</f>
        <v>6.3. Tổng số phòng đa chức năng</v>
      </c>
      <c r="C59" s="57"/>
      <c r="D59" s="57" t="str">
        <f>IFERROR(__xludf.DUMMYFUNCTION("""COMPUTED_VALUE"""),"Phòng")</f>
        <v>Phòng</v>
      </c>
      <c r="E59" s="125">
        <f>IFERROR(__xludf.DUMMYFUNCTION("""COMPUTED_VALUE"""),41.0)</f>
        <v>41</v>
      </c>
      <c r="F59" s="125">
        <f>IFERROR(__xludf.DUMMYFUNCTION("""COMPUTED_VALUE"""),41.0)</f>
        <v>41</v>
      </c>
      <c r="G59" s="125">
        <f>IFERROR(__xludf.DUMMYFUNCTION("""COMPUTED_VALUE"""),0.0)</f>
        <v>0</v>
      </c>
      <c r="H59" s="125">
        <f>IFERROR(__xludf.DUMMYFUNCTION("""COMPUTED_VALUE"""),0.0)</f>
        <v>0</v>
      </c>
      <c r="I59" s="125">
        <f>IFERROR(__xludf.DUMMYFUNCTION("""COMPUTED_VALUE"""),51.0)</f>
        <v>51</v>
      </c>
      <c r="J59" s="125">
        <f>IFERROR(__xludf.DUMMYFUNCTION("""COMPUTED_VALUE"""),51.0)</f>
        <v>51</v>
      </c>
      <c r="K59" s="125">
        <f>IFERROR(__xludf.DUMMYFUNCTION("""COMPUTED_VALUE"""),0.0)</f>
        <v>0</v>
      </c>
      <c r="L59" s="125">
        <f>IFERROR(__xludf.DUMMYFUNCTION("""COMPUTED_VALUE"""),0.0)</f>
        <v>0</v>
      </c>
      <c r="M59" s="125">
        <f>IFERROR(__xludf.DUMMYFUNCTION("""COMPUTED_VALUE"""),51.0)</f>
        <v>51</v>
      </c>
      <c r="N59" s="125">
        <f>IFERROR(__xludf.DUMMYFUNCTION("""COMPUTED_VALUE"""),51.0)</f>
        <v>51</v>
      </c>
      <c r="O59" s="125">
        <f>IFERROR(__xludf.DUMMYFUNCTION("""COMPUTED_VALUE"""),0.0)</f>
        <v>0</v>
      </c>
      <c r="P59" s="125">
        <f>IFERROR(__xludf.DUMMYFUNCTION("""COMPUTED_VALUE"""),0.0)</f>
        <v>0</v>
      </c>
      <c r="Q59" s="125">
        <f>IFERROR(__xludf.DUMMYFUNCTION("""COMPUTED_VALUE"""),47.0)</f>
        <v>47</v>
      </c>
      <c r="R59" s="125">
        <f>IFERROR(__xludf.DUMMYFUNCTION("""COMPUTED_VALUE"""),47.0)</f>
        <v>47</v>
      </c>
      <c r="S59" s="125">
        <f>IFERROR(__xludf.DUMMYFUNCTION("""COMPUTED_VALUE"""),0.0)</f>
        <v>0</v>
      </c>
      <c r="T59" s="125">
        <f>IFERROR(__xludf.DUMMYFUNCTION("""COMPUTED_VALUE"""),0.0)</f>
        <v>0</v>
      </c>
      <c r="U59" s="125">
        <f>IFERROR(__xludf.DUMMYFUNCTION("""COMPUTED_VALUE"""),51.0)</f>
        <v>51</v>
      </c>
      <c r="V59" s="125">
        <f>IFERROR(__xludf.DUMMYFUNCTION("""COMPUTED_VALUE"""),51.0)</f>
        <v>51</v>
      </c>
      <c r="W59" s="125">
        <f>IFERROR(__xludf.DUMMYFUNCTION("""COMPUTED_VALUE"""),0.0)</f>
        <v>0</v>
      </c>
      <c r="X59" s="125">
        <f>IFERROR(__xludf.DUMMYFUNCTION("""COMPUTED_VALUE"""),0.0)</f>
        <v>0</v>
      </c>
      <c r="Y59" s="125">
        <f>IFERROR(__xludf.DUMMYFUNCTION("""COMPUTED_VALUE"""),51.0)</f>
        <v>51</v>
      </c>
      <c r="Z59" s="125">
        <f>IFERROR(__xludf.DUMMYFUNCTION("""COMPUTED_VALUE"""),51.0)</f>
        <v>51</v>
      </c>
      <c r="AA59" s="125">
        <f>IFERROR(__xludf.DUMMYFUNCTION("""COMPUTED_VALUE"""),0.0)</f>
        <v>0</v>
      </c>
      <c r="AB59" s="125">
        <f>IFERROR(__xludf.DUMMYFUNCTION("""COMPUTED_VALUE"""),0.0)</f>
        <v>0</v>
      </c>
      <c r="AC59" s="125">
        <f>IFERROR(__xludf.DUMMYFUNCTION("""COMPUTED_VALUE"""),47.0)</f>
        <v>47</v>
      </c>
      <c r="AD59" s="125">
        <f>IFERROR(__xludf.DUMMYFUNCTION("""COMPUTED_VALUE"""),47.0)</f>
        <v>47</v>
      </c>
      <c r="AE59" s="125">
        <f>IFERROR(__xludf.DUMMYFUNCTION("""COMPUTED_VALUE"""),0.0)</f>
        <v>0</v>
      </c>
      <c r="AF59" s="125">
        <f>IFERROR(__xludf.DUMMYFUNCTION("""COMPUTED_VALUE"""),0.0)</f>
        <v>0</v>
      </c>
      <c r="AG59" s="125">
        <f>IFERROR(__xludf.DUMMYFUNCTION("""COMPUTED_VALUE"""),0.0)</f>
        <v>0</v>
      </c>
      <c r="AH59" s="125">
        <f>IFERROR(__xludf.DUMMYFUNCTION("""COMPUTED_VALUE"""),0.0)</f>
        <v>0</v>
      </c>
      <c r="AI59" s="125">
        <f>IFERROR(__xludf.DUMMYFUNCTION("""COMPUTED_VALUE"""),0.0)</f>
        <v>0</v>
      </c>
      <c r="AJ59" s="125">
        <f>IFERROR(__xludf.DUMMYFUNCTION("""COMPUTED_VALUE"""),0.0)</f>
        <v>0</v>
      </c>
      <c r="AK59" s="125">
        <f>IFERROR(__xludf.DUMMYFUNCTION("""COMPUTED_VALUE"""),0.0)</f>
        <v>0</v>
      </c>
      <c r="AL59" s="125">
        <f>IFERROR(__xludf.DUMMYFUNCTION("""COMPUTED_VALUE"""),0.0)</f>
        <v>0</v>
      </c>
      <c r="AM59" s="125">
        <f>IFERROR(__xludf.DUMMYFUNCTION("""COMPUTED_VALUE"""),0.0)</f>
        <v>0</v>
      </c>
      <c r="AN59" s="125">
        <f>IFERROR(__xludf.DUMMYFUNCTION("""COMPUTED_VALUE"""),0.0)</f>
        <v>0</v>
      </c>
      <c r="AO59" s="125">
        <f>IFERROR(__xludf.DUMMYFUNCTION("""COMPUTED_VALUE"""),0.0)</f>
        <v>0</v>
      </c>
      <c r="AP59" s="125">
        <f>IFERROR(__xludf.DUMMYFUNCTION("""COMPUTED_VALUE"""),0.0)</f>
        <v>0</v>
      </c>
      <c r="AQ59" s="125">
        <f>IFERROR(__xludf.DUMMYFUNCTION("""COMPUTED_VALUE"""),0.0)</f>
        <v>0</v>
      </c>
      <c r="AR59" s="125">
        <f>IFERROR(__xludf.DUMMYFUNCTION("""COMPUTED_VALUE"""),0.0)</f>
        <v>0</v>
      </c>
      <c r="AS59" s="125">
        <f>IFERROR(__xludf.DUMMYFUNCTION("""COMPUTED_VALUE"""),0.0)</f>
        <v>0</v>
      </c>
      <c r="AT59" s="125">
        <f>IFERROR(__xludf.DUMMYFUNCTION("""COMPUTED_VALUE"""),0.0)</f>
        <v>0</v>
      </c>
      <c r="AU59" s="125">
        <f>IFERROR(__xludf.DUMMYFUNCTION("""COMPUTED_VALUE"""),0.0)</f>
        <v>0</v>
      </c>
      <c r="AV59" s="125">
        <f>IFERROR(__xludf.DUMMYFUNCTION("""COMPUTED_VALUE"""),0.0)</f>
        <v>0</v>
      </c>
      <c r="AW59" s="125">
        <f>IFERROR(__xludf.DUMMYFUNCTION("""COMPUTED_VALUE"""),0.0)</f>
        <v>0</v>
      </c>
      <c r="AX59" s="125">
        <f>IFERROR(__xludf.DUMMYFUNCTION("""COMPUTED_VALUE"""),0.0)</f>
        <v>0</v>
      </c>
      <c r="AY59" s="125">
        <f>IFERROR(__xludf.DUMMYFUNCTION("""COMPUTED_VALUE"""),0.0)</f>
        <v>0</v>
      </c>
      <c r="AZ59" s="127">
        <f>IFERROR(__xludf.DUMMYFUNCTION("""COMPUTED_VALUE"""),0.0)</f>
        <v>0</v>
      </c>
      <c r="BA59" s="195"/>
    </row>
    <row r="60" ht="15.75" customHeight="1">
      <c r="A60" s="29"/>
      <c r="B60" s="48" t="str">
        <f>IFERROR(__xludf.DUMMYFUNCTION("""COMPUTED_VALUE"""),"Chia ra:")</f>
        <v>Chia ra:</v>
      </c>
      <c r="C60" s="49"/>
      <c r="D60" s="3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50"/>
      <c r="BA60" s="195"/>
    </row>
    <row r="61" ht="15.75" customHeight="1">
      <c r="A61" s="29"/>
      <c r="B61" s="67" t="str">
        <f>IFERROR(__xludf.DUMMYFUNCTION("""COMPUTED_VALUE""")," + Kiên cố")</f>
        <v> + Kiên cố</v>
      </c>
      <c r="C61" s="31"/>
      <c r="D61" s="31" t="str">
        <f>IFERROR(__xludf.DUMMYFUNCTION("""COMPUTED_VALUE"""),"""")</f>
        <v>"</v>
      </c>
      <c r="E61" s="41">
        <f>IFERROR(__xludf.DUMMYFUNCTION("""COMPUTED_VALUE"""),36.0)</f>
        <v>36</v>
      </c>
      <c r="F61" s="197">
        <f>IFERROR(__xludf.DUMMYFUNCTION("""COMPUTED_VALUE"""),36.0)</f>
        <v>36</v>
      </c>
      <c r="G61" s="197">
        <f>IFERROR(__xludf.DUMMYFUNCTION("""COMPUTED_VALUE"""),0.0)</f>
        <v>0</v>
      </c>
      <c r="H61" s="197">
        <f>IFERROR(__xludf.DUMMYFUNCTION("""COMPUTED_VALUE"""),0.0)</f>
        <v>0</v>
      </c>
      <c r="I61" s="41">
        <f>IFERROR(__xludf.DUMMYFUNCTION("""COMPUTED_VALUE"""),47.0)</f>
        <v>47</v>
      </c>
      <c r="J61" s="197">
        <f>IFERROR(__xludf.DUMMYFUNCTION("""COMPUTED_VALUE"""),47.0)</f>
        <v>47</v>
      </c>
      <c r="K61" s="197">
        <f>IFERROR(__xludf.DUMMYFUNCTION("""COMPUTED_VALUE"""),0.0)</f>
        <v>0</v>
      </c>
      <c r="L61" s="197">
        <f>IFERROR(__xludf.DUMMYFUNCTION("""COMPUTED_VALUE"""),0.0)</f>
        <v>0</v>
      </c>
      <c r="M61" s="41">
        <f>IFERROR(__xludf.DUMMYFUNCTION("""COMPUTED_VALUE"""),47.0)</f>
        <v>47</v>
      </c>
      <c r="N61" s="197">
        <f>IFERROR(__xludf.DUMMYFUNCTION("""COMPUTED_VALUE"""),47.0)</f>
        <v>47</v>
      </c>
      <c r="O61" s="197">
        <f>IFERROR(__xludf.DUMMYFUNCTION("""COMPUTED_VALUE"""),0.0)</f>
        <v>0</v>
      </c>
      <c r="P61" s="197">
        <f>IFERROR(__xludf.DUMMYFUNCTION("""COMPUTED_VALUE"""),0.0)</f>
        <v>0</v>
      </c>
      <c r="Q61" s="41">
        <f>IFERROR(__xludf.DUMMYFUNCTION("""COMPUTED_VALUE"""),47.0)</f>
        <v>47</v>
      </c>
      <c r="R61" s="197">
        <f>IFERROR(__xludf.DUMMYFUNCTION("""COMPUTED_VALUE"""),47.0)</f>
        <v>47</v>
      </c>
      <c r="S61" s="197">
        <f>IFERROR(__xludf.DUMMYFUNCTION("""COMPUTED_VALUE"""),0.0)</f>
        <v>0</v>
      </c>
      <c r="T61" s="197">
        <f>IFERROR(__xludf.DUMMYFUNCTION("""COMPUTED_VALUE"""),0.0)</f>
        <v>0</v>
      </c>
      <c r="U61" s="41">
        <f>IFERROR(__xludf.DUMMYFUNCTION("""COMPUTED_VALUE"""),47.0)</f>
        <v>47</v>
      </c>
      <c r="V61" s="197">
        <f>IFERROR(__xludf.DUMMYFUNCTION("""COMPUTED_VALUE"""),47.0)</f>
        <v>47</v>
      </c>
      <c r="W61" s="197">
        <f>IFERROR(__xludf.DUMMYFUNCTION("""COMPUTED_VALUE"""),0.0)</f>
        <v>0</v>
      </c>
      <c r="X61" s="197">
        <f>IFERROR(__xludf.DUMMYFUNCTION("""COMPUTED_VALUE"""),0.0)</f>
        <v>0</v>
      </c>
      <c r="Y61" s="41">
        <f>IFERROR(__xludf.DUMMYFUNCTION("""COMPUTED_VALUE"""),47.0)</f>
        <v>47</v>
      </c>
      <c r="Z61" s="197">
        <f>IFERROR(__xludf.DUMMYFUNCTION("""COMPUTED_VALUE"""),47.0)</f>
        <v>47</v>
      </c>
      <c r="AA61" s="197">
        <f>IFERROR(__xludf.DUMMYFUNCTION("""COMPUTED_VALUE"""),0.0)</f>
        <v>0</v>
      </c>
      <c r="AB61" s="197">
        <f>IFERROR(__xludf.DUMMYFUNCTION("""COMPUTED_VALUE"""),0.0)</f>
        <v>0</v>
      </c>
      <c r="AC61" s="41">
        <f>IFERROR(__xludf.DUMMYFUNCTION("""COMPUTED_VALUE"""),47.0)</f>
        <v>47</v>
      </c>
      <c r="AD61" s="197">
        <f>IFERROR(__xludf.DUMMYFUNCTION("""COMPUTED_VALUE"""),47.0)</f>
        <v>47</v>
      </c>
      <c r="AE61" s="197">
        <f>IFERROR(__xludf.DUMMYFUNCTION("""COMPUTED_VALUE"""),0.0)</f>
        <v>0</v>
      </c>
      <c r="AF61" s="197">
        <f>IFERROR(__xludf.DUMMYFUNCTION("""COMPUTED_VALUE"""),0.0)</f>
        <v>0</v>
      </c>
      <c r="AG61" s="41">
        <f>IFERROR(__xludf.DUMMYFUNCTION("""COMPUTED_VALUE"""),0.0)</f>
        <v>0</v>
      </c>
      <c r="AH61" s="197">
        <f>IFERROR(__xludf.DUMMYFUNCTION("""COMPUTED_VALUE"""),0.0)</f>
        <v>0</v>
      </c>
      <c r="AI61" s="197">
        <f>IFERROR(__xludf.DUMMYFUNCTION("""COMPUTED_VALUE"""),0.0)</f>
        <v>0</v>
      </c>
      <c r="AJ61" s="197">
        <f>IFERROR(__xludf.DUMMYFUNCTION("""COMPUTED_VALUE"""),0.0)</f>
        <v>0</v>
      </c>
      <c r="AK61" s="41">
        <f>IFERROR(__xludf.DUMMYFUNCTION("""COMPUTED_VALUE"""),0.0)</f>
        <v>0</v>
      </c>
      <c r="AL61" s="197">
        <f>IFERROR(__xludf.DUMMYFUNCTION("""COMPUTED_VALUE"""),0.0)</f>
        <v>0</v>
      </c>
      <c r="AM61" s="197">
        <f>IFERROR(__xludf.DUMMYFUNCTION("""COMPUTED_VALUE"""),0.0)</f>
        <v>0</v>
      </c>
      <c r="AN61" s="197">
        <f>IFERROR(__xludf.DUMMYFUNCTION("""COMPUTED_VALUE"""),0.0)</f>
        <v>0</v>
      </c>
      <c r="AO61" s="41">
        <f>IFERROR(__xludf.DUMMYFUNCTION("""COMPUTED_VALUE"""),0.0)</f>
        <v>0</v>
      </c>
      <c r="AP61" s="197">
        <f>IFERROR(__xludf.DUMMYFUNCTION("""COMPUTED_VALUE"""),0.0)</f>
        <v>0</v>
      </c>
      <c r="AQ61" s="197">
        <f>IFERROR(__xludf.DUMMYFUNCTION("""COMPUTED_VALUE"""),0.0)</f>
        <v>0</v>
      </c>
      <c r="AR61" s="197">
        <f>IFERROR(__xludf.DUMMYFUNCTION("""COMPUTED_VALUE"""),0.0)</f>
        <v>0</v>
      </c>
      <c r="AS61" s="41">
        <f>IFERROR(__xludf.DUMMYFUNCTION("""COMPUTED_VALUE"""),0.0)</f>
        <v>0</v>
      </c>
      <c r="AT61" s="197">
        <f>IFERROR(__xludf.DUMMYFUNCTION("""COMPUTED_VALUE"""),0.0)</f>
        <v>0</v>
      </c>
      <c r="AU61" s="197">
        <f>IFERROR(__xludf.DUMMYFUNCTION("""COMPUTED_VALUE"""),0.0)</f>
        <v>0</v>
      </c>
      <c r="AV61" s="197">
        <f>IFERROR(__xludf.DUMMYFUNCTION("""COMPUTED_VALUE"""),0.0)</f>
        <v>0</v>
      </c>
      <c r="AW61" s="41">
        <f>IFERROR(__xludf.DUMMYFUNCTION("""COMPUTED_VALUE"""),0.0)</f>
        <v>0</v>
      </c>
      <c r="AX61" s="197">
        <f>IFERROR(__xludf.DUMMYFUNCTION("""COMPUTED_VALUE"""),0.0)</f>
        <v>0</v>
      </c>
      <c r="AY61" s="197">
        <f>IFERROR(__xludf.DUMMYFUNCTION("""COMPUTED_VALUE"""),0.0)</f>
        <v>0</v>
      </c>
      <c r="AZ61" s="198">
        <f>IFERROR(__xludf.DUMMYFUNCTION("""COMPUTED_VALUE"""),0.0)</f>
        <v>0</v>
      </c>
      <c r="BA61" s="195"/>
    </row>
    <row r="62" ht="15.75" customHeight="1">
      <c r="A62" s="29"/>
      <c r="B62" s="67" t="str">
        <f>IFERROR(__xludf.DUMMYFUNCTION("""COMPUTED_VALUE""")," + Bán kiên cố")</f>
        <v> + Bán kiên cố</v>
      </c>
      <c r="C62" s="31"/>
      <c r="D62" s="31" t="str">
        <f>IFERROR(__xludf.DUMMYFUNCTION("""COMPUTED_VALUE"""),"""")</f>
        <v>"</v>
      </c>
      <c r="E62" s="41">
        <f>IFERROR(__xludf.DUMMYFUNCTION("""COMPUTED_VALUE"""),5.0)</f>
        <v>5</v>
      </c>
      <c r="F62" s="197">
        <f>IFERROR(__xludf.DUMMYFUNCTION("""COMPUTED_VALUE"""),5.0)</f>
        <v>5</v>
      </c>
      <c r="G62" s="197">
        <f>IFERROR(__xludf.DUMMYFUNCTION("""COMPUTED_VALUE"""),0.0)</f>
        <v>0</v>
      </c>
      <c r="H62" s="197">
        <f>IFERROR(__xludf.DUMMYFUNCTION("""COMPUTED_VALUE"""),0.0)</f>
        <v>0</v>
      </c>
      <c r="I62" s="41">
        <f>IFERROR(__xludf.DUMMYFUNCTION("""COMPUTED_VALUE"""),4.0)</f>
        <v>4</v>
      </c>
      <c r="J62" s="197">
        <f>IFERROR(__xludf.DUMMYFUNCTION("""COMPUTED_VALUE"""),4.0)</f>
        <v>4</v>
      </c>
      <c r="K62" s="197">
        <f>IFERROR(__xludf.DUMMYFUNCTION("""COMPUTED_VALUE"""),0.0)</f>
        <v>0</v>
      </c>
      <c r="L62" s="197">
        <f>IFERROR(__xludf.DUMMYFUNCTION("""COMPUTED_VALUE"""),0.0)</f>
        <v>0</v>
      </c>
      <c r="M62" s="41">
        <f>IFERROR(__xludf.DUMMYFUNCTION("""COMPUTED_VALUE"""),4.0)</f>
        <v>4</v>
      </c>
      <c r="N62" s="197">
        <f>IFERROR(__xludf.DUMMYFUNCTION("""COMPUTED_VALUE"""),4.0)</f>
        <v>4</v>
      </c>
      <c r="O62" s="197">
        <f>IFERROR(__xludf.DUMMYFUNCTION("""COMPUTED_VALUE"""),0.0)</f>
        <v>0</v>
      </c>
      <c r="P62" s="197">
        <f>IFERROR(__xludf.DUMMYFUNCTION("""COMPUTED_VALUE"""),0.0)</f>
        <v>0</v>
      </c>
      <c r="Q62" s="41">
        <f>IFERROR(__xludf.DUMMYFUNCTION("""COMPUTED_VALUE"""),0.0)</f>
        <v>0</v>
      </c>
      <c r="R62" s="197">
        <f>IFERROR(__xludf.DUMMYFUNCTION("""COMPUTED_VALUE"""),0.0)</f>
        <v>0</v>
      </c>
      <c r="S62" s="197">
        <f>IFERROR(__xludf.DUMMYFUNCTION("""COMPUTED_VALUE"""),0.0)</f>
        <v>0</v>
      </c>
      <c r="T62" s="197">
        <f>IFERROR(__xludf.DUMMYFUNCTION("""COMPUTED_VALUE"""),0.0)</f>
        <v>0</v>
      </c>
      <c r="U62" s="41">
        <f>IFERROR(__xludf.DUMMYFUNCTION("""COMPUTED_VALUE"""),4.0)</f>
        <v>4</v>
      </c>
      <c r="V62" s="197">
        <f>IFERROR(__xludf.DUMMYFUNCTION("""COMPUTED_VALUE"""),4.0)</f>
        <v>4</v>
      </c>
      <c r="W62" s="197">
        <f>IFERROR(__xludf.DUMMYFUNCTION("""COMPUTED_VALUE"""),0.0)</f>
        <v>0</v>
      </c>
      <c r="X62" s="197">
        <f>IFERROR(__xludf.DUMMYFUNCTION("""COMPUTED_VALUE"""),0.0)</f>
        <v>0</v>
      </c>
      <c r="Y62" s="41">
        <f>IFERROR(__xludf.DUMMYFUNCTION("""COMPUTED_VALUE"""),4.0)</f>
        <v>4</v>
      </c>
      <c r="Z62" s="197">
        <f>IFERROR(__xludf.DUMMYFUNCTION("""COMPUTED_VALUE"""),4.0)</f>
        <v>4</v>
      </c>
      <c r="AA62" s="197">
        <f>IFERROR(__xludf.DUMMYFUNCTION("""COMPUTED_VALUE"""),0.0)</f>
        <v>0</v>
      </c>
      <c r="AB62" s="197">
        <f>IFERROR(__xludf.DUMMYFUNCTION("""COMPUTED_VALUE"""),0.0)</f>
        <v>0</v>
      </c>
      <c r="AC62" s="41">
        <f>IFERROR(__xludf.DUMMYFUNCTION("""COMPUTED_VALUE"""),0.0)</f>
        <v>0</v>
      </c>
      <c r="AD62" s="197">
        <f>IFERROR(__xludf.DUMMYFUNCTION("""COMPUTED_VALUE"""),0.0)</f>
        <v>0</v>
      </c>
      <c r="AE62" s="197">
        <f>IFERROR(__xludf.DUMMYFUNCTION("""COMPUTED_VALUE"""),0.0)</f>
        <v>0</v>
      </c>
      <c r="AF62" s="197">
        <f>IFERROR(__xludf.DUMMYFUNCTION("""COMPUTED_VALUE"""),0.0)</f>
        <v>0</v>
      </c>
      <c r="AG62" s="41">
        <f>IFERROR(__xludf.DUMMYFUNCTION("""COMPUTED_VALUE"""),0.0)</f>
        <v>0</v>
      </c>
      <c r="AH62" s="197">
        <f>IFERROR(__xludf.DUMMYFUNCTION("""COMPUTED_VALUE"""),0.0)</f>
        <v>0</v>
      </c>
      <c r="AI62" s="197">
        <f>IFERROR(__xludf.DUMMYFUNCTION("""COMPUTED_VALUE"""),0.0)</f>
        <v>0</v>
      </c>
      <c r="AJ62" s="197">
        <f>IFERROR(__xludf.DUMMYFUNCTION("""COMPUTED_VALUE"""),0.0)</f>
        <v>0</v>
      </c>
      <c r="AK62" s="41">
        <f>IFERROR(__xludf.DUMMYFUNCTION("""COMPUTED_VALUE"""),0.0)</f>
        <v>0</v>
      </c>
      <c r="AL62" s="197">
        <f>IFERROR(__xludf.DUMMYFUNCTION("""COMPUTED_VALUE"""),0.0)</f>
        <v>0</v>
      </c>
      <c r="AM62" s="197">
        <f>IFERROR(__xludf.DUMMYFUNCTION("""COMPUTED_VALUE"""),0.0)</f>
        <v>0</v>
      </c>
      <c r="AN62" s="197">
        <f>IFERROR(__xludf.DUMMYFUNCTION("""COMPUTED_VALUE"""),0.0)</f>
        <v>0</v>
      </c>
      <c r="AO62" s="41">
        <f>IFERROR(__xludf.DUMMYFUNCTION("""COMPUTED_VALUE"""),0.0)</f>
        <v>0</v>
      </c>
      <c r="AP62" s="197">
        <f>IFERROR(__xludf.DUMMYFUNCTION("""COMPUTED_VALUE"""),0.0)</f>
        <v>0</v>
      </c>
      <c r="AQ62" s="197">
        <f>IFERROR(__xludf.DUMMYFUNCTION("""COMPUTED_VALUE"""),0.0)</f>
        <v>0</v>
      </c>
      <c r="AR62" s="197">
        <f>IFERROR(__xludf.DUMMYFUNCTION("""COMPUTED_VALUE"""),0.0)</f>
        <v>0</v>
      </c>
      <c r="AS62" s="41">
        <f>IFERROR(__xludf.DUMMYFUNCTION("""COMPUTED_VALUE"""),0.0)</f>
        <v>0</v>
      </c>
      <c r="AT62" s="197">
        <f>IFERROR(__xludf.DUMMYFUNCTION("""COMPUTED_VALUE"""),0.0)</f>
        <v>0</v>
      </c>
      <c r="AU62" s="197">
        <f>IFERROR(__xludf.DUMMYFUNCTION("""COMPUTED_VALUE"""),0.0)</f>
        <v>0</v>
      </c>
      <c r="AV62" s="197">
        <f>IFERROR(__xludf.DUMMYFUNCTION("""COMPUTED_VALUE"""),0.0)</f>
        <v>0</v>
      </c>
      <c r="AW62" s="41">
        <f>IFERROR(__xludf.DUMMYFUNCTION("""COMPUTED_VALUE"""),0.0)</f>
        <v>0</v>
      </c>
      <c r="AX62" s="197">
        <f>IFERROR(__xludf.DUMMYFUNCTION("""COMPUTED_VALUE"""),0.0)</f>
        <v>0</v>
      </c>
      <c r="AY62" s="197">
        <f>IFERROR(__xludf.DUMMYFUNCTION("""COMPUTED_VALUE"""),0.0)</f>
        <v>0</v>
      </c>
      <c r="AZ62" s="198">
        <f>IFERROR(__xludf.DUMMYFUNCTION("""COMPUTED_VALUE"""),0.0)</f>
        <v>0</v>
      </c>
      <c r="BA62" s="195"/>
    </row>
    <row r="63" ht="15.75" customHeight="1">
      <c r="A63" s="29"/>
      <c r="B63" s="67" t="str">
        <f>IFERROR(__xludf.DUMMYFUNCTION("""COMPUTED_VALUE""")," + Tạm")</f>
        <v> + Tạm</v>
      </c>
      <c r="C63" s="31"/>
      <c r="D63" s="31" t="str">
        <f>IFERROR(__xludf.DUMMYFUNCTION("""COMPUTED_VALUE"""),"""")</f>
        <v>"</v>
      </c>
      <c r="E63" s="41">
        <f>IFERROR(__xludf.DUMMYFUNCTION("""COMPUTED_VALUE"""),0.0)</f>
        <v>0</v>
      </c>
      <c r="F63" s="197">
        <f>IFERROR(__xludf.DUMMYFUNCTION("""COMPUTED_VALUE"""),0.0)</f>
        <v>0</v>
      </c>
      <c r="G63" s="197">
        <f>IFERROR(__xludf.DUMMYFUNCTION("""COMPUTED_VALUE"""),0.0)</f>
        <v>0</v>
      </c>
      <c r="H63" s="197">
        <f>IFERROR(__xludf.DUMMYFUNCTION("""COMPUTED_VALUE"""),0.0)</f>
        <v>0</v>
      </c>
      <c r="I63" s="41">
        <f>IFERROR(__xludf.DUMMYFUNCTION("""COMPUTED_VALUE"""),0.0)</f>
        <v>0</v>
      </c>
      <c r="J63" s="197">
        <f>IFERROR(__xludf.DUMMYFUNCTION("""COMPUTED_VALUE"""),0.0)</f>
        <v>0</v>
      </c>
      <c r="K63" s="197">
        <f>IFERROR(__xludf.DUMMYFUNCTION("""COMPUTED_VALUE"""),0.0)</f>
        <v>0</v>
      </c>
      <c r="L63" s="197">
        <f>IFERROR(__xludf.DUMMYFUNCTION("""COMPUTED_VALUE"""),0.0)</f>
        <v>0</v>
      </c>
      <c r="M63" s="41">
        <f>IFERROR(__xludf.DUMMYFUNCTION("""COMPUTED_VALUE"""),0.0)</f>
        <v>0</v>
      </c>
      <c r="N63" s="197">
        <f>IFERROR(__xludf.DUMMYFUNCTION("""COMPUTED_VALUE"""),0.0)</f>
        <v>0</v>
      </c>
      <c r="O63" s="197">
        <f>IFERROR(__xludf.DUMMYFUNCTION("""COMPUTED_VALUE"""),0.0)</f>
        <v>0</v>
      </c>
      <c r="P63" s="197">
        <f>IFERROR(__xludf.DUMMYFUNCTION("""COMPUTED_VALUE"""),0.0)</f>
        <v>0</v>
      </c>
      <c r="Q63" s="41">
        <f>IFERROR(__xludf.DUMMYFUNCTION("""COMPUTED_VALUE"""),0.0)</f>
        <v>0</v>
      </c>
      <c r="R63" s="197">
        <f>IFERROR(__xludf.DUMMYFUNCTION("""COMPUTED_VALUE"""),0.0)</f>
        <v>0</v>
      </c>
      <c r="S63" s="197">
        <f>IFERROR(__xludf.DUMMYFUNCTION("""COMPUTED_VALUE"""),0.0)</f>
        <v>0</v>
      </c>
      <c r="T63" s="197">
        <f>IFERROR(__xludf.DUMMYFUNCTION("""COMPUTED_VALUE"""),0.0)</f>
        <v>0</v>
      </c>
      <c r="U63" s="41">
        <f>IFERROR(__xludf.DUMMYFUNCTION("""COMPUTED_VALUE"""),0.0)</f>
        <v>0</v>
      </c>
      <c r="V63" s="197">
        <f>IFERROR(__xludf.DUMMYFUNCTION("""COMPUTED_VALUE"""),0.0)</f>
        <v>0</v>
      </c>
      <c r="W63" s="197">
        <f>IFERROR(__xludf.DUMMYFUNCTION("""COMPUTED_VALUE"""),0.0)</f>
        <v>0</v>
      </c>
      <c r="X63" s="197">
        <f>IFERROR(__xludf.DUMMYFUNCTION("""COMPUTED_VALUE"""),0.0)</f>
        <v>0</v>
      </c>
      <c r="Y63" s="41">
        <f>IFERROR(__xludf.DUMMYFUNCTION("""COMPUTED_VALUE"""),0.0)</f>
        <v>0</v>
      </c>
      <c r="Z63" s="197">
        <f>IFERROR(__xludf.DUMMYFUNCTION("""COMPUTED_VALUE"""),0.0)</f>
        <v>0</v>
      </c>
      <c r="AA63" s="197">
        <f>IFERROR(__xludf.DUMMYFUNCTION("""COMPUTED_VALUE"""),0.0)</f>
        <v>0</v>
      </c>
      <c r="AB63" s="197">
        <f>IFERROR(__xludf.DUMMYFUNCTION("""COMPUTED_VALUE"""),0.0)</f>
        <v>0</v>
      </c>
      <c r="AC63" s="41">
        <f>IFERROR(__xludf.DUMMYFUNCTION("""COMPUTED_VALUE"""),0.0)</f>
        <v>0</v>
      </c>
      <c r="AD63" s="197">
        <f>IFERROR(__xludf.DUMMYFUNCTION("""COMPUTED_VALUE"""),0.0)</f>
        <v>0</v>
      </c>
      <c r="AE63" s="197">
        <f>IFERROR(__xludf.DUMMYFUNCTION("""COMPUTED_VALUE"""),0.0)</f>
        <v>0</v>
      </c>
      <c r="AF63" s="197">
        <f>IFERROR(__xludf.DUMMYFUNCTION("""COMPUTED_VALUE"""),0.0)</f>
        <v>0</v>
      </c>
      <c r="AG63" s="41">
        <f>IFERROR(__xludf.DUMMYFUNCTION("""COMPUTED_VALUE"""),0.0)</f>
        <v>0</v>
      </c>
      <c r="AH63" s="197">
        <f>IFERROR(__xludf.DUMMYFUNCTION("""COMPUTED_VALUE"""),0.0)</f>
        <v>0</v>
      </c>
      <c r="AI63" s="197">
        <f>IFERROR(__xludf.DUMMYFUNCTION("""COMPUTED_VALUE"""),0.0)</f>
        <v>0</v>
      </c>
      <c r="AJ63" s="197">
        <f>IFERROR(__xludf.DUMMYFUNCTION("""COMPUTED_VALUE"""),0.0)</f>
        <v>0</v>
      </c>
      <c r="AK63" s="41">
        <f>IFERROR(__xludf.DUMMYFUNCTION("""COMPUTED_VALUE"""),0.0)</f>
        <v>0</v>
      </c>
      <c r="AL63" s="197">
        <f>IFERROR(__xludf.DUMMYFUNCTION("""COMPUTED_VALUE"""),0.0)</f>
        <v>0</v>
      </c>
      <c r="AM63" s="197">
        <f>IFERROR(__xludf.DUMMYFUNCTION("""COMPUTED_VALUE"""),0.0)</f>
        <v>0</v>
      </c>
      <c r="AN63" s="197">
        <f>IFERROR(__xludf.DUMMYFUNCTION("""COMPUTED_VALUE"""),0.0)</f>
        <v>0</v>
      </c>
      <c r="AO63" s="41">
        <f>IFERROR(__xludf.DUMMYFUNCTION("""COMPUTED_VALUE"""),0.0)</f>
        <v>0</v>
      </c>
      <c r="AP63" s="197">
        <f>IFERROR(__xludf.DUMMYFUNCTION("""COMPUTED_VALUE"""),0.0)</f>
        <v>0</v>
      </c>
      <c r="AQ63" s="197">
        <f>IFERROR(__xludf.DUMMYFUNCTION("""COMPUTED_VALUE"""),0.0)</f>
        <v>0</v>
      </c>
      <c r="AR63" s="197">
        <f>IFERROR(__xludf.DUMMYFUNCTION("""COMPUTED_VALUE"""),0.0)</f>
        <v>0</v>
      </c>
      <c r="AS63" s="41">
        <f>IFERROR(__xludf.DUMMYFUNCTION("""COMPUTED_VALUE"""),0.0)</f>
        <v>0</v>
      </c>
      <c r="AT63" s="197">
        <f>IFERROR(__xludf.DUMMYFUNCTION("""COMPUTED_VALUE"""),0.0)</f>
        <v>0</v>
      </c>
      <c r="AU63" s="197">
        <f>IFERROR(__xludf.DUMMYFUNCTION("""COMPUTED_VALUE"""),0.0)</f>
        <v>0</v>
      </c>
      <c r="AV63" s="197">
        <f>IFERROR(__xludf.DUMMYFUNCTION("""COMPUTED_VALUE"""),0.0)</f>
        <v>0</v>
      </c>
      <c r="AW63" s="41">
        <f>IFERROR(__xludf.DUMMYFUNCTION("""COMPUTED_VALUE"""),0.0)</f>
        <v>0</v>
      </c>
      <c r="AX63" s="197">
        <f>IFERROR(__xludf.DUMMYFUNCTION("""COMPUTED_VALUE"""),0.0)</f>
        <v>0</v>
      </c>
      <c r="AY63" s="197">
        <f>IFERROR(__xludf.DUMMYFUNCTION("""COMPUTED_VALUE"""),0.0)</f>
        <v>0</v>
      </c>
      <c r="AZ63" s="198">
        <f>IFERROR(__xludf.DUMMYFUNCTION("""COMPUTED_VALUE"""),0.0)</f>
        <v>0</v>
      </c>
      <c r="BA63" s="195"/>
    </row>
    <row r="64" ht="15.75" customHeight="1">
      <c r="A64" s="29"/>
      <c r="B64" s="30" t="str">
        <f>IFERROR(__xludf.DUMMYFUNCTION("""COMPUTED_VALUE"""),"7. KHỐI PHÒNG HỖ TRỢ HỌC TẬP")</f>
        <v>7. KHỐI PHÒNG HỖ TRỢ HỌC TẬP</v>
      </c>
      <c r="C64" s="31" t="str">
        <f>IFERROR(__xludf.DUMMYFUNCTION("""COMPUTED_VALUE"""),"Quí")</f>
        <v>Quí</v>
      </c>
      <c r="D64" s="57" t="str">
        <f>IFERROR(__xludf.DUMMYFUNCTION("""COMPUTED_VALUE"""),"Phòng")</f>
        <v>Phòng</v>
      </c>
      <c r="E64" s="32">
        <f>IFERROR(__xludf.DUMMYFUNCTION("""COMPUTED_VALUE"""),498.0)</f>
        <v>498</v>
      </c>
      <c r="F64" s="32">
        <f>IFERROR(__xludf.DUMMYFUNCTION("""COMPUTED_VALUE"""),498.0)</f>
        <v>498</v>
      </c>
      <c r="G64" s="32">
        <f>IFERROR(__xludf.DUMMYFUNCTION("""COMPUTED_VALUE"""),0.0)</f>
        <v>0</v>
      </c>
      <c r="H64" s="32">
        <f>IFERROR(__xludf.DUMMYFUNCTION("""COMPUTED_VALUE"""),0.0)</f>
        <v>0</v>
      </c>
      <c r="I64" s="32">
        <f>IFERROR(__xludf.DUMMYFUNCTION("""COMPUTED_VALUE"""),492.0)</f>
        <v>492</v>
      </c>
      <c r="J64" s="32">
        <f>IFERROR(__xludf.DUMMYFUNCTION("""COMPUTED_VALUE"""),492.0)</f>
        <v>492</v>
      </c>
      <c r="K64" s="32">
        <f>IFERROR(__xludf.DUMMYFUNCTION("""COMPUTED_VALUE"""),0.0)</f>
        <v>0</v>
      </c>
      <c r="L64" s="32">
        <f>IFERROR(__xludf.DUMMYFUNCTION("""COMPUTED_VALUE"""),0.0)</f>
        <v>0</v>
      </c>
      <c r="M64" s="32">
        <f>IFERROR(__xludf.DUMMYFUNCTION("""COMPUTED_VALUE"""),492.0)</f>
        <v>492</v>
      </c>
      <c r="N64" s="32">
        <f>IFERROR(__xludf.DUMMYFUNCTION("""COMPUTED_VALUE"""),492.0)</f>
        <v>492</v>
      </c>
      <c r="O64" s="32">
        <f>IFERROR(__xludf.DUMMYFUNCTION("""COMPUTED_VALUE"""),0.0)</f>
        <v>0</v>
      </c>
      <c r="P64" s="32">
        <f>IFERROR(__xludf.DUMMYFUNCTION("""COMPUTED_VALUE"""),0.0)</f>
        <v>0</v>
      </c>
      <c r="Q64" s="32">
        <f>IFERROR(__xludf.DUMMYFUNCTION("""COMPUTED_VALUE"""),494.0)</f>
        <v>494</v>
      </c>
      <c r="R64" s="32">
        <f>IFERROR(__xludf.DUMMYFUNCTION("""COMPUTED_VALUE"""),494.0)</f>
        <v>494</v>
      </c>
      <c r="S64" s="32">
        <f>IFERROR(__xludf.DUMMYFUNCTION("""COMPUTED_VALUE"""),0.0)</f>
        <v>0</v>
      </c>
      <c r="T64" s="32">
        <f>IFERROR(__xludf.DUMMYFUNCTION("""COMPUTED_VALUE"""),0.0)</f>
        <v>0</v>
      </c>
      <c r="U64" s="32">
        <f>IFERROR(__xludf.DUMMYFUNCTION("""COMPUTED_VALUE"""),442.0)</f>
        <v>442</v>
      </c>
      <c r="V64" s="32">
        <f>IFERROR(__xludf.DUMMYFUNCTION("""COMPUTED_VALUE"""),442.0)</f>
        <v>442</v>
      </c>
      <c r="W64" s="32">
        <f>IFERROR(__xludf.DUMMYFUNCTION("""COMPUTED_VALUE"""),0.0)</f>
        <v>0</v>
      </c>
      <c r="X64" s="32">
        <f>IFERROR(__xludf.DUMMYFUNCTION("""COMPUTED_VALUE"""),0.0)</f>
        <v>0</v>
      </c>
      <c r="Y64" s="32">
        <f>IFERROR(__xludf.DUMMYFUNCTION("""COMPUTED_VALUE"""),442.0)</f>
        <v>442</v>
      </c>
      <c r="Z64" s="32">
        <f>IFERROR(__xludf.DUMMYFUNCTION("""COMPUTED_VALUE"""),442.0)</f>
        <v>442</v>
      </c>
      <c r="AA64" s="32">
        <f>IFERROR(__xludf.DUMMYFUNCTION("""COMPUTED_VALUE"""),0.0)</f>
        <v>0</v>
      </c>
      <c r="AB64" s="32">
        <f>IFERROR(__xludf.DUMMYFUNCTION("""COMPUTED_VALUE"""),0.0)</f>
        <v>0</v>
      </c>
      <c r="AC64" s="32">
        <f>IFERROR(__xludf.DUMMYFUNCTION("""COMPUTED_VALUE"""),446.0)</f>
        <v>446</v>
      </c>
      <c r="AD64" s="32">
        <f>IFERROR(__xludf.DUMMYFUNCTION("""COMPUTED_VALUE"""),446.0)</f>
        <v>446</v>
      </c>
      <c r="AE64" s="32">
        <f>IFERROR(__xludf.DUMMYFUNCTION("""COMPUTED_VALUE"""),0.0)</f>
        <v>0</v>
      </c>
      <c r="AF64" s="32">
        <f>IFERROR(__xludf.DUMMYFUNCTION("""COMPUTED_VALUE"""),0.0)</f>
        <v>0</v>
      </c>
      <c r="AG64" s="32">
        <f>IFERROR(__xludf.DUMMYFUNCTION("""COMPUTED_VALUE"""),0.0)</f>
        <v>0</v>
      </c>
      <c r="AH64" s="32">
        <f>IFERROR(__xludf.DUMMYFUNCTION("""COMPUTED_VALUE"""),0.0)</f>
        <v>0</v>
      </c>
      <c r="AI64" s="32">
        <f>IFERROR(__xludf.DUMMYFUNCTION("""COMPUTED_VALUE"""),0.0)</f>
        <v>0</v>
      </c>
      <c r="AJ64" s="32">
        <f>IFERROR(__xludf.DUMMYFUNCTION("""COMPUTED_VALUE"""),0.0)</f>
        <v>0</v>
      </c>
      <c r="AK64" s="32">
        <f>IFERROR(__xludf.DUMMYFUNCTION("""COMPUTED_VALUE"""),0.0)</f>
        <v>0</v>
      </c>
      <c r="AL64" s="32">
        <f>IFERROR(__xludf.DUMMYFUNCTION("""COMPUTED_VALUE"""),0.0)</f>
        <v>0</v>
      </c>
      <c r="AM64" s="32">
        <f>IFERROR(__xludf.DUMMYFUNCTION("""COMPUTED_VALUE"""),0.0)</f>
        <v>0</v>
      </c>
      <c r="AN64" s="32">
        <f>IFERROR(__xludf.DUMMYFUNCTION("""COMPUTED_VALUE"""),0.0)</f>
        <v>0</v>
      </c>
      <c r="AO64" s="32">
        <f>IFERROR(__xludf.DUMMYFUNCTION("""COMPUTED_VALUE"""),0.0)</f>
        <v>0</v>
      </c>
      <c r="AP64" s="32">
        <f>IFERROR(__xludf.DUMMYFUNCTION("""COMPUTED_VALUE"""),0.0)</f>
        <v>0</v>
      </c>
      <c r="AQ64" s="32">
        <f>IFERROR(__xludf.DUMMYFUNCTION("""COMPUTED_VALUE"""),0.0)</f>
        <v>0</v>
      </c>
      <c r="AR64" s="32">
        <f>IFERROR(__xludf.DUMMYFUNCTION("""COMPUTED_VALUE"""),0.0)</f>
        <v>0</v>
      </c>
      <c r="AS64" s="32">
        <f>IFERROR(__xludf.DUMMYFUNCTION("""COMPUTED_VALUE"""),0.0)</f>
        <v>0</v>
      </c>
      <c r="AT64" s="32">
        <f>IFERROR(__xludf.DUMMYFUNCTION("""COMPUTED_VALUE"""),0.0)</f>
        <v>0</v>
      </c>
      <c r="AU64" s="32">
        <f>IFERROR(__xludf.DUMMYFUNCTION("""COMPUTED_VALUE"""),0.0)</f>
        <v>0</v>
      </c>
      <c r="AV64" s="32">
        <f>IFERROR(__xludf.DUMMYFUNCTION("""COMPUTED_VALUE"""),0.0)</f>
        <v>0</v>
      </c>
      <c r="AW64" s="32">
        <f>IFERROR(__xludf.DUMMYFUNCTION("""COMPUTED_VALUE"""),0.0)</f>
        <v>0</v>
      </c>
      <c r="AX64" s="32">
        <f>IFERROR(__xludf.DUMMYFUNCTION("""COMPUTED_VALUE"""),0.0)</f>
        <v>0</v>
      </c>
      <c r="AY64" s="32">
        <f>IFERROR(__xludf.DUMMYFUNCTION("""COMPUTED_VALUE"""),0.0)</f>
        <v>0</v>
      </c>
      <c r="AZ64" s="33">
        <f>IFERROR(__xludf.DUMMYFUNCTION("""COMPUTED_VALUE"""),0.0)</f>
        <v>0</v>
      </c>
      <c r="BA64" s="195"/>
    </row>
    <row r="65" ht="15.75" customHeight="1">
      <c r="A65" s="29"/>
      <c r="B65" s="196" t="str">
        <f>IFERROR(__xludf.DUMMYFUNCTION("""COMPUTED_VALUE"""),"7.1. Tổng số thư viện")</f>
        <v>7.1. Tổng số thư viện</v>
      </c>
      <c r="C65" s="57"/>
      <c r="D65" s="57" t="str">
        <f>IFERROR(__xludf.DUMMYFUNCTION("""COMPUTED_VALUE"""),"Phòng")</f>
        <v>Phòng</v>
      </c>
      <c r="E65" s="125">
        <f>IFERROR(__xludf.DUMMYFUNCTION("""COMPUTED_VALUE"""),186.0)</f>
        <v>186</v>
      </c>
      <c r="F65" s="125">
        <f>IFERROR(__xludf.DUMMYFUNCTION("""COMPUTED_VALUE"""),186.0)</f>
        <v>186</v>
      </c>
      <c r="G65" s="125">
        <f>IFERROR(__xludf.DUMMYFUNCTION("""COMPUTED_VALUE"""),0.0)</f>
        <v>0</v>
      </c>
      <c r="H65" s="125">
        <f>IFERROR(__xludf.DUMMYFUNCTION("""COMPUTED_VALUE"""),0.0)</f>
        <v>0</v>
      </c>
      <c r="I65" s="125">
        <f>IFERROR(__xludf.DUMMYFUNCTION("""COMPUTED_VALUE"""),187.0)</f>
        <v>187</v>
      </c>
      <c r="J65" s="125">
        <f>IFERROR(__xludf.DUMMYFUNCTION("""COMPUTED_VALUE"""),187.0)</f>
        <v>187</v>
      </c>
      <c r="K65" s="125">
        <f>IFERROR(__xludf.DUMMYFUNCTION("""COMPUTED_VALUE"""),0.0)</f>
        <v>0</v>
      </c>
      <c r="L65" s="125">
        <f>IFERROR(__xludf.DUMMYFUNCTION("""COMPUTED_VALUE"""),0.0)</f>
        <v>0</v>
      </c>
      <c r="M65" s="125">
        <f>IFERROR(__xludf.DUMMYFUNCTION("""COMPUTED_VALUE"""),187.0)</f>
        <v>187</v>
      </c>
      <c r="N65" s="125">
        <f>IFERROR(__xludf.DUMMYFUNCTION("""COMPUTED_VALUE"""),187.0)</f>
        <v>187</v>
      </c>
      <c r="O65" s="125">
        <f>IFERROR(__xludf.DUMMYFUNCTION("""COMPUTED_VALUE"""),0.0)</f>
        <v>0</v>
      </c>
      <c r="P65" s="125">
        <f>IFERROR(__xludf.DUMMYFUNCTION("""COMPUTED_VALUE"""),0.0)</f>
        <v>0</v>
      </c>
      <c r="Q65" s="125">
        <f>IFERROR(__xludf.DUMMYFUNCTION("""COMPUTED_VALUE"""),188.0)</f>
        <v>188</v>
      </c>
      <c r="R65" s="125">
        <f>IFERROR(__xludf.DUMMYFUNCTION("""COMPUTED_VALUE"""),188.0)</f>
        <v>188</v>
      </c>
      <c r="S65" s="125">
        <f>IFERROR(__xludf.DUMMYFUNCTION("""COMPUTED_VALUE"""),0.0)</f>
        <v>0</v>
      </c>
      <c r="T65" s="125">
        <f>IFERROR(__xludf.DUMMYFUNCTION("""COMPUTED_VALUE"""),0.0)</f>
        <v>0</v>
      </c>
      <c r="U65" s="125">
        <f>IFERROR(__xludf.DUMMYFUNCTION("""COMPUTED_VALUE"""),167.0)</f>
        <v>167</v>
      </c>
      <c r="V65" s="125">
        <f>IFERROR(__xludf.DUMMYFUNCTION("""COMPUTED_VALUE"""),167.0)</f>
        <v>167</v>
      </c>
      <c r="W65" s="125">
        <f>IFERROR(__xludf.DUMMYFUNCTION("""COMPUTED_VALUE"""),0.0)</f>
        <v>0</v>
      </c>
      <c r="X65" s="125">
        <f>IFERROR(__xludf.DUMMYFUNCTION("""COMPUTED_VALUE"""),0.0)</f>
        <v>0</v>
      </c>
      <c r="Y65" s="125">
        <f>IFERROR(__xludf.DUMMYFUNCTION("""COMPUTED_VALUE"""),167.0)</f>
        <v>167</v>
      </c>
      <c r="Z65" s="125">
        <f>IFERROR(__xludf.DUMMYFUNCTION("""COMPUTED_VALUE"""),167.0)</f>
        <v>167</v>
      </c>
      <c r="AA65" s="125">
        <f>IFERROR(__xludf.DUMMYFUNCTION("""COMPUTED_VALUE"""),0.0)</f>
        <v>0</v>
      </c>
      <c r="AB65" s="125">
        <f>IFERROR(__xludf.DUMMYFUNCTION("""COMPUTED_VALUE"""),0.0)</f>
        <v>0</v>
      </c>
      <c r="AC65" s="125">
        <f>IFERROR(__xludf.DUMMYFUNCTION("""COMPUTED_VALUE"""),168.0)</f>
        <v>168</v>
      </c>
      <c r="AD65" s="125">
        <f>IFERROR(__xludf.DUMMYFUNCTION("""COMPUTED_VALUE"""),168.0)</f>
        <v>168</v>
      </c>
      <c r="AE65" s="125">
        <f>IFERROR(__xludf.DUMMYFUNCTION("""COMPUTED_VALUE"""),0.0)</f>
        <v>0</v>
      </c>
      <c r="AF65" s="125">
        <f>IFERROR(__xludf.DUMMYFUNCTION("""COMPUTED_VALUE"""),0.0)</f>
        <v>0</v>
      </c>
      <c r="AG65" s="125">
        <f>IFERROR(__xludf.DUMMYFUNCTION("""COMPUTED_VALUE"""),0.0)</f>
        <v>0</v>
      </c>
      <c r="AH65" s="125">
        <f>IFERROR(__xludf.DUMMYFUNCTION("""COMPUTED_VALUE"""),0.0)</f>
        <v>0</v>
      </c>
      <c r="AI65" s="125">
        <f>IFERROR(__xludf.DUMMYFUNCTION("""COMPUTED_VALUE"""),0.0)</f>
        <v>0</v>
      </c>
      <c r="AJ65" s="125">
        <f>IFERROR(__xludf.DUMMYFUNCTION("""COMPUTED_VALUE"""),0.0)</f>
        <v>0</v>
      </c>
      <c r="AK65" s="125">
        <f>IFERROR(__xludf.DUMMYFUNCTION("""COMPUTED_VALUE"""),0.0)</f>
        <v>0</v>
      </c>
      <c r="AL65" s="125">
        <f>IFERROR(__xludf.DUMMYFUNCTION("""COMPUTED_VALUE"""),0.0)</f>
        <v>0</v>
      </c>
      <c r="AM65" s="125">
        <f>IFERROR(__xludf.DUMMYFUNCTION("""COMPUTED_VALUE"""),0.0)</f>
        <v>0</v>
      </c>
      <c r="AN65" s="125">
        <f>IFERROR(__xludf.DUMMYFUNCTION("""COMPUTED_VALUE"""),0.0)</f>
        <v>0</v>
      </c>
      <c r="AO65" s="125">
        <f>IFERROR(__xludf.DUMMYFUNCTION("""COMPUTED_VALUE"""),0.0)</f>
        <v>0</v>
      </c>
      <c r="AP65" s="125">
        <f>IFERROR(__xludf.DUMMYFUNCTION("""COMPUTED_VALUE"""),0.0)</f>
        <v>0</v>
      </c>
      <c r="AQ65" s="125">
        <f>IFERROR(__xludf.DUMMYFUNCTION("""COMPUTED_VALUE"""),0.0)</f>
        <v>0</v>
      </c>
      <c r="AR65" s="125">
        <f>IFERROR(__xludf.DUMMYFUNCTION("""COMPUTED_VALUE"""),0.0)</f>
        <v>0</v>
      </c>
      <c r="AS65" s="125">
        <f>IFERROR(__xludf.DUMMYFUNCTION("""COMPUTED_VALUE"""),0.0)</f>
        <v>0</v>
      </c>
      <c r="AT65" s="125">
        <f>IFERROR(__xludf.DUMMYFUNCTION("""COMPUTED_VALUE"""),0.0)</f>
        <v>0</v>
      </c>
      <c r="AU65" s="125">
        <f>IFERROR(__xludf.DUMMYFUNCTION("""COMPUTED_VALUE"""),0.0)</f>
        <v>0</v>
      </c>
      <c r="AV65" s="125">
        <f>IFERROR(__xludf.DUMMYFUNCTION("""COMPUTED_VALUE"""),0.0)</f>
        <v>0</v>
      </c>
      <c r="AW65" s="125">
        <f>IFERROR(__xludf.DUMMYFUNCTION("""COMPUTED_VALUE"""),0.0)</f>
        <v>0</v>
      </c>
      <c r="AX65" s="125">
        <f>IFERROR(__xludf.DUMMYFUNCTION("""COMPUTED_VALUE"""),0.0)</f>
        <v>0</v>
      </c>
      <c r="AY65" s="125">
        <f>IFERROR(__xludf.DUMMYFUNCTION("""COMPUTED_VALUE"""),0.0)</f>
        <v>0</v>
      </c>
      <c r="AZ65" s="127">
        <f>IFERROR(__xludf.DUMMYFUNCTION("""COMPUTED_VALUE"""),0.0)</f>
        <v>0</v>
      </c>
      <c r="BA65" s="195"/>
    </row>
    <row r="66" ht="15.75" customHeight="1">
      <c r="A66" s="29"/>
      <c r="B66" s="48" t="str">
        <f>IFERROR(__xludf.DUMMYFUNCTION("""COMPUTED_VALUE"""),"Chia ra:")</f>
        <v>Chia ra:</v>
      </c>
      <c r="C66" s="49"/>
      <c r="D66" s="3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50"/>
      <c r="BA66" s="195"/>
    </row>
    <row r="67" ht="15.75" customHeight="1">
      <c r="A67" s="29"/>
      <c r="B67" s="67" t="str">
        <f>IFERROR(__xludf.DUMMYFUNCTION("""COMPUTED_VALUE""")," + Kiên cố")</f>
        <v> + Kiên cố</v>
      </c>
      <c r="C67" s="31"/>
      <c r="D67" s="31" t="str">
        <f>IFERROR(__xludf.DUMMYFUNCTION("""COMPUTED_VALUE"""),"""")</f>
        <v>"</v>
      </c>
      <c r="E67" s="41">
        <f>IFERROR(__xludf.DUMMYFUNCTION("""COMPUTED_VALUE"""),117.0)</f>
        <v>117</v>
      </c>
      <c r="F67" s="197">
        <f>IFERROR(__xludf.DUMMYFUNCTION("""COMPUTED_VALUE"""),117.0)</f>
        <v>117</v>
      </c>
      <c r="G67" s="197">
        <f>IFERROR(__xludf.DUMMYFUNCTION("""COMPUTED_VALUE"""),0.0)</f>
        <v>0</v>
      </c>
      <c r="H67" s="197">
        <f>IFERROR(__xludf.DUMMYFUNCTION("""COMPUTED_VALUE"""),0.0)</f>
        <v>0</v>
      </c>
      <c r="I67" s="41">
        <f>IFERROR(__xludf.DUMMYFUNCTION("""COMPUTED_VALUE"""),116.0)</f>
        <v>116</v>
      </c>
      <c r="J67" s="197">
        <f>IFERROR(__xludf.DUMMYFUNCTION("""COMPUTED_VALUE"""),116.0)</f>
        <v>116</v>
      </c>
      <c r="K67" s="197">
        <f>IFERROR(__xludf.DUMMYFUNCTION("""COMPUTED_VALUE"""),0.0)</f>
        <v>0</v>
      </c>
      <c r="L67" s="197">
        <f>IFERROR(__xludf.DUMMYFUNCTION("""COMPUTED_VALUE"""),0.0)</f>
        <v>0</v>
      </c>
      <c r="M67" s="41">
        <f>IFERROR(__xludf.DUMMYFUNCTION("""COMPUTED_VALUE"""),116.0)</f>
        <v>116</v>
      </c>
      <c r="N67" s="197">
        <f>IFERROR(__xludf.DUMMYFUNCTION("""COMPUTED_VALUE"""),116.0)</f>
        <v>116</v>
      </c>
      <c r="O67" s="197">
        <f>IFERROR(__xludf.DUMMYFUNCTION("""COMPUTED_VALUE"""),0.0)</f>
        <v>0</v>
      </c>
      <c r="P67" s="197">
        <f>IFERROR(__xludf.DUMMYFUNCTION("""COMPUTED_VALUE"""),0.0)</f>
        <v>0</v>
      </c>
      <c r="Q67" s="41">
        <f>IFERROR(__xludf.DUMMYFUNCTION("""COMPUTED_VALUE"""),118.0)</f>
        <v>118</v>
      </c>
      <c r="R67" s="197">
        <f>IFERROR(__xludf.DUMMYFUNCTION("""COMPUTED_VALUE"""),118.0)</f>
        <v>118</v>
      </c>
      <c r="S67" s="197">
        <f>IFERROR(__xludf.DUMMYFUNCTION("""COMPUTED_VALUE"""),0.0)</f>
        <v>0</v>
      </c>
      <c r="T67" s="197">
        <f>IFERROR(__xludf.DUMMYFUNCTION("""COMPUTED_VALUE"""),0.0)</f>
        <v>0</v>
      </c>
      <c r="U67" s="41">
        <f>IFERROR(__xludf.DUMMYFUNCTION("""COMPUTED_VALUE"""),118.0)</f>
        <v>118</v>
      </c>
      <c r="V67" s="197">
        <f>IFERROR(__xludf.DUMMYFUNCTION("""COMPUTED_VALUE"""),118.0)</f>
        <v>118</v>
      </c>
      <c r="W67" s="197">
        <f>IFERROR(__xludf.DUMMYFUNCTION("""COMPUTED_VALUE"""),0.0)</f>
        <v>0</v>
      </c>
      <c r="X67" s="197">
        <f>IFERROR(__xludf.DUMMYFUNCTION("""COMPUTED_VALUE"""),0.0)</f>
        <v>0</v>
      </c>
      <c r="Y67" s="41">
        <f>IFERROR(__xludf.DUMMYFUNCTION("""COMPUTED_VALUE"""),118.0)</f>
        <v>118</v>
      </c>
      <c r="Z67" s="197">
        <f>IFERROR(__xludf.DUMMYFUNCTION("""COMPUTED_VALUE"""),118.0)</f>
        <v>118</v>
      </c>
      <c r="AA67" s="197">
        <f>IFERROR(__xludf.DUMMYFUNCTION("""COMPUTED_VALUE"""),0.0)</f>
        <v>0</v>
      </c>
      <c r="AB67" s="197">
        <f>IFERROR(__xludf.DUMMYFUNCTION("""COMPUTED_VALUE"""),0.0)</f>
        <v>0</v>
      </c>
      <c r="AC67" s="41">
        <f>IFERROR(__xludf.DUMMYFUNCTION("""COMPUTED_VALUE"""),119.0)</f>
        <v>119</v>
      </c>
      <c r="AD67" s="197">
        <f>IFERROR(__xludf.DUMMYFUNCTION("""COMPUTED_VALUE"""),119.0)</f>
        <v>119</v>
      </c>
      <c r="AE67" s="197">
        <f>IFERROR(__xludf.DUMMYFUNCTION("""COMPUTED_VALUE"""),0.0)</f>
        <v>0</v>
      </c>
      <c r="AF67" s="197">
        <f>IFERROR(__xludf.DUMMYFUNCTION("""COMPUTED_VALUE"""),0.0)</f>
        <v>0</v>
      </c>
      <c r="AG67" s="41">
        <f>IFERROR(__xludf.DUMMYFUNCTION("""COMPUTED_VALUE"""),0.0)</f>
        <v>0</v>
      </c>
      <c r="AH67" s="197">
        <f>IFERROR(__xludf.DUMMYFUNCTION("""COMPUTED_VALUE"""),0.0)</f>
        <v>0</v>
      </c>
      <c r="AI67" s="197">
        <f>IFERROR(__xludf.DUMMYFUNCTION("""COMPUTED_VALUE"""),0.0)</f>
        <v>0</v>
      </c>
      <c r="AJ67" s="197">
        <f>IFERROR(__xludf.DUMMYFUNCTION("""COMPUTED_VALUE"""),0.0)</f>
        <v>0</v>
      </c>
      <c r="AK67" s="41">
        <f>IFERROR(__xludf.DUMMYFUNCTION("""COMPUTED_VALUE"""),0.0)</f>
        <v>0</v>
      </c>
      <c r="AL67" s="197">
        <f>IFERROR(__xludf.DUMMYFUNCTION("""COMPUTED_VALUE"""),0.0)</f>
        <v>0</v>
      </c>
      <c r="AM67" s="197">
        <f>IFERROR(__xludf.DUMMYFUNCTION("""COMPUTED_VALUE"""),0.0)</f>
        <v>0</v>
      </c>
      <c r="AN67" s="197">
        <f>IFERROR(__xludf.DUMMYFUNCTION("""COMPUTED_VALUE"""),0.0)</f>
        <v>0</v>
      </c>
      <c r="AO67" s="41">
        <f>IFERROR(__xludf.DUMMYFUNCTION("""COMPUTED_VALUE"""),0.0)</f>
        <v>0</v>
      </c>
      <c r="AP67" s="197">
        <f>IFERROR(__xludf.DUMMYFUNCTION("""COMPUTED_VALUE"""),0.0)</f>
        <v>0</v>
      </c>
      <c r="AQ67" s="197">
        <f>IFERROR(__xludf.DUMMYFUNCTION("""COMPUTED_VALUE"""),0.0)</f>
        <v>0</v>
      </c>
      <c r="AR67" s="197">
        <f>IFERROR(__xludf.DUMMYFUNCTION("""COMPUTED_VALUE"""),0.0)</f>
        <v>0</v>
      </c>
      <c r="AS67" s="41">
        <f>IFERROR(__xludf.DUMMYFUNCTION("""COMPUTED_VALUE"""),0.0)</f>
        <v>0</v>
      </c>
      <c r="AT67" s="197">
        <f>IFERROR(__xludf.DUMMYFUNCTION("""COMPUTED_VALUE"""),0.0)</f>
        <v>0</v>
      </c>
      <c r="AU67" s="197">
        <f>IFERROR(__xludf.DUMMYFUNCTION("""COMPUTED_VALUE"""),0.0)</f>
        <v>0</v>
      </c>
      <c r="AV67" s="197">
        <f>IFERROR(__xludf.DUMMYFUNCTION("""COMPUTED_VALUE"""),0.0)</f>
        <v>0</v>
      </c>
      <c r="AW67" s="41">
        <f>IFERROR(__xludf.DUMMYFUNCTION("""COMPUTED_VALUE"""),0.0)</f>
        <v>0</v>
      </c>
      <c r="AX67" s="197">
        <f>IFERROR(__xludf.DUMMYFUNCTION("""COMPUTED_VALUE"""),0.0)</f>
        <v>0</v>
      </c>
      <c r="AY67" s="197">
        <f>IFERROR(__xludf.DUMMYFUNCTION("""COMPUTED_VALUE"""),0.0)</f>
        <v>0</v>
      </c>
      <c r="AZ67" s="198">
        <f>IFERROR(__xludf.DUMMYFUNCTION("""COMPUTED_VALUE"""),0.0)</f>
        <v>0</v>
      </c>
      <c r="BA67" s="195"/>
    </row>
    <row r="68" ht="15.75" customHeight="1">
      <c r="A68" s="29"/>
      <c r="B68" s="67" t="str">
        <f>IFERROR(__xludf.DUMMYFUNCTION("""COMPUTED_VALUE""")," + Bán kiên cố")</f>
        <v> + Bán kiên cố</v>
      </c>
      <c r="C68" s="31"/>
      <c r="D68" s="31" t="str">
        <f>IFERROR(__xludf.DUMMYFUNCTION("""COMPUTED_VALUE"""),"""")</f>
        <v>"</v>
      </c>
      <c r="E68" s="41">
        <f>IFERROR(__xludf.DUMMYFUNCTION("""COMPUTED_VALUE"""),69.0)</f>
        <v>69</v>
      </c>
      <c r="F68" s="197">
        <f>IFERROR(__xludf.DUMMYFUNCTION("""COMPUTED_VALUE"""),69.0)</f>
        <v>69</v>
      </c>
      <c r="G68" s="197">
        <f>IFERROR(__xludf.DUMMYFUNCTION("""COMPUTED_VALUE"""),0.0)</f>
        <v>0</v>
      </c>
      <c r="H68" s="197">
        <f>IFERROR(__xludf.DUMMYFUNCTION("""COMPUTED_VALUE"""),0.0)</f>
        <v>0</v>
      </c>
      <c r="I68" s="41">
        <f>IFERROR(__xludf.DUMMYFUNCTION("""COMPUTED_VALUE"""),71.0)</f>
        <v>71</v>
      </c>
      <c r="J68" s="197">
        <f>IFERROR(__xludf.DUMMYFUNCTION("""COMPUTED_VALUE"""),71.0)</f>
        <v>71</v>
      </c>
      <c r="K68" s="197">
        <f>IFERROR(__xludf.DUMMYFUNCTION("""COMPUTED_VALUE"""),0.0)</f>
        <v>0</v>
      </c>
      <c r="L68" s="197">
        <f>IFERROR(__xludf.DUMMYFUNCTION("""COMPUTED_VALUE"""),0.0)</f>
        <v>0</v>
      </c>
      <c r="M68" s="41">
        <f>IFERROR(__xludf.DUMMYFUNCTION("""COMPUTED_VALUE"""),71.0)</f>
        <v>71</v>
      </c>
      <c r="N68" s="197">
        <f>IFERROR(__xludf.DUMMYFUNCTION("""COMPUTED_VALUE"""),71.0)</f>
        <v>71</v>
      </c>
      <c r="O68" s="197">
        <f>IFERROR(__xludf.DUMMYFUNCTION("""COMPUTED_VALUE"""),0.0)</f>
        <v>0</v>
      </c>
      <c r="P68" s="197">
        <f>IFERROR(__xludf.DUMMYFUNCTION("""COMPUTED_VALUE"""),0.0)</f>
        <v>0</v>
      </c>
      <c r="Q68" s="41">
        <f>IFERROR(__xludf.DUMMYFUNCTION("""COMPUTED_VALUE"""),70.0)</f>
        <v>70</v>
      </c>
      <c r="R68" s="197">
        <f>IFERROR(__xludf.DUMMYFUNCTION("""COMPUTED_VALUE"""),70.0)</f>
        <v>70</v>
      </c>
      <c r="S68" s="197">
        <f>IFERROR(__xludf.DUMMYFUNCTION("""COMPUTED_VALUE"""),0.0)</f>
        <v>0</v>
      </c>
      <c r="T68" s="197">
        <f>IFERROR(__xludf.DUMMYFUNCTION("""COMPUTED_VALUE"""),0.0)</f>
        <v>0</v>
      </c>
      <c r="U68" s="41">
        <f>IFERROR(__xludf.DUMMYFUNCTION("""COMPUTED_VALUE"""),49.0)</f>
        <v>49</v>
      </c>
      <c r="V68" s="197">
        <f>IFERROR(__xludf.DUMMYFUNCTION("""COMPUTED_VALUE"""),49.0)</f>
        <v>49</v>
      </c>
      <c r="W68" s="197">
        <f>IFERROR(__xludf.DUMMYFUNCTION("""COMPUTED_VALUE"""),0.0)</f>
        <v>0</v>
      </c>
      <c r="X68" s="197">
        <f>IFERROR(__xludf.DUMMYFUNCTION("""COMPUTED_VALUE"""),0.0)</f>
        <v>0</v>
      </c>
      <c r="Y68" s="41">
        <f>IFERROR(__xludf.DUMMYFUNCTION("""COMPUTED_VALUE"""),49.0)</f>
        <v>49</v>
      </c>
      <c r="Z68" s="197">
        <f>IFERROR(__xludf.DUMMYFUNCTION("""COMPUTED_VALUE"""),49.0)</f>
        <v>49</v>
      </c>
      <c r="AA68" s="197">
        <f>IFERROR(__xludf.DUMMYFUNCTION("""COMPUTED_VALUE"""),0.0)</f>
        <v>0</v>
      </c>
      <c r="AB68" s="197">
        <f>IFERROR(__xludf.DUMMYFUNCTION("""COMPUTED_VALUE"""),0.0)</f>
        <v>0</v>
      </c>
      <c r="AC68" s="41">
        <f>IFERROR(__xludf.DUMMYFUNCTION("""COMPUTED_VALUE"""),49.0)</f>
        <v>49</v>
      </c>
      <c r="AD68" s="197">
        <f>IFERROR(__xludf.DUMMYFUNCTION("""COMPUTED_VALUE"""),49.0)</f>
        <v>49</v>
      </c>
      <c r="AE68" s="197">
        <f>IFERROR(__xludf.DUMMYFUNCTION("""COMPUTED_VALUE"""),0.0)</f>
        <v>0</v>
      </c>
      <c r="AF68" s="197">
        <f>IFERROR(__xludf.DUMMYFUNCTION("""COMPUTED_VALUE"""),0.0)</f>
        <v>0</v>
      </c>
      <c r="AG68" s="41">
        <f>IFERROR(__xludf.DUMMYFUNCTION("""COMPUTED_VALUE"""),0.0)</f>
        <v>0</v>
      </c>
      <c r="AH68" s="197">
        <f>IFERROR(__xludf.DUMMYFUNCTION("""COMPUTED_VALUE"""),0.0)</f>
        <v>0</v>
      </c>
      <c r="AI68" s="197">
        <f>IFERROR(__xludf.DUMMYFUNCTION("""COMPUTED_VALUE"""),0.0)</f>
        <v>0</v>
      </c>
      <c r="AJ68" s="197">
        <f>IFERROR(__xludf.DUMMYFUNCTION("""COMPUTED_VALUE"""),0.0)</f>
        <v>0</v>
      </c>
      <c r="AK68" s="41">
        <f>IFERROR(__xludf.DUMMYFUNCTION("""COMPUTED_VALUE"""),0.0)</f>
        <v>0</v>
      </c>
      <c r="AL68" s="197">
        <f>IFERROR(__xludf.DUMMYFUNCTION("""COMPUTED_VALUE"""),0.0)</f>
        <v>0</v>
      </c>
      <c r="AM68" s="197">
        <f>IFERROR(__xludf.DUMMYFUNCTION("""COMPUTED_VALUE"""),0.0)</f>
        <v>0</v>
      </c>
      <c r="AN68" s="197">
        <f>IFERROR(__xludf.DUMMYFUNCTION("""COMPUTED_VALUE"""),0.0)</f>
        <v>0</v>
      </c>
      <c r="AO68" s="41">
        <f>IFERROR(__xludf.DUMMYFUNCTION("""COMPUTED_VALUE"""),0.0)</f>
        <v>0</v>
      </c>
      <c r="AP68" s="197">
        <f>IFERROR(__xludf.DUMMYFUNCTION("""COMPUTED_VALUE"""),0.0)</f>
        <v>0</v>
      </c>
      <c r="AQ68" s="197">
        <f>IFERROR(__xludf.DUMMYFUNCTION("""COMPUTED_VALUE"""),0.0)</f>
        <v>0</v>
      </c>
      <c r="AR68" s="197">
        <f>IFERROR(__xludf.DUMMYFUNCTION("""COMPUTED_VALUE"""),0.0)</f>
        <v>0</v>
      </c>
      <c r="AS68" s="41">
        <f>IFERROR(__xludf.DUMMYFUNCTION("""COMPUTED_VALUE"""),0.0)</f>
        <v>0</v>
      </c>
      <c r="AT68" s="197">
        <f>IFERROR(__xludf.DUMMYFUNCTION("""COMPUTED_VALUE"""),0.0)</f>
        <v>0</v>
      </c>
      <c r="AU68" s="197">
        <f>IFERROR(__xludf.DUMMYFUNCTION("""COMPUTED_VALUE"""),0.0)</f>
        <v>0</v>
      </c>
      <c r="AV68" s="197">
        <f>IFERROR(__xludf.DUMMYFUNCTION("""COMPUTED_VALUE"""),0.0)</f>
        <v>0</v>
      </c>
      <c r="AW68" s="41">
        <f>IFERROR(__xludf.DUMMYFUNCTION("""COMPUTED_VALUE"""),0.0)</f>
        <v>0</v>
      </c>
      <c r="AX68" s="197">
        <f>IFERROR(__xludf.DUMMYFUNCTION("""COMPUTED_VALUE"""),0.0)</f>
        <v>0</v>
      </c>
      <c r="AY68" s="197">
        <f>IFERROR(__xludf.DUMMYFUNCTION("""COMPUTED_VALUE"""),0.0)</f>
        <v>0</v>
      </c>
      <c r="AZ68" s="198">
        <f>IFERROR(__xludf.DUMMYFUNCTION("""COMPUTED_VALUE"""),0.0)</f>
        <v>0</v>
      </c>
      <c r="BA68" s="195"/>
    </row>
    <row r="69" ht="15.75" customHeight="1">
      <c r="A69" s="29"/>
      <c r="B69" s="67" t="str">
        <f>IFERROR(__xludf.DUMMYFUNCTION("""COMPUTED_VALUE""")," + Tạm")</f>
        <v> + Tạm</v>
      </c>
      <c r="C69" s="31"/>
      <c r="D69" s="31" t="str">
        <f>IFERROR(__xludf.DUMMYFUNCTION("""COMPUTED_VALUE"""),"""")</f>
        <v>"</v>
      </c>
      <c r="E69" s="41">
        <f>IFERROR(__xludf.DUMMYFUNCTION("""COMPUTED_VALUE"""),0.0)</f>
        <v>0</v>
      </c>
      <c r="F69" s="197">
        <f>IFERROR(__xludf.DUMMYFUNCTION("""COMPUTED_VALUE"""),0.0)</f>
        <v>0</v>
      </c>
      <c r="G69" s="197">
        <f>IFERROR(__xludf.DUMMYFUNCTION("""COMPUTED_VALUE"""),0.0)</f>
        <v>0</v>
      </c>
      <c r="H69" s="197">
        <f>IFERROR(__xludf.DUMMYFUNCTION("""COMPUTED_VALUE"""),0.0)</f>
        <v>0</v>
      </c>
      <c r="I69" s="41">
        <f>IFERROR(__xludf.DUMMYFUNCTION("""COMPUTED_VALUE"""),0.0)</f>
        <v>0</v>
      </c>
      <c r="J69" s="197">
        <f>IFERROR(__xludf.DUMMYFUNCTION("""COMPUTED_VALUE"""),0.0)</f>
        <v>0</v>
      </c>
      <c r="K69" s="197">
        <f>IFERROR(__xludf.DUMMYFUNCTION("""COMPUTED_VALUE"""),0.0)</f>
        <v>0</v>
      </c>
      <c r="L69" s="197">
        <f>IFERROR(__xludf.DUMMYFUNCTION("""COMPUTED_VALUE"""),0.0)</f>
        <v>0</v>
      </c>
      <c r="M69" s="41">
        <f>IFERROR(__xludf.DUMMYFUNCTION("""COMPUTED_VALUE"""),0.0)</f>
        <v>0</v>
      </c>
      <c r="N69" s="197">
        <f>IFERROR(__xludf.DUMMYFUNCTION("""COMPUTED_VALUE"""),0.0)</f>
        <v>0</v>
      </c>
      <c r="O69" s="197">
        <f>IFERROR(__xludf.DUMMYFUNCTION("""COMPUTED_VALUE"""),0.0)</f>
        <v>0</v>
      </c>
      <c r="P69" s="197">
        <f>IFERROR(__xludf.DUMMYFUNCTION("""COMPUTED_VALUE"""),0.0)</f>
        <v>0</v>
      </c>
      <c r="Q69" s="41">
        <f>IFERROR(__xludf.DUMMYFUNCTION("""COMPUTED_VALUE"""),0.0)</f>
        <v>0</v>
      </c>
      <c r="R69" s="197">
        <f>IFERROR(__xludf.DUMMYFUNCTION("""COMPUTED_VALUE"""),0.0)</f>
        <v>0</v>
      </c>
      <c r="S69" s="197">
        <f>IFERROR(__xludf.DUMMYFUNCTION("""COMPUTED_VALUE"""),0.0)</f>
        <v>0</v>
      </c>
      <c r="T69" s="197">
        <f>IFERROR(__xludf.DUMMYFUNCTION("""COMPUTED_VALUE"""),0.0)</f>
        <v>0</v>
      </c>
      <c r="U69" s="41">
        <f>IFERROR(__xludf.DUMMYFUNCTION("""COMPUTED_VALUE"""),0.0)</f>
        <v>0</v>
      </c>
      <c r="V69" s="197">
        <f>IFERROR(__xludf.DUMMYFUNCTION("""COMPUTED_VALUE"""),0.0)</f>
        <v>0</v>
      </c>
      <c r="W69" s="197">
        <f>IFERROR(__xludf.DUMMYFUNCTION("""COMPUTED_VALUE"""),0.0)</f>
        <v>0</v>
      </c>
      <c r="X69" s="197">
        <f>IFERROR(__xludf.DUMMYFUNCTION("""COMPUTED_VALUE"""),0.0)</f>
        <v>0</v>
      </c>
      <c r="Y69" s="41">
        <f>IFERROR(__xludf.DUMMYFUNCTION("""COMPUTED_VALUE"""),0.0)</f>
        <v>0</v>
      </c>
      <c r="Z69" s="197">
        <f>IFERROR(__xludf.DUMMYFUNCTION("""COMPUTED_VALUE"""),0.0)</f>
        <v>0</v>
      </c>
      <c r="AA69" s="197">
        <f>IFERROR(__xludf.DUMMYFUNCTION("""COMPUTED_VALUE"""),0.0)</f>
        <v>0</v>
      </c>
      <c r="AB69" s="197">
        <f>IFERROR(__xludf.DUMMYFUNCTION("""COMPUTED_VALUE"""),0.0)</f>
        <v>0</v>
      </c>
      <c r="AC69" s="41">
        <f>IFERROR(__xludf.DUMMYFUNCTION("""COMPUTED_VALUE"""),0.0)</f>
        <v>0</v>
      </c>
      <c r="AD69" s="197">
        <f>IFERROR(__xludf.DUMMYFUNCTION("""COMPUTED_VALUE"""),0.0)</f>
        <v>0</v>
      </c>
      <c r="AE69" s="197">
        <f>IFERROR(__xludf.DUMMYFUNCTION("""COMPUTED_VALUE"""),0.0)</f>
        <v>0</v>
      </c>
      <c r="AF69" s="197">
        <f>IFERROR(__xludf.DUMMYFUNCTION("""COMPUTED_VALUE"""),0.0)</f>
        <v>0</v>
      </c>
      <c r="AG69" s="41">
        <f>IFERROR(__xludf.DUMMYFUNCTION("""COMPUTED_VALUE"""),0.0)</f>
        <v>0</v>
      </c>
      <c r="AH69" s="197">
        <f>IFERROR(__xludf.DUMMYFUNCTION("""COMPUTED_VALUE"""),0.0)</f>
        <v>0</v>
      </c>
      <c r="AI69" s="197">
        <f>IFERROR(__xludf.DUMMYFUNCTION("""COMPUTED_VALUE"""),0.0)</f>
        <v>0</v>
      </c>
      <c r="AJ69" s="197">
        <f>IFERROR(__xludf.DUMMYFUNCTION("""COMPUTED_VALUE"""),0.0)</f>
        <v>0</v>
      </c>
      <c r="AK69" s="41">
        <f>IFERROR(__xludf.DUMMYFUNCTION("""COMPUTED_VALUE"""),0.0)</f>
        <v>0</v>
      </c>
      <c r="AL69" s="197">
        <f>IFERROR(__xludf.DUMMYFUNCTION("""COMPUTED_VALUE"""),0.0)</f>
        <v>0</v>
      </c>
      <c r="AM69" s="197">
        <f>IFERROR(__xludf.DUMMYFUNCTION("""COMPUTED_VALUE"""),0.0)</f>
        <v>0</v>
      </c>
      <c r="AN69" s="197">
        <f>IFERROR(__xludf.DUMMYFUNCTION("""COMPUTED_VALUE"""),0.0)</f>
        <v>0</v>
      </c>
      <c r="AO69" s="41">
        <f>IFERROR(__xludf.DUMMYFUNCTION("""COMPUTED_VALUE"""),0.0)</f>
        <v>0</v>
      </c>
      <c r="AP69" s="197">
        <f>IFERROR(__xludf.DUMMYFUNCTION("""COMPUTED_VALUE"""),0.0)</f>
        <v>0</v>
      </c>
      <c r="AQ69" s="197">
        <f>IFERROR(__xludf.DUMMYFUNCTION("""COMPUTED_VALUE"""),0.0)</f>
        <v>0</v>
      </c>
      <c r="AR69" s="197">
        <f>IFERROR(__xludf.DUMMYFUNCTION("""COMPUTED_VALUE"""),0.0)</f>
        <v>0</v>
      </c>
      <c r="AS69" s="41">
        <f>IFERROR(__xludf.DUMMYFUNCTION("""COMPUTED_VALUE"""),0.0)</f>
        <v>0</v>
      </c>
      <c r="AT69" s="197">
        <f>IFERROR(__xludf.DUMMYFUNCTION("""COMPUTED_VALUE"""),0.0)</f>
        <v>0</v>
      </c>
      <c r="AU69" s="197">
        <f>IFERROR(__xludf.DUMMYFUNCTION("""COMPUTED_VALUE"""),0.0)</f>
        <v>0</v>
      </c>
      <c r="AV69" s="197">
        <f>IFERROR(__xludf.DUMMYFUNCTION("""COMPUTED_VALUE"""),0.0)</f>
        <v>0</v>
      </c>
      <c r="AW69" s="41">
        <f>IFERROR(__xludf.DUMMYFUNCTION("""COMPUTED_VALUE"""),0.0)</f>
        <v>0</v>
      </c>
      <c r="AX69" s="197">
        <f>IFERROR(__xludf.DUMMYFUNCTION("""COMPUTED_VALUE"""),0.0)</f>
        <v>0</v>
      </c>
      <c r="AY69" s="197">
        <f>IFERROR(__xludf.DUMMYFUNCTION("""COMPUTED_VALUE"""),0.0)</f>
        <v>0</v>
      </c>
      <c r="AZ69" s="198">
        <f>IFERROR(__xludf.DUMMYFUNCTION("""COMPUTED_VALUE"""),0.0)</f>
        <v>0</v>
      </c>
      <c r="BA69" s="195"/>
    </row>
    <row r="70" ht="15.75" customHeight="1">
      <c r="A70" s="29"/>
      <c r="B70" s="196" t="str">
        <f>IFERROR(__xludf.DUMMYFUNCTION("""COMPUTED_VALUE"""),"7.2. Tổng số phòng thiết bị")</f>
        <v>7.2. Tổng số phòng thiết bị</v>
      </c>
      <c r="C70" s="57"/>
      <c r="D70" s="57" t="str">
        <f>IFERROR(__xludf.DUMMYFUNCTION("""COMPUTED_VALUE"""),"Phòng")</f>
        <v>Phòng</v>
      </c>
      <c r="E70" s="125">
        <f>IFERROR(__xludf.DUMMYFUNCTION("""COMPUTED_VALUE"""),140.0)</f>
        <v>140</v>
      </c>
      <c r="F70" s="125">
        <f>IFERROR(__xludf.DUMMYFUNCTION("""COMPUTED_VALUE"""),140.0)</f>
        <v>140</v>
      </c>
      <c r="G70" s="125">
        <f>IFERROR(__xludf.DUMMYFUNCTION("""COMPUTED_VALUE"""),0.0)</f>
        <v>0</v>
      </c>
      <c r="H70" s="125">
        <f>IFERROR(__xludf.DUMMYFUNCTION("""COMPUTED_VALUE"""),0.0)</f>
        <v>0</v>
      </c>
      <c r="I70" s="125">
        <f>IFERROR(__xludf.DUMMYFUNCTION("""COMPUTED_VALUE"""),140.0)</f>
        <v>140</v>
      </c>
      <c r="J70" s="125">
        <f>IFERROR(__xludf.DUMMYFUNCTION("""COMPUTED_VALUE"""),140.0)</f>
        <v>140</v>
      </c>
      <c r="K70" s="125">
        <f>IFERROR(__xludf.DUMMYFUNCTION("""COMPUTED_VALUE"""),0.0)</f>
        <v>0</v>
      </c>
      <c r="L70" s="125">
        <f>IFERROR(__xludf.DUMMYFUNCTION("""COMPUTED_VALUE"""),0.0)</f>
        <v>0</v>
      </c>
      <c r="M70" s="125">
        <f>IFERROR(__xludf.DUMMYFUNCTION("""COMPUTED_VALUE"""),140.0)</f>
        <v>140</v>
      </c>
      <c r="N70" s="125">
        <f>IFERROR(__xludf.DUMMYFUNCTION("""COMPUTED_VALUE"""),140.0)</f>
        <v>140</v>
      </c>
      <c r="O70" s="125">
        <f>IFERROR(__xludf.DUMMYFUNCTION("""COMPUTED_VALUE"""),0.0)</f>
        <v>0</v>
      </c>
      <c r="P70" s="125">
        <f>IFERROR(__xludf.DUMMYFUNCTION("""COMPUTED_VALUE"""),0.0)</f>
        <v>0</v>
      </c>
      <c r="Q70" s="125">
        <f>IFERROR(__xludf.DUMMYFUNCTION("""COMPUTED_VALUE"""),140.0)</f>
        <v>140</v>
      </c>
      <c r="R70" s="125">
        <f>IFERROR(__xludf.DUMMYFUNCTION("""COMPUTED_VALUE"""),140.0)</f>
        <v>140</v>
      </c>
      <c r="S70" s="125">
        <f>IFERROR(__xludf.DUMMYFUNCTION("""COMPUTED_VALUE"""),0.0)</f>
        <v>0</v>
      </c>
      <c r="T70" s="125">
        <f>IFERROR(__xludf.DUMMYFUNCTION("""COMPUTED_VALUE"""),0.0)</f>
        <v>0</v>
      </c>
      <c r="U70" s="125">
        <f>IFERROR(__xludf.DUMMYFUNCTION("""COMPUTED_VALUE"""),126.0)</f>
        <v>126</v>
      </c>
      <c r="V70" s="125">
        <f>IFERROR(__xludf.DUMMYFUNCTION("""COMPUTED_VALUE"""),126.0)</f>
        <v>126</v>
      </c>
      <c r="W70" s="125">
        <f>IFERROR(__xludf.DUMMYFUNCTION("""COMPUTED_VALUE"""),0.0)</f>
        <v>0</v>
      </c>
      <c r="X70" s="125">
        <f>IFERROR(__xludf.DUMMYFUNCTION("""COMPUTED_VALUE"""),0.0)</f>
        <v>0</v>
      </c>
      <c r="Y70" s="125">
        <f>IFERROR(__xludf.DUMMYFUNCTION("""COMPUTED_VALUE"""),126.0)</f>
        <v>126</v>
      </c>
      <c r="Z70" s="125">
        <f>IFERROR(__xludf.DUMMYFUNCTION("""COMPUTED_VALUE"""),126.0)</f>
        <v>126</v>
      </c>
      <c r="AA70" s="125">
        <f>IFERROR(__xludf.DUMMYFUNCTION("""COMPUTED_VALUE"""),0.0)</f>
        <v>0</v>
      </c>
      <c r="AB70" s="125">
        <f>IFERROR(__xludf.DUMMYFUNCTION("""COMPUTED_VALUE"""),0.0)</f>
        <v>0</v>
      </c>
      <c r="AC70" s="125">
        <f>IFERROR(__xludf.DUMMYFUNCTION("""COMPUTED_VALUE"""),127.0)</f>
        <v>127</v>
      </c>
      <c r="AD70" s="125">
        <f>IFERROR(__xludf.DUMMYFUNCTION("""COMPUTED_VALUE"""),127.0)</f>
        <v>127</v>
      </c>
      <c r="AE70" s="125">
        <f>IFERROR(__xludf.DUMMYFUNCTION("""COMPUTED_VALUE"""),0.0)</f>
        <v>0</v>
      </c>
      <c r="AF70" s="125">
        <f>IFERROR(__xludf.DUMMYFUNCTION("""COMPUTED_VALUE"""),0.0)</f>
        <v>0</v>
      </c>
      <c r="AG70" s="125">
        <f>IFERROR(__xludf.DUMMYFUNCTION("""COMPUTED_VALUE"""),0.0)</f>
        <v>0</v>
      </c>
      <c r="AH70" s="125">
        <f>IFERROR(__xludf.DUMMYFUNCTION("""COMPUTED_VALUE"""),0.0)</f>
        <v>0</v>
      </c>
      <c r="AI70" s="125">
        <f>IFERROR(__xludf.DUMMYFUNCTION("""COMPUTED_VALUE"""),0.0)</f>
        <v>0</v>
      </c>
      <c r="AJ70" s="125">
        <f>IFERROR(__xludf.DUMMYFUNCTION("""COMPUTED_VALUE"""),0.0)</f>
        <v>0</v>
      </c>
      <c r="AK70" s="125">
        <f>IFERROR(__xludf.DUMMYFUNCTION("""COMPUTED_VALUE"""),0.0)</f>
        <v>0</v>
      </c>
      <c r="AL70" s="125">
        <f>IFERROR(__xludf.DUMMYFUNCTION("""COMPUTED_VALUE"""),0.0)</f>
        <v>0</v>
      </c>
      <c r="AM70" s="125">
        <f>IFERROR(__xludf.DUMMYFUNCTION("""COMPUTED_VALUE"""),0.0)</f>
        <v>0</v>
      </c>
      <c r="AN70" s="125">
        <f>IFERROR(__xludf.DUMMYFUNCTION("""COMPUTED_VALUE"""),0.0)</f>
        <v>0</v>
      </c>
      <c r="AO70" s="125">
        <f>IFERROR(__xludf.DUMMYFUNCTION("""COMPUTED_VALUE"""),0.0)</f>
        <v>0</v>
      </c>
      <c r="AP70" s="125">
        <f>IFERROR(__xludf.DUMMYFUNCTION("""COMPUTED_VALUE"""),0.0)</f>
        <v>0</v>
      </c>
      <c r="AQ70" s="125">
        <f>IFERROR(__xludf.DUMMYFUNCTION("""COMPUTED_VALUE"""),0.0)</f>
        <v>0</v>
      </c>
      <c r="AR70" s="125">
        <f>IFERROR(__xludf.DUMMYFUNCTION("""COMPUTED_VALUE"""),0.0)</f>
        <v>0</v>
      </c>
      <c r="AS70" s="125">
        <f>IFERROR(__xludf.DUMMYFUNCTION("""COMPUTED_VALUE"""),0.0)</f>
        <v>0</v>
      </c>
      <c r="AT70" s="125">
        <f>IFERROR(__xludf.DUMMYFUNCTION("""COMPUTED_VALUE"""),0.0)</f>
        <v>0</v>
      </c>
      <c r="AU70" s="125">
        <f>IFERROR(__xludf.DUMMYFUNCTION("""COMPUTED_VALUE"""),0.0)</f>
        <v>0</v>
      </c>
      <c r="AV70" s="125">
        <f>IFERROR(__xludf.DUMMYFUNCTION("""COMPUTED_VALUE"""),0.0)</f>
        <v>0</v>
      </c>
      <c r="AW70" s="125">
        <f>IFERROR(__xludf.DUMMYFUNCTION("""COMPUTED_VALUE"""),0.0)</f>
        <v>0</v>
      </c>
      <c r="AX70" s="125">
        <f>IFERROR(__xludf.DUMMYFUNCTION("""COMPUTED_VALUE"""),0.0)</f>
        <v>0</v>
      </c>
      <c r="AY70" s="125">
        <f>IFERROR(__xludf.DUMMYFUNCTION("""COMPUTED_VALUE"""),0.0)</f>
        <v>0</v>
      </c>
      <c r="AZ70" s="127">
        <f>IFERROR(__xludf.DUMMYFUNCTION("""COMPUTED_VALUE"""),0.0)</f>
        <v>0</v>
      </c>
      <c r="BA70" s="195"/>
    </row>
    <row r="71" ht="15.75" customHeight="1">
      <c r="A71" s="29"/>
      <c r="B71" s="48" t="str">
        <f>IFERROR(__xludf.DUMMYFUNCTION("""COMPUTED_VALUE"""),"Chia ra:")</f>
        <v>Chia ra:</v>
      </c>
      <c r="C71" s="49"/>
      <c r="D71" s="3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50"/>
      <c r="BA71" s="195"/>
    </row>
    <row r="72" ht="15.75" customHeight="1">
      <c r="A72" s="29"/>
      <c r="B72" s="67" t="str">
        <f>IFERROR(__xludf.DUMMYFUNCTION("""COMPUTED_VALUE""")," + Kiên cố")</f>
        <v> + Kiên cố</v>
      </c>
      <c r="C72" s="31"/>
      <c r="D72" s="31" t="str">
        <f>IFERROR(__xludf.DUMMYFUNCTION("""COMPUTED_VALUE"""),"""")</f>
        <v>"</v>
      </c>
      <c r="E72" s="41">
        <f>IFERROR(__xludf.DUMMYFUNCTION("""COMPUTED_VALUE"""),104.0)</f>
        <v>104</v>
      </c>
      <c r="F72" s="197">
        <f>IFERROR(__xludf.DUMMYFUNCTION("""COMPUTED_VALUE"""),104.0)</f>
        <v>104</v>
      </c>
      <c r="G72" s="197">
        <f>IFERROR(__xludf.DUMMYFUNCTION("""COMPUTED_VALUE"""),0.0)</f>
        <v>0</v>
      </c>
      <c r="H72" s="197">
        <f>IFERROR(__xludf.DUMMYFUNCTION("""COMPUTED_VALUE"""),0.0)</f>
        <v>0</v>
      </c>
      <c r="I72" s="41">
        <f>IFERROR(__xludf.DUMMYFUNCTION("""COMPUTED_VALUE"""),104.0)</f>
        <v>104</v>
      </c>
      <c r="J72" s="197">
        <f>IFERROR(__xludf.DUMMYFUNCTION("""COMPUTED_VALUE"""),104.0)</f>
        <v>104</v>
      </c>
      <c r="K72" s="197">
        <f>IFERROR(__xludf.DUMMYFUNCTION("""COMPUTED_VALUE"""),0.0)</f>
        <v>0</v>
      </c>
      <c r="L72" s="197">
        <f>IFERROR(__xludf.DUMMYFUNCTION("""COMPUTED_VALUE"""),0.0)</f>
        <v>0</v>
      </c>
      <c r="M72" s="41">
        <f>IFERROR(__xludf.DUMMYFUNCTION("""COMPUTED_VALUE"""),104.0)</f>
        <v>104</v>
      </c>
      <c r="N72" s="197">
        <f>IFERROR(__xludf.DUMMYFUNCTION("""COMPUTED_VALUE"""),104.0)</f>
        <v>104</v>
      </c>
      <c r="O72" s="197">
        <f>IFERROR(__xludf.DUMMYFUNCTION("""COMPUTED_VALUE"""),0.0)</f>
        <v>0</v>
      </c>
      <c r="P72" s="197">
        <f>IFERROR(__xludf.DUMMYFUNCTION("""COMPUTED_VALUE"""),0.0)</f>
        <v>0</v>
      </c>
      <c r="Q72" s="41">
        <f>IFERROR(__xludf.DUMMYFUNCTION("""COMPUTED_VALUE"""),104.0)</f>
        <v>104</v>
      </c>
      <c r="R72" s="197">
        <f>IFERROR(__xludf.DUMMYFUNCTION("""COMPUTED_VALUE"""),104.0)</f>
        <v>104</v>
      </c>
      <c r="S72" s="197">
        <f>IFERROR(__xludf.DUMMYFUNCTION("""COMPUTED_VALUE"""),0.0)</f>
        <v>0</v>
      </c>
      <c r="T72" s="197">
        <f>IFERROR(__xludf.DUMMYFUNCTION("""COMPUTED_VALUE"""),0.0)</f>
        <v>0</v>
      </c>
      <c r="U72" s="41">
        <f>IFERROR(__xludf.DUMMYFUNCTION("""COMPUTED_VALUE"""),104.0)</f>
        <v>104</v>
      </c>
      <c r="V72" s="197">
        <f>IFERROR(__xludf.DUMMYFUNCTION("""COMPUTED_VALUE"""),104.0)</f>
        <v>104</v>
      </c>
      <c r="W72" s="197">
        <f>IFERROR(__xludf.DUMMYFUNCTION("""COMPUTED_VALUE"""),0.0)</f>
        <v>0</v>
      </c>
      <c r="X72" s="197">
        <f>IFERROR(__xludf.DUMMYFUNCTION("""COMPUTED_VALUE"""),0.0)</f>
        <v>0</v>
      </c>
      <c r="Y72" s="41">
        <f>IFERROR(__xludf.DUMMYFUNCTION("""COMPUTED_VALUE"""),104.0)</f>
        <v>104</v>
      </c>
      <c r="Z72" s="197">
        <f>IFERROR(__xludf.DUMMYFUNCTION("""COMPUTED_VALUE"""),104.0)</f>
        <v>104</v>
      </c>
      <c r="AA72" s="197">
        <f>IFERROR(__xludf.DUMMYFUNCTION("""COMPUTED_VALUE"""),0.0)</f>
        <v>0</v>
      </c>
      <c r="AB72" s="197">
        <f>IFERROR(__xludf.DUMMYFUNCTION("""COMPUTED_VALUE"""),0.0)</f>
        <v>0</v>
      </c>
      <c r="AC72" s="41">
        <f>IFERROR(__xludf.DUMMYFUNCTION("""COMPUTED_VALUE"""),105.0)</f>
        <v>105</v>
      </c>
      <c r="AD72" s="197">
        <f>IFERROR(__xludf.DUMMYFUNCTION("""COMPUTED_VALUE"""),105.0)</f>
        <v>105</v>
      </c>
      <c r="AE72" s="197">
        <f>IFERROR(__xludf.DUMMYFUNCTION("""COMPUTED_VALUE"""),0.0)</f>
        <v>0</v>
      </c>
      <c r="AF72" s="197">
        <f>IFERROR(__xludf.DUMMYFUNCTION("""COMPUTED_VALUE"""),0.0)</f>
        <v>0</v>
      </c>
      <c r="AG72" s="41">
        <f>IFERROR(__xludf.DUMMYFUNCTION("""COMPUTED_VALUE"""),0.0)</f>
        <v>0</v>
      </c>
      <c r="AH72" s="197">
        <f>IFERROR(__xludf.DUMMYFUNCTION("""COMPUTED_VALUE"""),0.0)</f>
        <v>0</v>
      </c>
      <c r="AI72" s="197">
        <f>IFERROR(__xludf.DUMMYFUNCTION("""COMPUTED_VALUE"""),0.0)</f>
        <v>0</v>
      </c>
      <c r="AJ72" s="197">
        <f>IFERROR(__xludf.DUMMYFUNCTION("""COMPUTED_VALUE"""),0.0)</f>
        <v>0</v>
      </c>
      <c r="AK72" s="41">
        <f>IFERROR(__xludf.DUMMYFUNCTION("""COMPUTED_VALUE"""),0.0)</f>
        <v>0</v>
      </c>
      <c r="AL72" s="197">
        <f>IFERROR(__xludf.DUMMYFUNCTION("""COMPUTED_VALUE"""),0.0)</f>
        <v>0</v>
      </c>
      <c r="AM72" s="197">
        <f>IFERROR(__xludf.DUMMYFUNCTION("""COMPUTED_VALUE"""),0.0)</f>
        <v>0</v>
      </c>
      <c r="AN72" s="197">
        <f>IFERROR(__xludf.DUMMYFUNCTION("""COMPUTED_VALUE"""),0.0)</f>
        <v>0</v>
      </c>
      <c r="AO72" s="41">
        <f>IFERROR(__xludf.DUMMYFUNCTION("""COMPUTED_VALUE"""),0.0)</f>
        <v>0</v>
      </c>
      <c r="AP72" s="197">
        <f>IFERROR(__xludf.DUMMYFUNCTION("""COMPUTED_VALUE"""),0.0)</f>
        <v>0</v>
      </c>
      <c r="AQ72" s="197">
        <f>IFERROR(__xludf.DUMMYFUNCTION("""COMPUTED_VALUE"""),0.0)</f>
        <v>0</v>
      </c>
      <c r="AR72" s="197">
        <f>IFERROR(__xludf.DUMMYFUNCTION("""COMPUTED_VALUE"""),0.0)</f>
        <v>0</v>
      </c>
      <c r="AS72" s="41">
        <f>IFERROR(__xludf.DUMMYFUNCTION("""COMPUTED_VALUE"""),0.0)</f>
        <v>0</v>
      </c>
      <c r="AT72" s="197">
        <f>IFERROR(__xludf.DUMMYFUNCTION("""COMPUTED_VALUE"""),0.0)</f>
        <v>0</v>
      </c>
      <c r="AU72" s="197">
        <f>IFERROR(__xludf.DUMMYFUNCTION("""COMPUTED_VALUE"""),0.0)</f>
        <v>0</v>
      </c>
      <c r="AV72" s="197">
        <f>IFERROR(__xludf.DUMMYFUNCTION("""COMPUTED_VALUE"""),0.0)</f>
        <v>0</v>
      </c>
      <c r="AW72" s="41">
        <f>IFERROR(__xludf.DUMMYFUNCTION("""COMPUTED_VALUE"""),0.0)</f>
        <v>0</v>
      </c>
      <c r="AX72" s="197">
        <f>IFERROR(__xludf.DUMMYFUNCTION("""COMPUTED_VALUE"""),0.0)</f>
        <v>0</v>
      </c>
      <c r="AY72" s="197">
        <f>IFERROR(__xludf.DUMMYFUNCTION("""COMPUTED_VALUE"""),0.0)</f>
        <v>0</v>
      </c>
      <c r="AZ72" s="198">
        <f>IFERROR(__xludf.DUMMYFUNCTION("""COMPUTED_VALUE"""),0.0)</f>
        <v>0</v>
      </c>
      <c r="BA72" s="195"/>
    </row>
    <row r="73" ht="15.75" customHeight="1">
      <c r="A73" s="29"/>
      <c r="B73" s="67" t="str">
        <f>IFERROR(__xludf.DUMMYFUNCTION("""COMPUTED_VALUE""")," + Bán kiên cố")</f>
        <v> + Bán kiên cố</v>
      </c>
      <c r="C73" s="31"/>
      <c r="D73" s="31" t="str">
        <f>IFERROR(__xludf.DUMMYFUNCTION("""COMPUTED_VALUE"""),"""")</f>
        <v>"</v>
      </c>
      <c r="E73" s="41">
        <f>IFERROR(__xludf.DUMMYFUNCTION("""COMPUTED_VALUE"""),35.0)</f>
        <v>35</v>
      </c>
      <c r="F73" s="197">
        <f>IFERROR(__xludf.DUMMYFUNCTION("""COMPUTED_VALUE"""),35.0)</f>
        <v>35</v>
      </c>
      <c r="G73" s="197">
        <f>IFERROR(__xludf.DUMMYFUNCTION("""COMPUTED_VALUE"""),0.0)</f>
        <v>0</v>
      </c>
      <c r="H73" s="197">
        <f>IFERROR(__xludf.DUMMYFUNCTION("""COMPUTED_VALUE"""),0.0)</f>
        <v>0</v>
      </c>
      <c r="I73" s="41">
        <f>IFERROR(__xludf.DUMMYFUNCTION("""COMPUTED_VALUE"""),34.0)</f>
        <v>34</v>
      </c>
      <c r="J73" s="197">
        <f>IFERROR(__xludf.DUMMYFUNCTION("""COMPUTED_VALUE"""),34.0)</f>
        <v>34</v>
      </c>
      <c r="K73" s="197">
        <f>IFERROR(__xludf.DUMMYFUNCTION("""COMPUTED_VALUE"""),0.0)</f>
        <v>0</v>
      </c>
      <c r="L73" s="197">
        <f>IFERROR(__xludf.DUMMYFUNCTION("""COMPUTED_VALUE"""),0.0)</f>
        <v>0</v>
      </c>
      <c r="M73" s="41">
        <f>IFERROR(__xludf.DUMMYFUNCTION("""COMPUTED_VALUE"""),34.0)</f>
        <v>34</v>
      </c>
      <c r="N73" s="197">
        <f>IFERROR(__xludf.DUMMYFUNCTION("""COMPUTED_VALUE"""),34.0)</f>
        <v>34</v>
      </c>
      <c r="O73" s="197">
        <f>IFERROR(__xludf.DUMMYFUNCTION("""COMPUTED_VALUE"""),0.0)</f>
        <v>0</v>
      </c>
      <c r="P73" s="197">
        <f>IFERROR(__xludf.DUMMYFUNCTION("""COMPUTED_VALUE"""),0.0)</f>
        <v>0</v>
      </c>
      <c r="Q73" s="41">
        <f>IFERROR(__xludf.DUMMYFUNCTION("""COMPUTED_VALUE"""),34.0)</f>
        <v>34</v>
      </c>
      <c r="R73" s="197">
        <f>IFERROR(__xludf.DUMMYFUNCTION("""COMPUTED_VALUE"""),34.0)</f>
        <v>34</v>
      </c>
      <c r="S73" s="197">
        <f>IFERROR(__xludf.DUMMYFUNCTION("""COMPUTED_VALUE"""),0.0)</f>
        <v>0</v>
      </c>
      <c r="T73" s="197">
        <f>IFERROR(__xludf.DUMMYFUNCTION("""COMPUTED_VALUE"""),0.0)</f>
        <v>0</v>
      </c>
      <c r="U73" s="41">
        <f>IFERROR(__xludf.DUMMYFUNCTION("""COMPUTED_VALUE"""),20.0)</f>
        <v>20</v>
      </c>
      <c r="V73" s="197">
        <f>IFERROR(__xludf.DUMMYFUNCTION("""COMPUTED_VALUE"""),20.0)</f>
        <v>20</v>
      </c>
      <c r="W73" s="197">
        <f>IFERROR(__xludf.DUMMYFUNCTION("""COMPUTED_VALUE"""),0.0)</f>
        <v>0</v>
      </c>
      <c r="X73" s="197">
        <f>IFERROR(__xludf.DUMMYFUNCTION("""COMPUTED_VALUE"""),0.0)</f>
        <v>0</v>
      </c>
      <c r="Y73" s="41">
        <f>IFERROR(__xludf.DUMMYFUNCTION("""COMPUTED_VALUE"""),20.0)</f>
        <v>20</v>
      </c>
      <c r="Z73" s="197">
        <f>IFERROR(__xludf.DUMMYFUNCTION("""COMPUTED_VALUE"""),20.0)</f>
        <v>20</v>
      </c>
      <c r="AA73" s="197">
        <f>IFERROR(__xludf.DUMMYFUNCTION("""COMPUTED_VALUE"""),0.0)</f>
        <v>0</v>
      </c>
      <c r="AB73" s="197">
        <f>IFERROR(__xludf.DUMMYFUNCTION("""COMPUTED_VALUE"""),0.0)</f>
        <v>0</v>
      </c>
      <c r="AC73" s="41">
        <f>IFERROR(__xludf.DUMMYFUNCTION("""COMPUTED_VALUE"""),20.0)</f>
        <v>20</v>
      </c>
      <c r="AD73" s="197">
        <f>IFERROR(__xludf.DUMMYFUNCTION("""COMPUTED_VALUE"""),20.0)</f>
        <v>20</v>
      </c>
      <c r="AE73" s="197">
        <f>IFERROR(__xludf.DUMMYFUNCTION("""COMPUTED_VALUE"""),0.0)</f>
        <v>0</v>
      </c>
      <c r="AF73" s="197">
        <f>IFERROR(__xludf.DUMMYFUNCTION("""COMPUTED_VALUE"""),0.0)</f>
        <v>0</v>
      </c>
      <c r="AG73" s="41">
        <f>IFERROR(__xludf.DUMMYFUNCTION("""COMPUTED_VALUE"""),0.0)</f>
        <v>0</v>
      </c>
      <c r="AH73" s="197">
        <f>IFERROR(__xludf.DUMMYFUNCTION("""COMPUTED_VALUE"""),0.0)</f>
        <v>0</v>
      </c>
      <c r="AI73" s="197">
        <f>IFERROR(__xludf.DUMMYFUNCTION("""COMPUTED_VALUE"""),0.0)</f>
        <v>0</v>
      </c>
      <c r="AJ73" s="197">
        <f>IFERROR(__xludf.DUMMYFUNCTION("""COMPUTED_VALUE"""),0.0)</f>
        <v>0</v>
      </c>
      <c r="AK73" s="41">
        <f>IFERROR(__xludf.DUMMYFUNCTION("""COMPUTED_VALUE"""),0.0)</f>
        <v>0</v>
      </c>
      <c r="AL73" s="197">
        <f>IFERROR(__xludf.DUMMYFUNCTION("""COMPUTED_VALUE"""),0.0)</f>
        <v>0</v>
      </c>
      <c r="AM73" s="197">
        <f>IFERROR(__xludf.DUMMYFUNCTION("""COMPUTED_VALUE"""),0.0)</f>
        <v>0</v>
      </c>
      <c r="AN73" s="197">
        <f>IFERROR(__xludf.DUMMYFUNCTION("""COMPUTED_VALUE"""),0.0)</f>
        <v>0</v>
      </c>
      <c r="AO73" s="41">
        <f>IFERROR(__xludf.DUMMYFUNCTION("""COMPUTED_VALUE"""),0.0)</f>
        <v>0</v>
      </c>
      <c r="AP73" s="197">
        <f>IFERROR(__xludf.DUMMYFUNCTION("""COMPUTED_VALUE"""),0.0)</f>
        <v>0</v>
      </c>
      <c r="AQ73" s="197">
        <f>IFERROR(__xludf.DUMMYFUNCTION("""COMPUTED_VALUE"""),0.0)</f>
        <v>0</v>
      </c>
      <c r="AR73" s="197">
        <f>IFERROR(__xludf.DUMMYFUNCTION("""COMPUTED_VALUE"""),0.0)</f>
        <v>0</v>
      </c>
      <c r="AS73" s="41">
        <f>IFERROR(__xludf.DUMMYFUNCTION("""COMPUTED_VALUE"""),0.0)</f>
        <v>0</v>
      </c>
      <c r="AT73" s="197">
        <f>IFERROR(__xludf.DUMMYFUNCTION("""COMPUTED_VALUE"""),0.0)</f>
        <v>0</v>
      </c>
      <c r="AU73" s="197">
        <f>IFERROR(__xludf.DUMMYFUNCTION("""COMPUTED_VALUE"""),0.0)</f>
        <v>0</v>
      </c>
      <c r="AV73" s="197">
        <f>IFERROR(__xludf.DUMMYFUNCTION("""COMPUTED_VALUE"""),0.0)</f>
        <v>0</v>
      </c>
      <c r="AW73" s="41">
        <f>IFERROR(__xludf.DUMMYFUNCTION("""COMPUTED_VALUE"""),0.0)</f>
        <v>0</v>
      </c>
      <c r="AX73" s="197">
        <f>IFERROR(__xludf.DUMMYFUNCTION("""COMPUTED_VALUE"""),0.0)</f>
        <v>0</v>
      </c>
      <c r="AY73" s="197">
        <f>IFERROR(__xludf.DUMMYFUNCTION("""COMPUTED_VALUE"""),0.0)</f>
        <v>0</v>
      </c>
      <c r="AZ73" s="198">
        <f>IFERROR(__xludf.DUMMYFUNCTION("""COMPUTED_VALUE"""),0.0)</f>
        <v>0</v>
      </c>
      <c r="BA73" s="195"/>
    </row>
    <row r="74" ht="15.75" customHeight="1">
      <c r="A74" s="29"/>
      <c r="B74" s="67" t="str">
        <f>IFERROR(__xludf.DUMMYFUNCTION("""COMPUTED_VALUE""")," + Tạm")</f>
        <v> + Tạm</v>
      </c>
      <c r="C74" s="31"/>
      <c r="D74" s="31" t="str">
        <f>IFERROR(__xludf.DUMMYFUNCTION("""COMPUTED_VALUE"""),"""")</f>
        <v>"</v>
      </c>
      <c r="E74" s="41">
        <f>IFERROR(__xludf.DUMMYFUNCTION("""COMPUTED_VALUE"""),1.0)</f>
        <v>1</v>
      </c>
      <c r="F74" s="197">
        <f>IFERROR(__xludf.DUMMYFUNCTION("""COMPUTED_VALUE"""),1.0)</f>
        <v>1</v>
      </c>
      <c r="G74" s="197">
        <f>IFERROR(__xludf.DUMMYFUNCTION("""COMPUTED_VALUE"""),0.0)</f>
        <v>0</v>
      </c>
      <c r="H74" s="197">
        <f>IFERROR(__xludf.DUMMYFUNCTION("""COMPUTED_VALUE"""),0.0)</f>
        <v>0</v>
      </c>
      <c r="I74" s="41">
        <f>IFERROR(__xludf.DUMMYFUNCTION("""COMPUTED_VALUE"""),2.0)</f>
        <v>2</v>
      </c>
      <c r="J74" s="197">
        <f>IFERROR(__xludf.DUMMYFUNCTION("""COMPUTED_VALUE"""),2.0)</f>
        <v>2</v>
      </c>
      <c r="K74" s="197">
        <f>IFERROR(__xludf.DUMMYFUNCTION("""COMPUTED_VALUE"""),0.0)</f>
        <v>0</v>
      </c>
      <c r="L74" s="197">
        <f>IFERROR(__xludf.DUMMYFUNCTION("""COMPUTED_VALUE"""),0.0)</f>
        <v>0</v>
      </c>
      <c r="M74" s="41">
        <f>IFERROR(__xludf.DUMMYFUNCTION("""COMPUTED_VALUE"""),2.0)</f>
        <v>2</v>
      </c>
      <c r="N74" s="197">
        <f>IFERROR(__xludf.DUMMYFUNCTION("""COMPUTED_VALUE"""),2.0)</f>
        <v>2</v>
      </c>
      <c r="O74" s="197">
        <f>IFERROR(__xludf.DUMMYFUNCTION("""COMPUTED_VALUE"""),0.0)</f>
        <v>0</v>
      </c>
      <c r="P74" s="197">
        <f>IFERROR(__xludf.DUMMYFUNCTION("""COMPUTED_VALUE"""),0.0)</f>
        <v>0</v>
      </c>
      <c r="Q74" s="41">
        <f>IFERROR(__xludf.DUMMYFUNCTION("""COMPUTED_VALUE"""),2.0)</f>
        <v>2</v>
      </c>
      <c r="R74" s="197">
        <f>IFERROR(__xludf.DUMMYFUNCTION("""COMPUTED_VALUE"""),2.0)</f>
        <v>2</v>
      </c>
      <c r="S74" s="197">
        <f>IFERROR(__xludf.DUMMYFUNCTION("""COMPUTED_VALUE"""),0.0)</f>
        <v>0</v>
      </c>
      <c r="T74" s="197">
        <f>IFERROR(__xludf.DUMMYFUNCTION("""COMPUTED_VALUE"""),0.0)</f>
        <v>0</v>
      </c>
      <c r="U74" s="41">
        <f>IFERROR(__xludf.DUMMYFUNCTION("""COMPUTED_VALUE"""),2.0)</f>
        <v>2</v>
      </c>
      <c r="V74" s="197">
        <f>IFERROR(__xludf.DUMMYFUNCTION("""COMPUTED_VALUE"""),2.0)</f>
        <v>2</v>
      </c>
      <c r="W74" s="197">
        <f>IFERROR(__xludf.DUMMYFUNCTION("""COMPUTED_VALUE"""),0.0)</f>
        <v>0</v>
      </c>
      <c r="X74" s="197">
        <f>IFERROR(__xludf.DUMMYFUNCTION("""COMPUTED_VALUE"""),0.0)</f>
        <v>0</v>
      </c>
      <c r="Y74" s="41">
        <f>IFERROR(__xludf.DUMMYFUNCTION("""COMPUTED_VALUE"""),2.0)</f>
        <v>2</v>
      </c>
      <c r="Z74" s="197">
        <f>IFERROR(__xludf.DUMMYFUNCTION("""COMPUTED_VALUE"""),2.0)</f>
        <v>2</v>
      </c>
      <c r="AA74" s="197">
        <f>IFERROR(__xludf.DUMMYFUNCTION("""COMPUTED_VALUE"""),0.0)</f>
        <v>0</v>
      </c>
      <c r="AB74" s="197">
        <f>IFERROR(__xludf.DUMMYFUNCTION("""COMPUTED_VALUE"""),0.0)</f>
        <v>0</v>
      </c>
      <c r="AC74" s="41">
        <f>IFERROR(__xludf.DUMMYFUNCTION("""COMPUTED_VALUE"""),2.0)</f>
        <v>2</v>
      </c>
      <c r="AD74" s="197">
        <f>IFERROR(__xludf.DUMMYFUNCTION("""COMPUTED_VALUE"""),2.0)</f>
        <v>2</v>
      </c>
      <c r="AE74" s="197">
        <f>IFERROR(__xludf.DUMMYFUNCTION("""COMPUTED_VALUE"""),0.0)</f>
        <v>0</v>
      </c>
      <c r="AF74" s="197">
        <f>IFERROR(__xludf.DUMMYFUNCTION("""COMPUTED_VALUE"""),0.0)</f>
        <v>0</v>
      </c>
      <c r="AG74" s="41">
        <f>IFERROR(__xludf.DUMMYFUNCTION("""COMPUTED_VALUE"""),0.0)</f>
        <v>0</v>
      </c>
      <c r="AH74" s="197">
        <f>IFERROR(__xludf.DUMMYFUNCTION("""COMPUTED_VALUE"""),0.0)</f>
        <v>0</v>
      </c>
      <c r="AI74" s="197">
        <f>IFERROR(__xludf.DUMMYFUNCTION("""COMPUTED_VALUE"""),0.0)</f>
        <v>0</v>
      </c>
      <c r="AJ74" s="197">
        <f>IFERROR(__xludf.DUMMYFUNCTION("""COMPUTED_VALUE"""),0.0)</f>
        <v>0</v>
      </c>
      <c r="AK74" s="41">
        <f>IFERROR(__xludf.DUMMYFUNCTION("""COMPUTED_VALUE"""),0.0)</f>
        <v>0</v>
      </c>
      <c r="AL74" s="197">
        <f>IFERROR(__xludf.DUMMYFUNCTION("""COMPUTED_VALUE"""),0.0)</f>
        <v>0</v>
      </c>
      <c r="AM74" s="197">
        <f>IFERROR(__xludf.DUMMYFUNCTION("""COMPUTED_VALUE"""),0.0)</f>
        <v>0</v>
      </c>
      <c r="AN74" s="197">
        <f>IFERROR(__xludf.DUMMYFUNCTION("""COMPUTED_VALUE"""),0.0)</f>
        <v>0</v>
      </c>
      <c r="AO74" s="41">
        <f>IFERROR(__xludf.DUMMYFUNCTION("""COMPUTED_VALUE"""),0.0)</f>
        <v>0</v>
      </c>
      <c r="AP74" s="197">
        <f>IFERROR(__xludf.DUMMYFUNCTION("""COMPUTED_VALUE"""),0.0)</f>
        <v>0</v>
      </c>
      <c r="AQ74" s="197">
        <f>IFERROR(__xludf.DUMMYFUNCTION("""COMPUTED_VALUE"""),0.0)</f>
        <v>0</v>
      </c>
      <c r="AR74" s="197">
        <f>IFERROR(__xludf.DUMMYFUNCTION("""COMPUTED_VALUE"""),0.0)</f>
        <v>0</v>
      </c>
      <c r="AS74" s="41">
        <f>IFERROR(__xludf.DUMMYFUNCTION("""COMPUTED_VALUE"""),0.0)</f>
        <v>0</v>
      </c>
      <c r="AT74" s="197">
        <f>IFERROR(__xludf.DUMMYFUNCTION("""COMPUTED_VALUE"""),0.0)</f>
        <v>0</v>
      </c>
      <c r="AU74" s="197">
        <f>IFERROR(__xludf.DUMMYFUNCTION("""COMPUTED_VALUE"""),0.0)</f>
        <v>0</v>
      </c>
      <c r="AV74" s="197">
        <f>IFERROR(__xludf.DUMMYFUNCTION("""COMPUTED_VALUE"""),0.0)</f>
        <v>0</v>
      </c>
      <c r="AW74" s="41">
        <f>IFERROR(__xludf.DUMMYFUNCTION("""COMPUTED_VALUE"""),0.0)</f>
        <v>0</v>
      </c>
      <c r="AX74" s="197">
        <f>IFERROR(__xludf.DUMMYFUNCTION("""COMPUTED_VALUE"""),0.0)</f>
        <v>0</v>
      </c>
      <c r="AY74" s="197">
        <f>IFERROR(__xludf.DUMMYFUNCTION("""COMPUTED_VALUE"""),0.0)</f>
        <v>0</v>
      </c>
      <c r="AZ74" s="198">
        <f>IFERROR(__xludf.DUMMYFUNCTION("""COMPUTED_VALUE"""),0.0)</f>
        <v>0</v>
      </c>
      <c r="BA74" s="195"/>
    </row>
    <row r="75" ht="15.75" customHeight="1">
      <c r="A75" s="29"/>
      <c r="B75" s="196" t="str">
        <f>IFERROR(__xludf.DUMMYFUNCTION("""COMPUTED_VALUE"""),"7.3. Tổng số phòng y tế")</f>
        <v>7.3. Tổng số phòng y tế</v>
      </c>
      <c r="C75" s="57"/>
      <c r="D75" s="57" t="str">
        <f>IFERROR(__xludf.DUMMYFUNCTION("""COMPUTED_VALUE"""),"Phòng")</f>
        <v>Phòng</v>
      </c>
      <c r="E75" s="125">
        <f>IFERROR(__xludf.DUMMYFUNCTION("""COMPUTED_VALUE"""),161.0)</f>
        <v>161</v>
      </c>
      <c r="F75" s="125">
        <f>IFERROR(__xludf.DUMMYFUNCTION("""COMPUTED_VALUE"""),161.0)</f>
        <v>161</v>
      </c>
      <c r="G75" s="125">
        <f>IFERROR(__xludf.DUMMYFUNCTION("""COMPUTED_VALUE"""),0.0)</f>
        <v>0</v>
      </c>
      <c r="H75" s="125">
        <f>IFERROR(__xludf.DUMMYFUNCTION("""COMPUTED_VALUE"""),0.0)</f>
        <v>0</v>
      </c>
      <c r="I75" s="125">
        <f>IFERROR(__xludf.DUMMYFUNCTION("""COMPUTED_VALUE"""),155.0)</f>
        <v>155</v>
      </c>
      <c r="J75" s="125">
        <f>IFERROR(__xludf.DUMMYFUNCTION("""COMPUTED_VALUE"""),155.0)</f>
        <v>155</v>
      </c>
      <c r="K75" s="125">
        <f>IFERROR(__xludf.DUMMYFUNCTION("""COMPUTED_VALUE"""),0.0)</f>
        <v>0</v>
      </c>
      <c r="L75" s="125">
        <f>IFERROR(__xludf.DUMMYFUNCTION("""COMPUTED_VALUE"""),0.0)</f>
        <v>0</v>
      </c>
      <c r="M75" s="125">
        <f>IFERROR(__xludf.DUMMYFUNCTION("""COMPUTED_VALUE"""),155.0)</f>
        <v>155</v>
      </c>
      <c r="N75" s="125">
        <f>IFERROR(__xludf.DUMMYFUNCTION("""COMPUTED_VALUE"""),155.0)</f>
        <v>155</v>
      </c>
      <c r="O75" s="125">
        <f>IFERROR(__xludf.DUMMYFUNCTION("""COMPUTED_VALUE"""),0.0)</f>
        <v>0</v>
      </c>
      <c r="P75" s="125">
        <f>IFERROR(__xludf.DUMMYFUNCTION("""COMPUTED_VALUE"""),0.0)</f>
        <v>0</v>
      </c>
      <c r="Q75" s="125">
        <f>IFERROR(__xludf.DUMMYFUNCTION("""COMPUTED_VALUE"""),156.0)</f>
        <v>156</v>
      </c>
      <c r="R75" s="125">
        <f>IFERROR(__xludf.DUMMYFUNCTION("""COMPUTED_VALUE"""),156.0)</f>
        <v>156</v>
      </c>
      <c r="S75" s="125">
        <f>IFERROR(__xludf.DUMMYFUNCTION("""COMPUTED_VALUE"""),0.0)</f>
        <v>0</v>
      </c>
      <c r="T75" s="125">
        <f>IFERROR(__xludf.DUMMYFUNCTION("""COMPUTED_VALUE"""),0.0)</f>
        <v>0</v>
      </c>
      <c r="U75" s="125">
        <f>IFERROR(__xludf.DUMMYFUNCTION("""COMPUTED_VALUE"""),140.0)</f>
        <v>140</v>
      </c>
      <c r="V75" s="125">
        <f>IFERROR(__xludf.DUMMYFUNCTION("""COMPUTED_VALUE"""),140.0)</f>
        <v>140</v>
      </c>
      <c r="W75" s="125">
        <f>IFERROR(__xludf.DUMMYFUNCTION("""COMPUTED_VALUE"""),0.0)</f>
        <v>0</v>
      </c>
      <c r="X75" s="125">
        <f>IFERROR(__xludf.DUMMYFUNCTION("""COMPUTED_VALUE"""),0.0)</f>
        <v>0</v>
      </c>
      <c r="Y75" s="125">
        <f>IFERROR(__xludf.DUMMYFUNCTION("""COMPUTED_VALUE"""),140.0)</f>
        <v>140</v>
      </c>
      <c r="Z75" s="125">
        <f>IFERROR(__xludf.DUMMYFUNCTION("""COMPUTED_VALUE"""),140.0)</f>
        <v>140</v>
      </c>
      <c r="AA75" s="125">
        <f>IFERROR(__xludf.DUMMYFUNCTION("""COMPUTED_VALUE"""),0.0)</f>
        <v>0</v>
      </c>
      <c r="AB75" s="125">
        <f>IFERROR(__xludf.DUMMYFUNCTION("""COMPUTED_VALUE"""),0.0)</f>
        <v>0</v>
      </c>
      <c r="AC75" s="125">
        <f>IFERROR(__xludf.DUMMYFUNCTION("""COMPUTED_VALUE"""),142.0)</f>
        <v>142</v>
      </c>
      <c r="AD75" s="125">
        <f>IFERROR(__xludf.DUMMYFUNCTION("""COMPUTED_VALUE"""),142.0)</f>
        <v>142</v>
      </c>
      <c r="AE75" s="125">
        <f>IFERROR(__xludf.DUMMYFUNCTION("""COMPUTED_VALUE"""),0.0)</f>
        <v>0</v>
      </c>
      <c r="AF75" s="125">
        <f>IFERROR(__xludf.DUMMYFUNCTION("""COMPUTED_VALUE"""),0.0)</f>
        <v>0</v>
      </c>
      <c r="AG75" s="125">
        <f>IFERROR(__xludf.DUMMYFUNCTION("""COMPUTED_VALUE"""),0.0)</f>
        <v>0</v>
      </c>
      <c r="AH75" s="125">
        <f>IFERROR(__xludf.DUMMYFUNCTION("""COMPUTED_VALUE"""),0.0)</f>
        <v>0</v>
      </c>
      <c r="AI75" s="125">
        <f>IFERROR(__xludf.DUMMYFUNCTION("""COMPUTED_VALUE"""),0.0)</f>
        <v>0</v>
      </c>
      <c r="AJ75" s="125">
        <f>IFERROR(__xludf.DUMMYFUNCTION("""COMPUTED_VALUE"""),0.0)</f>
        <v>0</v>
      </c>
      <c r="AK75" s="125">
        <f>IFERROR(__xludf.DUMMYFUNCTION("""COMPUTED_VALUE"""),0.0)</f>
        <v>0</v>
      </c>
      <c r="AL75" s="125">
        <f>IFERROR(__xludf.DUMMYFUNCTION("""COMPUTED_VALUE"""),0.0)</f>
        <v>0</v>
      </c>
      <c r="AM75" s="125">
        <f>IFERROR(__xludf.DUMMYFUNCTION("""COMPUTED_VALUE"""),0.0)</f>
        <v>0</v>
      </c>
      <c r="AN75" s="125">
        <f>IFERROR(__xludf.DUMMYFUNCTION("""COMPUTED_VALUE"""),0.0)</f>
        <v>0</v>
      </c>
      <c r="AO75" s="125">
        <f>IFERROR(__xludf.DUMMYFUNCTION("""COMPUTED_VALUE"""),0.0)</f>
        <v>0</v>
      </c>
      <c r="AP75" s="125">
        <f>IFERROR(__xludf.DUMMYFUNCTION("""COMPUTED_VALUE"""),0.0)</f>
        <v>0</v>
      </c>
      <c r="AQ75" s="125">
        <f>IFERROR(__xludf.DUMMYFUNCTION("""COMPUTED_VALUE"""),0.0)</f>
        <v>0</v>
      </c>
      <c r="AR75" s="125">
        <f>IFERROR(__xludf.DUMMYFUNCTION("""COMPUTED_VALUE"""),0.0)</f>
        <v>0</v>
      </c>
      <c r="AS75" s="125">
        <f>IFERROR(__xludf.DUMMYFUNCTION("""COMPUTED_VALUE"""),0.0)</f>
        <v>0</v>
      </c>
      <c r="AT75" s="125">
        <f>IFERROR(__xludf.DUMMYFUNCTION("""COMPUTED_VALUE"""),0.0)</f>
        <v>0</v>
      </c>
      <c r="AU75" s="125">
        <f>IFERROR(__xludf.DUMMYFUNCTION("""COMPUTED_VALUE"""),0.0)</f>
        <v>0</v>
      </c>
      <c r="AV75" s="125">
        <f>IFERROR(__xludf.DUMMYFUNCTION("""COMPUTED_VALUE"""),0.0)</f>
        <v>0</v>
      </c>
      <c r="AW75" s="125">
        <f>IFERROR(__xludf.DUMMYFUNCTION("""COMPUTED_VALUE"""),0.0)</f>
        <v>0</v>
      </c>
      <c r="AX75" s="125">
        <f>IFERROR(__xludf.DUMMYFUNCTION("""COMPUTED_VALUE"""),0.0)</f>
        <v>0</v>
      </c>
      <c r="AY75" s="125">
        <f>IFERROR(__xludf.DUMMYFUNCTION("""COMPUTED_VALUE"""),0.0)</f>
        <v>0</v>
      </c>
      <c r="AZ75" s="127">
        <f>IFERROR(__xludf.DUMMYFUNCTION("""COMPUTED_VALUE"""),0.0)</f>
        <v>0</v>
      </c>
      <c r="BA75" s="195"/>
    </row>
    <row r="76" ht="15.75" customHeight="1">
      <c r="A76" s="29"/>
      <c r="B76" s="48" t="str">
        <f>IFERROR(__xludf.DUMMYFUNCTION("""COMPUTED_VALUE"""),"Chia ra:")</f>
        <v>Chia ra:</v>
      </c>
      <c r="C76" s="49"/>
      <c r="D76" s="3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50"/>
      <c r="BA76" s="195"/>
    </row>
    <row r="77" ht="15.75" customHeight="1">
      <c r="A77" s="29"/>
      <c r="B77" s="67" t="str">
        <f>IFERROR(__xludf.DUMMYFUNCTION("""COMPUTED_VALUE""")," + Kiên cố")</f>
        <v> + Kiên cố</v>
      </c>
      <c r="C77" s="31"/>
      <c r="D77" s="31" t="str">
        <f>IFERROR(__xludf.DUMMYFUNCTION("""COMPUTED_VALUE"""),"""")</f>
        <v>"</v>
      </c>
      <c r="E77" s="41">
        <f>IFERROR(__xludf.DUMMYFUNCTION("""COMPUTED_VALUE"""),127.0)</f>
        <v>127</v>
      </c>
      <c r="F77" s="197">
        <f>IFERROR(__xludf.DUMMYFUNCTION("""COMPUTED_VALUE"""),127.0)</f>
        <v>127</v>
      </c>
      <c r="G77" s="197">
        <f>IFERROR(__xludf.DUMMYFUNCTION("""COMPUTED_VALUE"""),0.0)</f>
        <v>0</v>
      </c>
      <c r="H77" s="197">
        <f>IFERROR(__xludf.DUMMYFUNCTION("""COMPUTED_VALUE"""),0.0)</f>
        <v>0</v>
      </c>
      <c r="I77" s="41">
        <f>IFERROR(__xludf.DUMMYFUNCTION("""COMPUTED_VALUE"""),122.0)</f>
        <v>122</v>
      </c>
      <c r="J77" s="197">
        <f>IFERROR(__xludf.DUMMYFUNCTION("""COMPUTED_VALUE"""),122.0)</f>
        <v>122</v>
      </c>
      <c r="K77" s="197">
        <f>IFERROR(__xludf.DUMMYFUNCTION("""COMPUTED_VALUE"""),0.0)</f>
        <v>0</v>
      </c>
      <c r="L77" s="197">
        <f>IFERROR(__xludf.DUMMYFUNCTION("""COMPUTED_VALUE"""),0.0)</f>
        <v>0</v>
      </c>
      <c r="M77" s="41">
        <f>IFERROR(__xludf.DUMMYFUNCTION("""COMPUTED_VALUE"""),122.0)</f>
        <v>122</v>
      </c>
      <c r="N77" s="197">
        <f>IFERROR(__xludf.DUMMYFUNCTION("""COMPUTED_VALUE"""),122.0)</f>
        <v>122</v>
      </c>
      <c r="O77" s="197">
        <f>IFERROR(__xludf.DUMMYFUNCTION("""COMPUTED_VALUE"""),0.0)</f>
        <v>0</v>
      </c>
      <c r="P77" s="197">
        <f>IFERROR(__xludf.DUMMYFUNCTION("""COMPUTED_VALUE"""),0.0)</f>
        <v>0</v>
      </c>
      <c r="Q77" s="41">
        <f>IFERROR(__xludf.DUMMYFUNCTION("""COMPUTED_VALUE"""),123.0)</f>
        <v>123</v>
      </c>
      <c r="R77" s="197">
        <f>IFERROR(__xludf.DUMMYFUNCTION("""COMPUTED_VALUE"""),123.0)</f>
        <v>123</v>
      </c>
      <c r="S77" s="197">
        <f>IFERROR(__xludf.DUMMYFUNCTION("""COMPUTED_VALUE"""),0.0)</f>
        <v>0</v>
      </c>
      <c r="T77" s="197">
        <f>IFERROR(__xludf.DUMMYFUNCTION("""COMPUTED_VALUE"""),0.0)</f>
        <v>0</v>
      </c>
      <c r="U77" s="41">
        <f>IFERROR(__xludf.DUMMYFUNCTION("""COMPUTED_VALUE"""),107.0)</f>
        <v>107</v>
      </c>
      <c r="V77" s="197">
        <f>IFERROR(__xludf.DUMMYFUNCTION("""COMPUTED_VALUE"""),107.0)</f>
        <v>107</v>
      </c>
      <c r="W77" s="197">
        <f>IFERROR(__xludf.DUMMYFUNCTION("""COMPUTED_VALUE"""),0.0)</f>
        <v>0</v>
      </c>
      <c r="X77" s="197">
        <f>IFERROR(__xludf.DUMMYFUNCTION("""COMPUTED_VALUE"""),0.0)</f>
        <v>0</v>
      </c>
      <c r="Y77" s="41">
        <f>IFERROR(__xludf.DUMMYFUNCTION("""COMPUTED_VALUE"""),107.0)</f>
        <v>107</v>
      </c>
      <c r="Z77" s="197">
        <f>IFERROR(__xludf.DUMMYFUNCTION("""COMPUTED_VALUE"""),107.0)</f>
        <v>107</v>
      </c>
      <c r="AA77" s="197">
        <f>IFERROR(__xludf.DUMMYFUNCTION("""COMPUTED_VALUE"""),0.0)</f>
        <v>0</v>
      </c>
      <c r="AB77" s="197">
        <f>IFERROR(__xludf.DUMMYFUNCTION("""COMPUTED_VALUE"""),0.0)</f>
        <v>0</v>
      </c>
      <c r="AC77" s="41">
        <f>IFERROR(__xludf.DUMMYFUNCTION("""COMPUTED_VALUE"""),108.0)</f>
        <v>108</v>
      </c>
      <c r="AD77" s="197">
        <f>IFERROR(__xludf.DUMMYFUNCTION("""COMPUTED_VALUE"""),108.0)</f>
        <v>108</v>
      </c>
      <c r="AE77" s="197">
        <f>IFERROR(__xludf.DUMMYFUNCTION("""COMPUTED_VALUE"""),0.0)</f>
        <v>0</v>
      </c>
      <c r="AF77" s="197">
        <f>IFERROR(__xludf.DUMMYFUNCTION("""COMPUTED_VALUE"""),0.0)</f>
        <v>0</v>
      </c>
      <c r="AG77" s="41">
        <f>IFERROR(__xludf.DUMMYFUNCTION("""COMPUTED_VALUE"""),0.0)</f>
        <v>0</v>
      </c>
      <c r="AH77" s="197">
        <f>IFERROR(__xludf.DUMMYFUNCTION("""COMPUTED_VALUE"""),0.0)</f>
        <v>0</v>
      </c>
      <c r="AI77" s="197">
        <f>IFERROR(__xludf.DUMMYFUNCTION("""COMPUTED_VALUE"""),0.0)</f>
        <v>0</v>
      </c>
      <c r="AJ77" s="197">
        <f>IFERROR(__xludf.DUMMYFUNCTION("""COMPUTED_VALUE"""),0.0)</f>
        <v>0</v>
      </c>
      <c r="AK77" s="41">
        <f>IFERROR(__xludf.DUMMYFUNCTION("""COMPUTED_VALUE"""),0.0)</f>
        <v>0</v>
      </c>
      <c r="AL77" s="197">
        <f>IFERROR(__xludf.DUMMYFUNCTION("""COMPUTED_VALUE"""),0.0)</f>
        <v>0</v>
      </c>
      <c r="AM77" s="197">
        <f>IFERROR(__xludf.DUMMYFUNCTION("""COMPUTED_VALUE"""),0.0)</f>
        <v>0</v>
      </c>
      <c r="AN77" s="197">
        <f>IFERROR(__xludf.DUMMYFUNCTION("""COMPUTED_VALUE"""),0.0)</f>
        <v>0</v>
      </c>
      <c r="AO77" s="41">
        <f>IFERROR(__xludf.DUMMYFUNCTION("""COMPUTED_VALUE"""),0.0)</f>
        <v>0</v>
      </c>
      <c r="AP77" s="197">
        <f>IFERROR(__xludf.DUMMYFUNCTION("""COMPUTED_VALUE"""),0.0)</f>
        <v>0</v>
      </c>
      <c r="AQ77" s="197">
        <f>IFERROR(__xludf.DUMMYFUNCTION("""COMPUTED_VALUE"""),0.0)</f>
        <v>0</v>
      </c>
      <c r="AR77" s="197">
        <f>IFERROR(__xludf.DUMMYFUNCTION("""COMPUTED_VALUE"""),0.0)</f>
        <v>0</v>
      </c>
      <c r="AS77" s="41">
        <f>IFERROR(__xludf.DUMMYFUNCTION("""COMPUTED_VALUE"""),0.0)</f>
        <v>0</v>
      </c>
      <c r="AT77" s="197">
        <f>IFERROR(__xludf.DUMMYFUNCTION("""COMPUTED_VALUE"""),0.0)</f>
        <v>0</v>
      </c>
      <c r="AU77" s="197">
        <f>IFERROR(__xludf.DUMMYFUNCTION("""COMPUTED_VALUE"""),0.0)</f>
        <v>0</v>
      </c>
      <c r="AV77" s="197">
        <f>IFERROR(__xludf.DUMMYFUNCTION("""COMPUTED_VALUE"""),0.0)</f>
        <v>0</v>
      </c>
      <c r="AW77" s="41">
        <f>IFERROR(__xludf.DUMMYFUNCTION("""COMPUTED_VALUE"""),0.0)</f>
        <v>0</v>
      </c>
      <c r="AX77" s="197">
        <f>IFERROR(__xludf.DUMMYFUNCTION("""COMPUTED_VALUE"""),0.0)</f>
        <v>0</v>
      </c>
      <c r="AY77" s="197">
        <f>IFERROR(__xludf.DUMMYFUNCTION("""COMPUTED_VALUE"""),0.0)</f>
        <v>0</v>
      </c>
      <c r="AZ77" s="198">
        <f>IFERROR(__xludf.DUMMYFUNCTION("""COMPUTED_VALUE"""),0.0)</f>
        <v>0</v>
      </c>
      <c r="BA77" s="195"/>
    </row>
    <row r="78" ht="15.75" customHeight="1">
      <c r="A78" s="29"/>
      <c r="B78" s="67" t="str">
        <f>IFERROR(__xludf.DUMMYFUNCTION("""COMPUTED_VALUE""")," + Bán kiên cố")</f>
        <v> + Bán kiên cố</v>
      </c>
      <c r="C78" s="31"/>
      <c r="D78" s="31" t="str">
        <f>IFERROR(__xludf.DUMMYFUNCTION("""COMPUTED_VALUE"""),"""")</f>
        <v>"</v>
      </c>
      <c r="E78" s="41">
        <f>IFERROR(__xludf.DUMMYFUNCTION("""COMPUTED_VALUE"""),29.0)</f>
        <v>29</v>
      </c>
      <c r="F78" s="197">
        <f>IFERROR(__xludf.DUMMYFUNCTION("""COMPUTED_VALUE"""),29.0)</f>
        <v>29</v>
      </c>
      <c r="G78" s="197">
        <f>IFERROR(__xludf.DUMMYFUNCTION("""COMPUTED_VALUE"""),0.0)</f>
        <v>0</v>
      </c>
      <c r="H78" s="197">
        <f>IFERROR(__xludf.DUMMYFUNCTION("""COMPUTED_VALUE"""),0.0)</f>
        <v>0</v>
      </c>
      <c r="I78" s="41">
        <f>IFERROR(__xludf.DUMMYFUNCTION("""COMPUTED_VALUE"""),29.0)</f>
        <v>29</v>
      </c>
      <c r="J78" s="197">
        <f>IFERROR(__xludf.DUMMYFUNCTION("""COMPUTED_VALUE"""),29.0)</f>
        <v>29</v>
      </c>
      <c r="K78" s="197">
        <f>IFERROR(__xludf.DUMMYFUNCTION("""COMPUTED_VALUE"""),0.0)</f>
        <v>0</v>
      </c>
      <c r="L78" s="197">
        <f>IFERROR(__xludf.DUMMYFUNCTION("""COMPUTED_VALUE"""),0.0)</f>
        <v>0</v>
      </c>
      <c r="M78" s="41">
        <f>IFERROR(__xludf.DUMMYFUNCTION("""COMPUTED_VALUE"""),29.0)</f>
        <v>29</v>
      </c>
      <c r="N78" s="197">
        <f>IFERROR(__xludf.DUMMYFUNCTION("""COMPUTED_VALUE"""),29.0)</f>
        <v>29</v>
      </c>
      <c r="O78" s="197">
        <f>IFERROR(__xludf.DUMMYFUNCTION("""COMPUTED_VALUE"""),0.0)</f>
        <v>0</v>
      </c>
      <c r="P78" s="197">
        <f>IFERROR(__xludf.DUMMYFUNCTION("""COMPUTED_VALUE"""),0.0)</f>
        <v>0</v>
      </c>
      <c r="Q78" s="41">
        <f>IFERROR(__xludf.DUMMYFUNCTION("""COMPUTED_VALUE"""),29.0)</f>
        <v>29</v>
      </c>
      <c r="R78" s="197">
        <f>IFERROR(__xludf.DUMMYFUNCTION("""COMPUTED_VALUE"""),29.0)</f>
        <v>29</v>
      </c>
      <c r="S78" s="197">
        <f>IFERROR(__xludf.DUMMYFUNCTION("""COMPUTED_VALUE"""),0.0)</f>
        <v>0</v>
      </c>
      <c r="T78" s="197">
        <f>IFERROR(__xludf.DUMMYFUNCTION("""COMPUTED_VALUE"""),0.0)</f>
        <v>0</v>
      </c>
      <c r="U78" s="41">
        <f>IFERROR(__xludf.DUMMYFUNCTION("""COMPUTED_VALUE"""),29.0)</f>
        <v>29</v>
      </c>
      <c r="V78" s="197">
        <f>IFERROR(__xludf.DUMMYFUNCTION("""COMPUTED_VALUE"""),29.0)</f>
        <v>29</v>
      </c>
      <c r="W78" s="197">
        <f>IFERROR(__xludf.DUMMYFUNCTION("""COMPUTED_VALUE"""),0.0)</f>
        <v>0</v>
      </c>
      <c r="X78" s="197">
        <f>IFERROR(__xludf.DUMMYFUNCTION("""COMPUTED_VALUE"""),0.0)</f>
        <v>0</v>
      </c>
      <c r="Y78" s="41">
        <f>IFERROR(__xludf.DUMMYFUNCTION("""COMPUTED_VALUE"""),29.0)</f>
        <v>29</v>
      </c>
      <c r="Z78" s="197">
        <f>IFERROR(__xludf.DUMMYFUNCTION("""COMPUTED_VALUE"""),29.0)</f>
        <v>29</v>
      </c>
      <c r="AA78" s="197">
        <f>IFERROR(__xludf.DUMMYFUNCTION("""COMPUTED_VALUE"""),0.0)</f>
        <v>0</v>
      </c>
      <c r="AB78" s="197">
        <f>IFERROR(__xludf.DUMMYFUNCTION("""COMPUTED_VALUE"""),0.0)</f>
        <v>0</v>
      </c>
      <c r="AC78" s="41">
        <f>IFERROR(__xludf.DUMMYFUNCTION("""COMPUTED_VALUE"""),30.0)</f>
        <v>30</v>
      </c>
      <c r="AD78" s="197">
        <f>IFERROR(__xludf.DUMMYFUNCTION("""COMPUTED_VALUE"""),30.0)</f>
        <v>30</v>
      </c>
      <c r="AE78" s="197">
        <f>IFERROR(__xludf.DUMMYFUNCTION("""COMPUTED_VALUE"""),0.0)</f>
        <v>0</v>
      </c>
      <c r="AF78" s="197">
        <f>IFERROR(__xludf.DUMMYFUNCTION("""COMPUTED_VALUE"""),0.0)</f>
        <v>0</v>
      </c>
      <c r="AG78" s="41">
        <f>IFERROR(__xludf.DUMMYFUNCTION("""COMPUTED_VALUE"""),0.0)</f>
        <v>0</v>
      </c>
      <c r="AH78" s="197">
        <f>IFERROR(__xludf.DUMMYFUNCTION("""COMPUTED_VALUE"""),0.0)</f>
        <v>0</v>
      </c>
      <c r="AI78" s="197">
        <f>IFERROR(__xludf.DUMMYFUNCTION("""COMPUTED_VALUE"""),0.0)</f>
        <v>0</v>
      </c>
      <c r="AJ78" s="197">
        <f>IFERROR(__xludf.DUMMYFUNCTION("""COMPUTED_VALUE"""),0.0)</f>
        <v>0</v>
      </c>
      <c r="AK78" s="41">
        <f>IFERROR(__xludf.DUMMYFUNCTION("""COMPUTED_VALUE"""),0.0)</f>
        <v>0</v>
      </c>
      <c r="AL78" s="197">
        <f>IFERROR(__xludf.DUMMYFUNCTION("""COMPUTED_VALUE"""),0.0)</f>
        <v>0</v>
      </c>
      <c r="AM78" s="197">
        <f>IFERROR(__xludf.DUMMYFUNCTION("""COMPUTED_VALUE"""),0.0)</f>
        <v>0</v>
      </c>
      <c r="AN78" s="197">
        <f>IFERROR(__xludf.DUMMYFUNCTION("""COMPUTED_VALUE"""),0.0)</f>
        <v>0</v>
      </c>
      <c r="AO78" s="41">
        <f>IFERROR(__xludf.DUMMYFUNCTION("""COMPUTED_VALUE"""),0.0)</f>
        <v>0</v>
      </c>
      <c r="AP78" s="197">
        <f>IFERROR(__xludf.DUMMYFUNCTION("""COMPUTED_VALUE"""),0.0)</f>
        <v>0</v>
      </c>
      <c r="AQ78" s="197">
        <f>IFERROR(__xludf.DUMMYFUNCTION("""COMPUTED_VALUE"""),0.0)</f>
        <v>0</v>
      </c>
      <c r="AR78" s="197">
        <f>IFERROR(__xludf.DUMMYFUNCTION("""COMPUTED_VALUE"""),0.0)</f>
        <v>0</v>
      </c>
      <c r="AS78" s="41">
        <f>IFERROR(__xludf.DUMMYFUNCTION("""COMPUTED_VALUE"""),0.0)</f>
        <v>0</v>
      </c>
      <c r="AT78" s="197">
        <f>IFERROR(__xludf.DUMMYFUNCTION("""COMPUTED_VALUE"""),0.0)</f>
        <v>0</v>
      </c>
      <c r="AU78" s="197">
        <f>IFERROR(__xludf.DUMMYFUNCTION("""COMPUTED_VALUE"""),0.0)</f>
        <v>0</v>
      </c>
      <c r="AV78" s="197">
        <f>IFERROR(__xludf.DUMMYFUNCTION("""COMPUTED_VALUE"""),0.0)</f>
        <v>0</v>
      </c>
      <c r="AW78" s="41">
        <f>IFERROR(__xludf.DUMMYFUNCTION("""COMPUTED_VALUE"""),0.0)</f>
        <v>0</v>
      </c>
      <c r="AX78" s="197">
        <f>IFERROR(__xludf.DUMMYFUNCTION("""COMPUTED_VALUE"""),0.0)</f>
        <v>0</v>
      </c>
      <c r="AY78" s="197">
        <f>IFERROR(__xludf.DUMMYFUNCTION("""COMPUTED_VALUE"""),0.0)</f>
        <v>0</v>
      </c>
      <c r="AZ78" s="198">
        <f>IFERROR(__xludf.DUMMYFUNCTION("""COMPUTED_VALUE"""),0.0)</f>
        <v>0</v>
      </c>
      <c r="BA78" s="195"/>
    </row>
    <row r="79" ht="15.75" customHeight="1">
      <c r="A79" s="29"/>
      <c r="B79" s="67" t="str">
        <f>IFERROR(__xludf.DUMMYFUNCTION("""COMPUTED_VALUE""")," + Tạm")</f>
        <v> + Tạm</v>
      </c>
      <c r="C79" s="31"/>
      <c r="D79" s="31" t="str">
        <f>IFERROR(__xludf.DUMMYFUNCTION("""COMPUTED_VALUE"""),"""")</f>
        <v>"</v>
      </c>
      <c r="E79" s="41">
        <f>IFERROR(__xludf.DUMMYFUNCTION("""COMPUTED_VALUE"""),5.0)</f>
        <v>5</v>
      </c>
      <c r="F79" s="197">
        <f>IFERROR(__xludf.DUMMYFUNCTION("""COMPUTED_VALUE"""),5.0)</f>
        <v>5</v>
      </c>
      <c r="G79" s="197">
        <f>IFERROR(__xludf.DUMMYFUNCTION("""COMPUTED_VALUE"""),0.0)</f>
        <v>0</v>
      </c>
      <c r="H79" s="197">
        <f>IFERROR(__xludf.DUMMYFUNCTION("""COMPUTED_VALUE"""),0.0)</f>
        <v>0</v>
      </c>
      <c r="I79" s="41">
        <f>IFERROR(__xludf.DUMMYFUNCTION("""COMPUTED_VALUE"""),4.0)</f>
        <v>4</v>
      </c>
      <c r="J79" s="197">
        <f>IFERROR(__xludf.DUMMYFUNCTION("""COMPUTED_VALUE"""),4.0)</f>
        <v>4</v>
      </c>
      <c r="K79" s="197">
        <f>IFERROR(__xludf.DUMMYFUNCTION("""COMPUTED_VALUE"""),0.0)</f>
        <v>0</v>
      </c>
      <c r="L79" s="197">
        <f>IFERROR(__xludf.DUMMYFUNCTION("""COMPUTED_VALUE"""),0.0)</f>
        <v>0</v>
      </c>
      <c r="M79" s="41">
        <f>IFERROR(__xludf.DUMMYFUNCTION("""COMPUTED_VALUE"""),4.0)</f>
        <v>4</v>
      </c>
      <c r="N79" s="197">
        <f>IFERROR(__xludf.DUMMYFUNCTION("""COMPUTED_VALUE"""),4.0)</f>
        <v>4</v>
      </c>
      <c r="O79" s="197">
        <f>IFERROR(__xludf.DUMMYFUNCTION("""COMPUTED_VALUE"""),0.0)</f>
        <v>0</v>
      </c>
      <c r="P79" s="197">
        <f>IFERROR(__xludf.DUMMYFUNCTION("""COMPUTED_VALUE"""),0.0)</f>
        <v>0</v>
      </c>
      <c r="Q79" s="41">
        <f>IFERROR(__xludf.DUMMYFUNCTION("""COMPUTED_VALUE"""),4.0)</f>
        <v>4</v>
      </c>
      <c r="R79" s="197">
        <f>IFERROR(__xludf.DUMMYFUNCTION("""COMPUTED_VALUE"""),4.0)</f>
        <v>4</v>
      </c>
      <c r="S79" s="197">
        <f>IFERROR(__xludf.DUMMYFUNCTION("""COMPUTED_VALUE"""),0.0)</f>
        <v>0</v>
      </c>
      <c r="T79" s="197">
        <f>IFERROR(__xludf.DUMMYFUNCTION("""COMPUTED_VALUE"""),0.0)</f>
        <v>0</v>
      </c>
      <c r="U79" s="41">
        <f>IFERROR(__xludf.DUMMYFUNCTION("""COMPUTED_VALUE"""),4.0)</f>
        <v>4</v>
      </c>
      <c r="V79" s="197">
        <f>IFERROR(__xludf.DUMMYFUNCTION("""COMPUTED_VALUE"""),4.0)</f>
        <v>4</v>
      </c>
      <c r="W79" s="197">
        <f>IFERROR(__xludf.DUMMYFUNCTION("""COMPUTED_VALUE"""),0.0)</f>
        <v>0</v>
      </c>
      <c r="X79" s="197">
        <f>IFERROR(__xludf.DUMMYFUNCTION("""COMPUTED_VALUE"""),0.0)</f>
        <v>0</v>
      </c>
      <c r="Y79" s="41">
        <f>IFERROR(__xludf.DUMMYFUNCTION("""COMPUTED_VALUE"""),4.0)</f>
        <v>4</v>
      </c>
      <c r="Z79" s="197">
        <f>IFERROR(__xludf.DUMMYFUNCTION("""COMPUTED_VALUE"""),4.0)</f>
        <v>4</v>
      </c>
      <c r="AA79" s="197">
        <f>IFERROR(__xludf.DUMMYFUNCTION("""COMPUTED_VALUE"""),0.0)</f>
        <v>0</v>
      </c>
      <c r="AB79" s="197">
        <f>IFERROR(__xludf.DUMMYFUNCTION("""COMPUTED_VALUE"""),0.0)</f>
        <v>0</v>
      </c>
      <c r="AC79" s="41">
        <f>IFERROR(__xludf.DUMMYFUNCTION("""COMPUTED_VALUE"""),4.0)</f>
        <v>4</v>
      </c>
      <c r="AD79" s="197">
        <f>IFERROR(__xludf.DUMMYFUNCTION("""COMPUTED_VALUE"""),4.0)</f>
        <v>4</v>
      </c>
      <c r="AE79" s="197">
        <f>IFERROR(__xludf.DUMMYFUNCTION("""COMPUTED_VALUE"""),0.0)</f>
        <v>0</v>
      </c>
      <c r="AF79" s="197">
        <f>IFERROR(__xludf.DUMMYFUNCTION("""COMPUTED_VALUE"""),0.0)</f>
        <v>0</v>
      </c>
      <c r="AG79" s="41">
        <f>IFERROR(__xludf.DUMMYFUNCTION("""COMPUTED_VALUE"""),0.0)</f>
        <v>0</v>
      </c>
      <c r="AH79" s="197">
        <f>IFERROR(__xludf.DUMMYFUNCTION("""COMPUTED_VALUE"""),0.0)</f>
        <v>0</v>
      </c>
      <c r="AI79" s="197">
        <f>IFERROR(__xludf.DUMMYFUNCTION("""COMPUTED_VALUE"""),0.0)</f>
        <v>0</v>
      </c>
      <c r="AJ79" s="197">
        <f>IFERROR(__xludf.DUMMYFUNCTION("""COMPUTED_VALUE"""),0.0)</f>
        <v>0</v>
      </c>
      <c r="AK79" s="41">
        <f>IFERROR(__xludf.DUMMYFUNCTION("""COMPUTED_VALUE"""),0.0)</f>
        <v>0</v>
      </c>
      <c r="AL79" s="197">
        <f>IFERROR(__xludf.DUMMYFUNCTION("""COMPUTED_VALUE"""),0.0)</f>
        <v>0</v>
      </c>
      <c r="AM79" s="197">
        <f>IFERROR(__xludf.DUMMYFUNCTION("""COMPUTED_VALUE"""),0.0)</f>
        <v>0</v>
      </c>
      <c r="AN79" s="197">
        <f>IFERROR(__xludf.DUMMYFUNCTION("""COMPUTED_VALUE"""),0.0)</f>
        <v>0</v>
      </c>
      <c r="AO79" s="41">
        <f>IFERROR(__xludf.DUMMYFUNCTION("""COMPUTED_VALUE"""),0.0)</f>
        <v>0</v>
      </c>
      <c r="AP79" s="197">
        <f>IFERROR(__xludf.DUMMYFUNCTION("""COMPUTED_VALUE"""),0.0)</f>
        <v>0</v>
      </c>
      <c r="AQ79" s="197">
        <f>IFERROR(__xludf.DUMMYFUNCTION("""COMPUTED_VALUE"""),0.0)</f>
        <v>0</v>
      </c>
      <c r="AR79" s="197">
        <f>IFERROR(__xludf.DUMMYFUNCTION("""COMPUTED_VALUE"""),0.0)</f>
        <v>0</v>
      </c>
      <c r="AS79" s="41">
        <f>IFERROR(__xludf.DUMMYFUNCTION("""COMPUTED_VALUE"""),0.0)</f>
        <v>0</v>
      </c>
      <c r="AT79" s="197">
        <f>IFERROR(__xludf.DUMMYFUNCTION("""COMPUTED_VALUE"""),0.0)</f>
        <v>0</v>
      </c>
      <c r="AU79" s="197">
        <f>IFERROR(__xludf.DUMMYFUNCTION("""COMPUTED_VALUE"""),0.0)</f>
        <v>0</v>
      </c>
      <c r="AV79" s="197">
        <f>IFERROR(__xludf.DUMMYFUNCTION("""COMPUTED_VALUE"""),0.0)</f>
        <v>0</v>
      </c>
      <c r="AW79" s="41">
        <f>IFERROR(__xludf.DUMMYFUNCTION("""COMPUTED_VALUE"""),0.0)</f>
        <v>0</v>
      </c>
      <c r="AX79" s="197">
        <f>IFERROR(__xludf.DUMMYFUNCTION("""COMPUTED_VALUE"""),0.0)</f>
        <v>0</v>
      </c>
      <c r="AY79" s="197">
        <f>IFERROR(__xludf.DUMMYFUNCTION("""COMPUTED_VALUE"""),0.0)</f>
        <v>0</v>
      </c>
      <c r="AZ79" s="198">
        <f>IFERROR(__xludf.DUMMYFUNCTION("""COMPUTED_VALUE"""),0.0)</f>
        <v>0</v>
      </c>
      <c r="BA79" s="195"/>
    </row>
    <row r="80" ht="15.75" customHeight="1">
      <c r="A80" s="29"/>
      <c r="B80" s="196" t="str">
        <f>IFERROR(__xludf.DUMMYFUNCTION("""COMPUTED_VALUE"""),"7.4. Tổng số nhà đa năng")</f>
        <v>7.4. Tổng số nhà đa năng</v>
      </c>
      <c r="C80" s="57"/>
      <c r="D80" s="57" t="str">
        <f>IFERROR(__xludf.DUMMYFUNCTION("""COMPUTED_VALUE"""),"Phòng")</f>
        <v>Phòng</v>
      </c>
      <c r="E80" s="125">
        <f>IFERROR(__xludf.DUMMYFUNCTION("""COMPUTED_VALUE"""),11.0)</f>
        <v>11</v>
      </c>
      <c r="F80" s="125">
        <f>IFERROR(__xludf.DUMMYFUNCTION("""COMPUTED_VALUE"""),11.0)</f>
        <v>11</v>
      </c>
      <c r="G80" s="125">
        <f>IFERROR(__xludf.DUMMYFUNCTION("""COMPUTED_VALUE"""),0.0)</f>
        <v>0</v>
      </c>
      <c r="H80" s="125">
        <f>IFERROR(__xludf.DUMMYFUNCTION("""COMPUTED_VALUE"""),0.0)</f>
        <v>0</v>
      </c>
      <c r="I80" s="125">
        <f>IFERROR(__xludf.DUMMYFUNCTION("""COMPUTED_VALUE"""),10.0)</f>
        <v>10</v>
      </c>
      <c r="J80" s="125">
        <f>IFERROR(__xludf.DUMMYFUNCTION("""COMPUTED_VALUE"""),10.0)</f>
        <v>10</v>
      </c>
      <c r="K80" s="125">
        <f>IFERROR(__xludf.DUMMYFUNCTION("""COMPUTED_VALUE"""),0.0)</f>
        <v>0</v>
      </c>
      <c r="L80" s="125">
        <f>IFERROR(__xludf.DUMMYFUNCTION("""COMPUTED_VALUE"""),0.0)</f>
        <v>0</v>
      </c>
      <c r="M80" s="125">
        <f>IFERROR(__xludf.DUMMYFUNCTION("""COMPUTED_VALUE"""),10.0)</f>
        <v>10</v>
      </c>
      <c r="N80" s="125">
        <f>IFERROR(__xludf.DUMMYFUNCTION("""COMPUTED_VALUE"""),10.0)</f>
        <v>10</v>
      </c>
      <c r="O80" s="125">
        <f>IFERROR(__xludf.DUMMYFUNCTION("""COMPUTED_VALUE"""),0.0)</f>
        <v>0</v>
      </c>
      <c r="P80" s="125">
        <f>IFERROR(__xludf.DUMMYFUNCTION("""COMPUTED_VALUE"""),0.0)</f>
        <v>0</v>
      </c>
      <c r="Q80" s="125">
        <f>IFERROR(__xludf.DUMMYFUNCTION("""COMPUTED_VALUE"""),10.0)</f>
        <v>10</v>
      </c>
      <c r="R80" s="125">
        <f>IFERROR(__xludf.DUMMYFUNCTION("""COMPUTED_VALUE"""),10.0)</f>
        <v>10</v>
      </c>
      <c r="S80" s="125">
        <f>IFERROR(__xludf.DUMMYFUNCTION("""COMPUTED_VALUE"""),0.0)</f>
        <v>0</v>
      </c>
      <c r="T80" s="125">
        <f>IFERROR(__xludf.DUMMYFUNCTION("""COMPUTED_VALUE"""),0.0)</f>
        <v>0</v>
      </c>
      <c r="U80" s="125">
        <f>IFERROR(__xludf.DUMMYFUNCTION("""COMPUTED_VALUE"""),9.0)</f>
        <v>9</v>
      </c>
      <c r="V80" s="125">
        <f>IFERROR(__xludf.DUMMYFUNCTION("""COMPUTED_VALUE"""),9.0)</f>
        <v>9</v>
      </c>
      <c r="W80" s="125">
        <f>IFERROR(__xludf.DUMMYFUNCTION("""COMPUTED_VALUE"""),0.0)</f>
        <v>0</v>
      </c>
      <c r="X80" s="125">
        <f>IFERROR(__xludf.DUMMYFUNCTION("""COMPUTED_VALUE"""),0.0)</f>
        <v>0</v>
      </c>
      <c r="Y80" s="125">
        <f>IFERROR(__xludf.DUMMYFUNCTION("""COMPUTED_VALUE"""),9.0)</f>
        <v>9</v>
      </c>
      <c r="Z80" s="125">
        <f>IFERROR(__xludf.DUMMYFUNCTION("""COMPUTED_VALUE"""),9.0)</f>
        <v>9</v>
      </c>
      <c r="AA80" s="125">
        <f>IFERROR(__xludf.DUMMYFUNCTION("""COMPUTED_VALUE"""),0.0)</f>
        <v>0</v>
      </c>
      <c r="AB80" s="125">
        <f>IFERROR(__xludf.DUMMYFUNCTION("""COMPUTED_VALUE"""),0.0)</f>
        <v>0</v>
      </c>
      <c r="AC80" s="125">
        <f>IFERROR(__xludf.DUMMYFUNCTION("""COMPUTED_VALUE"""),9.0)</f>
        <v>9</v>
      </c>
      <c r="AD80" s="125">
        <f>IFERROR(__xludf.DUMMYFUNCTION("""COMPUTED_VALUE"""),9.0)</f>
        <v>9</v>
      </c>
      <c r="AE80" s="125">
        <f>IFERROR(__xludf.DUMMYFUNCTION("""COMPUTED_VALUE"""),0.0)</f>
        <v>0</v>
      </c>
      <c r="AF80" s="125">
        <f>IFERROR(__xludf.DUMMYFUNCTION("""COMPUTED_VALUE"""),0.0)</f>
        <v>0</v>
      </c>
      <c r="AG80" s="125">
        <f>IFERROR(__xludf.DUMMYFUNCTION("""COMPUTED_VALUE"""),0.0)</f>
        <v>0</v>
      </c>
      <c r="AH80" s="125">
        <f>IFERROR(__xludf.DUMMYFUNCTION("""COMPUTED_VALUE"""),0.0)</f>
        <v>0</v>
      </c>
      <c r="AI80" s="125">
        <f>IFERROR(__xludf.DUMMYFUNCTION("""COMPUTED_VALUE"""),0.0)</f>
        <v>0</v>
      </c>
      <c r="AJ80" s="125">
        <f>IFERROR(__xludf.DUMMYFUNCTION("""COMPUTED_VALUE"""),0.0)</f>
        <v>0</v>
      </c>
      <c r="AK80" s="125">
        <f>IFERROR(__xludf.DUMMYFUNCTION("""COMPUTED_VALUE"""),0.0)</f>
        <v>0</v>
      </c>
      <c r="AL80" s="125">
        <f>IFERROR(__xludf.DUMMYFUNCTION("""COMPUTED_VALUE"""),0.0)</f>
        <v>0</v>
      </c>
      <c r="AM80" s="125">
        <f>IFERROR(__xludf.DUMMYFUNCTION("""COMPUTED_VALUE"""),0.0)</f>
        <v>0</v>
      </c>
      <c r="AN80" s="125">
        <f>IFERROR(__xludf.DUMMYFUNCTION("""COMPUTED_VALUE"""),0.0)</f>
        <v>0</v>
      </c>
      <c r="AO80" s="125">
        <f>IFERROR(__xludf.DUMMYFUNCTION("""COMPUTED_VALUE"""),0.0)</f>
        <v>0</v>
      </c>
      <c r="AP80" s="125">
        <f>IFERROR(__xludf.DUMMYFUNCTION("""COMPUTED_VALUE"""),0.0)</f>
        <v>0</v>
      </c>
      <c r="AQ80" s="125">
        <f>IFERROR(__xludf.DUMMYFUNCTION("""COMPUTED_VALUE"""),0.0)</f>
        <v>0</v>
      </c>
      <c r="AR80" s="125">
        <f>IFERROR(__xludf.DUMMYFUNCTION("""COMPUTED_VALUE"""),0.0)</f>
        <v>0</v>
      </c>
      <c r="AS80" s="125">
        <f>IFERROR(__xludf.DUMMYFUNCTION("""COMPUTED_VALUE"""),0.0)</f>
        <v>0</v>
      </c>
      <c r="AT80" s="125">
        <f>IFERROR(__xludf.DUMMYFUNCTION("""COMPUTED_VALUE"""),0.0)</f>
        <v>0</v>
      </c>
      <c r="AU80" s="125">
        <f>IFERROR(__xludf.DUMMYFUNCTION("""COMPUTED_VALUE"""),0.0)</f>
        <v>0</v>
      </c>
      <c r="AV80" s="125">
        <f>IFERROR(__xludf.DUMMYFUNCTION("""COMPUTED_VALUE"""),0.0)</f>
        <v>0</v>
      </c>
      <c r="AW80" s="125">
        <f>IFERROR(__xludf.DUMMYFUNCTION("""COMPUTED_VALUE"""),0.0)</f>
        <v>0</v>
      </c>
      <c r="AX80" s="125">
        <f>IFERROR(__xludf.DUMMYFUNCTION("""COMPUTED_VALUE"""),0.0)</f>
        <v>0</v>
      </c>
      <c r="AY80" s="125">
        <f>IFERROR(__xludf.DUMMYFUNCTION("""COMPUTED_VALUE"""),0.0)</f>
        <v>0</v>
      </c>
      <c r="AZ80" s="127">
        <f>IFERROR(__xludf.DUMMYFUNCTION("""COMPUTED_VALUE"""),0.0)</f>
        <v>0</v>
      </c>
      <c r="BA80" s="195"/>
    </row>
    <row r="81" ht="15.75" customHeight="1">
      <c r="A81" s="29"/>
      <c r="B81" s="48" t="str">
        <f>IFERROR(__xludf.DUMMYFUNCTION("""COMPUTED_VALUE"""),"Chia ra:")</f>
        <v>Chia ra:</v>
      </c>
      <c r="C81" s="49"/>
      <c r="D81" s="3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50"/>
      <c r="BA81" s="195"/>
    </row>
    <row r="82" ht="15.75" customHeight="1">
      <c r="A82" s="29"/>
      <c r="B82" s="67" t="str">
        <f>IFERROR(__xludf.DUMMYFUNCTION("""COMPUTED_VALUE""")," + Kiên cố")</f>
        <v> + Kiên cố</v>
      </c>
      <c r="C82" s="31"/>
      <c r="D82" s="31" t="str">
        <f>IFERROR(__xludf.DUMMYFUNCTION("""COMPUTED_VALUE"""),"""")</f>
        <v>"</v>
      </c>
      <c r="E82" s="41">
        <f>IFERROR(__xludf.DUMMYFUNCTION("""COMPUTED_VALUE"""),10.0)</f>
        <v>10</v>
      </c>
      <c r="F82" s="197">
        <f>IFERROR(__xludf.DUMMYFUNCTION("""COMPUTED_VALUE"""),10.0)</f>
        <v>10</v>
      </c>
      <c r="G82" s="197">
        <f>IFERROR(__xludf.DUMMYFUNCTION("""COMPUTED_VALUE"""),0.0)</f>
        <v>0</v>
      </c>
      <c r="H82" s="197">
        <f>IFERROR(__xludf.DUMMYFUNCTION("""COMPUTED_VALUE"""),0.0)</f>
        <v>0</v>
      </c>
      <c r="I82" s="41">
        <f>IFERROR(__xludf.DUMMYFUNCTION("""COMPUTED_VALUE"""),9.0)</f>
        <v>9</v>
      </c>
      <c r="J82" s="197">
        <f>IFERROR(__xludf.DUMMYFUNCTION("""COMPUTED_VALUE"""),9.0)</f>
        <v>9</v>
      </c>
      <c r="K82" s="197">
        <f>IFERROR(__xludf.DUMMYFUNCTION("""COMPUTED_VALUE"""),0.0)</f>
        <v>0</v>
      </c>
      <c r="L82" s="197">
        <f>IFERROR(__xludf.DUMMYFUNCTION("""COMPUTED_VALUE"""),0.0)</f>
        <v>0</v>
      </c>
      <c r="M82" s="41">
        <f>IFERROR(__xludf.DUMMYFUNCTION("""COMPUTED_VALUE"""),9.0)</f>
        <v>9</v>
      </c>
      <c r="N82" s="197">
        <f>IFERROR(__xludf.DUMMYFUNCTION("""COMPUTED_VALUE"""),9.0)</f>
        <v>9</v>
      </c>
      <c r="O82" s="197">
        <f>IFERROR(__xludf.DUMMYFUNCTION("""COMPUTED_VALUE"""),0.0)</f>
        <v>0</v>
      </c>
      <c r="P82" s="197">
        <f>IFERROR(__xludf.DUMMYFUNCTION("""COMPUTED_VALUE"""),0.0)</f>
        <v>0</v>
      </c>
      <c r="Q82" s="41">
        <f>IFERROR(__xludf.DUMMYFUNCTION("""COMPUTED_VALUE"""),9.0)</f>
        <v>9</v>
      </c>
      <c r="R82" s="197">
        <f>IFERROR(__xludf.DUMMYFUNCTION("""COMPUTED_VALUE"""),9.0)</f>
        <v>9</v>
      </c>
      <c r="S82" s="197">
        <f>IFERROR(__xludf.DUMMYFUNCTION("""COMPUTED_VALUE"""),0.0)</f>
        <v>0</v>
      </c>
      <c r="T82" s="197">
        <f>IFERROR(__xludf.DUMMYFUNCTION("""COMPUTED_VALUE"""),0.0)</f>
        <v>0</v>
      </c>
      <c r="U82" s="41">
        <f>IFERROR(__xludf.DUMMYFUNCTION("""COMPUTED_VALUE"""),8.0)</f>
        <v>8</v>
      </c>
      <c r="V82" s="197">
        <f>IFERROR(__xludf.DUMMYFUNCTION("""COMPUTED_VALUE"""),8.0)</f>
        <v>8</v>
      </c>
      <c r="W82" s="197">
        <f>IFERROR(__xludf.DUMMYFUNCTION("""COMPUTED_VALUE"""),0.0)</f>
        <v>0</v>
      </c>
      <c r="X82" s="197">
        <f>IFERROR(__xludf.DUMMYFUNCTION("""COMPUTED_VALUE"""),0.0)</f>
        <v>0</v>
      </c>
      <c r="Y82" s="41">
        <f>IFERROR(__xludf.DUMMYFUNCTION("""COMPUTED_VALUE"""),8.0)</f>
        <v>8</v>
      </c>
      <c r="Z82" s="197">
        <f>IFERROR(__xludf.DUMMYFUNCTION("""COMPUTED_VALUE"""),8.0)</f>
        <v>8</v>
      </c>
      <c r="AA82" s="197">
        <f>IFERROR(__xludf.DUMMYFUNCTION("""COMPUTED_VALUE"""),0.0)</f>
        <v>0</v>
      </c>
      <c r="AB82" s="197">
        <f>IFERROR(__xludf.DUMMYFUNCTION("""COMPUTED_VALUE"""),0.0)</f>
        <v>0</v>
      </c>
      <c r="AC82" s="41">
        <f>IFERROR(__xludf.DUMMYFUNCTION("""COMPUTED_VALUE"""),8.0)</f>
        <v>8</v>
      </c>
      <c r="AD82" s="197">
        <f>IFERROR(__xludf.DUMMYFUNCTION("""COMPUTED_VALUE"""),8.0)</f>
        <v>8</v>
      </c>
      <c r="AE82" s="197">
        <f>IFERROR(__xludf.DUMMYFUNCTION("""COMPUTED_VALUE"""),0.0)</f>
        <v>0</v>
      </c>
      <c r="AF82" s="197">
        <f>IFERROR(__xludf.DUMMYFUNCTION("""COMPUTED_VALUE"""),0.0)</f>
        <v>0</v>
      </c>
      <c r="AG82" s="41">
        <f>IFERROR(__xludf.DUMMYFUNCTION("""COMPUTED_VALUE"""),0.0)</f>
        <v>0</v>
      </c>
      <c r="AH82" s="197">
        <f>IFERROR(__xludf.DUMMYFUNCTION("""COMPUTED_VALUE"""),0.0)</f>
        <v>0</v>
      </c>
      <c r="AI82" s="197">
        <f>IFERROR(__xludf.DUMMYFUNCTION("""COMPUTED_VALUE"""),0.0)</f>
        <v>0</v>
      </c>
      <c r="AJ82" s="197">
        <f>IFERROR(__xludf.DUMMYFUNCTION("""COMPUTED_VALUE"""),0.0)</f>
        <v>0</v>
      </c>
      <c r="AK82" s="41">
        <f>IFERROR(__xludf.DUMMYFUNCTION("""COMPUTED_VALUE"""),0.0)</f>
        <v>0</v>
      </c>
      <c r="AL82" s="197">
        <f>IFERROR(__xludf.DUMMYFUNCTION("""COMPUTED_VALUE"""),0.0)</f>
        <v>0</v>
      </c>
      <c r="AM82" s="197">
        <f>IFERROR(__xludf.DUMMYFUNCTION("""COMPUTED_VALUE"""),0.0)</f>
        <v>0</v>
      </c>
      <c r="AN82" s="197">
        <f>IFERROR(__xludf.DUMMYFUNCTION("""COMPUTED_VALUE"""),0.0)</f>
        <v>0</v>
      </c>
      <c r="AO82" s="41">
        <f>IFERROR(__xludf.DUMMYFUNCTION("""COMPUTED_VALUE"""),0.0)</f>
        <v>0</v>
      </c>
      <c r="AP82" s="197">
        <f>IFERROR(__xludf.DUMMYFUNCTION("""COMPUTED_VALUE"""),0.0)</f>
        <v>0</v>
      </c>
      <c r="AQ82" s="197">
        <f>IFERROR(__xludf.DUMMYFUNCTION("""COMPUTED_VALUE"""),0.0)</f>
        <v>0</v>
      </c>
      <c r="AR82" s="197">
        <f>IFERROR(__xludf.DUMMYFUNCTION("""COMPUTED_VALUE"""),0.0)</f>
        <v>0</v>
      </c>
      <c r="AS82" s="41">
        <f>IFERROR(__xludf.DUMMYFUNCTION("""COMPUTED_VALUE"""),0.0)</f>
        <v>0</v>
      </c>
      <c r="AT82" s="197">
        <f>IFERROR(__xludf.DUMMYFUNCTION("""COMPUTED_VALUE"""),0.0)</f>
        <v>0</v>
      </c>
      <c r="AU82" s="197">
        <f>IFERROR(__xludf.DUMMYFUNCTION("""COMPUTED_VALUE"""),0.0)</f>
        <v>0</v>
      </c>
      <c r="AV82" s="197">
        <f>IFERROR(__xludf.DUMMYFUNCTION("""COMPUTED_VALUE"""),0.0)</f>
        <v>0</v>
      </c>
      <c r="AW82" s="41">
        <f>IFERROR(__xludf.DUMMYFUNCTION("""COMPUTED_VALUE"""),0.0)</f>
        <v>0</v>
      </c>
      <c r="AX82" s="197">
        <f>IFERROR(__xludf.DUMMYFUNCTION("""COMPUTED_VALUE"""),0.0)</f>
        <v>0</v>
      </c>
      <c r="AY82" s="197">
        <f>IFERROR(__xludf.DUMMYFUNCTION("""COMPUTED_VALUE"""),0.0)</f>
        <v>0</v>
      </c>
      <c r="AZ82" s="198">
        <f>IFERROR(__xludf.DUMMYFUNCTION("""COMPUTED_VALUE"""),0.0)</f>
        <v>0</v>
      </c>
      <c r="BA82" s="195"/>
    </row>
    <row r="83" ht="15.75" customHeight="1">
      <c r="A83" s="29"/>
      <c r="B83" s="67" t="str">
        <f>IFERROR(__xludf.DUMMYFUNCTION("""COMPUTED_VALUE""")," + Bán kiên cố")</f>
        <v> + Bán kiên cố</v>
      </c>
      <c r="C83" s="31"/>
      <c r="D83" s="31" t="str">
        <f>IFERROR(__xludf.DUMMYFUNCTION("""COMPUTED_VALUE"""),"""")</f>
        <v>"</v>
      </c>
      <c r="E83" s="41">
        <f>IFERROR(__xludf.DUMMYFUNCTION("""COMPUTED_VALUE"""),1.0)</f>
        <v>1</v>
      </c>
      <c r="F83" s="197">
        <f>IFERROR(__xludf.DUMMYFUNCTION("""COMPUTED_VALUE"""),1.0)</f>
        <v>1</v>
      </c>
      <c r="G83" s="197">
        <f>IFERROR(__xludf.DUMMYFUNCTION("""COMPUTED_VALUE"""),0.0)</f>
        <v>0</v>
      </c>
      <c r="H83" s="197">
        <f>IFERROR(__xludf.DUMMYFUNCTION("""COMPUTED_VALUE"""),0.0)</f>
        <v>0</v>
      </c>
      <c r="I83" s="41">
        <f>IFERROR(__xludf.DUMMYFUNCTION("""COMPUTED_VALUE"""),1.0)</f>
        <v>1</v>
      </c>
      <c r="J83" s="197">
        <f>IFERROR(__xludf.DUMMYFUNCTION("""COMPUTED_VALUE"""),1.0)</f>
        <v>1</v>
      </c>
      <c r="K83" s="197">
        <f>IFERROR(__xludf.DUMMYFUNCTION("""COMPUTED_VALUE"""),0.0)</f>
        <v>0</v>
      </c>
      <c r="L83" s="197">
        <f>IFERROR(__xludf.DUMMYFUNCTION("""COMPUTED_VALUE"""),0.0)</f>
        <v>0</v>
      </c>
      <c r="M83" s="41">
        <f>IFERROR(__xludf.DUMMYFUNCTION("""COMPUTED_VALUE"""),1.0)</f>
        <v>1</v>
      </c>
      <c r="N83" s="197">
        <f>IFERROR(__xludf.DUMMYFUNCTION("""COMPUTED_VALUE"""),1.0)</f>
        <v>1</v>
      </c>
      <c r="O83" s="197">
        <f>IFERROR(__xludf.DUMMYFUNCTION("""COMPUTED_VALUE"""),0.0)</f>
        <v>0</v>
      </c>
      <c r="P83" s="197">
        <f>IFERROR(__xludf.DUMMYFUNCTION("""COMPUTED_VALUE"""),0.0)</f>
        <v>0</v>
      </c>
      <c r="Q83" s="41">
        <f>IFERROR(__xludf.DUMMYFUNCTION("""COMPUTED_VALUE"""),1.0)</f>
        <v>1</v>
      </c>
      <c r="R83" s="197">
        <f>IFERROR(__xludf.DUMMYFUNCTION("""COMPUTED_VALUE"""),1.0)</f>
        <v>1</v>
      </c>
      <c r="S83" s="197">
        <f>IFERROR(__xludf.DUMMYFUNCTION("""COMPUTED_VALUE"""),0.0)</f>
        <v>0</v>
      </c>
      <c r="T83" s="197">
        <f>IFERROR(__xludf.DUMMYFUNCTION("""COMPUTED_VALUE"""),0.0)</f>
        <v>0</v>
      </c>
      <c r="U83" s="41">
        <f>IFERROR(__xludf.DUMMYFUNCTION("""COMPUTED_VALUE"""),1.0)</f>
        <v>1</v>
      </c>
      <c r="V83" s="197">
        <f>IFERROR(__xludf.DUMMYFUNCTION("""COMPUTED_VALUE"""),1.0)</f>
        <v>1</v>
      </c>
      <c r="W83" s="197">
        <f>IFERROR(__xludf.DUMMYFUNCTION("""COMPUTED_VALUE"""),0.0)</f>
        <v>0</v>
      </c>
      <c r="X83" s="197">
        <f>IFERROR(__xludf.DUMMYFUNCTION("""COMPUTED_VALUE"""),0.0)</f>
        <v>0</v>
      </c>
      <c r="Y83" s="41">
        <f>IFERROR(__xludf.DUMMYFUNCTION("""COMPUTED_VALUE"""),1.0)</f>
        <v>1</v>
      </c>
      <c r="Z83" s="197">
        <f>IFERROR(__xludf.DUMMYFUNCTION("""COMPUTED_VALUE"""),1.0)</f>
        <v>1</v>
      </c>
      <c r="AA83" s="197">
        <f>IFERROR(__xludf.DUMMYFUNCTION("""COMPUTED_VALUE"""),0.0)</f>
        <v>0</v>
      </c>
      <c r="AB83" s="197">
        <f>IFERROR(__xludf.DUMMYFUNCTION("""COMPUTED_VALUE"""),0.0)</f>
        <v>0</v>
      </c>
      <c r="AC83" s="41">
        <f>IFERROR(__xludf.DUMMYFUNCTION("""COMPUTED_VALUE"""),1.0)</f>
        <v>1</v>
      </c>
      <c r="AD83" s="197">
        <f>IFERROR(__xludf.DUMMYFUNCTION("""COMPUTED_VALUE"""),1.0)</f>
        <v>1</v>
      </c>
      <c r="AE83" s="197">
        <f>IFERROR(__xludf.DUMMYFUNCTION("""COMPUTED_VALUE"""),0.0)</f>
        <v>0</v>
      </c>
      <c r="AF83" s="197">
        <f>IFERROR(__xludf.DUMMYFUNCTION("""COMPUTED_VALUE"""),0.0)</f>
        <v>0</v>
      </c>
      <c r="AG83" s="41">
        <f>IFERROR(__xludf.DUMMYFUNCTION("""COMPUTED_VALUE"""),0.0)</f>
        <v>0</v>
      </c>
      <c r="AH83" s="197">
        <f>IFERROR(__xludf.DUMMYFUNCTION("""COMPUTED_VALUE"""),0.0)</f>
        <v>0</v>
      </c>
      <c r="AI83" s="197">
        <f>IFERROR(__xludf.DUMMYFUNCTION("""COMPUTED_VALUE"""),0.0)</f>
        <v>0</v>
      </c>
      <c r="AJ83" s="197">
        <f>IFERROR(__xludf.DUMMYFUNCTION("""COMPUTED_VALUE"""),0.0)</f>
        <v>0</v>
      </c>
      <c r="AK83" s="41">
        <f>IFERROR(__xludf.DUMMYFUNCTION("""COMPUTED_VALUE"""),0.0)</f>
        <v>0</v>
      </c>
      <c r="AL83" s="197">
        <f>IFERROR(__xludf.DUMMYFUNCTION("""COMPUTED_VALUE"""),0.0)</f>
        <v>0</v>
      </c>
      <c r="AM83" s="197">
        <f>IFERROR(__xludf.DUMMYFUNCTION("""COMPUTED_VALUE"""),0.0)</f>
        <v>0</v>
      </c>
      <c r="AN83" s="197">
        <f>IFERROR(__xludf.DUMMYFUNCTION("""COMPUTED_VALUE"""),0.0)</f>
        <v>0</v>
      </c>
      <c r="AO83" s="41">
        <f>IFERROR(__xludf.DUMMYFUNCTION("""COMPUTED_VALUE"""),0.0)</f>
        <v>0</v>
      </c>
      <c r="AP83" s="197">
        <f>IFERROR(__xludf.DUMMYFUNCTION("""COMPUTED_VALUE"""),0.0)</f>
        <v>0</v>
      </c>
      <c r="AQ83" s="197">
        <f>IFERROR(__xludf.DUMMYFUNCTION("""COMPUTED_VALUE"""),0.0)</f>
        <v>0</v>
      </c>
      <c r="AR83" s="197">
        <f>IFERROR(__xludf.DUMMYFUNCTION("""COMPUTED_VALUE"""),0.0)</f>
        <v>0</v>
      </c>
      <c r="AS83" s="41">
        <f>IFERROR(__xludf.DUMMYFUNCTION("""COMPUTED_VALUE"""),0.0)</f>
        <v>0</v>
      </c>
      <c r="AT83" s="197">
        <f>IFERROR(__xludf.DUMMYFUNCTION("""COMPUTED_VALUE"""),0.0)</f>
        <v>0</v>
      </c>
      <c r="AU83" s="197">
        <f>IFERROR(__xludf.DUMMYFUNCTION("""COMPUTED_VALUE"""),0.0)</f>
        <v>0</v>
      </c>
      <c r="AV83" s="197">
        <f>IFERROR(__xludf.DUMMYFUNCTION("""COMPUTED_VALUE"""),0.0)</f>
        <v>0</v>
      </c>
      <c r="AW83" s="41">
        <f>IFERROR(__xludf.DUMMYFUNCTION("""COMPUTED_VALUE"""),0.0)</f>
        <v>0</v>
      </c>
      <c r="AX83" s="197">
        <f>IFERROR(__xludf.DUMMYFUNCTION("""COMPUTED_VALUE"""),0.0)</f>
        <v>0</v>
      </c>
      <c r="AY83" s="197">
        <f>IFERROR(__xludf.DUMMYFUNCTION("""COMPUTED_VALUE"""),0.0)</f>
        <v>0</v>
      </c>
      <c r="AZ83" s="198">
        <f>IFERROR(__xludf.DUMMYFUNCTION("""COMPUTED_VALUE"""),0.0)</f>
        <v>0</v>
      </c>
      <c r="BA83" s="195"/>
    </row>
    <row r="84" ht="15.75" customHeight="1">
      <c r="A84" s="29"/>
      <c r="B84" s="67" t="str">
        <f>IFERROR(__xludf.DUMMYFUNCTION("""COMPUTED_VALUE""")," + Tạm")</f>
        <v> + Tạm</v>
      </c>
      <c r="C84" s="31"/>
      <c r="D84" s="31" t="str">
        <f>IFERROR(__xludf.DUMMYFUNCTION("""COMPUTED_VALUE"""),"""")</f>
        <v>"</v>
      </c>
      <c r="E84" s="41">
        <f>IFERROR(__xludf.DUMMYFUNCTION("""COMPUTED_VALUE"""),0.0)</f>
        <v>0</v>
      </c>
      <c r="F84" s="197">
        <f>IFERROR(__xludf.DUMMYFUNCTION("""COMPUTED_VALUE"""),0.0)</f>
        <v>0</v>
      </c>
      <c r="G84" s="197">
        <f>IFERROR(__xludf.DUMMYFUNCTION("""COMPUTED_VALUE"""),0.0)</f>
        <v>0</v>
      </c>
      <c r="H84" s="197">
        <f>IFERROR(__xludf.DUMMYFUNCTION("""COMPUTED_VALUE"""),0.0)</f>
        <v>0</v>
      </c>
      <c r="I84" s="41">
        <f>IFERROR(__xludf.DUMMYFUNCTION("""COMPUTED_VALUE"""),0.0)</f>
        <v>0</v>
      </c>
      <c r="J84" s="197">
        <f>IFERROR(__xludf.DUMMYFUNCTION("""COMPUTED_VALUE"""),0.0)</f>
        <v>0</v>
      </c>
      <c r="K84" s="197">
        <f>IFERROR(__xludf.DUMMYFUNCTION("""COMPUTED_VALUE"""),0.0)</f>
        <v>0</v>
      </c>
      <c r="L84" s="197">
        <f>IFERROR(__xludf.DUMMYFUNCTION("""COMPUTED_VALUE"""),0.0)</f>
        <v>0</v>
      </c>
      <c r="M84" s="41">
        <f>IFERROR(__xludf.DUMMYFUNCTION("""COMPUTED_VALUE"""),0.0)</f>
        <v>0</v>
      </c>
      <c r="N84" s="197">
        <f>IFERROR(__xludf.DUMMYFUNCTION("""COMPUTED_VALUE"""),0.0)</f>
        <v>0</v>
      </c>
      <c r="O84" s="197">
        <f>IFERROR(__xludf.DUMMYFUNCTION("""COMPUTED_VALUE"""),0.0)</f>
        <v>0</v>
      </c>
      <c r="P84" s="197">
        <f>IFERROR(__xludf.DUMMYFUNCTION("""COMPUTED_VALUE"""),0.0)</f>
        <v>0</v>
      </c>
      <c r="Q84" s="41">
        <f>IFERROR(__xludf.DUMMYFUNCTION("""COMPUTED_VALUE"""),0.0)</f>
        <v>0</v>
      </c>
      <c r="R84" s="197">
        <f>IFERROR(__xludf.DUMMYFUNCTION("""COMPUTED_VALUE"""),0.0)</f>
        <v>0</v>
      </c>
      <c r="S84" s="197">
        <f>IFERROR(__xludf.DUMMYFUNCTION("""COMPUTED_VALUE"""),0.0)</f>
        <v>0</v>
      </c>
      <c r="T84" s="197">
        <f>IFERROR(__xludf.DUMMYFUNCTION("""COMPUTED_VALUE"""),0.0)</f>
        <v>0</v>
      </c>
      <c r="U84" s="41">
        <f>IFERROR(__xludf.DUMMYFUNCTION("""COMPUTED_VALUE"""),0.0)</f>
        <v>0</v>
      </c>
      <c r="V84" s="197">
        <f>IFERROR(__xludf.DUMMYFUNCTION("""COMPUTED_VALUE"""),0.0)</f>
        <v>0</v>
      </c>
      <c r="W84" s="197">
        <f>IFERROR(__xludf.DUMMYFUNCTION("""COMPUTED_VALUE"""),0.0)</f>
        <v>0</v>
      </c>
      <c r="X84" s="197">
        <f>IFERROR(__xludf.DUMMYFUNCTION("""COMPUTED_VALUE"""),0.0)</f>
        <v>0</v>
      </c>
      <c r="Y84" s="41">
        <f>IFERROR(__xludf.DUMMYFUNCTION("""COMPUTED_VALUE"""),0.0)</f>
        <v>0</v>
      </c>
      <c r="Z84" s="197">
        <f>IFERROR(__xludf.DUMMYFUNCTION("""COMPUTED_VALUE"""),0.0)</f>
        <v>0</v>
      </c>
      <c r="AA84" s="197">
        <f>IFERROR(__xludf.DUMMYFUNCTION("""COMPUTED_VALUE"""),0.0)</f>
        <v>0</v>
      </c>
      <c r="AB84" s="197">
        <f>IFERROR(__xludf.DUMMYFUNCTION("""COMPUTED_VALUE"""),0.0)</f>
        <v>0</v>
      </c>
      <c r="AC84" s="41">
        <f>IFERROR(__xludf.DUMMYFUNCTION("""COMPUTED_VALUE"""),0.0)</f>
        <v>0</v>
      </c>
      <c r="AD84" s="197">
        <f>IFERROR(__xludf.DUMMYFUNCTION("""COMPUTED_VALUE"""),0.0)</f>
        <v>0</v>
      </c>
      <c r="AE84" s="197">
        <f>IFERROR(__xludf.DUMMYFUNCTION("""COMPUTED_VALUE"""),0.0)</f>
        <v>0</v>
      </c>
      <c r="AF84" s="197">
        <f>IFERROR(__xludf.DUMMYFUNCTION("""COMPUTED_VALUE"""),0.0)</f>
        <v>0</v>
      </c>
      <c r="AG84" s="41">
        <f>IFERROR(__xludf.DUMMYFUNCTION("""COMPUTED_VALUE"""),0.0)</f>
        <v>0</v>
      </c>
      <c r="AH84" s="197">
        <f>IFERROR(__xludf.DUMMYFUNCTION("""COMPUTED_VALUE"""),0.0)</f>
        <v>0</v>
      </c>
      <c r="AI84" s="197">
        <f>IFERROR(__xludf.DUMMYFUNCTION("""COMPUTED_VALUE"""),0.0)</f>
        <v>0</v>
      </c>
      <c r="AJ84" s="197">
        <f>IFERROR(__xludf.DUMMYFUNCTION("""COMPUTED_VALUE"""),0.0)</f>
        <v>0</v>
      </c>
      <c r="AK84" s="41">
        <f>IFERROR(__xludf.DUMMYFUNCTION("""COMPUTED_VALUE"""),0.0)</f>
        <v>0</v>
      </c>
      <c r="AL84" s="197">
        <f>IFERROR(__xludf.DUMMYFUNCTION("""COMPUTED_VALUE"""),0.0)</f>
        <v>0</v>
      </c>
      <c r="AM84" s="197">
        <f>IFERROR(__xludf.DUMMYFUNCTION("""COMPUTED_VALUE"""),0.0)</f>
        <v>0</v>
      </c>
      <c r="AN84" s="197">
        <f>IFERROR(__xludf.DUMMYFUNCTION("""COMPUTED_VALUE"""),0.0)</f>
        <v>0</v>
      </c>
      <c r="AO84" s="41">
        <f>IFERROR(__xludf.DUMMYFUNCTION("""COMPUTED_VALUE"""),0.0)</f>
        <v>0</v>
      </c>
      <c r="AP84" s="197">
        <f>IFERROR(__xludf.DUMMYFUNCTION("""COMPUTED_VALUE"""),0.0)</f>
        <v>0</v>
      </c>
      <c r="AQ84" s="197">
        <f>IFERROR(__xludf.DUMMYFUNCTION("""COMPUTED_VALUE"""),0.0)</f>
        <v>0</v>
      </c>
      <c r="AR84" s="197">
        <f>IFERROR(__xludf.DUMMYFUNCTION("""COMPUTED_VALUE"""),0.0)</f>
        <v>0</v>
      </c>
      <c r="AS84" s="41">
        <f>IFERROR(__xludf.DUMMYFUNCTION("""COMPUTED_VALUE"""),0.0)</f>
        <v>0</v>
      </c>
      <c r="AT84" s="197">
        <f>IFERROR(__xludf.DUMMYFUNCTION("""COMPUTED_VALUE"""),0.0)</f>
        <v>0</v>
      </c>
      <c r="AU84" s="197">
        <f>IFERROR(__xludf.DUMMYFUNCTION("""COMPUTED_VALUE"""),0.0)</f>
        <v>0</v>
      </c>
      <c r="AV84" s="197">
        <f>IFERROR(__xludf.DUMMYFUNCTION("""COMPUTED_VALUE"""),0.0)</f>
        <v>0</v>
      </c>
      <c r="AW84" s="41">
        <f>IFERROR(__xludf.DUMMYFUNCTION("""COMPUTED_VALUE"""),0.0)</f>
        <v>0</v>
      </c>
      <c r="AX84" s="197">
        <f>IFERROR(__xludf.DUMMYFUNCTION("""COMPUTED_VALUE"""),0.0)</f>
        <v>0</v>
      </c>
      <c r="AY84" s="197">
        <f>IFERROR(__xludf.DUMMYFUNCTION("""COMPUTED_VALUE"""),0.0)</f>
        <v>0</v>
      </c>
      <c r="AZ84" s="198">
        <f>IFERROR(__xludf.DUMMYFUNCTION("""COMPUTED_VALUE"""),0.0)</f>
        <v>0</v>
      </c>
      <c r="BA84" s="195"/>
    </row>
    <row r="85" ht="15.75" customHeight="1">
      <c r="A85" s="29"/>
      <c r="B85" s="30" t="str">
        <f>IFERROR(__xludf.DUMMYFUNCTION("""COMPUTED_VALUE"""),"8. PHỔ CẬP GIÁO DỤC TIỂU HỌC")</f>
        <v>8. PHỔ CẬP GIÁO DỤC TIỂU HỌC</v>
      </c>
      <c r="C85" s="31" t="str">
        <f>IFERROR(__xludf.DUMMYFUNCTION("""COMPUTED_VALUE"""),"Quí")</f>
        <v>Quí</v>
      </c>
      <c r="D85" s="31" t="str">
        <f>IFERROR(__xludf.DUMMYFUNCTION("""COMPUTED_VALUE"""),"Người")</f>
        <v>Người</v>
      </c>
      <c r="E85" s="42">
        <f>IFERROR(__xludf.DUMMYFUNCTION("""COMPUTED_VALUE"""),125.0)</f>
        <v>125</v>
      </c>
      <c r="F85" s="221" t="str">
        <f>IFERROR(__xludf.DUMMYFUNCTION("""COMPUTED_VALUE"""),"X")</f>
        <v>X</v>
      </c>
      <c r="G85" s="221" t="str">
        <f>IFERROR(__xludf.DUMMYFUNCTION("""COMPUTED_VALUE"""),"X")</f>
        <v>X</v>
      </c>
      <c r="H85" s="221" t="str">
        <f>IFERROR(__xludf.DUMMYFUNCTION("""COMPUTED_VALUE"""),"X")</f>
        <v>X</v>
      </c>
      <c r="I85" s="42">
        <f>IFERROR(__xludf.DUMMYFUNCTION("""COMPUTED_VALUE"""),136.0)</f>
        <v>136</v>
      </c>
      <c r="J85" s="221" t="str">
        <f>IFERROR(__xludf.DUMMYFUNCTION("""COMPUTED_VALUE"""),"X")</f>
        <v>X</v>
      </c>
      <c r="K85" s="221" t="str">
        <f>IFERROR(__xludf.DUMMYFUNCTION("""COMPUTED_VALUE"""),"X")</f>
        <v>X</v>
      </c>
      <c r="L85" s="221" t="str">
        <f>IFERROR(__xludf.DUMMYFUNCTION("""COMPUTED_VALUE"""),"X")</f>
        <v>X</v>
      </c>
      <c r="M85" s="42">
        <f>IFERROR(__xludf.DUMMYFUNCTION("""COMPUTED_VALUE"""),0.0)</f>
        <v>0</v>
      </c>
      <c r="N85" s="221" t="str">
        <f>IFERROR(__xludf.DUMMYFUNCTION("""COMPUTED_VALUE"""),"X")</f>
        <v>X</v>
      </c>
      <c r="O85" s="221" t="str">
        <f>IFERROR(__xludf.DUMMYFUNCTION("""COMPUTED_VALUE"""),"X")</f>
        <v>X</v>
      </c>
      <c r="P85" s="221" t="str">
        <f>IFERROR(__xludf.DUMMYFUNCTION("""COMPUTED_VALUE"""),"X")</f>
        <v>X</v>
      </c>
      <c r="Q85" s="42">
        <f>IFERROR(__xludf.DUMMYFUNCTION("""COMPUTED_VALUE"""),0.0)</f>
        <v>0</v>
      </c>
      <c r="R85" s="221" t="str">
        <f>IFERROR(__xludf.DUMMYFUNCTION("""COMPUTED_VALUE"""),"X")</f>
        <v>X</v>
      </c>
      <c r="S85" s="221" t="str">
        <f>IFERROR(__xludf.DUMMYFUNCTION("""COMPUTED_VALUE"""),"X")</f>
        <v>X</v>
      </c>
      <c r="T85" s="221" t="str">
        <f>IFERROR(__xludf.DUMMYFUNCTION("""COMPUTED_VALUE"""),"X")</f>
        <v>X</v>
      </c>
      <c r="U85" s="42">
        <f>IFERROR(__xludf.DUMMYFUNCTION("""COMPUTED_VALUE"""),0.0)</f>
        <v>0</v>
      </c>
      <c r="V85" s="221" t="str">
        <f>IFERROR(__xludf.DUMMYFUNCTION("""COMPUTED_VALUE"""),"X")</f>
        <v>X</v>
      </c>
      <c r="W85" s="221" t="str">
        <f>IFERROR(__xludf.DUMMYFUNCTION("""COMPUTED_VALUE"""),"X")</f>
        <v>X</v>
      </c>
      <c r="X85" s="221" t="str">
        <f>IFERROR(__xludf.DUMMYFUNCTION("""COMPUTED_VALUE"""),"X")</f>
        <v>X</v>
      </c>
      <c r="Y85" s="42">
        <f>IFERROR(__xludf.DUMMYFUNCTION("""COMPUTED_VALUE"""),0.0)</f>
        <v>0</v>
      </c>
      <c r="Z85" s="221" t="str">
        <f>IFERROR(__xludf.DUMMYFUNCTION("""COMPUTED_VALUE"""),"X")</f>
        <v>X</v>
      </c>
      <c r="AA85" s="221" t="str">
        <f>IFERROR(__xludf.DUMMYFUNCTION("""COMPUTED_VALUE"""),"X")</f>
        <v>X</v>
      </c>
      <c r="AB85" s="221" t="str">
        <f>IFERROR(__xludf.DUMMYFUNCTION("""COMPUTED_VALUE"""),"X")</f>
        <v>X</v>
      </c>
      <c r="AC85" s="42">
        <f>IFERROR(__xludf.DUMMYFUNCTION("""COMPUTED_VALUE"""),0.0)</f>
        <v>0</v>
      </c>
      <c r="AD85" s="221" t="str">
        <f>IFERROR(__xludf.DUMMYFUNCTION("""COMPUTED_VALUE"""),"X")</f>
        <v>X</v>
      </c>
      <c r="AE85" s="221" t="str">
        <f>IFERROR(__xludf.DUMMYFUNCTION("""COMPUTED_VALUE"""),"X")</f>
        <v>X</v>
      </c>
      <c r="AF85" s="221" t="str">
        <f>IFERROR(__xludf.DUMMYFUNCTION("""COMPUTED_VALUE"""),"X")</f>
        <v>X</v>
      </c>
      <c r="AG85" s="42">
        <f>IFERROR(__xludf.DUMMYFUNCTION("""COMPUTED_VALUE"""),0.0)</f>
        <v>0</v>
      </c>
      <c r="AH85" s="221" t="str">
        <f>IFERROR(__xludf.DUMMYFUNCTION("""COMPUTED_VALUE"""),"X")</f>
        <v>X</v>
      </c>
      <c r="AI85" s="221" t="str">
        <f>IFERROR(__xludf.DUMMYFUNCTION("""COMPUTED_VALUE"""),"X")</f>
        <v>X</v>
      </c>
      <c r="AJ85" s="221" t="str">
        <f>IFERROR(__xludf.DUMMYFUNCTION("""COMPUTED_VALUE"""),"X")</f>
        <v>X</v>
      </c>
      <c r="AK85" s="42">
        <f>IFERROR(__xludf.DUMMYFUNCTION("""COMPUTED_VALUE"""),0.0)</f>
        <v>0</v>
      </c>
      <c r="AL85" s="221" t="str">
        <f>IFERROR(__xludf.DUMMYFUNCTION("""COMPUTED_VALUE"""),"X")</f>
        <v>X</v>
      </c>
      <c r="AM85" s="221" t="str">
        <f>IFERROR(__xludf.DUMMYFUNCTION("""COMPUTED_VALUE"""),"X")</f>
        <v>X</v>
      </c>
      <c r="AN85" s="221" t="str">
        <f>IFERROR(__xludf.DUMMYFUNCTION("""COMPUTED_VALUE"""),"X")</f>
        <v>X</v>
      </c>
      <c r="AO85" s="42">
        <f>IFERROR(__xludf.DUMMYFUNCTION("""COMPUTED_VALUE"""),0.0)</f>
        <v>0</v>
      </c>
      <c r="AP85" s="221" t="str">
        <f>IFERROR(__xludf.DUMMYFUNCTION("""COMPUTED_VALUE"""),"X")</f>
        <v>X</v>
      </c>
      <c r="AQ85" s="221" t="str">
        <f>IFERROR(__xludf.DUMMYFUNCTION("""COMPUTED_VALUE"""),"X")</f>
        <v>X</v>
      </c>
      <c r="AR85" s="221" t="str">
        <f>IFERROR(__xludf.DUMMYFUNCTION("""COMPUTED_VALUE"""),"X")</f>
        <v>X</v>
      </c>
      <c r="AS85" s="42">
        <f>IFERROR(__xludf.DUMMYFUNCTION("""COMPUTED_VALUE"""),0.0)</f>
        <v>0</v>
      </c>
      <c r="AT85" s="221" t="str">
        <f>IFERROR(__xludf.DUMMYFUNCTION("""COMPUTED_VALUE"""),"X")</f>
        <v>X</v>
      </c>
      <c r="AU85" s="221" t="str">
        <f>IFERROR(__xludf.DUMMYFUNCTION("""COMPUTED_VALUE"""),"X")</f>
        <v>X</v>
      </c>
      <c r="AV85" s="221" t="str">
        <f>IFERROR(__xludf.DUMMYFUNCTION("""COMPUTED_VALUE"""),"X")</f>
        <v>X</v>
      </c>
      <c r="AW85" s="42">
        <f>IFERROR(__xludf.DUMMYFUNCTION("""COMPUTED_VALUE"""),0.0)</f>
        <v>0</v>
      </c>
      <c r="AX85" s="221" t="str">
        <f>IFERROR(__xludf.DUMMYFUNCTION("""COMPUTED_VALUE"""),"X")</f>
        <v>X</v>
      </c>
      <c r="AY85" s="221" t="str">
        <f>IFERROR(__xludf.DUMMYFUNCTION("""COMPUTED_VALUE"""),"X")</f>
        <v>X</v>
      </c>
      <c r="AZ85" s="222" t="str">
        <f>IFERROR(__xludf.DUMMYFUNCTION("""COMPUTED_VALUE"""),"X")</f>
        <v>X</v>
      </c>
      <c r="BA85" s="195"/>
    </row>
    <row r="86" ht="10.5" customHeight="1">
      <c r="A86" s="29"/>
      <c r="B86" s="128"/>
      <c r="C86" s="129"/>
      <c r="D86" s="129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223"/>
      <c r="BA86" s="195"/>
    </row>
    <row r="87" ht="12.75" customHeight="1">
      <c r="A87" s="1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224"/>
    </row>
    <row r="88" ht="18.0" hidden="1" customHeight="1">
      <c r="A88" s="207"/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07"/>
      <c r="AF88" s="207"/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8"/>
    </row>
    <row r="89" ht="18.0" hidden="1" customHeight="1">
      <c r="A89" s="207"/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8"/>
    </row>
    <row r="90" ht="18.0" hidden="1" customHeight="1">
      <c r="A90" s="207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8"/>
    </row>
    <row r="91" ht="18.0" hidden="1" customHeight="1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8"/>
    </row>
    <row r="92" ht="18.0" hidden="1" customHeight="1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8"/>
    </row>
    <row r="93" ht="18.0" hidden="1" customHeight="1">
      <c r="A93" s="207"/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8"/>
    </row>
    <row r="94" ht="18.0" hidden="1" customHeight="1">
      <c r="A94" s="207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8"/>
    </row>
    <row r="95" ht="18.0" hidden="1" customHeight="1">
      <c r="A95" s="207"/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8"/>
    </row>
    <row r="96" ht="18.0" hidden="1" customHeight="1">
      <c r="A96" s="207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8"/>
    </row>
    <row r="97" ht="18.0" hidden="1" customHeight="1">
      <c r="A97" s="207"/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8"/>
    </row>
    <row r="98" ht="18.0" hidden="1" customHeight="1">
      <c r="A98" s="207"/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8"/>
    </row>
    <row r="99" ht="18.0" hidden="1" customHeight="1">
      <c r="A99" s="207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8"/>
    </row>
    <row r="100" ht="18.0" hidden="1" customHeight="1">
      <c r="A100" s="207"/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8"/>
    </row>
    <row r="101" ht="18.0" hidden="1" customHeight="1">
      <c r="A101" s="207"/>
      <c r="B101" s="207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8"/>
    </row>
    <row r="102" ht="18.0" hidden="1" customHeight="1">
      <c r="A102" s="207"/>
      <c r="B102" s="207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8"/>
    </row>
    <row r="103" ht="18.0" hidden="1" customHeight="1">
      <c r="A103" s="207"/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8"/>
    </row>
    <row r="104" ht="18.0" hidden="1" customHeight="1">
      <c r="A104" s="207"/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8"/>
    </row>
    <row r="105" ht="18.0" hidden="1" customHeight="1">
      <c r="A105" s="207"/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8"/>
    </row>
    <row r="106" ht="18.0" hidden="1" customHeight="1">
      <c r="A106" s="207"/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8"/>
    </row>
    <row r="107" ht="18.0" hidden="1" customHeight="1">
      <c r="A107" s="207"/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8"/>
    </row>
    <row r="108" ht="18.0" hidden="1" customHeight="1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8"/>
    </row>
    <row r="109" ht="18.0" hidden="1" customHeight="1">
      <c r="A109" s="207"/>
      <c r="B109" s="207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8"/>
    </row>
    <row r="110" ht="18.0" hidden="1" customHeight="1">
      <c r="A110" s="207"/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8"/>
    </row>
    <row r="111" ht="18.0" hidden="1" customHeight="1">
      <c r="A111" s="207"/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8"/>
    </row>
    <row r="112" ht="18.0" hidden="1" customHeight="1">
      <c r="A112" s="207"/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8"/>
    </row>
    <row r="113" ht="18.0" hidden="1" customHeight="1">
      <c r="A113" s="207"/>
      <c r="B113" s="207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8"/>
    </row>
    <row r="114" ht="18.0" hidden="1" customHeight="1">
      <c r="A114" s="207"/>
      <c r="B114" s="207"/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8"/>
    </row>
    <row r="115" ht="18.0" hidden="1" customHeight="1">
      <c r="A115" s="207"/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8"/>
    </row>
    <row r="116" ht="18.0" hidden="1" customHeight="1">
      <c r="A116" s="207"/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8"/>
    </row>
    <row r="117" ht="18.0" hidden="1" customHeight="1">
      <c r="A117" s="207"/>
      <c r="B117" s="207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8"/>
    </row>
    <row r="118" ht="18.0" hidden="1" customHeight="1">
      <c r="A118" s="207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8"/>
    </row>
    <row r="119" ht="18.0" hidden="1" customHeight="1">
      <c r="A119" s="207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8"/>
    </row>
    <row r="120" ht="18.0" hidden="1" customHeight="1">
      <c r="A120" s="207"/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8"/>
    </row>
    <row r="121" ht="18.0" hidden="1" customHeight="1">
      <c r="A121" s="207"/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8"/>
    </row>
    <row r="122" ht="18.0" hidden="1" customHeight="1">
      <c r="A122" s="207"/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8"/>
    </row>
    <row r="123" ht="18.0" hidden="1" customHeight="1">
      <c r="A123" s="207"/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8"/>
    </row>
    <row r="124" ht="18.0" hidden="1" customHeight="1">
      <c r="A124" s="207"/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8"/>
    </row>
    <row r="125" ht="18.0" hidden="1" customHeight="1">
      <c r="A125" s="207"/>
      <c r="B125" s="207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8"/>
    </row>
    <row r="126" ht="18.0" hidden="1" customHeight="1">
      <c r="A126" s="207"/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8"/>
    </row>
    <row r="127" ht="18.0" hidden="1" customHeight="1">
      <c r="A127" s="207"/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8"/>
    </row>
    <row r="128" ht="18.0" hidden="1" customHeight="1">
      <c r="A128" s="207"/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8"/>
    </row>
    <row r="129" ht="18.0" hidden="1" customHeight="1">
      <c r="A129" s="207"/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8"/>
    </row>
    <row r="130" ht="18.0" hidden="1" customHeight="1">
      <c r="A130" s="207"/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8"/>
    </row>
    <row r="131" ht="18.0" hidden="1" customHeight="1">
      <c r="A131" s="207"/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8"/>
    </row>
    <row r="132" ht="18.0" hidden="1" customHeight="1">
      <c r="A132" s="207"/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8"/>
    </row>
    <row r="133" ht="18.0" hidden="1" customHeight="1">
      <c r="A133" s="207"/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8"/>
    </row>
    <row r="134" ht="18.0" hidden="1" customHeight="1">
      <c r="A134" s="207"/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8"/>
    </row>
    <row r="135" ht="18.0" hidden="1" customHeight="1">
      <c r="A135" s="207"/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8"/>
    </row>
    <row r="136" ht="18.0" hidden="1" customHeight="1">
      <c r="A136" s="207"/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8"/>
    </row>
    <row r="137" ht="18.0" hidden="1" customHeight="1">
      <c r="A137" s="207"/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8"/>
    </row>
    <row r="138" ht="18.0" hidden="1" customHeight="1">
      <c r="A138" s="207"/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8"/>
    </row>
    <row r="139" ht="18.0" hidden="1" customHeight="1">
      <c r="A139" s="207"/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8"/>
    </row>
    <row r="140" ht="18.0" hidden="1" customHeight="1">
      <c r="A140" s="207"/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8"/>
    </row>
    <row r="141" ht="18.0" hidden="1" customHeight="1">
      <c r="A141" s="207"/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8"/>
    </row>
    <row r="142" ht="18.0" hidden="1" customHeight="1">
      <c r="A142" s="207"/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8"/>
    </row>
    <row r="143" ht="18.0" hidden="1" customHeight="1">
      <c r="A143" s="207"/>
      <c r="B143" s="207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8"/>
    </row>
    <row r="144" ht="18.0" hidden="1" customHeight="1">
      <c r="A144" s="207"/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8"/>
    </row>
    <row r="145" ht="18.0" hidden="1" customHeight="1">
      <c r="A145" s="207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8"/>
    </row>
    <row r="146" ht="18.0" hidden="1" customHeight="1">
      <c r="A146" s="207"/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8"/>
    </row>
    <row r="147" ht="18.0" hidden="1" customHeight="1">
      <c r="A147" s="207"/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8"/>
    </row>
    <row r="148" ht="18.0" hidden="1" customHeight="1">
      <c r="A148" s="207"/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8"/>
    </row>
    <row r="149" ht="18.0" hidden="1" customHeight="1">
      <c r="A149" s="207"/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8"/>
    </row>
    <row r="150" ht="18.0" hidden="1" customHeight="1">
      <c r="A150" s="207"/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8"/>
    </row>
    <row r="151" ht="18.0" hidden="1" customHeight="1">
      <c r="A151" s="207"/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8"/>
    </row>
    <row r="152" ht="18.0" hidden="1" customHeight="1">
      <c r="A152" s="207"/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8"/>
    </row>
    <row r="153" ht="18.0" hidden="1" customHeight="1">
      <c r="A153" s="207"/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8"/>
    </row>
    <row r="154" ht="18.0" hidden="1" customHeight="1">
      <c r="A154" s="207"/>
      <c r="B154" s="207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8"/>
    </row>
    <row r="155" ht="18.0" hidden="1" customHeight="1">
      <c r="A155" s="207"/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8"/>
    </row>
    <row r="156" ht="18.0" hidden="1" customHeight="1">
      <c r="A156" s="207"/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8"/>
    </row>
    <row r="157" ht="18.0" hidden="1" customHeight="1">
      <c r="A157" s="207"/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8"/>
    </row>
    <row r="158" ht="18.0" hidden="1" customHeight="1">
      <c r="A158" s="207"/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8"/>
    </row>
    <row r="159" ht="18.0" hidden="1" customHeight="1">
      <c r="A159" s="207"/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8"/>
    </row>
    <row r="160" ht="18.0" hidden="1" customHeight="1">
      <c r="A160" s="207"/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8"/>
    </row>
    <row r="161" ht="18.0" hidden="1" customHeight="1">
      <c r="A161" s="207"/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8"/>
    </row>
    <row r="162" ht="18.0" hidden="1" customHeight="1">
      <c r="A162" s="207"/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8"/>
    </row>
    <row r="163" ht="18.0" hidden="1" customHeight="1">
      <c r="A163" s="207"/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8"/>
    </row>
    <row r="164" ht="18.0" hidden="1" customHeight="1">
      <c r="A164" s="207"/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8"/>
    </row>
    <row r="165" ht="18.0" hidden="1" customHeight="1">
      <c r="A165" s="207"/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8"/>
    </row>
    <row r="166" ht="18.0" hidden="1" customHeight="1">
      <c r="A166" s="207"/>
      <c r="B166" s="207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8"/>
    </row>
    <row r="167" ht="18.0" hidden="1" customHeight="1">
      <c r="A167" s="207"/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8"/>
    </row>
    <row r="168" ht="18.0" hidden="1" customHeight="1">
      <c r="A168" s="207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8"/>
    </row>
    <row r="169" ht="18.0" hidden="1" customHeight="1">
      <c r="A169" s="207"/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8"/>
    </row>
    <row r="170" ht="18.0" hidden="1" customHeight="1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8"/>
    </row>
    <row r="171" ht="18.0" hidden="1" customHeight="1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8"/>
    </row>
    <row r="172" ht="18.0" hidden="1" customHeight="1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8"/>
    </row>
    <row r="173" ht="18.0" hidden="1" customHeight="1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8"/>
    </row>
    <row r="174" ht="18.0" hidden="1" customHeight="1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8"/>
    </row>
    <row r="175" ht="18.0" hidden="1" customHeight="1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8"/>
    </row>
    <row r="176" ht="18.0" hidden="1" customHeight="1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8"/>
    </row>
    <row r="177" ht="18.0" hidden="1" customHeight="1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8"/>
    </row>
    <row r="178" ht="18.0" hidden="1" customHeight="1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8"/>
    </row>
    <row r="179" ht="18.0" hidden="1" customHeight="1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8"/>
    </row>
    <row r="180" ht="18.0" hidden="1" customHeight="1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8"/>
    </row>
    <row r="181" ht="18.0" hidden="1" customHeight="1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8"/>
    </row>
    <row r="182" ht="18.0" hidden="1" customHeight="1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8"/>
    </row>
    <row r="183" ht="18.0" hidden="1" customHeight="1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8"/>
    </row>
    <row r="184" ht="18.0" hidden="1" customHeight="1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8"/>
    </row>
    <row r="185" ht="18.0" hidden="1" customHeight="1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8"/>
    </row>
    <row r="186" ht="18.0" hidden="1" customHeight="1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8"/>
    </row>
    <row r="187" ht="18.0" hidden="1" customHeight="1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8"/>
    </row>
    <row r="188" ht="18.0" hidden="1" customHeight="1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8"/>
    </row>
    <row r="189" ht="18.0" hidden="1" customHeight="1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8"/>
    </row>
    <row r="190" ht="18.0" hidden="1" customHeight="1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8"/>
    </row>
    <row r="191" ht="18.0" hidden="1" customHeight="1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8"/>
    </row>
    <row r="192" ht="18.0" hidden="1" customHeight="1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8"/>
    </row>
    <row r="193" ht="18.0" hidden="1" customHeight="1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8"/>
    </row>
    <row r="194" ht="18.0" hidden="1" customHeight="1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8"/>
    </row>
    <row r="195" ht="18.0" hidden="1" customHeight="1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8"/>
    </row>
    <row r="196" ht="18.0" hidden="1" customHeight="1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8"/>
    </row>
    <row r="197" ht="18.0" hidden="1" customHeight="1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8"/>
    </row>
    <row r="198" ht="18.0" hidden="1" customHeight="1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8"/>
    </row>
    <row r="199" ht="18.0" hidden="1" customHeight="1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8"/>
    </row>
    <row r="200" ht="18.0" hidden="1" customHeight="1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8"/>
    </row>
    <row r="201" ht="18.0" hidden="1" customHeight="1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8"/>
    </row>
    <row r="202" ht="18.0" hidden="1" customHeight="1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8"/>
    </row>
    <row r="203" ht="18.0" hidden="1" customHeight="1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8"/>
    </row>
    <row r="204" ht="18.0" hidden="1" customHeight="1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8"/>
    </row>
    <row r="205" ht="18.0" hidden="1" customHeight="1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8"/>
    </row>
    <row r="206" ht="18.0" hidden="1" customHeight="1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8"/>
    </row>
    <row r="207" ht="18.0" hidden="1" customHeight="1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8"/>
    </row>
    <row r="208" ht="18.0" hidden="1" customHeight="1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8"/>
    </row>
    <row r="209" ht="18.0" hidden="1" customHeight="1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8"/>
    </row>
    <row r="210" ht="18.0" hidden="1" customHeight="1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8"/>
    </row>
    <row r="211" ht="18.0" hidden="1" customHeight="1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8"/>
    </row>
    <row r="212" ht="18.0" hidden="1" customHeight="1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8"/>
    </row>
    <row r="213" ht="18.0" hidden="1" customHeight="1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8"/>
    </row>
    <row r="214" ht="18.0" hidden="1" customHeight="1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8"/>
    </row>
    <row r="215" ht="18.0" hidden="1" customHeight="1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8"/>
    </row>
    <row r="216" ht="18.0" hidden="1" customHeight="1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8"/>
    </row>
    <row r="217" ht="18.0" hidden="1" customHeight="1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8"/>
    </row>
    <row r="218" ht="18.0" hidden="1" customHeight="1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8"/>
    </row>
    <row r="219" ht="18.0" hidden="1" customHeight="1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8"/>
    </row>
    <row r="220" ht="18.0" hidden="1" customHeight="1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8"/>
    </row>
    <row r="221" ht="18.0" hidden="1" customHeight="1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8"/>
    </row>
    <row r="222" ht="18.0" hidden="1" customHeight="1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8"/>
    </row>
    <row r="223" ht="18.0" hidden="1" customHeight="1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8"/>
    </row>
    <row r="224" ht="18.0" hidden="1" customHeight="1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8"/>
    </row>
    <row r="225" ht="18.0" hidden="1" customHeight="1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8"/>
    </row>
    <row r="226" ht="18.0" hidden="1" customHeight="1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8"/>
    </row>
    <row r="227" ht="18.0" hidden="1" customHeight="1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8"/>
    </row>
    <row r="228" ht="18.0" hidden="1" customHeight="1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8"/>
    </row>
    <row r="229" ht="18.0" hidden="1" customHeight="1">
      <c r="A229" s="207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8"/>
    </row>
    <row r="230" ht="18.0" hidden="1" customHeight="1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8"/>
    </row>
    <row r="231" ht="18.0" hidden="1" customHeight="1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8"/>
    </row>
    <row r="232" ht="18.0" hidden="1" customHeight="1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8"/>
    </row>
    <row r="233" ht="18.0" hidden="1" customHeight="1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8"/>
    </row>
    <row r="234" ht="18.0" hidden="1" customHeight="1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8"/>
    </row>
    <row r="235" ht="18.0" hidden="1" customHeight="1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8"/>
    </row>
    <row r="236" ht="18.0" hidden="1" customHeight="1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8"/>
    </row>
    <row r="237" ht="18.0" hidden="1" customHeight="1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/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8"/>
    </row>
    <row r="238" ht="18.0" hidden="1" customHeight="1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/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8"/>
    </row>
    <row r="239" ht="18.0" hidden="1" customHeight="1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/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8"/>
    </row>
    <row r="240" ht="18.0" hidden="1" customHeight="1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8"/>
    </row>
    <row r="241" ht="18.0" hidden="1" customHeight="1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8"/>
    </row>
    <row r="242" ht="18.0" hidden="1" customHeight="1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8"/>
    </row>
    <row r="243" ht="18.0" hidden="1" customHeight="1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8"/>
    </row>
    <row r="244" ht="18.0" hidden="1" customHeight="1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8"/>
    </row>
    <row r="245" ht="18.0" hidden="1" customHeight="1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8"/>
    </row>
    <row r="246" ht="18.0" hidden="1" customHeight="1">
      <c r="A246" s="207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/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8"/>
    </row>
    <row r="247" ht="18.0" hidden="1" customHeight="1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/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8"/>
    </row>
    <row r="248" ht="18.0" hidden="1" customHeight="1">
      <c r="A248" s="207"/>
      <c r="B248" s="207"/>
      <c r="C248" s="207"/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  <c r="AB248" s="207"/>
      <c r="AC248" s="207"/>
      <c r="AD248" s="207"/>
      <c r="AE248" s="207"/>
      <c r="AF248" s="207"/>
      <c r="AG248" s="207"/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8"/>
    </row>
    <row r="249" ht="18.0" hidden="1" customHeight="1">
      <c r="A249" s="207"/>
      <c r="B249" s="207"/>
      <c r="C249" s="207"/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  <c r="AA249" s="207"/>
      <c r="AB249" s="207"/>
      <c r="AC249" s="207"/>
      <c r="AD249" s="207"/>
      <c r="AE249" s="207"/>
      <c r="AF249" s="207"/>
      <c r="AG249" s="207"/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8"/>
    </row>
    <row r="250" ht="18.0" hidden="1" customHeight="1">
      <c r="A250" s="207"/>
      <c r="B250" s="207"/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  <c r="AA250" s="207"/>
      <c r="AB250" s="207"/>
      <c r="AC250" s="207"/>
      <c r="AD250" s="207"/>
      <c r="AE250" s="207"/>
      <c r="AF250" s="207"/>
      <c r="AG250" s="207"/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8"/>
    </row>
    <row r="251" ht="18.0" hidden="1" customHeight="1">
      <c r="A251" s="207"/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  <c r="AA251" s="207"/>
      <c r="AB251" s="207"/>
      <c r="AC251" s="207"/>
      <c r="AD251" s="207"/>
      <c r="AE251" s="207"/>
      <c r="AF251" s="207"/>
      <c r="AG251" s="207"/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8"/>
    </row>
    <row r="252" ht="18.0" hidden="1" customHeight="1">
      <c r="A252" s="207"/>
      <c r="B252" s="207"/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  <c r="AA252" s="207"/>
      <c r="AB252" s="207"/>
      <c r="AC252" s="207"/>
      <c r="AD252" s="207"/>
      <c r="AE252" s="207"/>
      <c r="AF252" s="207"/>
      <c r="AG252" s="207"/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8"/>
    </row>
    <row r="253" ht="18.0" hidden="1" customHeight="1">
      <c r="A253" s="207"/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  <c r="AA253" s="207"/>
      <c r="AB253" s="207"/>
      <c r="AC253" s="207"/>
      <c r="AD253" s="207"/>
      <c r="AE253" s="207"/>
      <c r="AF253" s="207"/>
      <c r="AG253" s="207"/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8"/>
    </row>
    <row r="254" ht="18.0" hidden="1" customHeight="1">
      <c r="A254" s="207"/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  <c r="AA254" s="207"/>
      <c r="AB254" s="207"/>
      <c r="AC254" s="207"/>
      <c r="AD254" s="207"/>
      <c r="AE254" s="207"/>
      <c r="AF254" s="207"/>
      <c r="AG254" s="207"/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8"/>
    </row>
    <row r="255" ht="18.0" hidden="1" customHeight="1">
      <c r="A255" s="207"/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  <c r="AA255" s="207"/>
      <c r="AB255" s="207"/>
      <c r="AC255" s="207"/>
      <c r="AD255" s="207"/>
      <c r="AE255" s="207"/>
      <c r="AF255" s="207"/>
      <c r="AG255" s="207"/>
      <c r="AH255" s="207"/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8"/>
    </row>
    <row r="256" ht="18.0" hidden="1" customHeight="1">
      <c r="A256" s="207"/>
      <c r="B256" s="207"/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  <c r="AA256" s="207"/>
      <c r="AB256" s="207"/>
      <c r="AC256" s="207"/>
      <c r="AD256" s="207"/>
      <c r="AE256" s="207"/>
      <c r="AF256" s="207"/>
      <c r="AG256" s="207"/>
      <c r="AH256" s="207"/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8"/>
    </row>
    <row r="257" ht="18.0" hidden="1" customHeight="1">
      <c r="A257" s="207"/>
      <c r="B257" s="207"/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  <c r="AA257" s="207"/>
      <c r="AB257" s="207"/>
      <c r="AC257" s="207"/>
      <c r="AD257" s="207"/>
      <c r="AE257" s="207"/>
      <c r="AF257" s="207"/>
      <c r="AG257" s="207"/>
      <c r="AH257" s="207"/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8"/>
    </row>
    <row r="258" ht="18.0" hidden="1" customHeight="1">
      <c r="A258" s="207"/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  <c r="AB258" s="207"/>
      <c r="AC258" s="207"/>
      <c r="AD258" s="207"/>
      <c r="AE258" s="207"/>
      <c r="AF258" s="207"/>
      <c r="AG258" s="207"/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8"/>
    </row>
    <row r="259" ht="18.0" hidden="1" customHeight="1">
      <c r="A259" s="207"/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7"/>
      <c r="AB259" s="207"/>
      <c r="AC259" s="207"/>
      <c r="AD259" s="207"/>
      <c r="AE259" s="207"/>
      <c r="AF259" s="207"/>
      <c r="AG259" s="207"/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8"/>
    </row>
    <row r="260" ht="18.0" hidden="1" customHeight="1">
      <c r="A260" s="207"/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/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8"/>
    </row>
    <row r="261" ht="18.0" hidden="1" customHeight="1">
      <c r="A261" s="207"/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  <c r="AA261" s="207"/>
      <c r="AB261" s="207"/>
      <c r="AC261" s="207"/>
      <c r="AD261" s="207"/>
      <c r="AE261" s="207"/>
      <c r="AF261" s="207"/>
      <c r="AG261" s="207"/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8"/>
    </row>
    <row r="262" ht="18.0" hidden="1" customHeight="1">
      <c r="A262" s="207"/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7"/>
      <c r="AB262" s="207"/>
      <c r="AC262" s="207"/>
      <c r="AD262" s="207"/>
      <c r="AE262" s="207"/>
      <c r="AF262" s="207"/>
      <c r="AG262" s="207"/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8"/>
    </row>
    <row r="263" ht="18.0" hidden="1" customHeight="1">
      <c r="A263" s="207"/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  <c r="AA263" s="207"/>
      <c r="AB263" s="207"/>
      <c r="AC263" s="207"/>
      <c r="AD263" s="207"/>
      <c r="AE263" s="207"/>
      <c r="AF263" s="207"/>
      <c r="AG263" s="207"/>
      <c r="AH263" s="207"/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8"/>
    </row>
    <row r="264" ht="18.0" hidden="1" customHeight="1">
      <c r="A264" s="207"/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  <c r="AA264" s="207"/>
      <c r="AB264" s="207"/>
      <c r="AC264" s="207"/>
      <c r="AD264" s="207"/>
      <c r="AE264" s="207"/>
      <c r="AF264" s="207"/>
      <c r="AG264" s="207"/>
      <c r="AH264" s="207"/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8"/>
    </row>
    <row r="265" ht="18.0" hidden="1" customHeight="1">
      <c r="A265" s="207"/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  <c r="AA265" s="207"/>
      <c r="AB265" s="207"/>
      <c r="AC265" s="207"/>
      <c r="AD265" s="207"/>
      <c r="AE265" s="207"/>
      <c r="AF265" s="207"/>
      <c r="AG265" s="207"/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8"/>
    </row>
    <row r="266" ht="18.0" hidden="1" customHeight="1">
      <c r="A266" s="207"/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  <c r="AA266" s="207"/>
      <c r="AB266" s="207"/>
      <c r="AC266" s="207"/>
      <c r="AD266" s="207"/>
      <c r="AE266" s="207"/>
      <c r="AF266" s="207"/>
      <c r="AG266" s="207"/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8"/>
    </row>
    <row r="267" ht="18.0" hidden="1" customHeight="1">
      <c r="A267" s="207"/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  <c r="AA267" s="207"/>
      <c r="AB267" s="207"/>
      <c r="AC267" s="207"/>
      <c r="AD267" s="207"/>
      <c r="AE267" s="207"/>
      <c r="AF267" s="207"/>
      <c r="AG267" s="207"/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8"/>
    </row>
    <row r="268" ht="18.0" hidden="1" customHeight="1">
      <c r="A268" s="207"/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  <c r="AA268" s="207"/>
      <c r="AB268" s="207"/>
      <c r="AC268" s="207"/>
      <c r="AD268" s="207"/>
      <c r="AE268" s="207"/>
      <c r="AF268" s="207"/>
      <c r="AG268" s="207"/>
      <c r="AH268" s="207"/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8"/>
    </row>
    <row r="269" ht="18.0" hidden="1" customHeight="1">
      <c r="A269" s="207"/>
      <c r="B269" s="207"/>
      <c r="C269" s="207"/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  <c r="AA269" s="207"/>
      <c r="AB269" s="207"/>
      <c r="AC269" s="207"/>
      <c r="AD269" s="207"/>
      <c r="AE269" s="207"/>
      <c r="AF269" s="207"/>
      <c r="AG269" s="207"/>
      <c r="AH269" s="207"/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8"/>
    </row>
    <row r="270" ht="18.0" hidden="1" customHeight="1">
      <c r="A270" s="207"/>
      <c r="B270" s="207"/>
      <c r="C270" s="207"/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  <c r="AA270" s="207"/>
      <c r="AB270" s="207"/>
      <c r="AC270" s="207"/>
      <c r="AD270" s="207"/>
      <c r="AE270" s="207"/>
      <c r="AF270" s="207"/>
      <c r="AG270" s="207"/>
      <c r="AH270" s="207"/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8"/>
    </row>
    <row r="271" ht="18.0" hidden="1" customHeight="1">
      <c r="A271" s="207"/>
      <c r="B271" s="207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  <c r="AA271" s="207"/>
      <c r="AB271" s="207"/>
      <c r="AC271" s="207"/>
      <c r="AD271" s="207"/>
      <c r="AE271" s="207"/>
      <c r="AF271" s="207"/>
      <c r="AG271" s="207"/>
      <c r="AH271" s="207"/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8"/>
    </row>
    <row r="272" ht="18.0" hidden="1" customHeight="1">
      <c r="A272" s="207"/>
      <c r="B272" s="207"/>
      <c r="C272" s="207"/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/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8"/>
    </row>
    <row r="273" ht="18.0" hidden="1" customHeight="1">
      <c r="A273" s="207"/>
      <c r="B273" s="207"/>
      <c r="C273" s="207"/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8"/>
    </row>
    <row r="274" ht="18.0" hidden="1" customHeight="1">
      <c r="A274" s="207"/>
      <c r="B274" s="207"/>
      <c r="C274" s="207"/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/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8"/>
    </row>
    <row r="275" ht="18.0" hidden="1" customHeight="1">
      <c r="A275" s="207"/>
      <c r="B275" s="207"/>
      <c r="C275" s="207"/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/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8"/>
    </row>
    <row r="276" ht="18.0" hidden="1" customHeight="1">
      <c r="A276" s="207"/>
      <c r="B276" s="207"/>
      <c r="C276" s="207"/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8"/>
    </row>
    <row r="277" ht="18.0" hidden="1" customHeight="1">
      <c r="A277" s="207"/>
      <c r="B277" s="207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  <c r="AA277" s="207"/>
      <c r="AB277" s="207"/>
      <c r="AC277" s="207"/>
      <c r="AD277" s="207"/>
      <c r="AE277" s="207"/>
      <c r="AF277" s="207"/>
      <c r="AG277" s="207"/>
      <c r="AH277" s="207"/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8"/>
    </row>
    <row r="278" ht="18.0" hidden="1" customHeight="1">
      <c r="A278" s="207"/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  <c r="AA278" s="207"/>
      <c r="AB278" s="207"/>
      <c r="AC278" s="207"/>
      <c r="AD278" s="207"/>
      <c r="AE278" s="207"/>
      <c r="AF278" s="207"/>
      <c r="AG278" s="207"/>
      <c r="AH278" s="207"/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8"/>
    </row>
    <row r="279" ht="18.0" hidden="1" customHeight="1">
      <c r="A279" s="207"/>
      <c r="B279" s="207"/>
      <c r="C279" s="207"/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7"/>
      <c r="AB279" s="207"/>
      <c r="AC279" s="207"/>
      <c r="AD279" s="207"/>
      <c r="AE279" s="207"/>
      <c r="AF279" s="207"/>
      <c r="AG279" s="207"/>
      <c r="AH279" s="207"/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8"/>
    </row>
    <row r="280" ht="18.0" hidden="1" customHeight="1">
      <c r="A280" s="207"/>
      <c r="B280" s="207"/>
      <c r="C280" s="207"/>
      <c r="D280" s="207"/>
      <c r="E280" s="207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  <c r="AA280" s="207"/>
      <c r="AB280" s="207"/>
      <c r="AC280" s="207"/>
      <c r="AD280" s="207"/>
      <c r="AE280" s="207"/>
      <c r="AF280" s="207"/>
      <c r="AG280" s="207"/>
      <c r="AH280" s="207"/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8"/>
    </row>
    <row r="281" ht="18.0" hidden="1" customHeight="1">
      <c r="A281" s="207"/>
      <c r="B281" s="207"/>
      <c r="C281" s="207"/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  <c r="AA281" s="207"/>
      <c r="AB281" s="207"/>
      <c r="AC281" s="207"/>
      <c r="AD281" s="207"/>
      <c r="AE281" s="207"/>
      <c r="AF281" s="207"/>
      <c r="AG281" s="207"/>
      <c r="AH281" s="207"/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8"/>
    </row>
    <row r="282" ht="18.0" hidden="1" customHeight="1">
      <c r="A282" s="207"/>
      <c r="B282" s="207"/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/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8"/>
    </row>
    <row r="283" ht="18.0" hidden="1" customHeight="1">
      <c r="A283" s="207"/>
      <c r="B283" s="207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  <c r="AB283" s="207"/>
      <c r="AC283" s="207"/>
      <c r="AD283" s="207"/>
      <c r="AE283" s="207"/>
      <c r="AF283" s="207"/>
      <c r="AG283" s="207"/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8"/>
    </row>
    <row r="284" ht="18.0" hidden="1" customHeight="1">
      <c r="A284" s="207"/>
      <c r="B284" s="207"/>
      <c r="C284" s="207"/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  <c r="AA284" s="207"/>
      <c r="AB284" s="207"/>
      <c r="AC284" s="207"/>
      <c r="AD284" s="207"/>
      <c r="AE284" s="207"/>
      <c r="AF284" s="207"/>
      <c r="AG284" s="207"/>
      <c r="AH284" s="207"/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8"/>
    </row>
    <row r="285" ht="18.0" hidden="1" customHeight="1">
      <c r="A285" s="207"/>
      <c r="B285" s="207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  <c r="AA285" s="207"/>
      <c r="AB285" s="207"/>
      <c r="AC285" s="207"/>
      <c r="AD285" s="207"/>
      <c r="AE285" s="207"/>
      <c r="AF285" s="207"/>
      <c r="AG285" s="207"/>
      <c r="AH285" s="207"/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8"/>
    </row>
    <row r="286" ht="15.75" hidden="1" customHeight="1">
      <c r="A286" s="208"/>
      <c r="B286" s="208"/>
      <c r="C286" s="208"/>
      <c r="D286" s="208"/>
      <c r="E286" s="208"/>
      <c r="F286" s="208"/>
      <c r="G286" s="208"/>
      <c r="H286" s="208"/>
      <c r="I286" s="208"/>
      <c r="J286" s="208"/>
      <c r="K286" s="208"/>
      <c r="L286" s="208"/>
      <c r="M286" s="208"/>
      <c r="N286" s="208"/>
      <c r="O286" s="208"/>
      <c r="P286" s="208"/>
      <c r="Q286" s="208"/>
      <c r="R286" s="208"/>
      <c r="S286" s="208"/>
      <c r="T286" s="208"/>
      <c r="U286" s="208"/>
      <c r="V286" s="208"/>
      <c r="W286" s="208"/>
      <c r="X286" s="208"/>
      <c r="Y286" s="208"/>
      <c r="Z286" s="208"/>
      <c r="AA286" s="208"/>
      <c r="AB286" s="208"/>
      <c r="AC286" s="208"/>
      <c r="AD286" s="208"/>
      <c r="AE286" s="208"/>
      <c r="AF286" s="208"/>
      <c r="AG286" s="208"/>
      <c r="AH286" s="208"/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</row>
    <row r="287" ht="15.75" hidden="1" customHeight="1">
      <c r="A287" s="208"/>
      <c r="B287" s="208"/>
      <c r="C287" s="208"/>
      <c r="D287" s="208"/>
      <c r="E287" s="208"/>
      <c r="F287" s="208"/>
      <c r="G287" s="208"/>
      <c r="H287" s="208"/>
      <c r="I287" s="208"/>
      <c r="J287" s="208"/>
      <c r="K287" s="208"/>
      <c r="L287" s="208"/>
      <c r="M287" s="208"/>
      <c r="N287" s="208"/>
      <c r="O287" s="208"/>
      <c r="P287" s="208"/>
      <c r="Q287" s="208"/>
      <c r="R287" s="208"/>
      <c r="S287" s="208"/>
      <c r="T287" s="208"/>
      <c r="U287" s="208"/>
      <c r="V287" s="208"/>
      <c r="W287" s="208"/>
      <c r="X287" s="208"/>
      <c r="Y287" s="208"/>
      <c r="Z287" s="208"/>
      <c r="AA287" s="208"/>
      <c r="AB287" s="208"/>
      <c r="AC287" s="208"/>
      <c r="AD287" s="208"/>
      <c r="AE287" s="208"/>
      <c r="AF287" s="208"/>
      <c r="AG287" s="208"/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</row>
    <row r="288" ht="15.75" hidden="1" customHeight="1">
      <c r="A288" s="208"/>
      <c r="B288" s="208"/>
      <c r="C288" s="208"/>
      <c r="D288" s="208"/>
      <c r="E288" s="208"/>
      <c r="F288" s="208"/>
      <c r="G288" s="208"/>
      <c r="H288" s="208"/>
      <c r="I288" s="208"/>
      <c r="J288" s="208"/>
      <c r="K288" s="208"/>
      <c r="L288" s="208"/>
      <c r="M288" s="208"/>
      <c r="N288" s="208"/>
      <c r="O288" s="208"/>
      <c r="P288" s="208"/>
      <c r="Q288" s="208"/>
      <c r="R288" s="208"/>
      <c r="S288" s="208"/>
      <c r="T288" s="208"/>
      <c r="U288" s="208"/>
      <c r="V288" s="208"/>
      <c r="W288" s="208"/>
      <c r="X288" s="208"/>
      <c r="Y288" s="208"/>
      <c r="Z288" s="208"/>
      <c r="AA288" s="208"/>
      <c r="AB288" s="208"/>
      <c r="AC288" s="208"/>
      <c r="AD288" s="208"/>
      <c r="AE288" s="208"/>
      <c r="AF288" s="208"/>
      <c r="AG288" s="208"/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</row>
    <row r="289" ht="15.75" hidden="1" customHeight="1">
      <c r="A289" s="208"/>
      <c r="B289" s="208"/>
      <c r="C289" s="208"/>
      <c r="D289" s="208"/>
      <c r="E289" s="208"/>
      <c r="F289" s="208"/>
      <c r="G289" s="208"/>
      <c r="H289" s="208"/>
      <c r="I289" s="208"/>
      <c r="J289" s="208"/>
      <c r="K289" s="208"/>
      <c r="L289" s="208"/>
      <c r="M289" s="208"/>
      <c r="N289" s="208"/>
      <c r="O289" s="208"/>
      <c r="P289" s="208"/>
      <c r="Q289" s="208"/>
      <c r="R289" s="208"/>
      <c r="S289" s="208"/>
      <c r="T289" s="208"/>
      <c r="U289" s="208"/>
      <c r="V289" s="208"/>
      <c r="W289" s="208"/>
      <c r="X289" s="208"/>
      <c r="Y289" s="208"/>
      <c r="Z289" s="208"/>
      <c r="AA289" s="208"/>
      <c r="AB289" s="208"/>
      <c r="AC289" s="208"/>
      <c r="AD289" s="208"/>
      <c r="AE289" s="208"/>
      <c r="AF289" s="208"/>
      <c r="AG289" s="208"/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</row>
    <row r="290" ht="15.75" hidden="1" customHeight="1">
      <c r="A290" s="208"/>
      <c r="B290" s="208"/>
      <c r="C290" s="208"/>
      <c r="D290" s="208"/>
      <c r="E290" s="208"/>
      <c r="F290" s="208"/>
      <c r="G290" s="208"/>
      <c r="H290" s="208"/>
      <c r="I290" s="208"/>
      <c r="J290" s="208"/>
      <c r="K290" s="208"/>
      <c r="L290" s="208"/>
      <c r="M290" s="208"/>
      <c r="N290" s="208"/>
      <c r="O290" s="208"/>
      <c r="P290" s="208"/>
      <c r="Q290" s="208"/>
      <c r="R290" s="208"/>
      <c r="S290" s="208"/>
      <c r="T290" s="208"/>
      <c r="U290" s="208"/>
      <c r="V290" s="208"/>
      <c r="W290" s="208"/>
      <c r="X290" s="208"/>
      <c r="Y290" s="208"/>
      <c r="Z290" s="208"/>
      <c r="AA290" s="208"/>
      <c r="AB290" s="208"/>
      <c r="AC290" s="208"/>
      <c r="AD290" s="208"/>
      <c r="AE290" s="208"/>
      <c r="AF290" s="208"/>
      <c r="AG290" s="208"/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</row>
    <row r="291" ht="15.75" hidden="1" customHeight="1">
      <c r="A291" s="208"/>
      <c r="B291" s="208"/>
      <c r="C291" s="208"/>
      <c r="D291" s="208"/>
      <c r="E291" s="208"/>
      <c r="F291" s="208"/>
      <c r="G291" s="208"/>
      <c r="H291" s="208"/>
      <c r="I291" s="208"/>
      <c r="J291" s="208"/>
      <c r="K291" s="208"/>
      <c r="L291" s="208"/>
      <c r="M291" s="208"/>
      <c r="N291" s="208"/>
      <c r="O291" s="208"/>
      <c r="P291" s="208"/>
      <c r="Q291" s="208"/>
      <c r="R291" s="208"/>
      <c r="S291" s="208"/>
      <c r="T291" s="208"/>
      <c r="U291" s="208"/>
      <c r="V291" s="208"/>
      <c r="W291" s="208"/>
      <c r="X291" s="208"/>
      <c r="Y291" s="208"/>
      <c r="Z291" s="208"/>
      <c r="AA291" s="208"/>
      <c r="AB291" s="208"/>
      <c r="AC291" s="208"/>
      <c r="AD291" s="208"/>
      <c r="AE291" s="208"/>
      <c r="AF291" s="208"/>
      <c r="AG291" s="208"/>
      <c r="AH291" s="208"/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</row>
    <row r="292" ht="15.75" hidden="1" customHeight="1">
      <c r="A292" s="208"/>
      <c r="B292" s="208"/>
      <c r="C292" s="208"/>
      <c r="D292" s="208"/>
      <c r="E292" s="208"/>
      <c r="F292" s="208"/>
      <c r="G292" s="208"/>
      <c r="H292" s="208"/>
      <c r="I292" s="208"/>
      <c r="J292" s="208"/>
      <c r="K292" s="208"/>
      <c r="L292" s="208"/>
      <c r="M292" s="208"/>
      <c r="N292" s="208"/>
      <c r="O292" s="208"/>
      <c r="P292" s="208"/>
      <c r="Q292" s="208"/>
      <c r="R292" s="208"/>
      <c r="S292" s="208"/>
      <c r="T292" s="208"/>
      <c r="U292" s="208"/>
      <c r="V292" s="208"/>
      <c r="W292" s="208"/>
      <c r="X292" s="208"/>
      <c r="Y292" s="208"/>
      <c r="Z292" s="208"/>
      <c r="AA292" s="208"/>
      <c r="AB292" s="208"/>
      <c r="AC292" s="208"/>
      <c r="AD292" s="208"/>
      <c r="AE292" s="208"/>
      <c r="AF292" s="208"/>
      <c r="AG292" s="208"/>
      <c r="AH292" s="208"/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</row>
    <row r="293" ht="15.75" hidden="1" customHeight="1">
      <c r="A293" s="208"/>
      <c r="B293" s="208"/>
      <c r="C293" s="208"/>
      <c r="D293" s="208"/>
      <c r="E293" s="208"/>
      <c r="F293" s="208"/>
      <c r="G293" s="208"/>
      <c r="H293" s="208"/>
      <c r="I293" s="208"/>
      <c r="J293" s="208"/>
      <c r="K293" s="208"/>
      <c r="L293" s="208"/>
      <c r="M293" s="208"/>
      <c r="N293" s="208"/>
      <c r="O293" s="208"/>
      <c r="P293" s="208"/>
      <c r="Q293" s="208"/>
      <c r="R293" s="208"/>
      <c r="S293" s="208"/>
      <c r="T293" s="208"/>
      <c r="U293" s="208"/>
      <c r="V293" s="208"/>
      <c r="W293" s="208"/>
      <c r="X293" s="208"/>
      <c r="Y293" s="208"/>
      <c r="Z293" s="208"/>
      <c r="AA293" s="208"/>
      <c r="AB293" s="208"/>
      <c r="AC293" s="208"/>
      <c r="AD293" s="208"/>
      <c r="AE293" s="208"/>
      <c r="AF293" s="208"/>
      <c r="AG293" s="208"/>
      <c r="AH293" s="208"/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</row>
    <row r="294" ht="15.75" hidden="1" customHeight="1">
      <c r="A294" s="208"/>
      <c r="B294" s="208"/>
      <c r="C294" s="208"/>
      <c r="D294" s="208"/>
      <c r="E294" s="208"/>
      <c r="F294" s="208"/>
      <c r="G294" s="208"/>
      <c r="H294" s="208"/>
      <c r="I294" s="208"/>
      <c r="J294" s="208"/>
      <c r="K294" s="208"/>
      <c r="L294" s="208"/>
      <c r="M294" s="208"/>
      <c r="N294" s="208"/>
      <c r="O294" s="208"/>
      <c r="P294" s="208"/>
      <c r="Q294" s="208"/>
      <c r="R294" s="208"/>
      <c r="S294" s="208"/>
      <c r="T294" s="208"/>
      <c r="U294" s="208"/>
      <c r="V294" s="208"/>
      <c r="W294" s="208"/>
      <c r="X294" s="208"/>
      <c r="Y294" s="208"/>
      <c r="Z294" s="208"/>
      <c r="AA294" s="208"/>
      <c r="AB294" s="208"/>
      <c r="AC294" s="208"/>
      <c r="AD294" s="208"/>
      <c r="AE294" s="208"/>
      <c r="AF294" s="208"/>
      <c r="AG294" s="208"/>
      <c r="AH294" s="208"/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</row>
    <row r="295" ht="15.75" hidden="1" customHeight="1">
      <c r="A295" s="208"/>
      <c r="B295" s="208"/>
      <c r="C295" s="208"/>
      <c r="D295" s="208"/>
      <c r="E295" s="208"/>
      <c r="F295" s="208"/>
      <c r="G295" s="208"/>
      <c r="H295" s="208"/>
      <c r="I295" s="208"/>
      <c r="J295" s="208"/>
      <c r="K295" s="208"/>
      <c r="L295" s="208"/>
      <c r="M295" s="208"/>
      <c r="N295" s="208"/>
      <c r="O295" s="208"/>
      <c r="P295" s="208"/>
      <c r="Q295" s="208"/>
      <c r="R295" s="208"/>
      <c r="S295" s="208"/>
      <c r="T295" s="208"/>
      <c r="U295" s="208"/>
      <c r="V295" s="208"/>
      <c r="W295" s="208"/>
      <c r="X295" s="208"/>
      <c r="Y295" s="208"/>
      <c r="Z295" s="208"/>
      <c r="AA295" s="208"/>
      <c r="AB295" s="208"/>
      <c r="AC295" s="208"/>
      <c r="AD295" s="208"/>
      <c r="AE295" s="208"/>
      <c r="AF295" s="208"/>
      <c r="AG295" s="208"/>
      <c r="AH295" s="208"/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</row>
    <row r="296" ht="15.75" hidden="1" customHeight="1">
      <c r="A296" s="208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  <c r="R296" s="208"/>
      <c r="S296" s="208"/>
      <c r="T296" s="208"/>
      <c r="U296" s="208"/>
      <c r="V296" s="208"/>
      <c r="W296" s="208"/>
      <c r="X296" s="208"/>
      <c r="Y296" s="208"/>
      <c r="Z296" s="208"/>
      <c r="AA296" s="208"/>
      <c r="AB296" s="208"/>
      <c r="AC296" s="208"/>
      <c r="AD296" s="208"/>
      <c r="AE296" s="208"/>
      <c r="AF296" s="208"/>
      <c r="AG296" s="208"/>
      <c r="AH296" s="208"/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</row>
    <row r="297" ht="15.75" hidden="1" customHeight="1">
      <c r="A297" s="208"/>
      <c r="B297" s="208"/>
      <c r="C297" s="208"/>
      <c r="D297" s="208"/>
      <c r="E297" s="208"/>
      <c r="F297" s="208"/>
      <c r="G297" s="208"/>
      <c r="H297" s="208"/>
      <c r="I297" s="208"/>
      <c r="J297" s="208"/>
      <c r="K297" s="208"/>
      <c r="L297" s="208"/>
      <c r="M297" s="208"/>
      <c r="N297" s="208"/>
      <c r="O297" s="208"/>
      <c r="P297" s="208"/>
      <c r="Q297" s="208"/>
      <c r="R297" s="208"/>
      <c r="S297" s="208"/>
      <c r="T297" s="208"/>
      <c r="U297" s="208"/>
      <c r="V297" s="208"/>
      <c r="W297" s="208"/>
      <c r="X297" s="208"/>
      <c r="Y297" s="208"/>
      <c r="Z297" s="208"/>
      <c r="AA297" s="208"/>
      <c r="AB297" s="208"/>
      <c r="AC297" s="208"/>
      <c r="AD297" s="208"/>
      <c r="AE297" s="208"/>
      <c r="AF297" s="208"/>
      <c r="AG297" s="208"/>
      <c r="AH297" s="208"/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</row>
    <row r="298" ht="15.75" hidden="1" customHeight="1">
      <c r="A298" s="208"/>
      <c r="B298" s="208"/>
      <c r="C298" s="208"/>
      <c r="D298" s="208"/>
      <c r="E298" s="208"/>
      <c r="F298" s="208"/>
      <c r="G298" s="208"/>
      <c r="H298" s="208"/>
      <c r="I298" s="208"/>
      <c r="J298" s="208"/>
      <c r="K298" s="208"/>
      <c r="L298" s="208"/>
      <c r="M298" s="208"/>
      <c r="N298" s="208"/>
      <c r="O298" s="208"/>
      <c r="P298" s="208"/>
      <c r="Q298" s="208"/>
      <c r="R298" s="208"/>
      <c r="S298" s="208"/>
      <c r="T298" s="208"/>
      <c r="U298" s="208"/>
      <c r="V298" s="208"/>
      <c r="W298" s="208"/>
      <c r="X298" s="208"/>
      <c r="Y298" s="208"/>
      <c r="Z298" s="208"/>
      <c r="AA298" s="208"/>
      <c r="AB298" s="208"/>
      <c r="AC298" s="208"/>
      <c r="AD298" s="208"/>
      <c r="AE298" s="208"/>
      <c r="AF298" s="208"/>
      <c r="AG298" s="208"/>
      <c r="AH298" s="208"/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</row>
    <row r="299" ht="15.75" hidden="1" customHeight="1">
      <c r="A299" s="208"/>
      <c r="B299" s="208"/>
      <c r="C299" s="208"/>
      <c r="D299" s="208"/>
      <c r="E299" s="208"/>
      <c r="F299" s="208"/>
      <c r="G299" s="208"/>
      <c r="H299" s="208"/>
      <c r="I299" s="208"/>
      <c r="J299" s="208"/>
      <c r="K299" s="208"/>
      <c r="L299" s="208"/>
      <c r="M299" s="208"/>
      <c r="N299" s="208"/>
      <c r="O299" s="208"/>
      <c r="P299" s="208"/>
      <c r="Q299" s="208"/>
      <c r="R299" s="208"/>
      <c r="S299" s="208"/>
      <c r="T299" s="208"/>
      <c r="U299" s="208"/>
      <c r="V299" s="208"/>
      <c r="W299" s="208"/>
      <c r="X299" s="208"/>
      <c r="Y299" s="208"/>
      <c r="Z299" s="208"/>
      <c r="AA299" s="208"/>
      <c r="AB299" s="208"/>
      <c r="AC299" s="208"/>
      <c r="AD299" s="208"/>
      <c r="AE299" s="208"/>
      <c r="AF299" s="208"/>
      <c r="AG299" s="208"/>
      <c r="AH299" s="208"/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</row>
    <row r="300" ht="15.75" hidden="1" customHeight="1">
      <c r="A300" s="208"/>
      <c r="B300" s="208"/>
      <c r="C300" s="208"/>
      <c r="D300" s="208"/>
      <c r="E300" s="208"/>
      <c r="F300" s="208"/>
      <c r="G300" s="208"/>
      <c r="H300" s="208"/>
      <c r="I300" s="208"/>
      <c r="J300" s="208"/>
      <c r="K300" s="208"/>
      <c r="L300" s="208"/>
      <c r="M300" s="208"/>
      <c r="N300" s="208"/>
      <c r="O300" s="208"/>
      <c r="P300" s="208"/>
      <c r="Q300" s="208"/>
      <c r="R300" s="208"/>
      <c r="S300" s="208"/>
      <c r="T300" s="208"/>
      <c r="U300" s="208"/>
      <c r="V300" s="208"/>
      <c r="W300" s="208"/>
      <c r="X300" s="208"/>
      <c r="Y300" s="208"/>
      <c r="Z300" s="208"/>
      <c r="AA300" s="208"/>
      <c r="AB300" s="208"/>
      <c r="AC300" s="208"/>
      <c r="AD300" s="208"/>
      <c r="AE300" s="208"/>
      <c r="AF300" s="208"/>
      <c r="AG300" s="208"/>
      <c r="AH300" s="208"/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</row>
    <row r="301" ht="15.75" hidden="1" customHeight="1">
      <c r="A301" s="208"/>
      <c r="B301" s="208"/>
      <c r="C301" s="208"/>
      <c r="D301" s="208"/>
      <c r="E301" s="208"/>
      <c r="F301" s="208"/>
      <c r="G301" s="208"/>
      <c r="H301" s="208"/>
      <c r="I301" s="208"/>
      <c r="J301" s="208"/>
      <c r="K301" s="208"/>
      <c r="L301" s="208"/>
      <c r="M301" s="208"/>
      <c r="N301" s="208"/>
      <c r="O301" s="208"/>
      <c r="P301" s="208"/>
      <c r="Q301" s="208"/>
      <c r="R301" s="208"/>
      <c r="S301" s="208"/>
      <c r="T301" s="208"/>
      <c r="U301" s="208"/>
      <c r="V301" s="208"/>
      <c r="W301" s="208"/>
      <c r="X301" s="208"/>
      <c r="Y301" s="208"/>
      <c r="Z301" s="208"/>
      <c r="AA301" s="208"/>
      <c r="AB301" s="208"/>
      <c r="AC301" s="208"/>
      <c r="AD301" s="208"/>
      <c r="AE301" s="208"/>
      <c r="AF301" s="208"/>
      <c r="AG301" s="208"/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</row>
    <row r="302" ht="15.75" hidden="1" customHeight="1">
      <c r="A302" s="208"/>
      <c r="B302" s="208"/>
      <c r="C302" s="208"/>
      <c r="D302" s="208"/>
      <c r="E302" s="208"/>
      <c r="F302" s="208"/>
      <c r="G302" s="208"/>
      <c r="H302" s="208"/>
      <c r="I302" s="208"/>
      <c r="J302" s="208"/>
      <c r="K302" s="208"/>
      <c r="L302" s="208"/>
      <c r="M302" s="208"/>
      <c r="N302" s="208"/>
      <c r="O302" s="208"/>
      <c r="P302" s="208"/>
      <c r="Q302" s="208"/>
      <c r="R302" s="208"/>
      <c r="S302" s="208"/>
      <c r="T302" s="208"/>
      <c r="U302" s="208"/>
      <c r="V302" s="208"/>
      <c r="W302" s="208"/>
      <c r="X302" s="208"/>
      <c r="Y302" s="208"/>
      <c r="Z302" s="208"/>
      <c r="AA302" s="208"/>
      <c r="AB302" s="208"/>
      <c r="AC302" s="208"/>
      <c r="AD302" s="208"/>
      <c r="AE302" s="208"/>
      <c r="AF302" s="208"/>
      <c r="AG302" s="208"/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</row>
    <row r="303" ht="15.75" hidden="1" customHeight="1">
      <c r="A303" s="208"/>
      <c r="B303" s="208"/>
      <c r="C303" s="208"/>
      <c r="D303" s="208"/>
      <c r="E303" s="208"/>
      <c r="F303" s="208"/>
      <c r="G303" s="208"/>
      <c r="H303" s="208"/>
      <c r="I303" s="208"/>
      <c r="J303" s="208"/>
      <c r="K303" s="208"/>
      <c r="L303" s="208"/>
      <c r="M303" s="208"/>
      <c r="N303" s="208"/>
      <c r="O303" s="208"/>
      <c r="P303" s="208"/>
      <c r="Q303" s="208"/>
      <c r="R303" s="208"/>
      <c r="S303" s="208"/>
      <c r="T303" s="208"/>
      <c r="U303" s="208"/>
      <c r="V303" s="208"/>
      <c r="W303" s="208"/>
      <c r="X303" s="208"/>
      <c r="Y303" s="208"/>
      <c r="Z303" s="208"/>
      <c r="AA303" s="208"/>
      <c r="AB303" s="208"/>
      <c r="AC303" s="208"/>
      <c r="AD303" s="208"/>
      <c r="AE303" s="208"/>
      <c r="AF303" s="208"/>
      <c r="AG303" s="208"/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</row>
    <row r="304" ht="15.75" hidden="1" customHeight="1">
      <c r="A304" s="208"/>
      <c r="B304" s="208"/>
      <c r="C304" s="208"/>
      <c r="D304" s="208"/>
      <c r="E304" s="208"/>
      <c r="F304" s="208"/>
      <c r="G304" s="208"/>
      <c r="H304" s="208"/>
      <c r="I304" s="208"/>
      <c r="J304" s="208"/>
      <c r="K304" s="208"/>
      <c r="L304" s="208"/>
      <c r="M304" s="208"/>
      <c r="N304" s="208"/>
      <c r="O304" s="208"/>
      <c r="P304" s="208"/>
      <c r="Q304" s="208"/>
      <c r="R304" s="208"/>
      <c r="S304" s="208"/>
      <c r="T304" s="208"/>
      <c r="U304" s="208"/>
      <c r="V304" s="208"/>
      <c r="W304" s="208"/>
      <c r="X304" s="208"/>
      <c r="Y304" s="208"/>
      <c r="Z304" s="208"/>
      <c r="AA304" s="208"/>
      <c r="AB304" s="208"/>
      <c r="AC304" s="208"/>
      <c r="AD304" s="208"/>
      <c r="AE304" s="208"/>
      <c r="AF304" s="208"/>
      <c r="AG304" s="208"/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</row>
    <row r="305" ht="15.75" hidden="1" customHeight="1">
      <c r="A305" s="208"/>
      <c r="B305" s="208"/>
      <c r="C305" s="208"/>
      <c r="D305" s="208"/>
      <c r="E305" s="208"/>
      <c r="F305" s="208"/>
      <c r="G305" s="208"/>
      <c r="H305" s="208"/>
      <c r="I305" s="208"/>
      <c r="J305" s="208"/>
      <c r="K305" s="208"/>
      <c r="L305" s="208"/>
      <c r="M305" s="208"/>
      <c r="N305" s="208"/>
      <c r="O305" s="208"/>
      <c r="P305" s="208"/>
      <c r="Q305" s="208"/>
      <c r="R305" s="208"/>
      <c r="S305" s="208"/>
      <c r="T305" s="208"/>
      <c r="U305" s="208"/>
      <c r="V305" s="208"/>
      <c r="W305" s="208"/>
      <c r="X305" s="208"/>
      <c r="Y305" s="208"/>
      <c r="Z305" s="208"/>
      <c r="AA305" s="208"/>
      <c r="AB305" s="208"/>
      <c r="AC305" s="208"/>
      <c r="AD305" s="208"/>
      <c r="AE305" s="208"/>
      <c r="AF305" s="208"/>
      <c r="AG305" s="208"/>
      <c r="AH305" s="208"/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</row>
    <row r="306" ht="15.75" hidden="1" customHeight="1">
      <c r="A306" s="208"/>
      <c r="B306" s="208"/>
      <c r="C306" s="208"/>
      <c r="D306" s="208"/>
      <c r="E306" s="208"/>
      <c r="F306" s="208"/>
      <c r="G306" s="208"/>
      <c r="H306" s="208"/>
      <c r="I306" s="208"/>
      <c r="J306" s="208"/>
      <c r="K306" s="208"/>
      <c r="L306" s="208"/>
      <c r="M306" s="208"/>
      <c r="N306" s="208"/>
      <c r="O306" s="208"/>
      <c r="P306" s="208"/>
      <c r="Q306" s="208"/>
      <c r="R306" s="208"/>
      <c r="S306" s="208"/>
      <c r="T306" s="208"/>
      <c r="U306" s="208"/>
      <c r="V306" s="208"/>
      <c r="W306" s="208"/>
      <c r="X306" s="208"/>
      <c r="Y306" s="208"/>
      <c r="Z306" s="208"/>
      <c r="AA306" s="208"/>
      <c r="AB306" s="208"/>
      <c r="AC306" s="208"/>
      <c r="AD306" s="208"/>
      <c r="AE306" s="208"/>
      <c r="AF306" s="208"/>
      <c r="AG306" s="208"/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</row>
    <row r="307" ht="15.75" hidden="1" customHeight="1">
      <c r="A307" s="208"/>
      <c r="B307" s="208"/>
      <c r="C307" s="208"/>
      <c r="D307" s="208"/>
      <c r="E307" s="208"/>
      <c r="F307" s="208"/>
      <c r="G307" s="208"/>
      <c r="H307" s="208"/>
      <c r="I307" s="208"/>
      <c r="J307" s="208"/>
      <c r="K307" s="208"/>
      <c r="L307" s="208"/>
      <c r="M307" s="208"/>
      <c r="N307" s="208"/>
      <c r="O307" s="208"/>
      <c r="P307" s="208"/>
      <c r="Q307" s="208"/>
      <c r="R307" s="208"/>
      <c r="S307" s="208"/>
      <c r="T307" s="208"/>
      <c r="U307" s="208"/>
      <c r="V307" s="208"/>
      <c r="W307" s="208"/>
      <c r="X307" s="208"/>
      <c r="Y307" s="208"/>
      <c r="Z307" s="208"/>
      <c r="AA307" s="208"/>
      <c r="AB307" s="208"/>
      <c r="AC307" s="208"/>
      <c r="AD307" s="208"/>
      <c r="AE307" s="208"/>
      <c r="AF307" s="208"/>
      <c r="AG307" s="208"/>
      <c r="AH307" s="208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</row>
    <row r="308" ht="15.75" hidden="1" customHeight="1">
      <c r="A308" s="208"/>
      <c r="B308" s="208"/>
      <c r="C308" s="208"/>
      <c r="D308" s="208"/>
      <c r="E308" s="208"/>
      <c r="F308" s="208"/>
      <c r="G308" s="208"/>
      <c r="H308" s="208"/>
      <c r="I308" s="208"/>
      <c r="J308" s="208"/>
      <c r="K308" s="208"/>
      <c r="L308" s="208"/>
      <c r="M308" s="208"/>
      <c r="N308" s="208"/>
      <c r="O308" s="208"/>
      <c r="P308" s="208"/>
      <c r="Q308" s="208"/>
      <c r="R308" s="208"/>
      <c r="S308" s="208"/>
      <c r="T308" s="208"/>
      <c r="U308" s="208"/>
      <c r="V308" s="208"/>
      <c r="W308" s="208"/>
      <c r="X308" s="208"/>
      <c r="Y308" s="208"/>
      <c r="Z308" s="208"/>
      <c r="AA308" s="208"/>
      <c r="AB308" s="208"/>
      <c r="AC308" s="208"/>
      <c r="AD308" s="208"/>
      <c r="AE308" s="208"/>
      <c r="AF308" s="208"/>
      <c r="AG308" s="208"/>
      <c r="AH308" s="208"/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</row>
    <row r="309" ht="15.75" hidden="1" customHeight="1">
      <c r="A309" s="208"/>
      <c r="B309" s="208"/>
      <c r="C309" s="208"/>
      <c r="D309" s="208"/>
      <c r="E309" s="208"/>
      <c r="F309" s="208"/>
      <c r="G309" s="208"/>
      <c r="H309" s="208"/>
      <c r="I309" s="208"/>
      <c r="J309" s="208"/>
      <c r="K309" s="208"/>
      <c r="L309" s="208"/>
      <c r="M309" s="208"/>
      <c r="N309" s="208"/>
      <c r="O309" s="208"/>
      <c r="P309" s="208"/>
      <c r="Q309" s="208"/>
      <c r="R309" s="208"/>
      <c r="S309" s="208"/>
      <c r="T309" s="208"/>
      <c r="U309" s="208"/>
      <c r="V309" s="208"/>
      <c r="W309" s="208"/>
      <c r="X309" s="208"/>
      <c r="Y309" s="208"/>
      <c r="Z309" s="208"/>
      <c r="AA309" s="208"/>
      <c r="AB309" s="208"/>
      <c r="AC309" s="208"/>
      <c r="AD309" s="208"/>
      <c r="AE309" s="208"/>
      <c r="AF309" s="208"/>
      <c r="AG309" s="208"/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</row>
    <row r="310" ht="15.75" hidden="1" customHeight="1">
      <c r="A310" s="208"/>
      <c r="B310" s="208"/>
      <c r="C310" s="208"/>
      <c r="D310" s="208"/>
      <c r="E310" s="208"/>
      <c r="F310" s="208"/>
      <c r="G310" s="208"/>
      <c r="H310" s="208"/>
      <c r="I310" s="208"/>
      <c r="J310" s="208"/>
      <c r="K310" s="208"/>
      <c r="L310" s="208"/>
      <c r="M310" s="208"/>
      <c r="N310" s="208"/>
      <c r="O310" s="208"/>
      <c r="P310" s="208"/>
      <c r="Q310" s="208"/>
      <c r="R310" s="208"/>
      <c r="S310" s="208"/>
      <c r="T310" s="208"/>
      <c r="U310" s="208"/>
      <c r="V310" s="208"/>
      <c r="W310" s="208"/>
      <c r="X310" s="208"/>
      <c r="Y310" s="208"/>
      <c r="Z310" s="208"/>
      <c r="AA310" s="208"/>
      <c r="AB310" s="208"/>
      <c r="AC310" s="208"/>
      <c r="AD310" s="208"/>
      <c r="AE310" s="208"/>
      <c r="AF310" s="208"/>
      <c r="AG310" s="208"/>
      <c r="AH310" s="208"/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</row>
    <row r="311" ht="15.75" hidden="1" customHeight="1">
      <c r="A311" s="208"/>
      <c r="B311" s="208"/>
      <c r="C311" s="208"/>
      <c r="D311" s="208"/>
      <c r="E311" s="208"/>
      <c r="F311" s="208"/>
      <c r="G311" s="208"/>
      <c r="H311" s="208"/>
      <c r="I311" s="208"/>
      <c r="J311" s="208"/>
      <c r="K311" s="208"/>
      <c r="L311" s="208"/>
      <c r="M311" s="208"/>
      <c r="N311" s="208"/>
      <c r="O311" s="208"/>
      <c r="P311" s="208"/>
      <c r="Q311" s="208"/>
      <c r="R311" s="208"/>
      <c r="S311" s="208"/>
      <c r="T311" s="208"/>
      <c r="U311" s="208"/>
      <c r="V311" s="208"/>
      <c r="W311" s="208"/>
      <c r="X311" s="208"/>
      <c r="Y311" s="208"/>
      <c r="Z311" s="208"/>
      <c r="AA311" s="208"/>
      <c r="AB311" s="208"/>
      <c r="AC311" s="208"/>
      <c r="AD311" s="208"/>
      <c r="AE311" s="208"/>
      <c r="AF311" s="208"/>
      <c r="AG311" s="208"/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</row>
    <row r="312" ht="15.75" hidden="1" customHeight="1">
      <c r="A312" s="208"/>
      <c r="B312" s="208"/>
      <c r="C312" s="208"/>
      <c r="D312" s="208"/>
      <c r="E312" s="208"/>
      <c r="F312" s="208"/>
      <c r="G312" s="208"/>
      <c r="H312" s="208"/>
      <c r="I312" s="208"/>
      <c r="J312" s="208"/>
      <c r="K312" s="208"/>
      <c r="L312" s="208"/>
      <c r="M312" s="208"/>
      <c r="N312" s="208"/>
      <c r="O312" s="208"/>
      <c r="P312" s="208"/>
      <c r="Q312" s="208"/>
      <c r="R312" s="208"/>
      <c r="S312" s="208"/>
      <c r="T312" s="208"/>
      <c r="U312" s="208"/>
      <c r="V312" s="208"/>
      <c r="W312" s="208"/>
      <c r="X312" s="208"/>
      <c r="Y312" s="208"/>
      <c r="Z312" s="208"/>
      <c r="AA312" s="208"/>
      <c r="AB312" s="208"/>
      <c r="AC312" s="208"/>
      <c r="AD312" s="208"/>
      <c r="AE312" s="208"/>
      <c r="AF312" s="208"/>
      <c r="AG312" s="208"/>
      <c r="AH312" s="208"/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</row>
    <row r="313" ht="15.75" hidden="1" customHeight="1">
      <c r="A313" s="208"/>
      <c r="B313" s="208"/>
      <c r="C313" s="208"/>
      <c r="D313" s="208"/>
      <c r="E313" s="208"/>
      <c r="F313" s="208"/>
      <c r="G313" s="208"/>
      <c r="H313" s="208"/>
      <c r="I313" s="208"/>
      <c r="J313" s="208"/>
      <c r="K313" s="208"/>
      <c r="L313" s="208"/>
      <c r="M313" s="208"/>
      <c r="N313" s="208"/>
      <c r="O313" s="208"/>
      <c r="P313" s="208"/>
      <c r="Q313" s="208"/>
      <c r="R313" s="208"/>
      <c r="S313" s="208"/>
      <c r="T313" s="208"/>
      <c r="U313" s="208"/>
      <c r="V313" s="208"/>
      <c r="W313" s="208"/>
      <c r="X313" s="208"/>
      <c r="Y313" s="208"/>
      <c r="Z313" s="208"/>
      <c r="AA313" s="208"/>
      <c r="AB313" s="208"/>
      <c r="AC313" s="208"/>
      <c r="AD313" s="208"/>
      <c r="AE313" s="208"/>
      <c r="AF313" s="208"/>
      <c r="AG313" s="208"/>
      <c r="AH313" s="208"/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</row>
    <row r="314" ht="15.75" hidden="1" customHeight="1">
      <c r="A314" s="208"/>
      <c r="B314" s="208"/>
      <c r="C314" s="208"/>
      <c r="D314" s="208"/>
      <c r="E314" s="208"/>
      <c r="F314" s="208"/>
      <c r="G314" s="208"/>
      <c r="H314" s="208"/>
      <c r="I314" s="208"/>
      <c r="J314" s="208"/>
      <c r="K314" s="208"/>
      <c r="L314" s="208"/>
      <c r="M314" s="208"/>
      <c r="N314" s="208"/>
      <c r="O314" s="208"/>
      <c r="P314" s="208"/>
      <c r="Q314" s="208"/>
      <c r="R314" s="208"/>
      <c r="S314" s="208"/>
      <c r="T314" s="208"/>
      <c r="U314" s="208"/>
      <c r="V314" s="208"/>
      <c r="W314" s="208"/>
      <c r="X314" s="208"/>
      <c r="Y314" s="208"/>
      <c r="Z314" s="208"/>
      <c r="AA314" s="208"/>
      <c r="AB314" s="208"/>
      <c r="AC314" s="208"/>
      <c r="AD314" s="208"/>
      <c r="AE314" s="208"/>
      <c r="AF314" s="208"/>
      <c r="AG314" s="208"/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</row>
    <row r="315" ht="15.75" hidden="1" customHeight="1">
      <c r="A315" s="208"/>
      <c r="B315" s="208"/>
      <c r="C315" s="208"/>
      <c r="D315" s="208"/>
      <c r="E315" s="208"/>
      <c r="F315" s="208"/>
      <c r="G315" s="208"/>
      <c r="H315" s="208"/>
      <c r="I315" s="208"/>
      <c r="J315" s="208"/>
      <c r="K315" s="208"/>
      <c r="L315" s="208"/>
      <c r="M315" s="208"/>
      <c r="N315" s="208"/>
      <c r="O315" s="208"/>
      <c r="P315" s="208"/>
      <c r="Q315" s="208"/>
      <c r="R315" s="208"/>
      <c r="S315" s="208"/>
      <c r="T315" s="208"/>
      <c r="U315" s="208"/>
      <c r="V315" s="208"/>
      <c r="W315" s="208"/>
      <c r="X315" s="208"/>
      <c r="Y315" s="208"/>
      <c r="Z315" s="208"/>
      <c r="AA315" s="208"/>
      <c r="AB315" s="208"/>
      <c r="AC315" s="208"/>
      <c r="AD315" s="208"/>
      <c r="AE315" s="208"/>
      <c r="AF315" s="208"/>
      <c r="AG315" s="208"/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</row>
    <row r="316" ht="15.75" hidden="1" customHeight="1">
      <c r="A316" s="208"/>
      <c r="B316" s="208"/>
      <c r="C316" s="208"/>
      <c r="D316" s="208"/>
      <c r="E316" s="208"/>
      <c r="F316" s="208"/>
      <c r="G316" s="208"/>
      <c r="H316" s="208"/>
      <c r="I316" s="208"/>
      <c r="J316" s="208"/>
      <c r="K316" s="208"/>
      <c r="L316" s="208"/>
      <c r="M316" s="208"/>
      <c r="N316" s="208"/>
      <c r="O316" s="208"/>
      <c r="P316" s="208"/>
      <c r="Q316" s="208"/>
      <c r="R316" s="208"/>
      <c r="S316" s="208"/>
      <c r="T316" s="208"/>
      <c r="U316" s="208"/>
      <c r="V316" s="208"/>
      <c r="W316" s="208"/>
      <c r="X316" s="208"/>
      <c r="Y316" s="208"/>
      <c r="Z316" s="208"/>
      <c r="AA316" s="208"/>
      <c r="AB316" s="208"/>
      <c r="AC316" s="208"/>
      <c r="AD316" s="208"/>
      <c r="AE316" s="208"/>
      <c r="AF316" s="208"/>
      <c r="AG316" s="208"/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</row>
    <row r="317" ht="15.75" hidden="1" customHeight="1">
      <c r="A317" s="208"/>
      <c r="B317" s="208"/>
      <c r="C317" s="208"/>
      <c r="D317" s="208"/>
      <c r="E317" s="208"/>
      <c r="F317" s="208"/>
      <c r="G317" s="208"/>
      <c r="H317" s="208"/>
      <c r="I317" s="208"/>
      <c r="J317" s="208"/>
      <c r="K317" s="208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  <c r="V317" s="208"/>
      <c r="W317" s="208"/>
      <c r="X317" s="208"/>
      <c r="Y317" s="208"/>
      <c r="Z317" s="208"/>
      <c r="AA317" s="208"/>
      <c r="AB317" s="208"/>
      <c r="AC317" s="208"/>
      <c r="AD317" s="208"/>
      <c r="AE317" s="208"/>
      <c r="AF317" s="208"/>
      <c r="AG317" s="208"/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</row>
    <row r="318" ht="15.75" hidden="1" customHeight="1">
      <c r="A318" s="208"/>
      <c r="B318" s="208"/>
      <c r="C318" s="208"/>
      <c r="D318" s="208"/>
      <c r="E318" s="208"/>
      <c r="F318" s="208"/>
      <c r="G318" s="208"/>
      <c r="H318" s="208"/>
      <c r="I318" s="208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  <c r="AA318" s="208"/>
      <c r="AB318" s="208"/>
      <c r="AC318" s="208"/>
      <c r="AD318" s="208"/>
      <c r="AE318" s="208"/>
      <c r="AF318" s="208"/>
      <c r="AG318" s="208"/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</row>
    <row r="319" ht="15.75" hidden="1" customHeight="1">
      <c r="A319" s="208"/>
      <c r="B319" s="208"/>
      <c r="C319" s="208"/>
      <c r="D319" s="208"/>
      <c r="E319" s="208"/>
      <c r="F319" s="208"/>
      <c r="G319" s="208"/>
      <c r="H319" s="208"/>
      <c r="I319" s="208"/>
      <c r="J319" s="208"/>
      <c r="K319" s="208"/>
      <c r="L319" s="208"/>
      <c r="M319" s="208"/>
      <c r="N319" s="208"/>
      <c r="O319" s="208"/>
      <c r="P319" s="208"/>
      <c r="Q319" s="208"/>
      <c r="R319" s="208"/>
      <c r="S319" s="208"/>
      <c r="T319" s="208"/>
      <c r="U319" s="208"/>
      <c r="V319" s="208"/>
      <c r="W319" s="208"/>
      <c r="X319" s="208"/>
      <c r="Y319" s="208"/>
      <c r="Z319" s="208"/>
      <c r="AA319" s="208"/>
      <c r="AB319" s="208"/>
      <c r="AC319" s="208"/>
      <c r="AD319" s="208"/>
      <c r="AE319" s="208"/>
      <c r="AF319" s="208"/>
      <c r="AG319" s="208"/>
      <c r="AH319" s="208"/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</row>
    <row r="320" ht="15.75" hidden="1" customHeight="1">
      <c r="A320" s="208"/>
      <c r="B320" s="208"/>
      <c r="C320" s="208"/>
      <c r="D320" s="208"/>
      <c r="E320" s="208"/>
      <c r="F320" s="208"/>
      <c r="G320" s="208"/>
      <c r="H320" s="208"/>
      <c r="I320" s="208"/>
      <c r="J320" s="208"/>
      <c r="K320" s="208"/>
      <c r="L320" s="208"/>
      <c r="M320" s="208"/>
      <c r="N320" s="208"/>
      <c r="O320" s="208"/>
      <c r="P320" s="208"/>
      <c r="Q320" s="208"/>
      <c r="R320" s="208"/>
      <c r="S320" s="208"/>
      <c r="T320" s="208"/>
      <c r="U320" s="208"/>
      <c r="V320" s="208"/>
      <c r="W320" s="208"/>
      <c r="X320" s="208"/>
      <c r="Y320" s="208"/>
      <c r="Z320" s="208"/>
      <c r="AA320" s="208"/>
      <c r="AB320" s="208"/>
      <c r="AC320" s="208"/>
      <c r="AD320" s="208"/>
      <c r="AE320" s="208"/>
      <c r="AF320" s="208"/>
      <c r="AG320" s="208"/>
      <c r="AH320" s="208"/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</row>
    <row r="321" ht="15.75" hidden="1" customHeight="1">
      <c r="A321" s="208"/>
      <c r="B321" s="208"/>
      <c r="C321" s="208"/>
      <c r="D321" s="208"/>
      <c r="E321" s="208"/>
      <c r="F321" s="208"/>
      <c r="G321" s="208"/>
      <c r="H321" s="208"/>
      <c r="I321" s="208"/>
      <c r="J321" s="208"/>
      <c r="K321" s="208"/>
      <c r="L321" s="208"/>
      <c r="M321" s="208"/>
      <c r="N321" s="208"/>
      <c r="O321" s="208"/>
      <c r="P321" s="208"/>
      <c r="Q321" s="208"/>
      <c r="R321" s="208"/>
      <c r="S321" s="208"/>
      <c r="T321" s="208"/>
      <c r="U321" s="208"/>
      <c r="V321" s="208"/>
      <c r="W321" s="208"/>
      <c r="X321" s="208"/>
      <c r="Y321" s="208"/>
      <c r="Z321" s="208"/>
      <c r="AA321" s="208"/>
      <c r="AB321" s="208"/>
      <c r="AC321" s="208"/>
      <c r="AD321" s="208"/>
      <c r="AE321" s="208"/>
      <c r="AF321" s="208"/>
      <c r="AG321" s="208"/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</row>
    <row r="322" ht="15.75" hidden="1" customHeight="1">
      <c r="A322" s="208"/>
      <c r="B322" s="208"/>
      <c r="C322" s="208"/>
      <c r="D322" s="208"/>
      <c r="E322" s="208"/>
      <c r="F322" s="208"/>
      <c r="G322" s="208"/>
      <c r="H322" s="208"/>
      <c r="I322" s="208"/>
      <c r="J322" s="208"/>
      <c r="K322" s="208"/>
      <c r="L322" s="208"/>
      <c r="M322" s="208"/>
      <c r="N322" s="208"/>
      <c r="O322" s="208"/>
      <c r="P322" s="208"/>
      <c r="Q322" s="208"/>
      <c r="R322" s="208"/>
      <c r="S322" s="208"/>
      <c r="T322" s="208"/>
      <c r="U322" s="208"/>
      <c r="V322" s="208"/>
      <c r="W322" s="208"/>
      <c r="X322" s="208"/>
      <c r="Y322" s="208"/>
      <c r="Z322" s="208"/>
      <c r="AA322" s="208"/>
      <c r="AB322" s="208"/>
      <c r="AC322" s="208"/>
      <c r="AD322" s="208"/>
      <c r="AE322" s="208"/>
      <c r="AF322" s="208"/>
      <c r="AG322" s="208"/>
      <c r="AH322" s="208"/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</row>
    <row r="323" ht="15.75" hidden="1" customHeight="1">
      <c r="A323" s="208"/>
      <c r="B323" s="208"/>
      <c r="C323" s="208"/>
      <c r="D323" s="208"/>
      <c r="E323" s="208"/>
      <c r="F323" s="208"/>
      <c r="G323" s="208"/>
      <c r="H323" s="208"/>
      <c r="I323" s="208"/>
      <c r="J323" s="208"/>
      <c r="K323" s="208"/>
      <c r="L323" s="208"/>
      <c r="M323" s="208"/>
      <c r="N323" s="208"/>
      <c r="O323" s="208"/>
      <c r="P323" s="208"/>
      <c r="Q323" s="208"/>
      <c r="R323" s="208"/>
      <c r="S323" s="208"/>
      <c r="T323" s="208"/>
      <c r="U323" s="208"/>
      <c r="V323" s="208"/>
      <c r="W323" s="208"/>
      <c r="X323" s="208"/>
      <c r="Y323" s="208"/>
      <c r="Z323" s="208"/>
      <c r="AA323" s="208"/>
      <c r="AB323" s="208"/>
      <c r="AC323" s="208"/>
      <c r="AD323" s="208"/>
      <c r="AE323" s="208"/>
      <c r="AF323" s="208"/>
      <c r="AG323" s="208"/>
      <c r="AH323" s="208"/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</row>
    <row r="324" ht="15.75" hidden="1" customHeight="1">
      <c r="A324" s="208"/>
      <c r="B324" s="208"/>
      <c r="C324" s="208"/>
      <c r="D324" s="208"/>
      <c r="E324" s="208"/>
      <c r="F324" s="208"/>
      <c r="G324" s="208"/>
      <c r="H324" s="208"/>
      <c r="I324" s="208"/>
      <c r="J324" s="208"/>
      <c r="K324" s="208"/>
      <c r="L324" s="208"/>
      <c r="M324" s="208"/>
      <c r="N324" s="208"/>
      <c r="O324" s="208"/>
      <c r="P324" s="208"/>
      <c r="Q324" s="208"/>
      <c r="R324" s="208"/>
      <c r="S324" s="208"/>
      <c r="T324" s="208"/>
      <c r="U324" s="208"/>
      <c r="V324" s="208"/>
      <c r="W324" s="208"/>
      <c r="X324" s="208"/>
      <c r="Y324" s="208"/>
      <c r="Z324" s="208"/>
      <c r="AA324" s="208"/>
      <c r="AB324" s="208"/>
      <c r="AC324" s="208"/>
      <c r="AD324" s="208"/>
      <c r="AE324" s="208"/>
      <c r="AF324" s="208"/>
      <c r="AG324" s="208"/>
      <c r="AH324" s="208"/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</row>
    <row r="325" ht="15.75" hidden="1" customHeight="1">
      <c r="A325" s="208"/>
      <c r="B325" s="208"/>
      <c r="C325" s="208"/>
      <c r="D325" s="208"/>
      <c r="E325" s="208"/>
      <c r="F325" s="208"/>
      <c r="G325" s="208"/>
      <c r="H325" s="208"/>
      <c r="I325" s="208"/>
      <c r="J325" s="208"/>
      <c r="K325" s="208"/>
      <c r="L325" s="208"/>
      <c r="M325" s="208"/>
      <c r="N325" s="208"/>
      <c r="O325" s="208"/>
      <c r="P325" s="208"/>
      <c r="Q325" s="208"/>
      <c r="R325" s="208"/>
      <c r="S325" s="208"/>
      <c r="T325" s="208"/>
      <c r="U325" s="208"/>
      <c r="V325" s="208"/>
      <c r="W325" s="208"/>
      <c r="X325" s="208"/>
      <c r="Y325" s="208"/>
      <c r="Z325" s="208"/>
      <c r="AA325" s="208"/>
      <c r="AB325" s="208"/>
      <c r="AC325" s="208"/>
      <c r="AD325" s="208"/>
      <c r="AE325" s="208"/>
      <c r="AF325" s="208"/>
      <c r="AG325" s="208"/>
      <c r="AH325" s="208"/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</row>
    <row r="326" ht="15.75" hidden="1" customHeight="1">
      <c r="A326" s="208"/>
      <c r="B326" s="208"/>
      <c r="C326" s="208"/>
      <c r="D326" s="208"/>
      <c r="E326" s="208"/>
      <c r="F326" s="208"/>
      <c r="G326" s="208"/>
      <c r="H326" s="208"/>
      <c r="I326" s="208"/>
      <c r="J326" s="208"/>
      <c r="K326" s="208"/>
      <c r="L326" s="208"/>
      <c r="M326" s="208"/>
      <c r="N326" s="208"/>
      <c r="O326" s="208"/>
      <c r="P326" s="208"/>
      <c r="Q326" s="208"/>
      <c r="R326" s="208"/>
      <c r="S326" s="208"/>
      <c r="T326" s="208"/>
      <c r="U326" s="208"/>
      <c r="V326" s="208"/>
      <c r="W326" s="208"/>
      <c r="X326" s="208"/>
      <c r="Y326" s="208"/>
      <c r="Z326" s="208"/>
      <c r="AA326" s="208"/>
      <c r="AB326" s="208"/>
      <c r="AC326" s="208"/>
      <c r="AD326" s="208"/>
      <c r="AE326" s="208"/>
      <c r="AF326" s="208"/>
      <c r="AG326" s="208"/>
      <c r="AH326" s="208"/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</row>
    <row r="327" ht="15.75" hidden="1" customHeight="1">
      <c r="A327" s="208"/>
      <c r="B327" s="208"/>
      <c r="C327" s="208"/>
      <c r="D327" s="208"/>
      <c r="E327" s="208"/>
      <c r="F327" s="208"/>
      <c r="G327" s="208"/>
      <c r="H327" s="208"/>
      <c r="I327" s="208"/>
      <c r="J327" s="208"/>
      <c r="K327" s="208"/>
      <c r="L327" s="208"/>
      <c r="M327" s="208"/>
      <c r="N327" s="208"/>
      <c r="O327" s="208"/>
      <c r="P327" s="208"/>
      <c r="Q327" s="208"/>
      <c r="R327" s="208"/>
      <c r="S327" s="208"/>
      <c r="T327" s="208"/>
      <c r="U327" s="208"/>
      <c r="V327" s="208"/>
      <c r="W327" s="208"/>
      <c r="X327" s="208"/>
      <c r="Y327" s="208"/>
      <c r="Z327" s="208"/>
      <c r="AA327" s="208"/>
      <c r="AB327" s="208"/>
      <c r="AC327" s="208"/>
      <c r="AD327" s="208"/>
      <c r="AE327" s="208"/>
      <c r="AF327" s="208"/>
      <c r="AG327" s="208"/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</row>
    <row r="328" ht="15.75" hidden="1" customHeight="1">
      <c r="A328" s="208"/>
      <c r="B328" s="208"/>
      <c r="C328" s="208"/>
      <c r="D328" s="208"/>
      <c r="E328" s="208"/>
      <c r="F328" s="208"/>
      <c r="G328" s="208"/>
      <c r="H328" s="208"/>
      <c r="I328" s="208"/>
      <c r="J328" s="208"/>
      <c r="K328" s="208"/>
      <c r="L328" s="208"/>
      <c r="M328" s="208"/>
      <c r="N328" s="208"/>
      <c r="O328" s="208"/>
      <c r="P328" s="208"/>
      <c r="Q328" s="208"/>
      <c r="R328" s="208"/>
      <c r="S328" s="208"/>
      <c r="T328" s="208"/>
      <c r="U328" s="208"/>
      <c r="V328" s="208"/>
      <c r="W328" s="208"/>
      <c r="X328" s="208"/>
      <c r="Y328" s="208"/>
      <c r="Z328" s="208"/>
      <c r="AA328" s="208"/>
      <c r="AB328" s="208"/>
      <c r="AC328" s="208"/>
      <c r="AD328" s="208"/>
      <c r="AE328" s="208"/>
      <c r="AF328" s="208"/>
      <c r="AG328" s="208"/>
      <c r="AH328" s="208"/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</row>
    <row r="329" ht="15.75" hidden="1" customHeight="1">
      <c r="A329" s="208"/>
      <c r="B329" s="208"/>
      <c r="C329" s="208"/>
      <c r="D329" s="208"/>
      <c r="E329" s="208"/>
      <c r="F329" s="208"/>
      <c r="G329" s="208"/>
      <c r="H329" s="208"/>
      <c r="I329" s="208"/>
      <c r="J329" s="208"/>
      <c r="K329" s="208"/>
      <c r="L329" s="208"/>
      <c r="M329" s="208"/>
      <c r="N329" s="208"/>
      <c r="O329" s="208"/>
      <c r="P329" s="208"/>
      <c r="Q329" s="208"/>
      <c r="R329" s="208"/>
      <c r="S329" s="208"/>
      <c r="T329" s="208"/>
      <c r="U329" s="208"/>
      <c r="V329" s="208"/>
      <c r="W329" s="208"/>
      <c r="X329" s="208"/>
      <c r="Y329" s="208"/>
      <c r="Z329" s="208"/>
      <c r="AA329" s="208"/>
      <c r="AB329" s="208"/>
      <c r="AC329" s="208"/>
      <c r="AD329" s="208"/>
      <c r="AE329" s="208"/>
      <c r="AF329" s="208"/>
      <c r="AG329" s="208"/>
      <c r="AH329" s="208"/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</row>
    <row r="330" ht="15.75" hidden="1" customHeight="1">
      <c r="A330" s="208"/>
      <c r="B330" s="208"/>
      <c r="C330" s="208"/>
      <c r="D330" s="208"/>
      <c r="E330" s="208"/>
      <c r="F330" s="208"/>
      <c r="G330" s="208"/>
      <c r="H330" s="208"/>
      <c r="I330" s="208"/>
      <c r="J330" s="208"/>
      <c r="K330" s="208"/>
      <c r="L330" s="208"/>
      <c r="M330" s="208"/>
      <c r="N330" s="208"/>
      <c r="O330" s="208"/>
      <c r="P330" s="208"/>
      <c r="Q330" s="208"/>
      <c r="R330" s="208"/>
      <c r="S330" s="208"/>
      <c r="T330" s="208"/>
      <c r="U330" s="208"/>
      <c r="V330" s="208"/>
      <c r="W330" s="208"/>
      <c r="X330" s="208"/>
      <c r="Y330" s="208"/>
      <c r="Z330" s="208"/>
      <c r="AA330" s="208"/>
      <c r="AB330" s="208"/>
      <c r="AC330" s="208"/>
      <c r="AD330" s="208"/>
      <c r="AE330" s="208"/>
      <c r="AF330" s="208"/>
      <c r="AG330" s="208"/>
      <c r="AH330" s="208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</row>
    <row r="331" ht="15.75" hidden="1" customHeight="1">
      <c r="A331" s="208"/>
      <c r="B331" s="208"/>
      <c r="C331" s="208"/>
      <c r="D331" s="208"/>
      <c r="E331" s="208"/>
      <c r="F331" s="208"/>
      <c r="G331" s="208"/>
      <c r="H331" s="208"/>
      <c r="I331" s="208"/>
      <c r="J331" s="208"/>
      <c r="K331" s="208"/>
      <c r="L331" s="208"/>
      <c r="M331" s="208"/>
      <c r="N331" s="208"/>
      <c r="O331" s="208"/>
      <c r="P331" s="208"/>
      <c r="Q331" s="208"/>
      <c r="R331" s="208"/>
      <c r="S331" s="208"/>
      <c r="T331" s="208"/>
      <c r="U331" s="208"/>
      <c r="V331" s="208"/>
      <c r="W331" s="208"/>
      <c r="X331" s="208"/>
      <c r="Y331" s="208"/>
      <c r="Z331" s="208"/>
      <c r="AA331" s="208"/>
      <c r="AB331" s="208"/>
      <c r="AC331" s="208"/>
      <c r="AD331" s="208"/>
      <c r="AE331" s="208"/>
      <c r="AF331" s="208"/>
      <c r="AG331" s="208"/>
      <c r="AH331" s="208"/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</row>
    <row r="332" ht="15.75" hidden="1" customHeight="1">
      <c r="A332" s="208"/>
      <c r="B332" s="208"/>
      <c r="C332" s="208"/>
      <c r="D332" s="208"/>
      <c r="E332" s="208"/>
      <c r="F332" s="208"/>
      <c r="G332" s="208"/>
      <c r="H332" s="208"/>
      <c r="I332" s="208"/>
      <c r="J332" s="208"/>
      <c r="K332" s="208"/>
      <c r="L332" s="208"/>
      <c r="M332" s="208"/>
      <c r="N332" s="208"/>
      <c r="O332" s="208"/>
      <c r="P332" s="208"/>
      <c r="Q332" s="208"/>
      <c r="R332" s="208"/>
      <c r="S332" s="208"/>
      <c r="T332" s="208"/>
      <c r="U332" s="208"/>
      <c r="V332" s="208"/>
      <c r="W332" s="208"/>
      <c r="X332" s="208"/>
      <c r="Y332" s="208"/>
      <c r="Z332" s="208"/>
      <c r="AA332" s="208"/>
      <c r="AB332" s="208"/>
      <c r="AC332" s="208"/>
      <c r="AD332" s="208"/>
      <c r="AE332" s="208"/>
      <c r="AF332" s="208"/>
      <c r="AG332" s="208"/>
      <c r="AH332" s="208"/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</row>
    <row r="333" ht="15.75" hidden="1" customHeight="1">
      <c r="A333" s="208"/>
      <c r="B333" s="208"/>
      <c r="C333" s="208"/>
      <c r="D333" s="208"/>
      <c r="E333" s="208"/>
      <c r="F333" s="208"/>
      <c r="G333" s="208"/>
      <c r="H333" s="208"/>
      <c r="I333" s="208"/>
      <c r="J333" s="208"/>
      <c r="K333" s="208"/>
      <c r="L333" s="208"/>
      <c r="M333" s="208"/>
      <c r="N333" s="208"/>
      <c r="O333" s="208"/>
      <c r="P333" s="208"/>
      <c r="Q333" s="208"/>
      <c r="R333" s="208"/>
      <c r="S333" s="208"/>
      <c r="T333" s="208"/>
      <c r="U333" s="208"/>
      <c r="V333" s="208"/>
      <c r="W333" s="208"/>
      <c r="X333" s="208"/>
      <c r="Y333" s="208"/>
      <c r="Z333" s="208"/>
      <c r="AA333" s="208"/>
      <c r="AB333" s="208"/>
      <c r="AC333" s="208"/>
      <c r="AD333" s="208"/>
      <c r="AE333" s="208"/>
      <c r="AF333" s="208"/>
      <c r="AG333" s="208"/>
      <c r="AH333" s="208"/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</row>
    <row r="334" ht="15.75" hidden="1" customHeight="1">
      <c r="A334" s="208"/>
      <c r="B334" s="208"/>
      <c r="C334" s="208"/>
      <c r="D334" s="208"/>
      <c r="E334" s="208"/>
      <c r="F334" s="208"/>
      <c r="G334" s="208"/>
      <c r="H334" s="208"/>
      <c r="I334" s="208"/>
      <c r="J334" s="208"/>
      <c r="K334" s="208"/>
      <c r="L334" s="208"/>
      <c r="M334" s="208"/>
      <c r="N334" s="208"/>
      <c r="O334" s="208"/>
      <c r="P334" s="208"/>
      <c r="Q334" s="208"/>
      <c r="R334" s="208"/>
      <c r="S334" s="208"/>
      <c r="T334" s="208"/>
      <c r="U334" s="208"/>
      <c r="V334" s="208"/>
      <c r="W334" s="208"/>
      <c r="X334" s="208"/>
      <c r="Y334" s="208"/>
      <c r="Z334" s="208"/>
      <c r="AA334" s="208"/>
      <c r="AB334" s="208"/>
      <c r="AC334" s="208"/>
      <c r="AD334" s="208"/>
      <c r="AE334" s="208"/>
      <c r="AF334" s="208"/>
      <c r="AG334" s="208"/>
      <c r="AH334" s="208"/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</row>
    <row r="335" ht="15.75" hidden="1" customHeight="1">
      <c r="A335" s="208"/>
      <c r="B335" s="208"/>
      <c r="C335" s="208"/>
      <c r="D335" s="208"/>
      <c r="E335" s="208"/>
      <c r="F335" s="208"/>
      <c r="G335" s="208"/>
      <c r="H335" s="208"/>
      <c r="I335" s="208"/>
      <c r="J335" s="208"/>
      <c r="K335" s="208"/>
      <c r="L335" s="208"/>
      <c r="M335" s="208"/>
      <c r="N335" s="208"/>
      <c r="O335" s="208"/>
      <c r="P335" s="208"/>
      <c r="Q335" s="208"/>
      <c r="R335" s="208"/>
      <c r="S335" s="208"/>
      <c r="T335" s="208"/>
      <c r="U335" s="208"/>
      <c r="V335" s="208"/>
      <c r="W335" s="208"/>
      <c r="X335" s="208"/>
      <c r="Y335" s="208"/>
      <c r="Z335" s="208"/>
      <c r="AA335" s="208"/>
      <c r="AB335" s="208"/>
      <c r="AC335" s="208"/>
      <c r="AD335" s="208"/>
      <c r="AE335" s="208"/>
      <c r="AF335" s="208"/>
      <c r="AG335" s="208"/>
      <c r="AH335" s="208"/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</row>
    <row r="336" ht="15.75" hidden="1" customHeight="1">
      <c r="A336" s="208"/>
      <c r="B336" s="208"/>
      <c r="C336" s="208"/>
      <c r="D336" s="208"/>
      <c r="E336" s="208"/>
      <c r="F336" s="208"/>
      <c r="G336" s="208"/>
      <c r="H336" s="208"/>
      <c r="I336" s="208"/>
      <c r="J336" s="208"/>
      <c r="K336" s="208"/>
      <c r="L336" s="208"/>
      <c r="M336" s="208"/>
      <c r="N336" s="208"/>
      <c r="O336" s="208"/>
      <c r="P336" s="208"/>
      <c r="Q336" s="208"/>
      <c r="R336" s="208"/>
      <c r="S336" s="208"/>
      <c r="T336" s="208"/>
      <c r="U336" s="208"/>
      <c r="V336" s="208"/>
      <c r="W336" s="208"/>
      <c r="X336" s="208"/>
      <c r="Y336" s="208"/>
      <c r="Z336" s="208"/>
      <c r="AA336" s="208"/>
      <c r="AB336" s="208"/>
      <c r="AC336" s="208"/>
      <c r="AD336" s="208"/>
      <c r="AE336" s="208"/>
      <c r="AF336" s="208"/>
      <c r="AG336" s="208"/>
      <c r="AH336" s="208"/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</row>
    <row r="337" ht="15.75" hidden="1" customHeight="1">
      <c r="A337" s="208"/>
      <c r="B337" s="208"/>
      <c r="C337" s="208"/>
      <c r="D337" s="208"/>
      <c r="E337" s="208"/>
      <c r="F337" s="208"/>
      <c r="G337" s="208"/>
      <c r="H337" s="208"/>
      <c r="I337" s="208"/>
      <c r="J337" s="208"/>
      <c r="K337" s="208"/>
      <c r="L337" s="208"/>
      <c r="M337" s="208"/>
      <c r="N337" s="208"/>
      <c r="O337" s="208"/>
      <c r="P337" s="208"/>
      <c r="Q337" s="208"/>
      <c r="R337" s="208"/>
      <c r="S337" s="208"/>
      <c r="T337" s="208"/>
      <c r="U337" s="208"/>
      <c r="V337" s="208"/>
      <c r="W337" s="208"/>
      <c r="X337" s="208"/>
      <c r="Y337" s="208"/>
      <c r="Z337" s="208"/>
      <c r="AA337" s="208"/>
      <c r="AB337" s="208"/>
      <c r="AC337" s="208"/>
      <c r="AD337" s="208"/>
      <c r="AE337" s="208"/>
      <c r="AF337" s="208"/>
      <c r="AG337" s="208"/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</row>
    <row r="338" ht="15.75" hidden="1" customHeight="1">
      <c r="A338" s="208"/>
      <c r="B338" s="208"/>
      <c r="C338" s="208"/>
      <c r="D338" s="208"/>
      <c r="E338" s="208"/>
      <c r="F338" s="208"/>
      <c r="G338" s="208"/>
      <c r="H338" s="208"/>
      <c r="I338" s="208"/>
      <c r="J338" s="208"/>
      <c r="K338" s="208"/>
      <c r="L338" s="208"/>
      <c r="M338" s="208"/>
      <c r="N338" s="208"/>
      <c r="O338" s="208"/>
      <c r="P338" s="208"/>
      <c r="Q338" s="208"/>
      <c r="R338" s="208"/>
      <c r="S338" s="208"/>
      <c r="T338" s="208"/>
      <c r="U338" s="208"/>
      <c r="V338" s="208"/>
      <c r="W338" s="208"/>
      <c r="X338" s="208"/>
      <c r="Y338" s="208"/>
      <c r="Z338" s="208"/>
      <c r="AA338" s="208"/>
      <c r="AB338" s="208"/>
      <c r="AC338" s="208"/>
      <c r="AD338" s="208"/>
      <c r="AE338" s="208"/>
      <c r="AF338" s="208"/>
      <c r="AG338" s="208"/>
      <c r="AH338" s="208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</row>
    <row r="339" ht="15.75" hidden="1" customHeight="1">
      <c r="A339" s="208"/>
      <c r="B339" s="208"/>
      <c r="C339" s="208"/>
      <c r="D339" s="208"/>
      <c r="E339" s="208"/>
      <c r="F339" s="208"/>
      <c r="G339" s="208"/>
      <c r="H339" s="208"/>
      <c r="I339" s="208"/>
      <c r="J339" s="208"/>
      <c r="K339" s="208"/>
      <c r="L339" s="208"/>
      <c r="M339" s="208"/>
      <c r="N339" s="208"/>
      <c r="O339" s="208"/>
      <c r="P339" s="208"/>
      <c r="Q339" s="208"/>
      <c r="R339" s="208"/>
      <c r="S339" s="208"/>
      <c r="T339" s="208"/>
      <c r="U339" s="208"/>
      <c r="V339" s="208"/>
      <c r="W339" s="208"/>
      <c r="X339" s="208"/>
      <c r="Y339" s="208"/>
      <c r="Z339" s="208"/>
      <c r="AA339" s="208"/>
      <c r="AB339" s="208"/>
      <c r="AC339" s="208"/>
      <c r="AD339" s="208"/>
      <c r="AE339" s="208"/>
      <c r="AF339" s="208"/>
      <c r="AG339" s="208"/>
      <c r="AH339" s="208"/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</row>
    <row r="340" ht="15.75" hidden="1" customHeight="1">
      <c r="A340" s="208"/>
      <c r="B340" s="208"/>
      <c r="C340" s="208"/>
      <c r="D340" s="208"/>
      <c r="E340" s="208"/>
      <c r="F340" s="208"/>
      <c r="G340" s="208"/>
      <c r="H340" s="208"/>
      <c r="I340" s="208"/>
      <c r="J340" s="208"/>
      <c r="K340" s="208"/>
      <c r="L340" s="208"/>
      <c r="M340" s="208"/>
      <c r="N340" s="208"/>
      <c r="O340" s="208"/>
      <c r="P340" s="208"/>
      <c r="Q340" s="208"/>
      <c r="R340" s="208"/>
      <c r="S340" s="208"/>
      <c r="T340" s="208"/>
      <c r="U340" s="208"/>
      <c r="V340" s="208"/>
      <c r="W340" s="208"/>
      <c r="X340" s="208"/>
      <c r="Y340" s="208"/>
      <c r="Z340" s="208"/>
      <c r="AA340" s="208"/>
      <c r="AB340" s="208"/>
      <c r="AC340" s="208"/>
      <c r="AD340" s="208"/>
      <c r="AE340" s="208"/>
      <c r="AF340" s="208"/>
      <c r="AG340" s="208"/>
      <c r="AH340" s="208"/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</row>
    <row r="341" ht="15.75" hidden="1" customHeight="1">
      <c r="A341" s="208"/>
      <c r="B341" s="208"/>
      <c r="C341" s="208"/>
      <c r="D341" s="208"/>
      <c r="E341" s="208"/>
      <c r="F341" s="208"/>
      <c r="G341" s="208"/>
      <c r="H341" s="208"/>
      <c r="I341" s="208"/>
      <c r="J341" s="208"/>
      <c r="K341" s="208"/>
      <c r="L341" s="208"/>
      <c r="M341" s="208"/>
      <c r="N341" s="208"/>
      <c r="O341" s="208"/>
      <c r="P341" s="208"/>
      <c r="Q341" s="208"/>
      <c r="R341" s="208"/>
      <c r="S341" s="208"/>
      <c r="T341" s="208"/>
      <c r="U341" s="208"/>
      <c r="V341" s="208"/>
      <c r="W341" s="208"/>
      <c r="X341" s="208"/>
      <c r="Y341" s="208"/>
      <c r="Z341" s="208"/>
      <c r="AA341" s="208"/>
      <c r="AB341" s="208"/>
      <c r="AC341" s="208"/>
      <c r="AD341" s="208"/>
      <c r="AE341" s="208"/>
      <c r="AF341" s="208"/>
      <c r="AG341" s="208"/>
      <c r="AH341" s="208"/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</row>
    <row r="342" ht="15.75" hidden="1" customHeight="1">
      <c r="A342" s="208"/>
      <c r="B342" s="208"/>
      <c r="C342" s="208"/>
      <c r="D342" s="208"/>
      <c r="E342" s="208"/>
      <c r="F342" s="208"/>
      <c r="G342" s="208"/>
      <c r="H342" s="208"/>
      <c r="I342" s="208"/>
      <c r="J342" s="208"/>
      <c r="K342" s="208"/>
      <c r="L342" s="208"/>
      <c r="M342" s="208"/>
      <c r="N342" s="208"/>
      <c r="O342" s="208"/>
      <c r="P342" s="208"/>
      <c r="Q342" s="208"/>
      <c r="R342" s="208"/>
      <c r="S342" s="208"/>
      <c r="T342" s="208"/>
      <c r="U342" s="208"/>
      <c r="V342" s="208"/>
      <c r="W342" s="208"/>
      <c r="X342" s="208"/>
      <c r="Y342" s="208"/>
      <c r="Z342" s="208"/>
      <c r="AA342" s="208"/>
      <c r="AB342" s="208"/>
      <c r="AC342" s="208"/>
      <c r="AD342" s="208"/>
      <c r="AE342" s="208"/>
      <c r="AF342" s="208"/>
      <c r="AG342" s="208"/>
      <c r="AH342" s="208"/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</row>
    <row r="343" ht="15.75" hidden="1" customHeight="1">
      <c r="A343" s="208"/>
      <c r="B343" s="208"/>
      <c r="C343" s="208"/>
      <c r="D343" s="208"/>
      <c r="E343" s="208"/>
      <c r="F343" s="208"/>
      <c r="G343" s="208"/>
      <c r="H343" s="208"/>
      <c r="I343" s="208"/>
      <c r="J343" s="208"/>
      <c r="K343" s="208"/>
      <c r="L343" s="208"/>
      <c r="M343" s="208"/>
      <c r="N343" s="208"/>
      <c r="O343" s="208"/>
      <c r="P343" s="208"/>
      <c r="Q343" s="208"/>
      <c r="R343" s="208"/>
      <c r="S343" s="208"/>
      <c r="T343" s="208"/>
      <c r="U343" s="208"/>
      <c r="V343" s="208"/>
      <c r="W343" s="208"/>
      <c r="X343" s="208"/>
      <c r="Y343" s="208"/>
      <c r="Z343" s="208"/>
      <c r="AA343" s="208"/>
      <c r="AB343" s="208"/>
      <c r="AC343" s="208"/>
      <c r="AD343" s="208"/>
      <c r="AE343" s="208"/>
      <c r="AF343" s="208"/>
      <c r="AG343" s="208"/>
      <c r="AH343" s="208"/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</row>
    <row r="344" ht="15.75" hidden="1" customHeight="1">
      <c r="A344" s="208"/>
      <c r="B344" s="208"/>
      <c r="C344" s="208"/>
      <c r="D344" s="208"/>
      <c r="E344" s="208"/>
      <c r="F344" s="208"/>
      <c r="G344" s="208"/>
      <c r="H344" s="208"/>
      <c r="I344" s="208"/>
      <c r="J344" s="208"/>
      <c r="K344" s="208"/>
      <c r="L344" s="208"/>
      <c r="M344" s="208"/>
      <c r="N344" s="208"/>
      <c r="O344" s="208"/>
      <c r="P344" s="208"/>
      <c r="Q344" s="208"/>
      <c r="R344" s="208"/>
      <c r="S344" s="208"/>
      <c r="T344" s="208"/>
      <c r="U344" s="208"/>
      <c r="V344" s="208"/>
      <c r="W344" s="208"/>
      <c r="X344" s="208"/>
      <c r="Y344" s="208"/>
      <c r="Z344" s="208"/>
      <c r="AA344" s="208"/>
      <c r="AB344" s="208"/>
      <c r="AC344" s="208"/>
      <c r="AD344" s="208"/>
      <c r="AE344" s="208"/>
      <c r="AF344" s="208"/>
      <c r="AG344" s="208"/>
      <c r="AH344" s="208"/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</row>
    <row r="345" ht="15.75" hidden="1" customHeight="1">
      <c r="A345" s="208"/>
      <c r="B345" s="208"/>
      <c r="C345" s="208"/>
      <c r="D345" s="208"/>
      <c r="E345" s="208"/>
      <c r="F345" s="208"/>
      <c r="G345" s="208"/>
      <c r="H345" s="208"/>
      <c r="I345" s="208"/>
      <c r="J345" s="208"/>
      <c r="K345" s="208"/>
      <c r="L345" s="208"/>
      <c r="M345" s="208"/>
      <c r="N345" s="208"/>
      <c r="O345" s="208"/>
      <c r="P345" s="208"/>
      <c r="Q345" s="208"/>
      <c r="R345" s="208"/>
      <c r="S345" s="208"/>
      <c r="T345" s="208"/>
      <c r="U345" s="208"/>
      <c r="V345" s="208"/>
      <c r="W345" s="208"/>
      <c r="X345" s="208"/>
      <c r="Y345" s="208"/>
      <c r="Z345" s="208"/>
      <c r="AA345" s="208"/>
      <c r="AB345" s="208"/>
      <c r="AC345" s="208"/>
      <c r="AD345" s="208"/>
      <c r="AE345" s="208"/>
      <c r="AF345" s="208"/>
      <c r="AG345" s="208"/>
      <c r="AH345" s="208"/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</row>
    <row r="346" ht="15.75" hidden="1" customHeight="1">
      <c r="A346" s="208"/>
      <c r="B346" s="208"/>
      <c r="C346" s="208"/>
      <c r="D346" s="208"/>
      <c r="E346" s="208"/>
      <c r="F346" s="208"/>
      <c r="G346" s="208"/>
      <c r="H346" s="208"/>
      <c r="I346" s="208"/>
      <c r="J346" s="208"/>
      <c r="K346" s="208"/>
      <c r="L346" s="208"/>
      <c r="M346" s="208"/>
      <c r="N346" s="208"/>
      <c r="O346" s="208"/>
      <c r="P346" s="208"/>
      <c r="Q346" s="208"/>
      <c r="R346" s="208"/>
      <c r="S346" s="208"/>
      <c r="T346" s="208"/>
      <c r="U346" s="208"/>
      <c r="V346" s="208"/>
      <c r="W346" s="208"/>
      <c r="X346" s="208"/>
      <c r="Y346" s="208"/>
      <c r="Z346" s="208"/>
      <c r="AA346" s="208"/>
      <c r="AB346" s="208"/>
      <c r="AC346" s="208"/>
      <c r="AD346" s="208"/>
      <c r="AE346" s="208"/>
      <c r="AF346" s="208"/>
      <c r="AG346" s="208"/>
      <c r="AH346" s="208"/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</row>
    <row r="347" ht="15.75" hidden="1" customHeight="1">
      <c r="A347" s="208"/>
      <c r="B347" s="208"/>
      <c r="C347" s="208"/>
      <c r="D347" s="208"/>
      <c r="E347" s="208"/>
      <c r="F347" s="208"/>
      <c r="G347" s="208"/>
      <c r="H347" s="208"/>
      <c r="I347" s="208"/>
      <c r="J347" s="208"/>
      <c r="K347" s="208"/>
      <c r="L347" s="208"/>
      <c r="M347" s="208"/>
      <c r="N347" s="208"/>
      <c r="O347" s="208"/>
      <c r="P347" s="208"/>
      <c r="Q347" s="208"/>
      <c r="R347" s="208"/>
      <c r="S347" s="208"/>
      <c r="T347" s="208"/>
      <c r="U347" s="208"/>
      <c r="V347" s="208"/>
      <c r="W347" s="208"/>
      <c r="X347" s="208"/>
      <c r="Y347" s="208"/>
      <c r="Z347" s="208"/>
      <c r="AA347" s="208"/>
      <c r="AB347" s="208"/>
      <c r="AC347" s="208"/>
      <c r="AD347" s="208"/>
      <c r="AE347" s="208"/>
      <c r="AF347" s="208"/>
      <c r="AG347" s="208"/>
      <c r="AH347" s="208"/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</row>
    <row r="348" ht="15.75" hidden="1" customHeight="1">
      <c r="A348" s="208"/>
      <c r="B348" s="208"/>
      <c r="C348" s="208"/>
      <c r="D348" s="208"/>
      <c r="E348" s="208"/>
      <c r="F348" s="208"/>
      <c r="G348" s="208"/>
      <c r="H348" s="208"/>
      <c r="I348" s="208"/>
      <c r="J348" s="208"/>
      <c r="K348" s="208"/>
      <c r="L348" s="208"/>
      <c r="M348" s="208"/>
      <c r="N348" s="208"/>
      <c r="O348" s="208"/>
      <c r="P348" s="208"/>
      <c r="Q348" s="208"/>
      <c r="R348" s="208"/>
      <c r="S348" s="208"/>
      <c r="T348" s="208"/>
      <c r="U348" s="208"/>
      <c r="V348" s="208"/>
      <c r="W348" s="208"/>
      <c r="X348" s="208"/>
      <c r="Y348" s="208"/>
      <c r="Z348" s="208"/>
      <c r="AA348" s="208"/>
      <c r="AB348" s="208"/>
      <c r="AC348" s="208"/>
      <c r="AD348" s="208"/>
      <c r="AE348" s="208"/>
      <c r="AF348" s="208"/>
      <c r="AG348" s="208"/>
      <c r="AH348" s="208"/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</row>
    <row r="349" ht="15.75" hidden="1" customHeight="1">
      <c r="A349" s="208"/>
      <c r="B349" s="208"/>
      <c r="C349" s="208"/>
      <c r="D349" s="208"/>
      <c r="E349" s="208"/>
      <c r="F349" s="208"/>
      <c r="G349" s="208"/>
      <c r="H349" s="208"/>
      <c r="I349" s="208"/>
      <c r="J349" s="208"/>
      <c r="K349" s="208"/>
      <c r="L349" s="208"/>
      <c r="M349" s="208"/>
      <c r="N349" s="208"/>
      <c r="O349" s="208"/>
      <c r="P349" s="208"/>
      <c r="Q349" s="208"/>
      <c r="R349" s="208"/>
      <c r="S349" s="208"/>
      <c r="T349" s="208"/>
      <c r="U349" s="208"/>
      <c r="V349" s="208"/>
      <c r="W349" s="208"/>
      <c r="X349" s="208"/>
      <c r="Y349" s="208"/>
      <c r="Z349" s="208"/>
      <c r="AA349" s="208"/>
      <c r="AB349" s="208"/>
      <c r="AC349" s="208"/>
      <c r="AD349" s="208"/>
      <c r="AE349" s="208"/>
      <c r="AF349" s="208"/>
      <c r="AG349" s="208"/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</row>
    <row r="350" ht="15.75" hidden="1" customHeight="1">
      <c r="A350" s="208"/>
      <c r="B350" s="208"/>
      <c r="C350" s="208"/>
      <c r="D350" s="208"/>
      <c r="E350" s="208"/>
      <c r="F350" s="208"/>
      <c r="G350" s="208"/>
      <c r="H350" s="208"/>
      <c r="I350" s="208"/>
      <c r="J350" s="208"/>
      <c r="K350" s="208"/>
      <c r="L350" s="208"/>
      <c r="M350" s="208"/>
      <c r="N350" s="208"/>
      <c r="O350" s="208"/>
      <c r="P350" s="208"/>
      <c r="Q350" s="208"/>
      <c r="R350" s="208"/>
      <c r="S350" s="208"/>
      <c r="T350" s="208"/>
      <c r="U350" s="208"/>
      <c r="V350" s="208"/>
      <c r="W350" s="208"/>
      <c r="X350" s="208"/>
      <c r="Y350" s="208"/>
      <c r="Z350" s="208"/>
      <c r="AA350" s="208"/>
      <c r="AB350" s="208"/>
      <c r="AC350" s="208"/>
      <c r="AD350" s="208"/>
      <c r="AE350" s="208"/>
      <c r="AF350" s="208"/>
      <c r="AG350" s="208"/>
      <c r="AH350" s="208"/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  <c r="AT350" s="208"/>
      <c r="AU350" s="208"/>
      <c r="AV350" s="208"/>
      <c r="AW350" s="208"/>
      <c r="AX350" s="208"/>
      <c r="AY350" s="208"/>
      <c r="AZ350" s="208"/>
      <c r="BA350" s="208"/>
    </row>
    <row r="351" ht="15.75" hidden="1" customHeight="1">
      <c r="A351" s="208"/>
      <c r="B351" s="208"/>
      <c r="C351" s="208"/>
      <c r="D351" s="208"/>
      <c r="E351" s="208"/>
      <c r="F351" s="208"/>
      <c r="G351" s="208"/>
      <c r="H351" s="208"/>
      <c r="I351" s="208"/>
      <c r="J351" s="208"/>
      <c r="K351" s="208"/>
      <c r="L351" s="208"/>
      <c r="M351" s="208"/>
      <c r="N351" s="208"/>
      <c r="O351" s="208"/>
      <c r="P351" s="208"/>
      <c r="Q351" s="208"/>
      <c r="R351" s="208"/>
      <c r="S351" s="208"/>
      <c r="T351" s="208"/>
      <c r="U351" s="208"/>
      <c r="V351" s="208"/>
      <c r="W351" s="208"/>
      <c r="X351" s="208"/>
      <c r="Y351" s="208"/>
      <c r="Z351" s="208"/>
      <c r="AA351" s="208"/>
      <c r="AB351" s="208"/>
      <c r="AC351" s="208"/>
      <c r="AD351" s="208"/>
      <c r="AE351" s="208"/>
      <c r="AF351" s="208"/>
      <c r="AG351" s="208"/>
      <c r="AH351" s="208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</row>
    <row r="352" ht="15.75" hidden="1" customHeight="1">
      <c r="A352" s="208"/>
      <c r="B352" s="208"/>
      <c r="C352" s="208"/>
      <c r="D352" s="208"/>
      <c r="E352" s="208"/>
      <c r="F352" s="208"/>
      <c r="G352" s="208"/>
      <c r="H352" s="208"/>
      <c r="I352" s="208"/>
      <c r="J352" s="208"/>
      <c r="K352" s="208"/>
      <c r="L352" s="208"/>
      <c r="M352" s="208"/>
      <c r="N352" s="208"/>
      <c r="O352" s="208"/>
      <c r="P352" s="208"/>
      <c r="Q352" s="208"/>
      <c r="R352" s="208"/>
      <c r="S352" s="208"/>
      <c r="T352" s="208"/>
      <c r="U352" s="208"/>
      <c r="V352" s="208"/>
      <c r="W352" s="208"/>
      <c r="X352" s="208"/>
      <c r="Y352" s="208"/>
      <c r="Z352" s="208"/>
      <c r="AA352" s="208"/>
      <c r="AB352" s="208"/>
      <c r="AC352" s="208"/>
      <c r="AD352" s="208"/>
      <c r="AE352" s="208"/>
      <c r="AF352" s="208"/>
      <c r="AG352" s="208"/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</row>
    <row r="353" ht="15.75" hidden="1" customHeight="1">
      <c r="A353" s="208"/>
      <c r="B353" s="208"/>
      <c r="C353" s="208"/>
      <c r="D353" s="208"/>
      <c r="E353" s="208"/>
      <c r="F353" s="208"/>
      <c r="G353" s="208"/>
      <c r="H353" s="208"/>
      <c r="I353" s="208"/>
      <c r="J353" s="208"/>
      <c r="K353" s="208"/>
      <c r="L353" s="208"/>
      <c r="M353" s="208"/>
      <c r="N353" s="208"/>
      <c r="O353" s="208"/>
      <c r="P353" s="208"/>
      <c r="Q353" s="208"/>
      <c r="R353" s="208"/>
      <c r="S353" s="208"/>
      <c r="T353" s="208"/>
      <c r="U353" s="208"/>
      <c r="V353" s="208"/>
      <c r="W353" s="208"/>
      <c r="X353" s="208"/>
      <c r="Y353" s="208"/>
      <c r="Z353" s="208"/>
      <c r="AA353" s="208"/>
      <c r="AB353" s="208"/>
      <c r="AC353" s="208"/>
      <c r="AD353" s="208"/>
      <c r="AE353" s="208"/>
      <c r="AF353" s="208"/>
      <c r="AG353" s="208"/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</row>
    <row r="354" ht="15.75" hidden="1" customHeight="1">
      <c r="A354" s="208"/>
      <c r="B354" s="208"/>
      <c r="C354" s="208"/>
      <c r="D354" s="208"/>
      <c r="E354" s="208"/>
      <c r="F354" s="208"/>
      <c r="G354" s="208"/>
      <c r="H354" s="208"/>
      <c r="I354" s="208"/>
      <c r="J354" s="208"/>
      <c r="K354" s="208"/>
      <c r="L354" s="208"/>
      <c r="M354" s="208"/>
      <c r="N354" s="208"/>
      <c r="O354" s="208"/>
      <c r="P354" s="208"/>
      <c r="Q354" s="208"/>
      <c r="R354" s="208"/>
      <c r="S354" s="208"/>
      <c r="T354" s="208"/>
      <c r="U354" s="208"/>
      <c r="V354" s="208"/>
      <c r="W354" s="208"/>
      <c r="X354" s="208"/>
      <c r="Y354" s="208"/>
      <c r="Z354" s="208"/>
      <c r="AA354" s="208"/>
      <c r="AB354" s="208"/>
      <c r="AC354" s="208"/>
      <c r="AD354" s="208"/>
      <c r="AE354" s="208"/>
      <c r="AF354" s="208"/>
      <c r="AG354" s="208"/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</row>
    <row r="355" ht="15.75" hidden="1" customHeight="1">
      <c r="A355" s="208"/>
      <c r="B355" s="208"/>
      <c r="C355" s="208"/>
      <c r="D355" s="208"/>
      <c r="E355" s="208"/>
      <c r="F355" s="208"/>
      <c r="G355" s="208"/>
      <c r="H355" s="208"/>
      <c r="I355" s="208"/>
      <c r="J355" s="208"/>
      <c r="K355" s="208"/>
      <c r="L355" s="208"/>
      <c r="M355" s="208"/>
      <c r="N355" s="208"/>
      <c r="O355" s="208"/>
      <c r="P355" s="208"/>
      <c r="Q355" s="208"/>
      <c r="R355" s="208"/>
      <c r="S355" s="208"/>
      <c r="T355" s="208"/>
      <c r="U355" s="208"/>
      <c r="V355" s="208"/>
      <c r="W355" s="208"/>
      <c r="X355" s="208"/>
      <c r="Y355" s="208"/>
      <c r="Z355" s="208"/>
      <c r="AA355" s="208"/>
      <c r="AB355" s="208"/>
      <c r="AC355" s="208"/>
      <c r="AD355" s="208"/>
      <c r="AE355" s="208"/>
      <c r="AF355" s="208"/>
      <c r="AG355" s="208"/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</row>
    <row r="356" ht="15.75" hidden="1" customHeight="1">
      <c r="A356" s="208"/>
      <c r="B356" s="208"/>
      <c r="C356" s="208"/>
      <c r="D356" s="208"/>
      <c r="E356" s="208"/>
      <c r="F356" s="208"/>
      <c r="G356" s="208"/>
      <c r="H356" s="208"/>
      <c r="I356" s="208"/>
      <c r="J356" s="208"/>
      <c r="K356" s="208"/>
      <c r="L356" s="208"/>
      <c r="M356" s="208"/>
      <c r="N356" s="208"/>
      <c r="O356" s="208"/>
      <c r="P356" s="208"/>
      <c r="Q356" s="208"/>
      <c r="R356" s="208"/>
      <c r="S356" s="208"/>
      <c r="T356" s="208"/>
      <c r="U356" s="208"/>
      <c r="V356" s="208"/>
      <c r="W356" s="208"/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/>
      <c r="AH356" s="208"/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</row>
    <row r="357" ht="15.75" hidden="1" customHeight="1">
      <c r="A357" s="208"/>
      <c r="B357" s="208"/>
      <c r="C357" s="208"/>
      <c r="D357" s="208"/>
      <c r="E357" s="208"/>
      <c r="F357" s="208"/>
      <c r="G357" s="208"/>
      <c r="H357" s="208"/>
      <c r="I357" s="208"/>
      <c r="J357" s="208"/>
      <c r="K357" s="208"/>
      <c r="L357" s="208"/>
      <c r="M357" s="208"/>
      <c r="N357" s="208"/>
      <c r="O357" s="208"/>
      <c r="P357" s="208"/>
      <c r="Q357" s="208"/>
      <c r="R357" s="208"/>
      <c r="S357" s="208"/>
      <c r="T357" s="208"/>
      <c r="U357" s="208"/>
      <c r="V357" s="208"/>
      <c r="W357" s="208"/>
      <c r="X357" s="208"/>
      <c r="Y357" s="208"/>
      <c r="Z357" s="208"/>
      <c r="AA357" s="208"/>
      <c r="AB357" s="208"/>
      <c r="AC357" s="208"/>
      <c r="AD357" s="208"/>
      <c r="AE357" s="208"/>
      <c r="AF357" s="208"/>
      <c r="AG357" s="208"/>
      <c r="AH357" s="208"/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08"/>
      <c r="AU357" s="208"/>
      <c r="AV357" s="208"/>
      <c r="AW357" s="208"/>
      <c r="AX357" s="208"/>
      <c r="AY357" s="208"/>
      <c r="AZ357" s="208"/>
      <c r="BA357" s="208"/>
    </row>
    <row r="358" ht="15.75" hidden="1" customHeight="1">
      <c r="A358" s="208"/>
      <c r="B358" s="208"/>
      <c r="C358" s="208"/>
      <c r="D358" s="208"/>
      <c r="E358" s="208"/>
      <c r="F358" s="208"/>
      <c r="G358" s="208"/>
      <c r="H358" s="208"/>
      <c r="I358" s="208"/>
      <c r="J358" s="208"/>
      <c r="K358" s="208"/>
      <c r="L358" s="208"/>
      <c r="M358" s="208"/>
      <c r="N358" s="208"/>
      <c r="O358" s="208"/>
      <c r="P358" s="208"/>
      <c r="Q358" s="208"/>
      <c r="R358" s="208"/>
      <c r="S358" s="208"/>
      <c r="T358" s="208"/>
      <c r="U358" s="208"/>
      <c r="V358" s="208"/>
      <c r="W358" s="208"/>
      <c r="X358" s="208"/>
      <c r="Y358" s="208"/>
      <c r="Z358" s="208"/>
      <c r="AA358" s="208"/>
      <c r="AB358" s="208"/>
      <c r="AC358" s="208"/>
      <c r="AD358" s="208"/>
      <c r="AE358" s="208"/>
      <c r="AF358" s="208"/>
      <c r="AG358" s="208"/>
      <c r="AH358" s="208"/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08"/>
      <c r="AU358" s="208"/>
      <c r="AV358" s="208"/>
      <c r="AW358" s="208"/>
      <c r="AX358" s="208"/>
      <c r="AY358" s="208"/>
      <c r="AZ358" s="208"/>
      <c r="BA358" s="208"/>
    </row>
    <row r="359" ht="15.75" hidden="1" customHeight="1">
      <c r="A359" s="208"/>
      <c r="B359" s="208"/>
      <c r="C359" s="208"/>
      <c r="D359" s="208"/>
      <c r="E359" s="208"/>
      <c r="F359" s="208"/>
      <c r="G359" s="208"/>
      <c r="H359" s="208"/>
      <c r="I359" s="208"/>
      <c r="J359" s="208"/>
      <c r="K359" s="208"/>
      <c r="L359" s="208"/>
      <c r="M359" s="208"/>
      <c r="N359" s="208"/>
      <c r="O359" s="208"/>
      <c r="P359" s="208"/>
      <c r="Q359" s="208"/>
      <c r="R359" s="208"/>
      <c r="S359" s="208"/>
      <c r="T359" s="208"/>
      <c r="U359" s="208"/>
      <c r="V359" s="208"/>
      <c r="W359" s="208"/>
      <c r="X359" s="208"/>
      <c r="Y359" s="208"/>
      <c r="Z359" s="208"/>
      <c r="AA359" s="208"/>
      <c r="AB359" s="208"/>
      <c r="AC359" s="208"/>
      <c r="AD359" s="208"/>
      <c r="AE359" s="208"/>
      <c r="AF359" s="208"/>
      <c r="AG359" s="208"/>
      <c r="AH359" s="208"/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  <c r="AT359" s="208"/>
      <c r="AU359" s="208"/>
      <c r="AV359" s="208"/>
      <c r="AW359" s="208"/>
      <c r="AX359" s="208"/>
      <c r="AY359" s="208"/>
      <c r="AZ359" s="208"/>
      <c r="BA359" s="208"/>
    </row>
    <row r="360" ht="15.75" hidden="1" customHeight="1">
      <c r="A360" s="208"/>
      <c r="B360" s="208"/>
      <c r="C360" s="208"/>
      <c r="D360" s="208"/>
      <c r="E360" s="208"/>
      <c r="F360" s="208"/>
      <c r="G360" s="208"/>
      <c r="H360" s="208"/>
      <c r="I360" s="208"/>
      <c r="J360" s="208"/>
      <c r="K360" s="208"/>
      <c r="L360" s="208"/>
      <c r="M360" s="208"/>
      <c r="N360" s="208"/>
      <c r="O360" s="208"/>
      <c r="P360" s="208"/>
      <c r="Q360" s="208"/>
      <c r="R360" s="208"/>
      <c r="S360" s="208"/>
      <c r="T360" s="208"/>
      <c r="U360" s="208"/>
      <c r="V360" s="208"/>
      <c r="W360" s="208"/>
      <c r="X360" s="208"/>
      <c r="Y360" s="208"/>
      <c r="Z360" s="208"/>
      <c r="AA360" s="208"/>
      <c r="AB360" s="208"/>
      <c r="AC360" s="208"/>
      <c r="AD360" s="208"/>
      <c r="AE360" s="208"/>
      <c r="AF360" s="208"/>
      <c r="AG360" s="208"/>
      <c r="AH360" s="208"/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</row>
    <row r="361" ht="15.75" hidden="1" customHeight="1">
      <c r="A361" s="208"/>
      <c r="B361" s="208"/>
      <c r="C361" s="208"/>
      <c r="D361" s="208"/>
      <c r="E361" s="208"/>
      <c r="F361" s="208"/>
      <c r="G361" s="208"/>
      <c r="H361" s="208"/>
      <c r="I361" s="208"/>
      <c r="J361" s="208"/>
      <c r="K361" s="208"/>
      <c r="L361" s="208"/>
      <c r="M361" s="208"/>
      <c r="N361" s="208"/>
      <c r="O361" s="208"/>
      <c r="P361" s="208"/>
      <c r="Q361" s="208"/>
      <c r="R361" s="208"/>
      <c r="S361" s="208"/>
      <c r="T361" s="208"/>
      <c r="U361" s="208"/>
      <c r="V361" s="208"/>
      <c r="W361" s="208"/>
      <c r="X361" s="208"/>
      <c r="Y361" s="208"/>
      <c r="Z361" s="208"/>
      <c r="AA361" s="208"/>
      <c r="AB361" s="208"/>
      <c r="AC361" s="208"/>
      <c r="AD361" s="208"/>
      <c r="AE361" s="208"/>
      <c r="AF361" s="208"/>
      <c r="AG361" s="208"/>
      <c r="AH361" s="208"/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</row>
    <row r="362" ht="15.75" hidden="1" customHeight="1">
      <c r="A362" s="208"/>
      <c r="B362" s="208"/>
      <c r="C362" s="208"/>
      <c r="D362" s="208"/>
      <c r="E362" s="208"/>
      <c r="F362" s="208"/>
      <c r="G362" s="208"/>
      <c r="H362" s="208"/>
      <c r="I362" s="208"/>
      <c r="J362" s="208"/>
      <c r="K362" s="208"/>
      <c r="L362" s="208"/>
      <c r="M362" s="208"/>
      <c r="N362" s="208"/>
      <c r="O362" s="208"/>
      <c r="P362" s="208"/>
      <c r="Q362" s="208"/>
      <c r="R362" s="208"/>
      <c r="S362" s="208"/>
      <c r="T362" s="208"/>
      <c r="U362" s="208"/>
      <c r="V362" s="208"/>
      <c r="W362" s="208"/>
      <c r="X362" s="208"/>
      <c r="Y362" s="208"/>
      <c r="Z362" s="208"/>
      <c r="AA362" s="208"/>
      <c r="AB362" s="208"/>
      <c r="AC362" s="208"/>
      <c r="AD362" s="208"/>
      <c r="AE362" s="208"/>
      <c r="AF362" s="208"/>
      <c r="AG362" s="208"/>
      <c r="AH362" s="208"/>
      <c r="AI362" s="208"/>
      <c r="AJ362" s="208"/>
      <c r="AK362" s="208"/>
      <c r="AL362" s="208"/>
      <c r="AM362" s="208"/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</row>
    <row r="363" ht="15.75" hidden="1" customHeight="1">
      <c r="A363" s="208"/>
      <c r="B363" s="208"/>
      <c r="C363" s="208"/>
      <c r="D363" s="208"/>
      <c r="E363" s="208"/>
      <c r="F363" s="208"/>
      <c r="G363" s="208"/>
      <c r="H363" s="208"/>
      <c r="I363" s="208"/>
      <c r="J363" s="208"/>
      <c r="K363" s="208"/>
      <c r="L363" s="208"/>
      <c r="M363" s="208"/>
      <c r="N363" s="208"/>
      <c r="O363" s="208"/>
      <c r="P363" s="208"/>
      <c r="Q363" s="208"/>
      <c r="R363" s="208"/>
      <c r="S363" s="208"/>
      <c r="T363" s="208"/>
      <c r="U363" s="208"/>
      <c r="V363" s="208"/>
      <c r="W363" s="208"/>
      <c r="X363" s="208"/>
      <c r="Y363" s="208"/>
      <c r="Z363" s="208"/>
      <c r="AA363" s="208"/>
      <c r="AB363" s="208"/>
      <c r="AC363" s="208"/>
      <c r="AD363" s="208"/>
      <c r="AE363" s="208"/>
      <c r="AF363" s="208"/>
      <c r="AG363" s="208"/>
      <c r="AH363" s="208"/>
      <c r="AI363" s="208"/>
      <c r="AJ363" s="208"/>
      <c r="AK363" s="208"/>
      <c r="AL363" s="208"/>
      <c r="AM363" s="208"/>
      <c r="AN363" s="208"/>
      <c r="AO363" s="208"/>
      <c r="AP363" s="208"/>
      <c r="AQ363" s="208"/>
      <c r="AR363" s="208"/>
      <c r="AS363" s="208"/>
      <c r="AT363" s="208"/>
      <c r="AU363" s="208"/>
      <c r="AV363" s="208"/>
      <c r="AW363" s="208"/>
      <c r="AX363" s="208"/>
      <c r="AY363" s="208"/>
      <c r="AZ363" s="208"/>
      <c r="BA363" s="208"/>
    </row>
    <row r="364" ht="15.75" hidden="1" customHeight="1">
      <c r="A364" s="208"/>
      <c r="B364" s="208"/>
      <c r="C364" s="208"/>
      <c r="D364" s="208"/>
      <c r="E364" s="208"/>
      <c r="F364" s="208"/>
      <c r="G364" s="208"/>
      <c r="H364" s="208"/>
      <c r="I364" s="208"/>
      <c r="J364" s="208"/>
      <c r="K364" s="208"/>
      <c r="L364" s="208"/>
      <c r="M364" s="208"/>
      <c r="N364" s="208"/>
      <c r="O364" s="208"/>
      <c r="P364" s="208"/>
      <c r="Q364" s="208"/>
      <c r="R364" s="208"/>
      <c r="S364" s="208"/>
      <c r="T364" s="208"/>
      <c r="U364" s="208"/>
      <c r="V364" s="208"/>
      <c r="W364" s="208"/>
      <c r="X364" s="208"/>
      <c r="Y364" s="208"/>
      <c r="Z364" s="208"/>
      <c r="AA364" s="208"/>
      <c r="AB364" s="208"/>
      <c r="AC364" s="208"/>
      <c r="AD364" s="208"/>
      <c r="AE364" s="208"/>
      <c r="AF364" s="208"/>
      <c r="AG364" s="208"/>
      <c r="AH364" s="208"/>
      <c r="AI364" s="208"/>
      <c r="AJ364" s="208"/>
      <c r="AK364" s="208"/>
      <c r="AL364" s="208"/>
      <c r="AM364" s="208"/>
      <c r="AN364" s="208"/>
      <c r="AO364" s="208"/>
      <c r="AP364" s="208"/>
      <c r="AQ364" s="208"/>
      <c r="AR364" s="208"/>
      <c r="AS364" s="208"/>
      <c r="AT364" s="208"/>
      <c r="AU364" s="208"/>
      <c r="AV364" s="208"/>
      <c r="AW364" s="208"/>
      <c r="AX364" s="208"/>
      <c r="AY364" s="208"/>
      <c r="AZ364" s="208"/>
      <c r="BA364" s="208"/>
    </row>
    <row r="365" ht="15.75" hidden="1" customHeight="1">
      <c r="A365" s="208"/>
      <c r="B365" s="208"/>
      <c r="C365" s="208"/>
      <c r="D365" s="208"/>
      <c r="E365" s="208"/>
      <c r="F365" s="208"/>
      <c r="G365" s="208"/>
      <c r="H365" s="208"/>
      <c r="I365" s="208"/>
      <c r="J365" s="208"/>
      <c r="K365" s="208"/>
      <c r="L365" s="208"/>
      <c r="M365" s="208"/>
      <c r="N365" s="208"/>
      <c r="O365" s="208"/>
      <c r="P365" s="208"/>
      <c r="Q365" s="208"/>
      <c r="R365" s="208"/>
      <c r="S365" s="208"/>
      <c r="T365" s="208"/>
      <c r="U365" s="208"/>
      <c r="V365" s="208"/>
      <c r="W365" s="208"/>
      <c r="X365" s="208"/>
      <c r="Y365" s="208"/>
      <c r="Z365" s="208"/>
      <c r="AA365" s="208"/>
      <c r="AB365" s="208"/>
      <c r="AC365" s="208"/>
      <c r="AD365" s="208"/>
      <c r="AE365" s="208"/>
      <c r="AF365" s="208"/>
      <c r="AG365" s="208"/>
      <c r="AH365" s="208"/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</row>
    <row r="366" ht="15.75" hidden="1" customHeight="1">
      <c r="A366" s="208"/>
      <c r="B366" s="208"/>
      <c r="C366" s="208"/>
      <c r="D366" s="208"/>
      <c r="E366" s="208"/>
      <c r="F366" s="208"/>
      <c r="G366" s="208"/>
      <c r="H366" s="208"/>
      <c r="I366" s="208"/>
      <c r="J366" s="208"/>
      <c r="K366" s="208"/>
      <c r="L366" s="208"/>
      <c r="M366" s="208"/>
      <c r="N366" s="208"/>
      <c r="O366" s="208"/>
      <c r="P366" s="208"/>
      <c r="Q366" s="208"/>
      <c r="R366" s="208"/>
      <c r="S366" s="208"/>
      <c r="T366" s="208"/>
      <c r="U366" s="208"/>
      <c r="V366" s="208"/>
      <c r="W366" s="208"/>
      <c r="X366" s="208"/>
      <c r="Y366" s="208"/>
      <c r="Z366" s="208"/>
      <c r="AA366" s="208"/>
      <c r="AB366" s="208"/>
      <c r="AC366" s="208"/>
      <c r="AD366" s="208"/>
      <c r="AE366" s="208"/>
      <c r="AF366" s="208"/>
      <c r="AG366" s="208"/>
      <c r="AH366" s="208"/>
      <c r="AI366" s="208"/>
      <c r="AJ366" s="208"/>
      <c r="AK366" s="208"/>
      <c r="AL366" s="208"/>
      <c r="AM366" s="208"/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</row>
    <row r="367" ht="15.75" hidden="1" customHeight="1">
      <c r="A367" s="208"/>
      <c r="B367" s="208"/>
      <c r="C367" s="208"/>
      <c r="D367" s="208"/>
      <c r="E367" s="208"/>
      <c r="F367" s="208"/>
      <c r="G367" s="208"/>
      <c r="H367" s="208"/>
      <c r="I367" s="208"/>
      <c r="J367" s="208"/>
      <c r="K367" s="208"/>
      <c r="L367" s="208"/>
      <c r="M367" s="208"/>
      <c r="N367" s="208"/>
      <c r="O367" s="208"/>
      <c r="P367" s="208"/>
      <c r="Q367" s="208"/>
      <c r="R367" s="208"/>
      <c r="S367" s="208"/>
      <c r="T367" s="208"/>
      <c r="U367" s="208"/>
      <c r="V367" s="208"/>
      <c r="W367" s="208"/>
      <c r="X367" s="208"/>
      <c r="Y367" s="208"/>
      <c r="Z367" s="208"/>
      <c r="AA367" s="208"/>
      <c r="AB367" s="208"/>
      <c r="AC367" s="208"/>
      <c r="AD367" s="208"/>
      <c r="AE367" s="208"/>
      <c r="AF367" s="208"/>
      <c r="AG367" s="208"/>
      <c r="AH367" s="208"/>
      <c r="AI367" s="208"/>
      <c r="AJ367" s="208"/>
      <c r="AK367" s="208"/>
      <c r="AL367" s="208"/>
      <c r="AM367" s="208"/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</row>
    <row r="368" ht="15.75" hidden="1" customHeight="1">
      <c r="A368" s="208"/>
      <c r="B368" s="208"/>
      <c r="C368" s="208"/>
      <c r="D368" s="208"/>
      <c r="E368" s="208"/>
      <c r="F368" s="208"/>
      <c r="G368" s="208"/>
      <c r="H368" s="208"/>
      <c r="I368" s="208"/>
      <c r="J368" s="208"/>
      <c r="K368" s="208"/>
      <c r="L368" s="208"/>
      <c r="M368" s="208"/>
      <c r="N368" s="208"/>
      <c r="O368" s="208"/>
      <c r="P368" s="208"/>
      <c r="Q368" s="208"/>
      <c r="R368" s="208"/>
      <c r="S368" s="208"/>
      <c r="T368" s="208"/>
      <c r="U368" s="208"/>
      <c r="V368" s="208"/>
      <c r="W368" s="208"/>
      <c r="X368" s="208"/>
      <c r="Y368" s="208"/>
      <c r="Z368" s="208"/>
      <c r="AA368" s="208"/>
      <c r="AB368" s="208"/>
      <c r="AC368" s="208"/>
      <c r="AD368" s="208"/>
      <c r="AE368" s="208"/>
      <c r="AF368" s="208"/>
      <c r="AG368" s="208"/>
      <c r="AH368" s="208"/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8"/>
      <c r="AT368" s="208"/>
      <c r="AU368" s="208"/>
      <c r="AV368" s="208"/>
      <c r="AW368" s="208"/>
      <c r="AX368" s="208"/>
      <c r="AY368" s="208"/>
      <c r="AZ368" s="208"/>
      <c r="BA368" s="208"/>
    </row>
    <row r="369" ht="15.75" hidden="1" customHeight="1">
      <c r="A369" s="208"/>
      <c r="B369" s="208"/>
      <c r="C369" s="208"/>
      <c r="D369" s="208"/>
      <c r="E369" s="208"/>
      <c r="F369" s="208"/>
      <c r="G369" s="208"/>
      <c r="H369" s="208"/>
      <c r="I369" s="208"/>
      <c r="J369" s="208"/>
      <c r="K369" s="208"/>
      <c r="L369" s="208"/>
      <c r="M369" s="208"/>
      <c r="N369" s="208"/>
      <c r="O369" s="208"/>
      <c r="P369" s="208"/>
      <c r="Q369" s="208"/>
      <c r="R369" s="208"/>
      <c r="S369" s="208"/>
      <c r="T369" s="208"/>
      <c r="U369" s="208"/>
      <c r="V369" s="208"/>
      <c r="W369" s="208"/>
      <c r="X369" s="208"/>
      <c r="Y369" s="208"/>
      <c r="Z369" s="208"/>
      <c r="AA369" s="208"/>
      <c r="AB369" s="208"/>
      <c r="AC369" s="208"/>
      <c r="AD369" s="208"/>
      <c r="AE369" s="208"/>
      <c r="AF369" s="208"/>
      <c r="AG369" s="208"/>
      <c r="AH369" s="208"/>
      <c r="AI369" s="208"/>
      <c r="AJ369" s="208"/>
      <c r="AK369" s="208"/>
      <c r="AL369" s="208"/>
      <c r="AM369" s="208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</row>
    <row r="370" ht="15.75" hidden="1" customHeight="1">
      <c r="A370" s="208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208"/>
      <c r="O370" s="208"/>
      <c r="P370" s="208"/>
      <c r="Q370" s="208"/>
      <c r="R370" s="208"/>
      <c r="S370" s="208"/>
      <c r="T370" s="208"/>
      <c r="U370" s="208"/>
      <c r="V370" s="208"/>
      <c r="W370" s="208"/>
      <c r="X370" s="208"/>
      <c r="Y370" s="208"/>
      <c r="Z370" s="208"/>
      <c r="AA370" s="208"/>
      <c r="AB370" s="208"/>
      <c r="AC370" s="208"/>
      <c r="AD370" s="208"/>
      <c r="AE370" s="208"/>
      <c r="AF370" s="208"/>
      <c r="AG370" s="208"/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</row>
    <row r="371" ht="15.75" hidden="1" customHeight="1">
      <c r="A371" s="208"/>
      <c r="B371" s="208"/>
      <c r="C371" s="208"/>
      <c r="D371" s="208"/>
      <c r="E371" s="208"/>
      <c r="F371" s="208"/>
      <c r="G371" s="208"/>
      <c r="H371" s="208"/>
      <c r="I371" s="208"/>
      <c r="J371" s="208"/>
      <c r="K371" s="208"/>
      <c r="L371" s="208"/>
      <c r="M371" s="208"/>
      <c r="N371" s="208"/>
      <c r="O371" s="208"/>
      <c r="P371" s="208"/>
      <c r="Q371" s="208"/>
      <c r="R371" s="208"/>
      <c r="S371" s="208"/>
      <c r="T371" s="208"/>
      <c r="U371" s="208"/>
      <c r="V371" s="208"/>
      <c r="W371" s="208"/>
      <c r="X371" s="208"/>
      <c r="Y371" s="208"/>
      <c r="Z371" s="208"/>
      <c r="AA371" s="208"/>
      <c r="AB371" s="208"/>
      <c r="AC371" s="208"/>
      <c r="AD371" s="208"/>
      <c r="AE371" s="208"/>
      <c r="AF371" s="208"/>
      <c r="AG371" s="208"/>
      <c r="AH371" s="208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</row>
    <row r="372" ht="15.75" hidden="1" customHeight="1">
      <c r="A372" s="208"/>
      <c r="B372" s="208"/>
      <c r="C372" s="208"/>
      <c r="D372" s="208"/>
      <c r="E372" s="208"/>
      <c r="F372" s="208"/>
      <c r="G372" s="208"/>
      <c r="H372" s="208"/>
      <c r="I372" s="208"/>
      <c r="J372" s="208"/>
      <c r="K372" s="208"/>
      <c r="L372" s="208"/>
      <c r="M372" s="208"/>
      <c r="N372" s="208"/>
      <c r="O372" s="208"/>
      <c r="P372" s="208"/>
      <c r="Q372" s="208"/>
      <c r="R372" s="208"/>
      <c r="S372" s="208"/>
      <c r="T372" s="208"/>
      <c r="U372" s="208"/>
      <c r="V372" s="208"/>
      <c r="W372" s="208"/>
      <c r="X372" s="208"/>
      <c r="Y372" s="208"/>
      <c r="Z372" s="208"/>
      <c r="AA372" s="208"/>
      <c r="AB372" s="208"/>
      <c r="AC372" s="208"/>
      <c r="AD372" s="208"/>
      <c r="AE372" s="208"/>
      <c r="AF372" s="208"/>
      <c r="AG372" s="208"/>
      <c r="AH372" s="208"/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</row>
    <row r="373" ht="15.75" hidden="1" customHeight="1">
      <c r="A373" s="208"/>
      <c r="B373" s="208"/>
      <c r="C373" s="208"/>
      <c r="D373" s="208"/>
      <c r="E373" s="208"/>
      <c r="F373" s="208"/>
      <c r="G373" s="208"/>
      <c r="H373" s="208"/>
      <c r="I373" s="208"/>
      <c r="J373" s="208"/>
      <c r="K373" s="208"/>
      <c r="L373" s="208"/>
      <c r="M373" s="208"/>
      <c r="N373" s="208"/>
      <c r="O373" s="208"/>
      <c r="P373" s="208"/>
      <c r="Q373" s="208"/>
      <c r="R373" s="208"/>
      <c r="S373" s="208"/>
      <c r="T373" s="208"/>
      <c r="U373" s="208"/>
      <c r="V373" s="208"/>
      <c r="W373" s="208"/>
      <c r="X373" s="208"/>
      <c r="Y373" s="208"/>
      <c r="Z373" s="208"/>
      <c r="AA373" s="208"/>
      <c r="AB373" s="208"/>
      <c r="AC373" s="208"/>
      <c r="AD373" s="208"/>
      <c r="AE373" s="208"/>
      <c r="AF373" s="208"/>
      <c r="AG373" s="208"/>
      <c r="AH373" s="208"/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</row>
    <row r="374" ht="15.75" hidden="1" customHeight="1">
      <c r="A374" s="208"/>
      <c r="B374" s="208"/>
      <c r="C374" s="208"/>
      <c r="D374" s="208"/>
      <c r="E374" s="208"/>
      <c r="F374" s="208"/>
      <c r="G374" s="208"/>
      <c r="H374" s="208"/>
      <c r="I374" s="208"/>
      <c r="J374" s="208"/>
      <c r="K374" s="208"/>
      <c r="L374" s="208"/>
      <c r="M374" s="208"/>
      <c r="N374" s="208"/>
      <c r="O374" s="208"/>
      <c r="P374" s="208"/>
      <c r="Q374" s="208"/>
      <c r="R374" s="208"/>
      <c r="S374" s="208"/>
      <c r="T374" s="208"/>
      <c r="U374" s="208"/>
      <c r="V374" s="208"/>
      <c r="W374" s="208"/>
      <c r="X374" s="208"/>
      <c r="Y374" s="208"/>
      <c r="Z374" s="208"/>
      <c r="AA374" s="208"/>
      <c r="AB374" s="208"/>
      <c r="AC374" s="208"/>
      <c r="AD374" s="208"/>
      <c r="AE374" s="208"/>
      <c r="AF374" s="208"/>
      <c r="AG374" s="208"/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</row>
    <row r="375" ht="15.75" hidden="1" customHeight="1">
      <c r="A375" s="208"/>
      <c r="B375" s="208"/>
      <c r="C375" s="208"/>
      <c r="D375" s="208"/>
      <c r="E375" s="208"/>
      <c r="F375" s="208"/>
      <c r="G375" s="208"/>
      <c r="H375" s="208"/>
      <c r="I375" s="208"/>
      <c r="J375" s="208"/>
      <c r="K375" s="208"/>
      <c r="L375" s="208"/>
      <c r="M375" s="208"/>
      <c r="N375" s="208"/>
      <c r="O375" s="208"/>
      <c r="P375" s="208"/>
      <c r="Q375" s="208"/>
      <c r="R375" s="208"/>
      <c r="S375" s="208"/>
      <c r="T375" s="208"/>
      <c r="U375" s="208"/>
      <c r="V375" s="208"/>
      <c r="W375" s="208"/>
      <c r="X375" s="208"/>
      <c r="Y375" s="208"/>
      <c r="Z375" s="208"/>
      <c r="AA375" s="208"/>
      <c r="AB375" s="208"/>
      <c r="AC375" s="208"/>
      <c r="AD375" s="208"/>
      <c r="AE375" s="208"/>
      <c r="AF375" s="208"/>
      <c r="AG375" s="208"/>
      <c r="AH375" s="208"/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</row>
    <row r="376" ht="15.75" hidden="1" customHeight="1">
      <c r="A376" s="208"/>
      <c r="B376" s="208"/>
      <c r="C376" s="208"/>
      <c r="D376" s="208"/>
      <c r="E376" s="208"/>
      <c r="F376" s="208"/>
      <c r="G376" s="208"/>
      <c r="H376" s="208"/>
      <c r="I376" s="208"/>
      <c r="J376" s="208"/>
      <c r="K376" s="208"/>
      <c r="L376" s="208"/>
      <c r="M376" s="208"/>
      <c r="N376" s="208"/>
      <c r="O376" s="208"/>
      <c r="P376" s="208"/>
      <c r="Q376" s="208"/>
      <c r="R376" s="208"/>
      <c r="S376" s="208"/>
      <c r="T376" s="208"/>
      <c r="U376" s="208"/>
      <c r="V376" s="208"/>
      <c r="W376" s="208"/>
      <c r="X376" s="208"/>
      <c r="Y376" s="208"/>
      <c r="Z376" s="208"/>
      <c r="AA376" s="208"/>
      <c r="AB376" s="208"/>
      <c r="AC376" s="208"/>
      <c r="AD376" s="208"/>
      <c r="AE376" s="208"/>
      <c r="AF376" s="208"/>
      <c r="AG376" s="208"/>
      <c r="AH376" s="208"/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</row>
    <row r="377" ht="15.75" hidden="1" customHeight="1">
      <c r="A377" s="208"/>
      <c r="B377" s="208"/>
      <c r="C377" s="208"/>
      <c r="D377" s="208"/>
      <c r="E377" s="208"/>
      <c r="F377" s="208"/>
      <c r="G377" s="208"/>
      <c r="H377" s="208"/>
      <c r="I377" s="208"/>
      <c r="J377" s="208"/>
      <c r="K377" s="208"/>
      <c r="L377" s="208"/>
      <c r="M377" s="208"/>
      <c r="N377" s="208"/>
      <c r="O377" s="208"/>
      <c r="P377" s="208"/>
      <c r="Q377" s="208"/>
      <c r="R377" s="208"/>
      <c r="S377" s="208"/>
      <c r="T377" s="208"/>
      <c r="U377" s="208"/>
      <c r="V377" s="208"/>
      <c r="W377" s="208"/>
      <c r="X377" s="208"/>
      <c r="Y377" s="208"/>
      <c r="Z377" s="208"/>
      <c r="AA377" s="208"/>
      <c r="AB377" s="208"/>
      <c r="AC377" s="208"/>
      <c r="AD377" s="208"/>
      <c r="AE377" s="208"/>
      <c r="AF377" s="208"/>
      <c r="AG377" s="208"/>
      <c r="AH377" s="208"/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</row>
    <row r="378" ht="15.75" hidden="1" customHeight="1">
      <c r="A378" s="208"/>
      <c r="B378" s="208"/>
      <c r="C378" s="208"/>
      <c r="D378" s="208"/>
      <c r="E378" s="208"/>
      <c r="F378" s="208"/>
      <c r="G378" s="208"/>
      <c r="H378" s="208"/>
      <c r="I378" s="208"/>
      <c r="J378" s="208"/>
      <c r="K378" s="208"/>
      <c r="L378" s="208"/>
      <c r="M378" s="208"/>
      <c r="N378" s="208"/>
      <c r="O378" s="208"/>
      <c r="P378" s="208"/>
      <c r="Q378" s="208"/>
      <c r="R378" s="208"/>
      <c r="S378" s="208"/>
      <c r="T378" s="208"/>
      <c r="U378" s="208"/>
      <c r="V378" s="208"/>
      <c r="W378" s="208"/>
      <c r="X378" s="208"/>
      <c r="Y378" s="208"/>
      <c r="Z378" s="208"/>
      <c r="AA378" s="208"/>
      <c r="AB378" s="208"/>
      <c r="AC378" s="208"/>
      <c r="AD378" s="208"/>
      <c r="AE378" s="208"/>
      <c r="AF378" s="208"/>
      <c r="AG378" s="208"/>
      <c r="AH378" s="208"/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</row>
    <row r="379" ht="15.75" hidden="1" customHeight="1">
      <c r="A379" s="208"/>
      <c r="B379" s="208"/>
      <c r="C379" s="208"/>
      <c r="D379" s="208"/>
      <c r="E379" s="208"/>
      <c r="F379" s="208"/>
      <c r="G379" s="208"/>
      <c r="H379" s="208"/>
      <c r="I379" s="208"/>
      <c r="J379" s="208"/>
      <c r="K379" s="208"/>
      <c r="L379" s="208"/>
      <c r="M379" s="208"/>
      <c r="N379" s="208"/>
      <c r="O379" s="208"/>
      <c r="P379" s="208"/>
      <c r="Q379" s="208"/>
      <c r="R379" s="208"/>
      <c r="S379" s="208"/>
      <c r="T379" s="208"/>
      <c r="U379" s="208"/>
      <c r="V379" s="208"/>
      <c r="W379" s="208"/>
      <c r="X379" s="208"/>
      <c r="Y379" s="208"/>
      <c r="Z379" s="208"/>
      <c r="AA379" s="208"/>
      <c r="AB379" s="208"/>
      <c r="AC379" s="208"/>
      <c r="AD379" s="208"/>
      <c r="AE379" s="208"/>
      <c r="AF379" s="208"/>
      <c r="AG379" s="208"/>
      <c r="AH379" s="208"/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</row>
    <row r="380" ht="15.75" hidden="1" customHeight="1">
      <c r="A380" s="208"/>
      <c r="B380" s="208"/>
      <c r="C380" s="208"/>
      <c r="D380" s="208"/>
      <c r="E380" s="208"/>
      <c r="F380" s="208"/>
      <c r="G380" s="208"/>
      <c r="H380" s="208"/>
      <c r="I380" s="208"/>
      <c r="J380" s="208"/>
      <c r="K380" s="208"/>
      <c r="L380" s="208"/>
      <c r="M380" s="208"/>
      <c r="N380" s="208"/>
      <c r="O380" s="208"/>
      <c r="P380" s="208"/>
      <c r="Q380" s="208"/>
      <c r="R380" s="208"/>
      <c r="S380" s="208"/>
      <c r="T380" s="208"/>
      <c r="U380" s="208"/>
      <c r="V380" s="208"/>
      <c r="W380" s="208"/>
      <c r="X380" s="208"/>
      <c r="Y380" s="208"/>
      <c r="Z380" s="208"/>
      <c r="AA380" s="208"/>
      <c r="AB380" s="208"/>
      <c r="AC380" s="208"/>
      <c r="AD380" s="208"/>
      <c r="AE380" s="208"/>
      <c r="AF380" s="208"/>
      <c r="AG380" s="208"/>
      <c r="AH380" s="208"/>
      <c r="AI380" s="208"/>
      <c r="AJ380" s="208"/>
      <c r="AK380" s="208"/>
      <c r="AL380" s="208"/>
      <c r="AM380" s="208"/>
      <c r="AN380" s="208"/>
      <c r="AO380" s="208"/>
      <c r="AP380" s="208"/>
      <c r="AQ380" s="208"/>
      <c r="AR380" s="208"/>
      <c r="AS380" s="208"/>
      <c r="AT380" s="208"/>
      <c r="AU380" s="208"/>
      <c r="AV380" s="208"/>
      <c r="AW380" s="208"/>
      <c r="AX380" s="208"/>
      <c r="AY380" s="208"/>
      <c r="AZ380" s="208"/>
      <c r="BA380" s="208"/>
    </row>
    <row r="381" ht="15.75" hidden="1" customHeight="1">
      <c r="A381" s="208"/>
      <c r="B381" s="208"/>
      <c r="C381" s="208"/>
      <c r="D381" s="208"/>
      <c r="E381" s="208"/>
      <c r="F381" s="208"/>
      <c r="G381" s="208"/>
      <c r="H381" s="208"/>
      <c r="I381" s="208"/>
      <c r="J381" s="208"/>
      <c r="K381" s="208"/>
      <c r="L381" s="208"/>
      <c r="M381" s="208"/>
      <c r="N381" s="208"/>
      <c r="O381" s="208"/>
      <c r="P381" s="208"/>
      <c r="Q381" s="208"/>
      <c r="R381" s="208"/>
      <c r="S381" s="208"/>
      <c r="T381" s="208"/>
      <c r="U381" s="208"/>
      <c r="V381" s="208"/>
      <c r="W381" s="208"/>
      <c r="X381" s="208"/>
      <c r="Y381" s="208"/>
      <c r="Z381" s="208"/>
      <c r="AA381" s="208"/>
      <c r="AB381" s="208"/>
      <c r="AC381" s="208"/>
      <c r="AD381" s="208"/>
      <c r="AE381" s="208"/>
      <c r="AF381" s="208"/>
      <c r="AG381" s="208"/>
      <c r="AH381" s="208"/>
      <c r="AI381" s="208"/>
      <c r="AJ381" s="208"/>
      <c r="AK381" s="208"/>
      <c r="AL381" s="208"/>
      <c r="AM381" s="208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</row>
    <row r="382" ht="15.75" hidden="1" customHeight="1">
      <c r="A382" s="208"/>
      <c r="B382" s="208"/>
      <c r="C382" s="208"/>
      <c r="D382" s="208"/>
      <c r="E382" s="208"/>
      <c r="F382" s="208"/>
      <c r="G382" s="208"/>
      <c r="H382" s="208"/>
      <c r="I382" s="208"/>
      <c r="J382" s="208"/>
      <c r="K382" s="208"/>
      <c r="L382" s="208"/>
      <c r="M382" s="208"/>
      <c r="N382" s="208"/>
      <c r="O382" s="208"/>
      <c r="P382" s="208"/>
      <c r="Q382" s="208"/>
      <c r="R382" s="208"/>
      <c r="S382" s="208"/>
      <c r="T382" s="208"/>
      <c r="U382" s="208"/>
      <c r="V382" s="208"/>
      <c r="W382" s="208"/>
      <c r="X382" s="208"/>
      <c r="Y382" s="208"/>
      <c r="Z382" s="208"/>
      <c r="AA382" s="208"/>
      <c r="AB382" s="208"/>
      <c r="AC382" s="208"/>
      <c r="AD382" s="208"/>
      <c r="AE382" s="208"/>
      <c r="AF382" s="208"/>
      <c r="AG382" s="208"/>
      <c r="AH382" s="208"/>
      <c r="AI382" s="208"/>
      <c r="AJ382" s="208"/>
      <c r="AK382" s="208"/>
      <c r="AL382" s="208"/>
      <c r="AM382" s="208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</row>
    <row r="383" ht="15.75" hidden="1" customHeight="1">
      <c r="A383" s="208"/>
      <c r="B383" s="208"/>
      <c r="C383" s="208"/>
      <c r="D383" s="208"/>
      <c r="E383" s="208"/>
      <c r="F383" s="208"/>
      <c r="G383" s="208"/>
      <c r="H383" s="208"/>
      <c r="I383" s="208"/>
      <c r="J383" s="208"/>
      <c r="K383" s="208"/>
      <c r="L383" s="208"/>
      <c r="M383" s="208"/>
      <c r="N383" s="208"/>
      <c r="O383" s="208"/>
      <c r="P383" s="208"/>
      <c r="Q383" s="208"/>
      <c r="R383" s="208"/>
      <c r="S383" s="208"/>
      <c r="T383" s="208"/>
      <c r="U383" s="208"/>
      <c r="V383" s="208"/>
      <c r="W383" s="208"/>
      <c r="X383" s="208"/>
      <c r="Y383" s="208"/>
      <c r="Z383" s="208"/>
      <c r="AA383" s="208"/>
      <c r="AB383" s="208"/>
      <c r="AC383" s="208"/>
      <c r="AD383" s="208"/>
      <c r="AE383" s="208"/>
      <c r="AF383" s="208"/>
      <c r="AG383" s="208"/>
      <c r="AH383" s="208"/>
      <c r="AI383" s="208"/>
      <c r="AJ383" s="208"/>
      <c r="AK383" s="208"/>
      <c r="AL383" s="208"/>
      <c r="AM383" s="208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</row>
    <row r="384" ht="15.75" hidden="1" customHeight="1">
      <c r="A384" s="208"/>
      <c r="B384" s="208"/>
      <c r="C384" s="208"/>
      <c r="D384" s="208"/>
      <c r="E384" s="208"/>
      <c r="F384" s="208"/>
      <c r="G384" s="208"/>
      <c r="H384" s="208"/>
      <c r="I384" s="208"/>
      <c r="J384" s="208"/>
      <c r="K384" s="208"/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</row>
    <row r="385" ht="15.75" hidden="1" customHeight="1">
      <c r="A385" s="208"/>
      <c r="B385" s="208"/>
      <c r="C385" s="208"/>
      <c r="D385" s="208"/>
      <c r="E385" s="208"/>
      <c r="F385" s="208"/>
      <c r="G385" s="208"/>
      <c r="H385" s="208"/>
      <c r="I385" s="208"/>
      <c r="J385" s="208"/>
      <c r="K385" s="208"/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</row>
    <row r="386" ht="15.75" hidden="1" customHeight="1">
      <c r="A386" s="208"/>
      <c r="B386" s="208"/>
      <c r="C386" s="208"/>
      <c r="D386" s="208"/>
      <c r="E386" s="208"/>
      <c r="F386" s="208"/>
      <c r="G386" s="208"/>
      <c r="H386" s="208"/>
      <c r="I386" s="208"/>
      <c r="J386" s="208"/>
      <c r="K386" s="208"/>
      <c r="L386" s="208"/>
      <c r="M386" s="208"/>
      <c r="N386" s="208"/>
      <c r="O386" s="208"/>
      <c r="P386" s="208"/>
      <c r="Q386" s="208"/>
      <c r="R386" s="208"/>
      <c r="S386" s="208"/>
      <c r="T386" s="208"/>
      <c r="U386" s="208"/>
      <c r="V386" s="208"/>
      <c r="W386" s="208"/>
      <c r="X386" s="208"/>
      <c r="Y386" s="208"/>
      <c r="Z386" s="208"/>
      <c r="AA386" s="208"/>
      <c r="AB386" s="208"/>
      <c r="AC386" s="208"/>
      <c r="AD386" s="208"/>
      <c r="AE386" s="208"/>
      <c r="AF386" s="208"/>
      <c r="AG386" s="208"/>
      <c r="AH386" s="208"/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</row>
    <row r="387" ht="15.75" hidden="1" customHeight="1">
      <c r="A387" s="208"/>
      <c r="B387" s="208"/>
      <c r="C387" s="208"/>
      <c r="D387" s="208"/>
      <c r="E387" s="208"/>
      <c r="F387" s="208"/>
      <c r="G387" s="208"/>
      <c r="H387" s="208"/>
      <c r="I387" s="208"/>
      <c r="J387" s="208"/>
      <c r="K387" s="208"/>
      <c r="L387" s="208"/>
      <c r="M387" s="208"/>
      <c r="N387" s="208"/>
      <c r="O387" s="208"/>
      <c r="P387" s="208"/>
      <c r="Q387" s="208"/>
      <c r="R387" s="208"/>
      <c r="S387" s="208"/>
      <c r="T387" s="208"/>
      <c r="U387" s="208"/>
      <c r="V387" s="208"/>
      <c r="W387" s="208"/>
      <c r="X387" s="208"/>
      <c r="Y387" s="208"/>
      <c r="Z387" s="208"/>
      <c r="AA387" s="208"/>
      <c r="AB387" s="208"/>
      <c r="AC387" s="208"/>
      <c r="AD387" s="208"/>
      <c r="AE387" s="208"/>
      <c r="AF387" s="208"/>
      <c r="AG387" s="208"/>
      <c r="AH387" s="208"/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</row>
    <row r="388" ht="15.75" hidden="1" customHeight="1">
      <c r="A388" s="208"/>
      <c r="B388" s="208"/>
      <c r="C388" s="208"/>
      <c r="D388" s="208"/>
      <c r="E388" s="208"/>
      <c r="F388" s="208"/>
      <c r="G388" s="208"/>
      <c r="H388" s="208"/>
      <c r="I388" s="208"/>
      <c r="J388" s="208"/>
      <c r="K388" s="208"/>
      <c r="L388" s="208"/>
      <c r="M388" s="208"/>
      <c r="N388" s="208"/>
      <c r="O388" s="208"/>
      <c r="P388" s="208"/>
      <c r="Q388" s="208"/>
      <c r="R388" s="208"/>
      <c r="S388" s="208"/>
      <c r="T388" s="208"/>
      <c r="U388" s="208"/>
      <c r="V388" s="208"/>
      <c r="W388" s="208"/>
      <c r="X388" s="208"/>
      <c r="Y388" s="208"/>
      <c r="Z388" s="208"/>
      <c r="AA388" s="208"/>
      <c r="AB388" s="208"/>
      <c r="AC388" s="208"/>
      <c r="AD388" s="208"/>
      <c r="AE388" s="208"/>
      <c r="AF388" s="208"/>
      <c r="AG388" s="208"/>
      <c r="AH388" s="208"/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</row>
    <row r="389" ht="15.75" hidden="1" customHeight="1">
      <c r="A389" s="208"/>
      <c r="B389" s="208"/>
      <c r="C389" s="208"/>
      <c r="D389" s="208"/>
      <c r="E389" s="208"/>
      <c r="F389" s="208"/>
      <c r="G389" s="208"/>
      <c r="H389" s="208"/>
      <c r="I389" s="208"/>
      <c r="J389" s="208"/>
      <c r="K389" s="208"/>
      <c r="L389" s="208"/>
      <c r="M389" s="208"/>
      <c r="N389" s="208"/>
      <c r="O389" s="208"/>
      <c r="P389" s="208"/>
      <c r="Q389" s="208"/>
      <c r="R389" s="208"/>
      <c r="S389" s="208"/>
      <c r="T389" s="208"/>
      <c r="U389" s="208"/>
      <c r="V389" s="208"/>
      <c r="W389" s="208"/>
      <c r="X389" s="208"/>
      <c r="Y389" s="208"/>
      <c r="Z389" s="208"/>
      <c r="AA389" s="208"/>
      <c r="AB389" s="208"/>
      <c r="AC389" s="208"/>
      <c r="AD389" s="208"/>
      <c r="AE389" s="208"/>
      <c r="AF389" s="208"/>
      <c r="AG389" s="208"/>
      <c r="AH389" s="208"/>
      <c r="AI389" s="208"/>
      <c r="AJ389" s="208"/>
      <c r="AK389" s="208"/>
      <c r="AL389" s="208"/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</row>
    <row r="390" ht="15.75" hidden="1" customHeight="1">
      <c r="A390" s="208"/>
      <c r="B390" s="208"/>
      <c r="C390" s="208"/>
      <c r="D390" s="208"/>
      <c r="E390" s="208"/>
      <c r="F390" s="208"/>
      <c r="G390" s="208"/>
      <c r="H390" s="208"/>
      <c r="I390" s="208"/>
      <c r="J390" s="208"/>
      <c r="K390" s="208"/>
      <c r="L390" s="208"/>
      <c r="M390" s="208"/>
      <c r="N390" s="208"/>
      <c r="O390" s="208"/>
      <c r="P390" s="208"/>
      <c r="Q390" s="208"/>
      <c r="R390" s="208"/>
      <c r="S390" s="208"/>
      <c r="T390" s="208"/>
      <c r="U390" s="208"/>
      <c r="V390" s="208"/>
      <c r="W390" s="208"/>
      <c r="X390" s="208"/>
      <c r="Y390" s="208"/>
      <c r="Z390" s="208"/>
      <c r="AA390" s="208"/>
      <c r="AB390" s="208"/>
      <c r="AC390" s="208"/>
      <c r="AD390" s="208"/>
      <c r="AE390" s="208"/>
      <c r="AF390" s="208"/>
      <c r="AG390" s="208"/>
      <c r="AH390" s="208"/>
      <c r="AI390" s="208"/>
      <c r="AJ390" s="208"/>
      <c r="AK390" s="208"/>
      <c r="AL390" s="208"/>
      <c r="AM390" s="208"/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</row>
    <row r="391" ht="15.75" hidden="1" customHeight="1">
      <c r="A391" s="208"/>
      <c r="B391" s="208"/>
      <c r="C391" s="208"/>
      <c r="D391" s="208"/>
      <c r="E391" s="208"/>
      <c r="F391" s="208"/>
      <c r="G391" s="208"/>
      <c r="H391" s="208"/>
      <c r="I391" s="208"/>
      <c r="J391" s="208"/>
      <c r="K391" s="208"/>
      <c r="L391" s="208"/>
      <c r="M391" s="208"/>
      <c r="N391" s="208"/>
      <c r="O391" s="208"/>
      <c r="P391" s="208"/>
      <c r="Q391" s="208"/>
      <c r="R391" s="208"/>
      <c r="S391" s="208"/>
      <c r="T391" s="208"/>
      <c r="U391" s="208"/>
      <c r="V391" s="208"/>
      <c r="W391" s="208"/>
      <c r="X391" s="208"/>
      <c r="Y391" s="208"/>
      <c r="Z391" s="208"/>
      <c r="AA391" s="208"/>
      <c r="AB391" s="208"/>
      <c r="AC391" s="208"/>
      <c r="AD391" s="208"/>
      <c r="AE391" s="208"/>
      <c r="AF391" s="208"/>
      <c r="AG391" s="208"/>
      <c r="AH391" s="208"/>
      <c r="AI391" s="208"/>
      <c r="AJ391" s="208"/>
      <c r="AK391" s="208"/>
      <c r="AL391" s="208"/>
      <c r="AM391" s="208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</row>
    <row r="392" ht="15.75" hidden="1" customHeight="1">
      <c r="A392" s="208"/>
      <c r="B392" s="208"/>
      <c r="C392" s="208"/>
      <c r="D392" s="208"/>
      <c r="E392" s="208"/>
      <c r="F392" s="208"/>
      <c r="G392" s="208"/>
      <c r="H392" s="208"/>
      <c r="I392" s="208"/>
      <c r="J392" s="208"/>
      <c r="K392" s="208"/>
      <c r="L392" s="208"/>
      <c r="M392" s="208"/>
      <c r="N392" s="208"/>
      <c r="O392" s="208"/>
      <c r="P392" s="208"/>
      <c r="Q392" s="208"/>
      <c r="R392" s="208"/>
      <c r="S392" s="208"/>
      <c r="T392" s="208"/>
      <c r="U392" s="208"/>
      <c r="V392" s="208"/>
      <c r="W392" s="208"/>
      <c r="X392" s="208"/>
      <c r="Y392" s="208"/>
      <c r="Z392" s="208"/>
      <c r="AA392" s="208"/>
      <c r="AB392" s="208"/>
      <c r="AC392" s="208"/>
      <c r="AD392" s="208"/>
      <c r="AE392" s="208"/>
      <c r="AF392" s="208"/>
      <c r="AG392" s="208"/>
      <c r="AH392" s="208"/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08"/>
      <c r="AU392" s="208"/>
      <c r="AV392" s="208"/>
      <c r="AW392" s="208"/>
      <c r="AX392" s="208"/>
      <c r="AY392" s="208"/>
      <c r="AZ392" s="208"/>
      <c r="BA392" s="208"/>
    </row>
    <row r="393" ht="15.75" hidden="1" customHeight="1">
      <c r="A393" s="208"/>
      <c r="B393" s="208"/>
      <c r="C393" s="208"/>
      <c r="D393" s="208"/>
      <c r="E393" s="208"/>
      <c r="F393" s="208"/>
      <c r="G393" s="208"/>
      <c r="H393" s="208"/>
      <c r="I393" s="208"/>
      <c r="J393" s="208"/>
      <c r="K393" s="208"/>
      <c r="L393" s="208"/>
      <c r="M393" s="208"/>
      <c r="N393" s="208"/>
      <c r="O393" s="208"/>
      <c r="P393" s="208"/>
      <c r="Q393" s="208"/>
      <c r="R393" s="208"/>
      <c r="S393" s="208"/>
      <c r="T393" s="208"/>
      <c r="U393" s="208"/>
      <c r="V393" s="208"/>
      <c r="W393" s="208"/>
      <c r="X393" s="208"/>
      <c r="Y393" s="208"/>
      <c r="Z393" s="208"/>
      <c r="AA393" s="208"/>
      <c r="AB393" s="208"/>
      <c r="AC393" s="208"/>
      <c r="AD393" s="208"/>
      <c r="AE393" s="208"/>
      <c r="AF393" s="208"/>
      <c r="AG393" s="208"/>
      <c r="AH393" s="208"/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/>
    </row>
    <row r="394" ht="15.75" hidden="1" customHeight="1">
      <c r="A394" s="208"/>
      <c r="B394" s="208"/>
      <c r="C394" s="208"/>
      <c r="D394" s="208"/>
      <c r="E394" s="208"/>
      <c r="F394" s="208"/>
      <c r="G394" s="208"/>
      <c r="H394" s="208"/>
      <c r="I394" s="208"/>
      <c r="J394" s="208"/>
      <c r="K394" s="208"/>
      <c r="L394" s="208"/>
      <c r="M394" s="208"/>
      <c r="N394" s="208"/>
      <c r="O394" s="208"/>
      <c r="P394" s="208"/>
      <c r="Q394" s="208"/>
      <c r="R394" s="208"/>
      <c r="S394" s="208"/>
      <c r="T394" s="208"/>
      <c r="U394" s="208"/>
      <c r="V394" s="208"/>
      <c r="W394" s="208"/>
      <c r="X394" s="208"/>
      <c r="Y394" s="208"/>
      <c r="Z394" s="208"/>
      <c r="AA394" s="208"/>
      <c r="AB394" s="208"/>
      <c r="AC394" s="208"/>
      <c r="AD394" s="208"/>
      <c r="AE394" s="208"/>
      <c r="AF394" s="208"/>
      <c r="AG394" s="208"/>
      <c r="AH394" s="208"/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</row>
    <row r="395" ht="15.75" hidden="1" customHeight="1">
      <c r="A395" s="208"/>
      <c r="B395" s="208"/>
      <c r="C395" s="208"/>
      <c r="D395" s="208"/>
      <c r="E395" s="208"/>
      <c r="F395" s="208"/>
      <c r="G395" s="208"/>
      <c r="H395" s="208"/>
      <c r="I395" s="208"/>
      <c r="J395" s="208"/>
      <c r="K395" s="208"/>
      <c r="L395" s="208"/>
      <c r="M395" s="208"/>
      <c r="N395" s="208"/>
      <c r="O395" s="208"/>
      <c r="P395" s="208"/>
      <c r="Q395" s="208"/>
      <c r="R395" s="208"/>
      <c r="S395" s="208"/>
      <c r="T395" s="208"/>
      <c r="U395" s="208"/>
      <c r="V395" s="208"/>
      <c r="W395" s="208"/>
      <c r="X395" s="208"/>
      <c r="Y395" s="208"/>
      <c r="Z395" s="208"/>
      <c r="AA395" s="208"/>
      <c r="AB395" s="208"/>
      <c r="AC395" s="208"/>
      <c r="AD395" s="208"/>
      <c r="AE395" s="208"/>
      <c r="AF395" s="208"/>
      <c r="AG395" s="208"/>
      <c r="AH395" s="208"/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  <c r="AT395" s="208"/>
      <c r="AU395" s="208"/>
      <c r="AV395" s="208"/>
      <c r="AW395" s="208"/>
      <c r="AX395" s="208"/>
      <c r="AY395" s="208"/>
      <c r="AZ395" s="208"/>
      <c r="BA395" s="208"/>
    </row>
    <row r="396" ht="15.75" hidden="1" customHeight="1">
      <c r="A396" s="208"/>
      <c r="B396" s="208"/>
      <c r="C396" s="208"/>
      <c r="D396" s="208"/>
      <c r="E396" s="208"/>
      <c r="F396" s="208"/>
      <c r="G396" s="208"/>
      <c r="H396" s="208"/>
      <c r="I396" s="208"/>
      <c r="J396" s="208"/>
      <c r="K396" s="208"/>
      <c r="L396" s="208"/>
      <c r="M396" s="208"/>
      <c r="N396" s="208"/>
      <c r="O396" s="208"/>
      <c r="P396" s="208"/>
      <c r="Q396" s="208"/>
      <c r="R396" s="208"/>
      <c r="S396" s="208"/>
      <c r="T396" s="208"/>
      <c r="U396" s="208"/>
      <c r="V396" s="208"/>
      <c r="W396" s="208"/>
      <c r="X396" s="208"/>
      <c r="Y396" s="208"/>
      <c r="Z396" s="208"/>
      <c r="AA396" s="208"/>
      <c r="AB396" s="208"/>
      <c r="AC396" s="208"/>
      <c r="AD396" s="208"/>
      <c r="AE396" s="208"/>
      <c r="AF396" s="208"/>
      <c r="AG396" s="208"/>
      <c r="AH396" s="208"/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08"/>
      <c r="AU396" s="208"/>
      <c r="AV396" s="208"/>
      <c r="AW396" s="208"/>
      <c r="AX396" s="208"/>
      <c r="AY396" s="208"/>
      <c r="AZ396" s="208"/>
      <c r="BA396" s="208"/>
    </row>
    <row r="397" ht="15.75" hidden="1" customHeight="1">
      <c r="A397" s="208"/>
      <c r="B397" s="208"/>
      <c r="C397" s="208"/>
      <c r="D397" s="208"/>
      <c r="E397" s="208"/>
      <c r="F397" s="208"/>
      <c r="G397" s="208"/>
      <c r="H397" s="208"/>
      <c r="I397" s="208"/>
      <c r="J397" s="208"/>
      <c r="K397" s="208"/>
      <c r="L397" s="208"/>
      <c r="M397" s="208"/>
      <c r="N397" s="208"/>
      <c r="O397" s="208"/>
      <c r="P397" s="208"/>
      <c r="Q397" s="208"/>
      <c r="R397" s="208"/>
      <c r="S397" s="208"/>
      <c r="T397" s="208"/>
      <c r="U397" s="208"/>
      <c r="V397" s="208"/>
      <c r="W397" s="208"/>
      <c r="X397" s="208"/>
      <c r="Y397" s="208"/>
      <c r="Z397" s="208"/>
      <c r="AA397" s="208"/>
      <c r="AB397" s="208"/>
      <c r="AC397" s="208"/>
      <c r="AD397" s="208"/>
      <c r="AE397" s="208"/>
      <c r="AF397" s="208"/>
      <c r="AG397" s="208"/>
      <c r="AH397" s="208"/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08"/>
      <c r="AU397" s="208"/>
      <c r="AV397" s="208"/>
      <c r="AW397" s="208"/>
      <c r="AX397" s="208"/>
      <c r="AY397" s="208"/>
      <c r="AZ397" s="208"/>
      <c r="BA397" s="208"/>
    </row>
    <row r="398" ht="15.75" hidden="1" customHeight="1">
      <c r="A398" s="208"/>
      <c r="B398" s="208"/>
      <c r="C398" s="208"/>
      <c r="D398" s="208"/>
      <c r="E398" s="208"/>
      <c r="F398" s="208"/>
      <c r="G398" s="208"/>
      <c r="H398" s="208"/>
      <c r="I398" s="208"/>
      <c r="J398" s="208"/>
      <c r="K398" s="208"/>
      <c r="L398" s="208"/>
      <c r="M398" s="208"/>
      <c r="N398" s="208"/>
      <c r="O398" s="208"/>
      <c r="P398" s="208"/>
      <c r="Q398" s="208"/>
      <c r="R398" s="208"/>
      <c r="S398" s="208"/>
      <c r="T398" s="208"/>
      <c r="U398" s="208"/>
      <c r="V398" s="208"/>
      <c r="W398" s="208"/>
      <c r="X398" s="208"/>
      <c r="Y398" s="208"/>
      <c r="Z398" s="208"/>
      <c r="AA398" s="208"/>
      <c r="AB398" s="208"/>
      <c r="AC398" s="208"/>
      <c r="AD398" s="208"/>
      <c r="AE398" s="208"/>
      <c r="AF398" s="208"/>
      <c r="AG398" s="208"/>
      <c r="AH398" s="208"/>
      <c r="AI398" s="208"/>
      <c r="AJ398" s="208"/>
      <c r="AK398" s="208"/>
      <c r="AL398" s="208"/>
      <c r="AM398" s="208"/>
      <c r="AN398" s="208"/>
      <c r="AO398" s="208"/>
      <c r="AP398" s="208"/>
      <c r="AQ398" s="208"/>
      <c r="AR398" s="208"/>
      <c r="AS398" s="208"/>
      <c r="AT398" s="208"/>
      <c r="AU398" s="208"/>
      <c r="AV398" s="208"/>
      <c r="AW398" s="208"/>
      <c r="AX398" s="208"/>
      <c r="AY398" s="208"/>
      <c r="AZ398" s="208"/>
      <c r="BA398" s="208"/>
    </row>
    <row r="399" ht="15.75" hidden="1" customHeight="1">
      <c r="A399" s="208"/>
      <c r="B399" s="208"/>
      <c r="C399" s="208"/>
      <c r="D399" s="208"/>
      <c r="E399" s="208"/>
      <c r="F399" s="208"/>
      <c r="G399" s="208"/>
      <c r="H399" s="208"/>
      <c r="I399" s="208"/>
      <c r="J399" s="208"/>
      <c r="K399" s="208"/>
      <c r="L399" s="208"/>
      <c r="M399" s="208"/>
      <c r="N399" s="208"/>
      <c r="O399" s="208"/>
      <c r="P399" s="208"/>
      <c r="Q399" s="208"/>
      <c r="R399" s="208"/>
      <c r="S399" s="208"/>
      <c r="T399" s="208"/>
      <c r="U399" s="208"/>
      <c r="V399" s="208"/>
      <c r="W399" s="208"/>
      <c r="X399" s="208"/>
      <c r="Y399" s="208"/>
      <c r="Z399" s="208"/>
      <c r="AA399" s="208"/>
      <c r="AB399" s="208"/>
      <c r="AC399" s="208"/>
      <c r="AD399" s="208"/>
      <c r="AE399" s="208"/>
      <c r="AF399" s="208"/>
      <c r="AG399" s="208"/>
      <c r="AH399" s="208"/>
      <c r="AI399" s="208"/>
      <c r="AJ399" s="208"/>
      <c r="AK399" s="208"/>
      <c r="AL399" s="208"/>
      <c r="AM399" s="208"/>
      <c r="AN399" s="208"/>
      <c r="AO399" s="208"/>
      <c r="AP399" s="208"/>
      <c r="AQ399" s="208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/>
    </row>
    <row r="400" ht="15.75" hidden="1" customHeight="1">
      <c r="A400" s="208"/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208"/>
      <c r="Q400" s="208"/>
      <c r="R400" s="208"/>
      <c r="S400" s="208"/>
      <c r="T400" s="208"/>
      <c r="U400" s="208"/>
      <c r="V400" s="208"/>
      <c r="W400" s="208"/>
      <c r="X400" s="208"/>
      <c r="Y400" s="208"/>
      <c r="Z400" s="208"/>
      <c r="AA400" s="208"/>
      <c r="AB400" s="208"/>
      <c r="AC400" s="208"/>
      <c r="AD400" s="208"/>
      <c r="AE400" s="208"/>
      <c r="AF400" s="208"/>
      <c r="AG400" s="208"/>
      <c r="AH400" s="208"/>
      <c r="AI400" s="208"/>
      <c r="AJ400" s="208"/>
      <c r="AK400" s="208"/>
      <c r="AL400" s="208"/>
      <c r="AM400" s="208"/>
      <c r="AN400" s="208"/>
      <c r="AO400" s="208"/>
      <c r="AP400" s="208"/>
      <c r="AQ400" s="208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</row>
    <row r="401" ht="15.75" hidden="1" customHeight="1">
      <c r="A401" s="208"/>
      <c r="B401" s="208"/>
      <c r="C401" s="208"/>
      <c r="D401" s="208"/>
      <c r="E401" s="208"/>
      <c r="F401" s="208"/>
      <c r="G401" s="208"/>
      <c r="H401" s="208"/>
      <c r="I401" s="208"/>
      <c r="J401" s="208"/>
      <c r="K401" s="208"/>
      <c r="L401" s="208"/>
      <c r="M401" s="208"/>
      <c r="N401" s="208"/>
      <c r="O401" s="208"/>
      <c r="P401" s="208"/>
      <c r="Q401" s="208"/>
      <c r="R401" s="208"/>
      <c r="S401" s="208"/>
      <c r="T401" s="208"/>
      <c r="U401" s="208"/>
      <c r="V401" s="208"/>
      <c r="W401" s="208"/>
      <c r="X401" s="208"/>
      <c r="Y401" s="208"/>
      <c r="Z401" s="208"/>
      <c r="AA401" s="208"/>
      <c r="AB401" s="208"/>
      <c r="AC401" s="208"/>
      <c r="AD401" s="208"/>
      <c r="AE401" s="208"/>
      <c r="AF401" s="208"/>
      <c r="AG401" s="208"/>
      <c r="AH401" s="208"/>
      <c r="AI401" s="208"/>
      <c r="AJ401" s="208"/>
      <c r="AK401" s="208"/>
      <c r="AL401" s="208"/>
      <c r="AM401" s="208"/>
      <c r="AN401" s="208"/>
      <c r="AO401" s="208"/>
      <c r="AP401" s="208"/>
      <c r="AQ401" s="208"/>
      <c r="AR401" s="208"/>
      <c r="AS401" s="208"/>
      <c r="AT401" s="208"/>
      <c r="AU401" s="208"/>
      <c r="AV401" s="208"/>
      <c r="AW401" s="208"/>
      <c r="AX401" s="208"/>
      <c r="AY401" s="208"/>
      <c r="AZ401" s="208"/>
      <c r="BA401" s="208"/>
    </row>
    <row r="402" ht="15.75" hidden="1" customHeight="1">
      <c r="A402" s="208"/>
      <c r="B402" s="208"/>
      <c r="C402" s="208"/>
      <c r="D402" s="208"/>
      <c r="E402" s="208"/>
      <c r="F402" s="208"/>
      <c r="G402" s="208"/>
      <c r="H402" s="208"/>
      <c r="I402" s="208"/>
      <c r="J402" s="208"/>
      <c r="K402" s="208"/>
      <c r="L402" s="208"/>
      <c r="M402" s="208"/>
      <c r="N402" s="208"/>
      <c r="O402" s="208"/>
      <c r="P402" s="208"/>
      <c r="Q402" s="208"/>
      <c r="R402" s="208"/>
      <c r="S402" s="208"/>
      <c r="T402" s="208"/>
      <c r="U402" s="208"/>
      <c r="V402" s="208"/>
      <c r="W402" s="208"/>
      <c r="X402" s="208"/>
      <c r="Y402" s="208"/>
      <c r="Z402" s="208"/>
      <c r="AA402" s="208"/>
      <c r="AB402" s="208"/>
      <c r="AC402" s="208"/>
      <c r="AD402" s="208"/>
      <c r="AE402" s="208"/>
      <c r="AF402" s="208"/>
      <c r="AG402" s="208"/>
      <c r="AH402" s="208"/>
      <c r="AI402" s="208"/>
      <c r="AJ402" s="208"/>
      <c r="AK402" s="208"/>
      <c r="AL402" s="208"/>
      <c r="AM402" s="208"/>
      <c r="AN402" s="208"/>
      <c r="AO402" s="208"/>
      <c r="AP402" s="208"/>
      <c r="AQ402" s="208"/>
      <c r="AR402" s="208"/>
      <c r="AS402" s="208"/>
      <c r="AT402" s="208"/>
      <c r="AU402" s="208"/>
      <c r="AV402" s="208"/>
      <c r="AW402" s="208"/>
      <c r="AX402" s="208"/>
      <c r="AY402" s="208"/>
      <c r="AZ402" s="208"/>
      <c r="BA402" s="208"/>
    </row>
    <row r="403" ht="15.75" hidden="1" customHeight="1">
      <c r="A403" s="208"/>
      <c r="B403" s="208"/>
      <c r="C403" s="208"/>
      <c r="D403" s="208"/>
      <c r="E403" s="208"/>
      <c r="F403" s="208"/>
      <c r="G403" s="208"/>
      <c r="H403" s="208"/>
      <c r="I403" s="208"/>
      <c r="J403" s="208"/>
      <c r="K403" s="208"/>
      <c r="L403" s="208"/>
      <c r="M403" s="208"/>
      <c r="N403" s="208"/>
      <c r="O403" s="208"/>
      <c r="P403" s="208"/>
      <c r="Q403" s="208"/>
      <c r="R403" s="208"/>
      <c r="S403" s="208"/>
      <c r="T403" s="208"/>
      <c r="U403" s="208"/>
      <c r="V403" s="208"/>
      <c r="W403" s="208"/>
      <c r="X403" s="208"/>
      <c r="Y403" s="208"/>
      <c r="Z403" s="208"/>
      <c r="AA403" s="208"/>
      <c r="AB403" s="208"/>
      <c r="AC403" s="208"/>
      <c r="AD403" s="208"/>
      <c r="AE403" s="208"/>
      <c r="AF403" s="208"/>
      <c r="AG403" s="208"/>
      <c r="AH403" s="208"/>
      <c r="AI403" s="208"/>
      <c r="AJ403" s="208"/>
      <c r="AK403" s="208"/>
      <c r="AL403" s="208"/>
      <c r="AM403" s="208"/>
      <c r="AN403" s="208"/>
      <c r="AO403" s="208"/>
      <c r="AP403" s="208"/>
      <c r="AQ403" s="208"/>
      <c r="AR403" s="208"/>
      <c r="AS403" s="208"/>
      <c r="AT403" s="208"/>
      <c r="AU403" s="208"/>
      <c r="AV403" s="208"/>
      <c r="AW403" s="208"/>
      <c r="AX403" s="208"/>
      <c r="AY403" s="208"/>
      <c r="AZ403" s="208"/>
      <c r="BA403" s="208"/>
    </row>
    <row r="404" ht="15.75" hidden="1" customHeight="1">
      <c r="A404" s="208"/>
      <c r="B404" s="208"/>
      <c r="C404" s="208"/>
      <c r="D404" s="208"/>
      <c r="E404" s="208"/>
      <c r="F404" s="208"/>
      <c r="G404" s="208"/>
      <c r="H404" s="208"/>
      <c r="I404" s="208"/>
      <c r="J404" s="208"/>
      <c r="K404" s="208"/>
      <c r="L404" s="208"/>
      <c r="M404" s="208"/>
      <c r="N404" s="208"/>
      <c r="O404" s="208"/>
      <c r="P404" s="208"/>
      <c r="Q404" s="208"/>
      <c r="R404" s="208"/>
      <c r="S404" s="208"/>
      <c r="T404" s="208"/>
      <c r="U404" s="208"/>
      <c r="V404" s="208"/>
      <c r="W404" s="208"/>
      <c r="X404" s="208"/>
      <c r="Y404" s="208"/>
      <c r="Z404" s="208"/>
      <c r="AA404" s="208"/>
      <c r="AB404" s="208"/>
      <c r="AC404" s="208"/>
      <c r="AD404" s="208"/>
      <c r="AE404" s="208"/>
      <c r="AF404" s="208"/>
      <c r="AG404" s="208"/>
      <c r="AH404" s="208"/>
      <c r="AI404" s="208"/>
      <c r="AJ404" s="208"/>
      <c r="AK404" s="208"/>
      <c r="AL404" s="208"/>
      <c r="AM404" s="208"/>
      <c r="AN404" s="208"/>
      <c r="AO404" s="208"/>
      <c r="AP404" s="208"/>
      <c r="AQ404" s="208"/>
      <c r="AR404" s="208"/>
      <c r="AS404" s="208"/>
      <c r="AT404" s="208"/>
      <c r="AU404" s="208"/>
      <c r="AV404" s="208"/>
      <c r="AW404" s="208"/>
      <c r="AX404" s="208"/>
      <c r="AY404" s="208"/>
      <c r="AZ404" s="208"/>
      <c r="BA404" s="208"/>
    </row>
    <row r="405" ht="15.75" hidden="1" customHeight="1">
      <c r="A405" s="208"/>
      <c r="B405" s="208"/>
      <c r="C405" s="208"/>
      <c r="D405" s="208"/>
      <c r="E405" s="208"/>
      <c r="F405" s="208"/>
      <c r="G405" s="208"/>
      <c r="H405" s="208"/>
      <c r="I405" s="208"/>
      <c r="J405" s="208"/>
      <c r="K405" s="208"/>
      <c r="L405" s="208"/>
      <c r="M405" s="208"/>
      <c r="N405" s="208"/>
      <c r="O405" s="208"/>
      <c r="P405" s="208"/>
      <c r="Q405" s="208"/>
      <c r="R405" s="208"/>
      <c r="S405" s="208"/>
      <c r="T405" s="208"/>
      <c r="U405" s="208"/>
      <c r="V405" s="208"/>
      <c r="W405" s="208"/>
      <c r="X405" s="208"/>
      <c r="Y405" s="208"/>
      <c r="Z405" s="208"/>
      <c r="AA405" s="208"/>
      <c r="AB405" s="208"/>
      <c r="AC405" s="208"/>
      <c r="AD405" s="208"/>
      <c r="AE405" s="208"/>
      <c r="AF405" s="208"/>
      <c r="AG405" s="208"/>
      <c r="AH405" s="208"/>
      <c r="AI405" s="208"/>
      <c r="AJ405" s="208"/>
      <c r="AK405" s="208"/>
      <c r="AL405" s="208"/>
      <c r="AM405" s="208"/>
      <c r="AN405" s="208"/>
      <c r="AO405" s="208"/>
      <c r="AP405" s="208"/>
      <c r="AQ405" s="208"/>
      <c r="AR405" s="208"/>
      <c r="AS405" s="208"/>
      <c r="AT405" s="208"/>
      <c r="AU405" s="208"/>
      <c r="AV405" s="208"/>
      <c r="AW405" s="208"/>
      <c r="AX405" s="208"/>
      <c r="AY405" s="208"/>
      <c r="AZ405" s="208"/>
      <c r="BA405" s="208"/>
    </row>
    <row r="406" ht="15.75" hidden="1" customHeight="1">
      <c r="A406" s="208"/>
      <c r="B406" s="208"/>
      <c r="C406" s="208"/>
      <c r="D406" s="208"/>
      <c r="E406" s="208"/>
      <c r="F406" s="208"/>
      <c r="G406" s="208"/>
      <c r="H406" s="208"/>
      <c r="I406" s="208"/>
      <c r="J406" s="208"/>
      <c r="K406" s="208"/>
      <c r="L406" s="208"/>
      <c r="M406" s="208"/>
      <c r="N406" s="208"/>
      <c r="O406" s="208"/>
      <c r="P406" s="208"/>
      <c r="Q406" s="208"/>
      <c r="R406" s="208"/>
      <c r="S406" s="208"/>
      <c r="T406" s="208"/>
      <c r="U406" s="208"/>
      <c r="V406" s="208"/>
      <c r="W406" s="208"/>
      <c r="X406" s="208"/>
      <c r="Y406" s="208"/>
      <c r="Z406" s="208"/>
      <c r="AA406" s="208"/>
      <c r="AB406" s="208"/>
      <c r="AC406" s="208"/>
      <c r="AD406" s="208"/>
      <c r="AE406" s="208"/>
      <c r="AF406" s="208"/>
      <c r="AG406" s="208"/>
      <c r="AH406" s="208"/>
      <c r="AI406" s="208"/>
      <c r="AJ406" s="208"/>
      <c r="AK406" s="208"/>
      <c r="AL406" s="208"/>
      <c r="AM406" s="208"/>
      <c r="AN406" s="208"/>
      <c r="AO406" s="208"/>
      <c r="AP406" s="208"/>
      <c r="AQ406" s="208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/>
    </row>
    <row r="407" ht="15.75" hidden="1" customHeight="1">
      <c r="A407" s="208"/>
      <c r="B407" s="208"/>
      <c r="C407" s="208"/>
      <c r="D407" s="208"/>
      <c r="E407" s="208"/>
      <c r="F407" s="208"/>
      <c r="G407" s="208"/>
      <c r="H407" s="208"/>
      <c r="I407" s="208"/>
      <c r="J407" s="208"/>
      <c r="K407" s="208"/>
      <c r="L407" s="208"/>
      <c r="M407" s="208"/>
      <c r="N407" s="208"/>
      <c r="O407" s="208"/>
      <c r="P407" s="208"/>
      <c r="Q407" s="208"/>
      <c r="R407" s="208"/>
      <c r="S407" s="208"/>
      <c r="T407" s="208"/>
      <c r="U407" s="208"/>
      <c r="V407" s="208"/>
      <c r="W407" s="208"/>
      <c r="X407" s="208"/>
      <c r="Y407" s="208"/>
      <c r="Z407" s="208"/>
      <c r="AA407" s="208"/>
      <c r="AB407" s="208"/>
      <c r="AC407" s="208"/>
      <c r="AD407" s="208"/>
      <c r="AE407" s="208"/>
      <c r="AF407" s="208"/>
      <c r="AG407" s="208"/>
      <c r="AH407" s="208"/>
      <c r="AI407" s="208"/>
      <c r="AJ407" s="208"/>
      <c r="AK407" s="208"/>
      <c r="AL407" s="208"/>
      <c r="AM407" s="208"/>
      <c r="AN407" s="208"/>
      <c r="AO407" s="208"/>
      <c r="AP407" s="208"/>
      <c r="AQ407" s="208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</row>
    <row r="408" ht="15.75" hidden="1" customHeight="1">
      <c r="A408" s="208"/>
      <c r="B408" s="208"/>
      <c r="C408" s="208"/>
      <c r="D408" s="208"/>
      <c r="E408" s="208"/>
      <c r="F408" s="208"/>
      <c r="G408" s="208"/>
      <c r="H408" s="208"/>
      <c r="I408" s="208"/>
      <c r="J408" s="208"/>
      <c r="K408" s="208"/>
      <c r="L408" s="208"/>
      <c r="M408" s="208"/>
      <c r="N408" s="208"/>
      <c r="O408" s="208"/>
      <c r="P408" s="208"/>
      <c r="Q408" s="208"/>
      <c r="R408" s="208"/>
      <c r="S408" s="208"/>
      <c r="T408" s="208"/>
      <c r="U408" s="208"/>
      <c r="V408" s="208"/>
      <c r="W408" s="208"/>
      <c r="X408" s="208"/>
      <c r="Y408" s="208"/>
      <c r="Z408" s="208"/>
      <c r="AA408" s="208"/>
      <c r="AB408" s="208"/>
      <c r="AC408" s="208"/>
      <c r="AD408" s="208"/>
      <c r="AE408" s="208"/>
      <c r="AF408" s="208"/>
      <c r="AG408" s="208"/>
      <c r="AH408" s="208"/>
      <c r="AI408" s="208"/>
      <c r="AJ408" s="208"/>
      <c r="AK408" s="208"/>
      <c r="AL408" s="208"/>
      <c r="AM408" s="208"/>
      <c r="AN408" s="208"/>
      <c r="AO408" s="208"/>
      <c r="AP408" s="208"/>
      <c r="AQ408" s="208"/>
      <c r="AR408" s="208"/>
      <c r="AS408" s="208"/>
      <c r="AT408" s="208"/>
      <c r="AU408" s="208"/>
      <c r="AV408" s="208"/>
      <c r="AW408" s="208"/>
      <c r="AX408" s="208"/>
      <c r="AY408" s="208"/>
      <c r="AZ408" s="208"/>
      <c r="BA408" s="208"/>
    </row>
    <row r="409" ht="15.75" hidden="1" customHeight="1">
      <c r="A409" s="208"/>
      <c r="B409" s="208"/>
      <c r="C409" s="208"/>
      <c r="D409" s="208"/>
      <c r="E409" s="208"/>
      <c r="F409" s="208"/>
      <c r="G409" s="208"/>
      <c r="H409" s="208"/>
      <c r="I409" s="208"/>
      <c r="J409" s="208"/>
      <c r="K409" s="208"/>
      <c r="L409" s="208"/>
      <c r="M409" s="208"/>
      <c r="N409" s="208"/>
      <c r="O409" s="208"/>
      <c r="P409" s="208"/>
      <c r="Q409" s="208"/>
      <c r="R409" s="208"/>
      <c r="S409" s="208"/>
      <c r="T409" s="208"/>
      <c r="U409" s="208"/>
      <c r="V409" s="208"/>
      <c r="W409" s="208"/>
      <c r="X409" s="208"/>
      <c r="Y409" s="208"/>
      <c r="Z409" s="208"/>
      <c r="AA409" s="208"/>
      <c r="AB409" s="208"/>
      <c r="AC409" s="208"/>
      <c r="AD409" s="208"/>
      <c r="AE409" s="208"/>
      <c r="AF409" s="208"/>
      <c r="AG409" s="208"/>
      <c r="AH409" s="208"/>
      <c r="AI409" s="208"/>
      <c r="AJ409" s="208"/>
      <c r="AK409" s="208"/>
      <c r="AL409" s="208"/>
      <c r="AM409" s="208"/>
      <c r="AN409" s="208"/>
      <c r="AO409" s="208"/>
      <c r="AP409" s="208"/>
      <c r="AQ409" s="208"/>
      <c r="AR409" s="208"/>
      <c r="AS409" s="208"/>
      <c r="AT409" s="208"/>
      <c r="AU409" s="208"/>
      <c r="AV409" s="208"/>
      <c r="AW409" s="208"/>
      <c r="AX409" s="208"/>
      <c r="AY409" s="208"/>
      <c r="AZ409" s="208"/>
      <c r="BA409" s="208"/>
    </row>
    <row r="410" ht="15.75" hidden="1" customHeight="1">
      <c r="A410" s="208"/>
      <c r="B410" s="208"/>
      <c r="C410" s="208"/>
      <c r="D410" s="208"/>
      <c r="E410" s="208"/>
      <c r="F410" s="208"/>
      <c r="G410" s="208"/>
      <c r="H410" s="208"/>
      <c r="I410" s="208"/>
      <c r="J410" s="208"/>
      <c r="K410" s="208"/>
      <c r="L410" s="208"/>
      <c r="M410" s="208"/>
      <c r="N410" s="208"/>
      <c r="O410" s="208"/>
      <c r="P410" s="208"/>
      <c r="Q410" s="208"/>
      <c r="R410" s="208"/>
      <c r="S410" s="208"/>
      <c r="T410" s="208"/>
      <c r="U410" s="208"/>
      <c r="V410" s="208"/>
      <c r="W410" s="208"/>
      <c r="X410" s="208"/>
      <c r="Y410" s="208"/>
      <c r="Z410" s="208"/>
      <c r="AA410" s="208"/>
      <c r="AB410" s="208"/>
      <c r="AC410" s="208"/>
      <c r="AD410" s="208"/>
      <c r="AE410" s="208"/>
      <c r="AF410" s="208"/>
      <c r="AG410" s="208"/>
      <c r="AH410" s="208"/>
      <c r="AI410" s="208"/>
      <c r="AJ410" s="208"/>
      <c r="AK410" s="208"/>
      <c r="AL410" s="208"/>
      <c r="AM410" s="208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</row>
    <row r="411" ht="15.75" hidden="1" customHeight="1">
      <c r="A411" s="208"/>
      <c r="B411" s="208"/>
      <c r="C411" s="208"/>
      <c r="D411" s="208"/>
      <c r="E411" s="208"/>
      <c r="F411" s="208"/>
      <c r="G411" s="208"/>
      <c r="H411" s="208"/>
      <c r="I411" s="208"/>
      <c r="J411" s="208"/>
      <c r="K411" s="208"/>
      <c r="L411" s="208"/>
      <c r="M411" s="208"/>
      <c r="N411" s="208"/>
      <c r="O411" s="208"/>
      <c r="P411" s="208"/>
      <c r="Q411" s="208"/>
      <c r="R411" s="208"/>
      <c r="S411" s="208"/>
      <c r="T411" s="208"/>
      <c r="U411" s="208"/>
      <c r="V411" s="208"/>
      <c r="W411" s="208"/>
      <c r="X411" s="208"/>
      <c r="Y411" s="208"/>
      <c r="Z411" s="208"/>
      <c r="AA411" s="208"/>
      <c r="AB411" s="208"/>
      <c r="AC411" s="208"/>
      <c r="AD411" s="208"/>
      <c r="AE411" s="208"/>
      <c r="AF411" s="208"/>
      <c r="AG411" s="208"/>
      <c r="AH411" s="208"/>
      <c r="AI411" s="208"/>
      <c r="AJ411" s="208"/>
      <c r="AK411" s="208"/>
      <c r="AL411" s="208"/>
      <c r="AM411" s="208"/>
      <c r="AN411" s="208"/>
      <c r="AO411" s="208"/>
      <c r="AP411" s="208"/>
      <c r="AQ411" s="208"/>
      <c r="AR411" s="208"/>
      <c r="AS411" s="208"/>
      <c r="AT411" s="208"/>
      <c r="AU411" s="208"/>
      <c r="AV411" s="208"/>
      <c r="AW411" s="208"/>
      <c r="AX411" s="208"/>
      <c r="AY411" s="208"/>
      <c r="AZ411" s="208"/>
      <c r="BA411" s="208"/>
    </row>
    <row r="412" ht="15.75" hidden="1" customHeight="1">
      <c r="A412" s="208"/>
      <c r="B412" s="208"/>
      <c r="C412" s="208"/>
      <c r="D412" s="208"/>
      <c r="E412" s="208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/>
      <c r="X412" s="208"/>
      <c r="Y412" s="208"/>
      <c r="Z412" s="208"/>
      <c r="AA412" s="208"/>
      <c r="AB412" s="208"/>
      <c r="AC412" s="208"/>
      <c r="AD412" s="208"/>
      <c r="AE412" s="208"/>
      <c r="AF412" s="208"/>
      <c r="AG412" s="208"/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</row>
    <row r="413" ht="15.75" hidden="1" customHeight="1">
      <c r="A413" s="208"/>
      <c r="B413" s="208"/>
      <c r="C413" s="208"/>
      <c r="D413" s="208"/>
      <c r="E413" s="208"/>
      <c r="F413" s="208"/>
      <c r="G413" s="208"/>
      <c r="H413" s="208"/>
      <c r="I413" s="208"/>
      <c r="J413" s="208"/>
      <c r="K413" s="208"/>
      <c r="L413" s="208"/>
      <c r="M413" s="208"/>
      <c r="N413" s="208"/>
      <c r="O413" s="208"/>
      <c r="P413" s="20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  <c r="AA413" s="208"/>
      <c r="AB413" s="208"/>
      <c r="AC413" s="208"/>
      <c r="AD413" s="208"/>
      <c r="AE413" s="208"/>
      <c r="AF413" s="208"/>
      <c r="AG413" s="208"/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</row>
    <row r="414" ht="15.75" hidden="1" customHeight="1">
      <c r="A414" s="208"/>
      <c r="B414" s="208"/>
      <c r="C414" s="208"/>
      <c r="D414" s="208"/>
      <c r="E414" s="208"/>
      <c r="F414" s="208"/>
      <c r="G414" s="208"/>
      <c r="H414" s="208"/>
      <c r="I414" s="208"/>
      <c r="J414" s="208"/>
      <c r="K414" s="208"/>
      <c r="L414" s="208"/>
      <c r="M414" s="208"/>
      <c r="N414" s="208"/>
      <c r="O414" s="208"/>
      <c r="P414" s="20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/>
      <c r="AH414" s="208"/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</row>
    <row r="415" ht="15.75" hidden="1" customHeight="1">
      <c r="A415" s="208"/>
      <c r="B415" s="208"/>
      <c r="C415" s="208"/>
      <c r="D415" s="208"/>
      <c r="E415" s="208"/>
      <c r="F415" s="208"/>
      <c r="G415" s="208"/>
      <c r="H415" s="208"/>
      <c r="I415" s="208"/>
      <c r="J415" s="208"/>
      <c r="K415" s="208"/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</row>
    <row r="416" ht="15.75" hidden="1" customHeight="1">
      <c r="A416" s="208"/>
      <c r="B416" s="208"/>
      <c r="C416" s="208"/>
      <c r="D416" s="208"/>
      <c r="E416" s="208"/>
      <c r="F416" s="208"/>
      <c r="G416" s="208"/>
      <c r="H416" s="208"/>
      <c r="I416" s="208"/>
      <c r="J416" s="208"/>
      <c r="K416" s="208"/>
      <c r="L416" s="208"/>
      <c r="M416" s="208"/>
      <c r="N416" s="208"/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</row>
    <row r="417" ht="15.75" hidden="1" customHeight="1">
      <c r="A417" s="208"/>
      <c r="B417" s="208"/>
      <c r="C417" s="208"/>
      <c r="D417" s="208"/>
      <c r="E417" s="208"/>
      <c r="F417" s="208"/>
      <c r="G417" s="208"/>
      <c r="H417" s="208"/>
      <c r="I417" s="208"/>
      <c r="J417" s="208"/>
      <c r="K417" s="208"/>
      <c r="L417" s="208"/>
      <c r="M417" s="208"/>
      <c r="N417" s="208"/>
      <c r="O417" s="208"/>
      <c r="P417" s="208"/>
      <c r="Q417" s="208"/>
      <c r="R417" s="208"/>
      <c r="S417" s="208"/>
      <c r="T417" s="208"/>
      <c r="U417" s="208"/>
      <c r="V417" s="208"/>
      <c r="W417" s="208"/>
      <c r="X417" s="208"/>
      <c r="Y417" s="208"/>
      <c r="Z417" s="208"/>
      <c r="AA417" s="208"/>
      <c r="AB417" s="208"/>
      <c r="AC417" s="208"/>
      <c r="AD417" s="208"/>
      <c r="AE417" s="208"/>
      <c r="AF417" s="208"/>
      <c r="AG417" s="208"/>
      <c r="AH417" s="208"/>
      <c r="AI417" s="208"/>
      <c r="AJ417" s="208"/>
      <c r="AK417" s="208"/>
      <c r="AL417" s="208"/>
      <c r="AM417" s="208"/>
      <c r="AN417" s="208"/>
      <c r="AO417" s="208"/>
      <c r="AP417" s="208"/>
      <c r="AQ417" s="208"/>
      <c r="AR417" s="208"/>
      <c r="AS417" s="208"/>
      <c r="AT417" s="208"/>
      <c r="AU417" s="208"/>
      <c r="AV417" s="208"/>
      <c r="AW417" s="208"/>
      <c r="AX417" s="208"/>
      <c r="AY417" s="208"/>
      <c r="AZ417" s="208"/>
      <c r="BA417" s="208"/>
    </row>
    <row r="418" ht="15.75" hidden="1" customHeight="1">
      <c r="A418" s="208"/>
      <c r="B418" s="208"/>
      <c r="C418" s="208"/>
      <c r="D418" s="208"/>
      <c r="E418" s="208"/>
      <c r="F418" s="208"/>
      <c r="G418" s="208"/>
      <c r="H418" s="208"/>
      <c r="I418" s="208"/>
      <c r="J418" s="208"/>
      <c r="K418" s="208"/>
      <c r="L418" s="208"/>
      <c r="M418" s="208"/>
      <c r="N418" s="208"/>
      <c r="O418" s="208"/>
      <c r="P418" s="208"/>
      <c r="Q418" s="208"/>
      <c r="R418" s="208"/>
      <c r="S418" s="208"/>
      <c r="T418" s="208"/>
      <c r="U418" s="208"/>
      <c r="V418" s="208"/>
      <c r="W418" s="208"/>
      <c r="X418" s="208"/>
      <c r="Y418" s="208"/>
      <c r="Z418" s="208"/>
      <c r="AA418" s="208"/>
      <c r="AB418" s="208"/>
      <c r="AC418" s="208"/>
      <c r="AD418" s="208"/>
      <c r="AE418" s="208"/>
      <c r="AF418" s="208"/>
      <c r="AG418" s="208"/>
      <c r="AH418" s="208"/>
      <c r="AI418" s="208"/>
      <c r="AJ418" s="208"/>
      <c r="AK418" s="208"/>
      <c r="AL418" s="208"/>
      <c r="AM418" s="208"/>
      <c r="AN418" s="208"/>
      <c r="AO418" s="208"/>
      <c r="AP418" s="208"/>
      <c r="AQ418" s="208"/>
      <c r="AR418" s="208"/>
      <c r="AS418" s="208"/>
      <c r="AT418" s="208"/>
      <c r="AU418" s="208"/>
      <c r="AV418" s="208"/>
      <c r="AW418" s="208"/>
      <c r="AX418" s="208"/>
      <c r="AY418" s="208"/>
      <c r="AZ418" s="208"/>
      <c r="BA418" s="208"/>
    </row>
    <row r="419" ht="15.75" hidden="1" customHeight="1">
      <c r="A419" s="208"/>
      <c r="B419" s="208"/>
      <c r="C419" s="208"/>
      <c r="D419" s="208"/>
      <c r="E419" s="208"/>
      <c r="F419" s="208"/>
      <c r="G419" s="208"/>
      <c r="H419" s="208"/>
      <c r="I419" s="208"/>
      <c r="J419" s="208"/>
      <c r="K419" s="208"/>
      <c r="L419" s="208"/>
      <c r="M419" s="208"/>
      <c r="N419" s="208"/>
      <c r="O419" s="208"/>
      <c r="P419" s="208"/>
      <c r="Q419" s="208"/>
      <c r="R419" s="208"/>
      <c r="S419" s="208"/>
      <c r="T419" s="208"/>
      <c r="U419" s="208"/>
      <c r="V419" s="208"/>
      <c r="W419" s="208"/>
      <c r="X419" s="208"/>
      <c r="Y419" s="208"/>
      <c r="Z419" s="208"/>
      <c r="AA419" s="208"/>
      <c r="AB419" s="208"/>
      <c r="AC419" s="208"/>
      <c r="AD419" s="208"/>
      <c r="AE419" s="208"/>
      <c r="AF419" s="208"/>
      <c r="AG419" s="208"/>
      <c r="AH419" s="208"/>
      <c r="AI419" s="208"/>
      <c r="AJ419" s="208"/>
      <c r="AK419" s="208"/>
      <c r="AL419" s="208"/>
      <c r="AM419" s="208"/>
      <c r="AN419" s="208"/>
      <c r="AO419" s="208"/>
      <c r="AP419" s="208"/>
      <c r="AQ419" s="208"/>
      <c r="AR419" s="208"/>
      <c r="AS419" s="208"/>
      <c r="AT419" s="208"/>
      <c r="AU419" s="208"/>
      <c r="AV419" s="208"/>
      <c r="AW419" s="208"/>
      <c r="AX419" s="208"/>
      <c r="AY419" s="208"/>
      <c r="AZ419" s="208"/>
      <c r="BA419" s="208"/>
    </row>
    <row r="420" ht="15.75" hidden="1" customHeight="1">
      <c r="A420" s="208"/>
      <c r="B420" s="208"/>
      <c r="C420" s="208"/>
      <c r="D420" s="208"/>
      <c r="E420" s="208"/>
      <c r="F420" s="208"/>
      <c r="G420" s="208"/>
      <c r="H420" s="208"/>
      <c r="I420" s="208"/>
      <c r="J420" s="208"/>
      <c r="K420" s="208"/>
      <c r="L420" s="208"/>
      <c r="M420" s="208"/>
      <c r="N420" s="208"/>
      <c r="O420" s="208"/>
      <c r="P420" s="208"/>
      <c r="Q420" s="208"/>
      <c r="R420" s="208"/>
      <c r="S420" s="208"/>
      <c r="T420" s="208"/>
      <c r="U420" s="208"/>
      <c r="V420" s="208"/>
      <c r="W420" s="208"/>
      <c r="X420" s="208"/>
      <c r="Y420" s="208"/>
      <c r="Z420" s="208"/>
      <c r="AA420" s="208"/>
      <c r="AB420" s="208"/>
      <c r="AC420" s="208"/>
      <c r="AD420" s="208"/>
      <c r="AE420" s="208"/>
      <c r="AF420" s="208"/>
      <c r="AG420" s="208"/>
      <c r="AH420" s="208"/>
      <c r="AI420" s="208"/>
      <c r="AJ420" s="208"/>
      <c r="AK420" s="208"/>
      <c r="AL420" s="208"/>
      <c r="AM420" s="208"/>
      <c r="AN420" s="208"/>
      <c r="AO420" s="208"/>
      <c r="AP420" s="208"/>
      <c r="AQ420" s="208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</row>
    <row r="421" ht="15.75" hidden="1" customHeight="1">
      <c r="A421" s="208"/>
      <c r="B421" s="208"/>
      <c r="C421" s="208"/>
      <c r="D421" s="208"/>
      <c r="E421" s="208"/>
      <c r="F421" s="208"/>
      <c r="G421" s="208"/>
      <c r="H421" s="208"/>
      <c r="I421" s="208"/>
      <c r="J421" s="208"/>
      <c r="K421" s="208"/>
      <c r="L421" s="208"/>
      <c r="M421" s="208"/>
      <c r="N421" s="208"/>
      <c r="O421" s="208"/>
      <c r="P421" s="208"/>
      <c r="Q421" s="208"/>
      <c r="R421" s="208"/>
      <c r="S421" s="208"/>
      <c r="T421" s="208"/>
      <c r="U421" s="208"/>
      <c r="V421" s="208"/>
      <c r="W421" s="208"/>
      <c r="X421" s="208"/>
      <c r="Y421" s="208"/>
      <c r="Z421" s="208"/>
      <c r="AA421" s="208"/>
      <c r="AB421" s="208"/>
      <c r="AC421" s="208"/>
      <c r="AD421" s="208"/>
      <c r="AE421" s="208"/>
      <c r="AF421" s="208"/>
      <c r="AG421" s="208"/>
      <c r="AH421" s="208"/>
      <c r="AI421" s="208"/>
      <c r="AJ421" s="208"/>
      <c r="AK421" s="208"/>
      <c r="AL421" s="208"/>
      <c r="AM421" s="208"/>
      <c r="AN421" s="208"/>
      <c r="AO421" s="208"/>
      <c r="AP421" s="208"/>
      <c r="AQ421" s="208"/>
      <c r="AR421" s="208"/>
      <c r="AS421" s="208"/>
      <c r="AT421" s="208"/>
      <c r="AU421" s="208"/>
      <c r="AV421" s="208"/>
      <c r="AW421" s="208"/>
      <c r="AX421" s="208"/>
      <c r="AY421" s="208"/>
      <c r="AZ421" s="208"/>
      <c r="BA421" s="208"/>
    </row>
    <row r="422" ht="15.75" hidden="1" customHeight="1">
      <c r="A422" s="208"/>
      <c r="B422" s="208"/>
      <c r="C422" s="208"/>
      <c r="D422" s="208"/>
      <c r="E422" s="208"/>
      <c r="F422" s="208"/>
      <c r="G422" s="208"/>
      <c r="H422" s="208"/>
      <c r="I422" s="208"/>
      <c r="J422" s="208"/>
      <c r="K422" s="208"/>
      <c r="L422" s="208"/>
      <c r="M422" s="208"/>
      <c r="N422" s="208"/>
      <c r="O422" s="208"/>
      <c r="P422" s="208"/>
      <c r="Q422" s="208"/>
      <c r="R422" s="208"/>
      <c r="S422" s="208"/>
      <c r="T422" s="208"/>
      <c r="U422" s="208"/>
      <c r="V422" s="208"/>
      <c r="W422" s="208"/>
      <c r="X422" s="208"/>
      <c r="Y422" s="208"/>
      <c r="Z422" s="208"/>
      <c r="AA422" s="208"/>
      <c r="AB422" s="208"/>
      <c r="AC422" s="208"/>
      <c r="AD422" s="208"/>
      <c r="AE422" s="208"/>
      <c r="AF422" s="208"/>
      <c r="AG422" s="208"/>
      <c r="AH422" s="208"/>
      <c r="AI422" s="208"/>
      <c r="AJ422" s="208"/>
      <c r="AK422" s="208"/>
      <c r="AL422" s="208"/>
      <c r="AM422" s="208"/>
      <c r="AN422" s="208"/>
      <c r="AO422" s="208"/>
      <c r="AP422" s="208"/>
      <c r="AQ422" s="208"/>
      <c r="AR422" s="208"/>
      <c r="AS422" s="208"/>
      <c r="AT422" s="208"/>
      <c r="AU422" s="208"/>
      <c r="AV422" s="208"/>
      <c r="AW422" s="208"/>
      <c r="AX422" s="208"/>
      <c r="AY422" s="208"/>
      <c r="AZ422" s="208"/>
      <c r="BA422" s="208"/>
    </row>
    <row r="423" ht="15.75" hidden="1" customHeight="1">
      <c r="A423" s="208"/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208"/>
      <c r="Q423" s="208"/>
      <c r="R423" s="208"/>
      <c r="S423" s="208"/>
      <c r="T423" s="208"/>
      <c r="U423" s="208"/>
      <c r="V423" s="208"/>
      <c r="W423" s="208"/>
      <c r="X423" s="208"/>
      <c r="Y423" s="208"/>
      <c r="Z423" s="208"/>
      <c r="AA423" s="208"/>
      <c r="AB423" s="208"/>
      <c r="AC423" s="208"/>
      <c r="AD423" s="208"/>
      <c r="AE423" s="208"/>
      <c r="AF423" s="208"/>
      <c r="AG423" s="208"/>
      <c r="AH423" s="208"/>
      <c r="AI423" s="208"/>
      <c r="AJ423" s="208"/>
      <c r="AK423" s="208"/>
      <c r="AL423" s="208"/>
      <c r="AM423" s="208"/>
      <c r="AN423" s="208"/>
      <c r="AO423" s="208"/>
      <c r="AP423" s="208"/>
      <c r="AQ423" s="208"/>
      <c r="AR423" s="208"/>
      <c r="AS423" s="208"/>
      <c r="AT423" s="208"/>
      <c r="AU423" s="208"/>
      <c r="AV423" s="208"/>
      <c r="AW423" s="208"/>
      <c r="AX423" s="208"/>
      <c r="AY423" s="208"/>
      <c r="AZ423" s="208"/>
      <c r="BA423" s="208"/>
    </row>
    <row r="424" ht="15.75" hidden="1" customHeight="1">
      <c r="A424" s="208"/>
      <c r="B424" s="208"/>
      <c r="C424" s="208"/>
      <c r="D424" s="208"/>
      <c r="E424" s="208"/>
      <c r="F424" s="208"/>
      <c r="G424" s="208"/>
      <c r="H424" s="208"/>
      <c r="I424" s="208"/>
      <c r="J424" s="208"/>
      <c r="K424" s="208"/>
      <c r="L424" s="208"/>
      <c r="M424" s="208"/>
      <c r="N424" s="208"/>
      <c r="O424" s="208"/>
      <c r="P424" s="208"/>
      <c r="Q424" s="208"/>
      <c r="R424" s="208"/>
      <c r="S424" s="208"/>
      <c r="T424" s="208"/>
      <c r="U424" s="208"/>
      <c r="V424" s="208"/>
      <c r="W424" s="208"/>
      <c r="X424" s="208"/>
      <c r="Y424" s="208"/>
      <c r="Z424" s="208"/>
      <c r="AA424" s="208"/>
      <c r="AB424" s="208"/>
      <c r="AC424" s="208"/>
      <c r="AD424" s="208"/>
      <c r="AE424" s="208"/>
      <c r="AF424" s="208"/>
      <c r="AG424" s="208"/>
      <c r="AH424" s="208"/>
      <c r="AI424" s="208"/>
      <c r="AJ424" s="208"/>
      <c r="AK424" s="208"/>
      <c r="AL424" s="208"/>
      <c r="AM424" s="208"/>
      <c r="AN424" s="208"/>
      <c r="AO424" s="208"/>
      <c r="AP424" s="208"/>
      <c r="AQ424" s="208"/>
      <c r="AR424" s="208"/>
      <c r="AS424" s="208"/>
      <c r="AT424" s="208"/>
      <c r="AU424" s="208"/>
      <c r="AV424" s="208"/>
      <c r="AW424" s="208"/>
      <c r="AX424" s="208"/>
      <c r="AY424" s="208"/>
      <c r="AZ424" s="208"/>
      <c r="BA424" s="208"/>
    </row>
    <row r="425" ht="15.75" hidden="1" customHeight="1">
      <c r="A425" s="208"/>
      <c r="B425" s="208"/>
      <c r="C425" s="208"/>
      <c r="D425" s="208"/>
      <c r="E425" s="208"/>
      <c r="F425" s="208"/>
      <c r="G425" s="208"/>
      <c r="H425" s="208"/>
      <c r="I425" s="208"/>
      <c r="J425" s="208"/>
      <c r="K425" s="208"/>
      <c r="L425" s="208"/>
      <c r="M425" s="208"/>
      <c r="N425" s="208"/>
      <c r="O425" s="208"/>
      <c r="P425" s="208"/>
      <c r="Q425" s="208"/>
      <c r="R425" s="208"/>
      <c r="S425" s="208"/>
      <c r="T425" s="208"/>
      <c r="U425" s="208"/>
      <c r="V425" s="208"/>
      <c r="W425" s="208"/>
      <c r="X425" s="208"/>
      <c r="Y425" s="208"/>
      <c r="Z425" s="208"/>
      <c r="AA425" s="208"/>
      <c r="AB425" s="208"/>
      <c r="AC425" s="208"/>
      <c r="AD425" s="208"/>
      <c r="AE425" s="208"/>
      <c r="AF425" s="208"/>
      <c r="AG425" s="208"/>
      <c r="AH425" s="208"/>
      <c r="AI425" s="208"/>
      <c r="AJ425" s="208"/>
      <c r="AK425" s="208"/>
      <c r="AL425" s="208"/>
      <c r="AM425" s="208"/>
      <c r="AN425" s="208"/>
      <c r="AO425" s="208"/>
      <c r="AP425" s="208"/>
      <c r="AQ425" s="208"/>
      <c r="AR425" s="208"/>
      <c r="AS425" s="208"/>
      <c r="AT425" s="208"/>
      <c r="AU425" s="208"/>
      <c r="AV425" s="208"/>
      <c r="AW425" s="208"/>
      <c r="AX425" s="208"/>
      <c r="AY425" s="208"/>
      <c r="AZ425" s="208"/>
      <c r="BA425" s="208"/>
    </row>
    <row r="426" ht="15.75" hidden="1" customHeight="1">
      <c r="A426" s="208"/>
      <c r="B426" s="208"/>
      <c r="C426" s="208"/>
      <c r="D426" s="208"/>
      <c r="E426" s="208"/>
      <c r="F426" s="208"/>
      <c r="G426" s="208"/>
      <c r="H426" s="208"/>
      <c r="I426" s="208"/>
      <c r="J426" s="208"/>
      <c r="K426" s="208"/>
      <c r="L426" s="208"/>
      <c r="M426" s="208"/>
      <c r="N426" s="208"/>
      <c r="O426" s="208"/>
      <c r="P426" s="208"/>
      <c r="Q426" s="208"/>
      <c r="R426" s="208"/>
      <c r="S426" s="208"/>
      <c r="T426" s="208"/>
      <c r="U426" s="208"/>
      <c r="V426" s="208"/>
      <c r="W426" s="208"/>
      <c r="X426" s="208"/>
      <c r="Y426" s="208"/>
      <c r="Z426" s="208"/>
      <c r="AA426" s="208"/>
      <c r="AB426" s="208"/>
      <c r="AC426" s="208"/>
      <c r="AD426" s="208"/>
      <c r="AE426" s="208"/>
      <c r="AF426" s="208"/>
      <c r="AG426" s="208"/>
      <c r="AH426" s="208"/>
      <c r="AI426" s="208"/>
      <c r="AJ426" s="208"/>
      <c r="AK426" s="208"/>
      <c r="AL426" s="208"/>
      <c r="AM426" s="208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</row>
    <row r="427" ht="15.75" hidden="1" customHeight="1">
      <c r="A427" s="208"/>
      <c r="B427" s="208"/>
      <c r="C427" s="208"/>
      <c r="D427" s="208"/>
      <c r="E427" s="208"/>
      <c r="F427" s="208"/>
      <c r="G427" s="208"/>
      <c r="H427" s="208"/>
      <c r="I427" s="208"/>
      <c r="J427" s="208"/>
      <c r="K427" s="208"/>
      <c r="L427" s="208"/>
      <c r="M427" s="208"/>
      <c r="N427" s="208"/>
      <c r="O427" s="208"/>
      <c r="P427" s="208"/>
      <c r="Q427" s="208"/>
      <c r="R427" s="208"/>
      <c r="S427" s="208"/>
      <c r="T427" s="208"/>
      <c r="U427" s="208"/>
      <c r="V427" s="208"/>
      <c r="W427" s="208"/>
      <c r="X427" s="208"/>
      <c r="Y427" s="208"/>
      <c r="Z427" s="208"/>
      <c r="AA427" s="208"/>
      <c r="AB427" s="208"/>
      <c r="AC427" s="208"/>
      <c r="AD427" s="208"/>
      <c r="AE427" s="208"/>
      <c r="AF427" s="208"/>
      <c r="AG427" s="208"/>
      <c r="AH427" s="208"/>
      <c r="AI427" s="208"/>
      <c r="AJ427" s="208"/>
      <c r="AK427" s="208"/>
      <c r="AL427" s="208"/>
      <c r="AM427" s="208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</row>
    <row r="428" ht="15.75" hidden="1" customHeight="1">
      <c r="A428" s="208"/>
      <c r="B428" s="208"/>
      <c r="C428" s="208"/>
      <c r="D428" s="208"/>
      <c r="E428" s="208"/>
      <c r="F428" s="208"/>
      <c r="G428" s="208"/>
      <c r="H428" s="208"/>
      <c r="I428" s="208"/>
      <c r="J428" s="208"/>
      <c r="K428" s="208"/>
      <c r="L428" s="208"/>
      <c r="M428" s="208"/>
      <c r="N428" s="208"/>
      <c r="O428" s="208"/>
      <c r="P428" s="208"/>
      <c r="Q428" s="208"/>
      <c r="R428" s="208"/>
      <c r="S428" s="208"/>
      <c r="T428" s="208"/>
      <c r="U428" s="208"/>
      <c r="V428" s="208"/>
      <c r="W428" s="208"/>
      <c r="X428" s="208"/>
      <c r="Y428" s="208"/>
      <c r="Z428" s="208"/>
      <c r="AA428" s="208"/>
      <c r="AB428" s="208"/>
      <c r="AC428" s="208"/>
      <c r="AD428" s="208"/>
      <c r="AE428" s="208"/>
      <c r="AF428" s="208"/>
      <c r="AG428" s="208"/>
      <c r="AH428" s="208"/>
      <c r="AI428" s="208"/>
      <c r="AJ428" s="208"/>
      <c r="AK428" s="208"/>
      <c r="AL428" s="208"/>
      <c r="AM428" s="208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</row>
    <row r="429" ht="15.75" hidden="1" customHeight="1">
      <c r="A429" s="208"/>
      <c r="B429" s="208"/>
      <c r="C429" s="208"/>
      <c r="D429" s="208"/>
      <c r="E429" s="208"/>
      <c r="F429" s="208"/>
      <c r="G429" s="208"/>
      <c r="H429" s="208"/>
      <c r="I429" s="208"/>
      <c r="J429" s="208"/>
      <c r="K429" s="208"/>
      <c r="L429" s="208"/>
      <c r="M429" s="208"/>
      <c r="N429" s="208"/>
      <c r="O429" s="208"/>
      <c r="P429" s="208"/>
      <c r="Q429" s="208"/>
      <c r="R429" s="208"/>
      <c r="S429" s="208"/>
      <c r="T429" s="208"/>
      <c r="U429" s="208"/>
      <c r="V429" s="208"/>
      <c r="W429" s="208"/>
      <c r="X429" s="208"/>
      <c r="Y429" s="208"/>
      <c r="Z429" s="208"/>
      <c r="AA429" s="208"/>
      <c r="AB429" s="208"/>
      <c r="AC429" s="208"/>
      <c r="AD429" s="208"/>
      <c r="AE429" s="208"/>
      <c r="AF429" s="208"/>
      <c r="AG429" s="208"/>
      <c r="AH429" s="208"/>
      <c r="AI429" s="208"/>
      <c r="AJ429" s="208"/>
      <c r="AK429" s="208"/>
      <c r="AL429" s="208"/>
      <c r="AM429" s="208"/>
      <c r="AN429" s="208"/>
      <c r="AO429" s="208"/>
      <c r="AP429" s="208"/>
      <c r="AQ429" s="208"/>
      <c r="AR429" s="208"/>
      <c r="AS429" s="208"/>
      <c r="AT429" s="208"/>
      <c r="AU429" s="208"/>
      <c r="AV429" s="208"/>
      <c r="AW429" s="208"/>
      <c r="AX429" s="208"/>
      <c r="AY429" s="208"/>
      <c r="AZ429" s="208"/>
      <c r="BA429" s="208"/>
    </row>
    <row r="430" ht="15.75" hidden="1" customHeight="1">
      <c r="A430" s="208"/>
      <c r="B430" s="208"/>
      <c r="C430" s="208"/>
      <c r="D430" s="208"/>
      <c r="E430" s="208"/>
      <c r="F430" s="208"/>
      <c r="G430" s="208"/>
      <c r="H430" s="208"/>
      <c r="I430" s="208"/>
      <c r="J430" s="208"/>
      <c r="K430" s="208"/>
      <c r="L430" s="208"/>
      <c r="M430" s="208"/>
      <c r="N430" s="208"/>
      <c r="O430" s="208"/>
      <c r="P430" s="208"/>
      <c r="Q430" s="208"/>
      <c r="R430" s="208"/>
      <c r="S430" s="208"/>
      <c r="T430" s="208"/>
      <c r="U430" s="208"/>
      <c r="V430" s="208"/>
      <c r="W430" s="208"/>
      <c r="X430" s="208"/>
      <c r="Y430" s="208"/>
      <c r="Z430" s="208"/>
      <c r="AA430" s="208"/>
      <c r="AB430" s="208"/>
      <c r="AC430" s="208"/>
      <c r="AD430" s="208"/>
      <c r="AE430" s="208"/>
      <c r="AF430" s="208"/>
      <c r="AG430" s="208"/>
      <c r="AH430" s="208"/>
      <c r="AI430" s="208"/>
      <c r="AJ430" s="208"/>
      <c r="AK430" s="208"/>
      <c r="AL430" s="208"/>
      <c r="AM430" s="208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</row>
    <row r="431" ht="15.75" hidden="1" customHeight="1">
      <c r="A431" s="208"/>
      <c r="B431" s="208"/>
      <c r="C431" s="208"/>
      <c r="D431" s="208"/>
      <c r="E431" s="208"/>
      <c r="F431" s="208"/>
      <c r="G431" s="208"/>
      <c r="H431" s="208"/>
      <c r="I431" s="208"/>
      <c r="J431" s="208"/>
      <c r="K431" s="208"/>
      <c r="L431" s="208"/>
      <c r="M431" s="208"/>
      <c r="N431" s="208"/>
      <c r="O431" s="208"/>
      <c r="P431" s="208"/>
      <c r="Q431" s="208"/>
      <c r="R431" s="208"/>
      <c r="S431" s="208"/>
      <c r="T431" s="208"/>
      <c r="U431" s="208"/>
      <c r="V431" s="208"/>
      <c r="W431" s="208"/>
      <c r="X431" s="208"/>
      <c r="Y431" s="208"/>
      <c r="Z431" s="208"/>
      <c r="AA431" s="208"/>
      <c r="AB431" s="208"/>
      <c r="AC431" s="208"/>
      <c r="AD431" s="208"/>
      <c r="AE431" s="208"/>
      <c r="AF431" s="208"/>
      <c r="AG431" s="208"/>
      <c r="AH431" s="208"/>
      <c r="AI431" s="208"/>
      <c r="AJ431" s="208"/>
      <c r="AK431" s="208"/>
      <c r="AL431" s="208"/>
      <c r="AM431" s="208"/>
      <c r="AN431" s="208"/>
      <c r="AO431" s="208"/>
      <c r="AP431" s="208"/>
      <c r="AQ431" s="208"/>
      <c r="AR431" s="208"/>
      <c r="AS431" s="208"/>
      <c r="AT431" s="208"/>
      <c r="AU431" s="208"/>
      <c r="AV431" s="208"/>
      <c r="AW431" s="208"/>
      <c r="AX431" s="208"/>
      <c r="AY431" s="208"/>
      <c r="AZ431" s="208"/>
      <c r="BA431" s="208"/>
    </row>
    <row r="432" ht="15.75" hidden="1" customHeight="1">
      <c r="A432" s="208"/>
      <c r="B432" s="208"/>
      <c r="C432" s="208"/>
      <c r="D432" s="208"/>
      <c r="E432" s="208"/>
      <c r="F432" s="208"/>
      <c r="G432" s="208"/>
      <c r="H432" s="208"/>
      <c r="I432" s="208"/>
      <c r="J432" s="208"/>
      <c r="K432" s="208"/>
      <c r="L432" s="208"/>
      <c r="M432" s="208"/>
      <c r="N432" s="208"/>
      <c r="O432" s="208"/>
      <c r="P432" s="208"/>
      <c r="Q432" s="208"/>
      <c r="R432" s="208"/>
      <c r="S432" s="208"/>
      <c r="T432" s="208"/>
      <c r="U432" s="208"/>
      <c r="V432" s="208"/>
      <c r="W432" s="208"/>
      <c r="X432" s="208"/>
      <c r="Y432" s="208"/>
      <c r="Z432" s="208"/>
      <c r="AA432" s="208"/>
      <c r="AB432" s="208"/>
      <c r="AC432" s="208"/>
      <c r="AD432" s="208"/>
      <c r="AE432" s="208"/>
      <c r="AF432" s="208"/>
      <c r="AG432" s="208"/>
      <c r="AH432" s="208"/>
      <c r="AI432" s="208"/>
      <c r="AJ432" s="208"/>
      <c r="AK432" s="208"/>
      <c r="AL432" s="208"/>
      <c r="AM432" s="208"/>
      <c r="AN432" s="208"/>
      <c r="AO432" s="208"/>
      <c r="AP432" s="208"/>
      <c r="AQ432" s="208"/>
      <c r="AR432" s="208"/>
      <c r="AS432" s="208"/>
      <c r="AT432" s="208"/>
      <c r="AU432" s="208"/>
      <c r="AV432" s="208"/>
      <c r="AW432" s="208"/>
      <c r="AX432" s="208"/>
      <c r="AY432" s="208"/>
      <c r="AZ432" s="208"/>
      <c r="BA432" s="208"/>
    </row>
    <row r="433" ht="15.75" hidden="1" customHeight="1">
      <c r="A433" s="208"/>
      <c r="B433" s="208"/>
      <c r="C433" s="208"/>
      <c r="D433" s="208"/>
      <c r="E433" s="208"/>
      <c r="F433" s="208"/>
      <c r="G433" s="208"/>
      <c r="H433" s="208"/>
      <c r="I433" s="208"/>
      <c r="J433" s="208"/>
      <c r="K433" s="208"/>
      <c r="L433" s="208"/>
      <c r="M433" s="208"/>
      <c r="N433" s="208"/>
      <c r="O433" s="208"/>
      <c r="P433" s="208"/>
      <c r="Q433" s="208"/>
      <c r="R433" s="208"/>
      <c r="S433" s="208"/>
      <c r="T433" s="208"/>
      <c r="U433" s="208"/>
      <c r="V433" s="208"/>
      <c r="W433" s="208"/>
      <c r="X433" s="208"/>
      <c r="Y433" s="208"/>
      <c r="Z433" s="208"/>
      <c r="AA433" s="208"/>
      <c r="AB433" s="208"/>
      <c r="AC433" s="208"/>
      <c r="AD433" s="208"/>
      <c r="AE433" s="208"/>
      <c r="AF433" s="208"/>
      <c r="AG433" s="208"/>
      <c r="AH433" s="208"/>
      <c r="AI433" s="208"/>
      <c r="AJ433" s="208"/>
      <c r="AK433" s="208"/>
      <c r="AL433" s="208"/>
      <c r="AM433" s="208"/>
      <c r="AN433" s="208"/>
      <c r="AO433" s="208"/>
      <c r="AP433" s="208"/>
      <c r="AQ433" s="208"/>
      <c r="AR433" s="208"/>
      <c r="AS433" s="208"/>
      <c r="AT433" s="208"/>
      <c r="AU433" s="208"/>
      <c r="AV433" s="208"/>
      <c r="AW433" s="208"/>
      <c r="AX433" s="208"/>
      <c r="AY433" s="208"/>
      <c r="AZ433" s="208"/>
      <c r="BA433" s="208"/>
    </row>
    <row r="434" ht="15.75" hidden="1" customHeight="1">
      <c r="A434" s="208"/>
      <c r="B434" s="208"/>
      <c r="C434" s="208"/>
      <c r="D434" s="208"/>
      <c r="E434" s="208"/>
      <c r="F434" s="208"/>
      <c r="G434" s="208"/>
      <c r="H434" s="208"/>
      <c r="I434" s="208"/>
      <c r="J434" s="208"/>
      <c r="K434" s="208"/>
      <c r="L434" s="208"/>
      <c r="M434" s="208"/>
      <c r="N434" s="208"/>
      <c r="O434" s="208"/>
      <c r="P434" s="208"/>
      <c r="Q434" s="208"/>
      <c r="R434" s="208"/>
      <c r="S434" s="208"/>
      <c r="T434" s="208"/>
      <c r="U434" s="208"/>
      <c r="V434" s="208"/>
      <c r="W434" s="208"/>
      <c r="X434" s="208"/>
      <c r="Y434" s="208"/>
      <c r="Z434" s="208"/>
      <c r="AA434" s="208"/>
      <c r="AB434" s="208"/>
      <c r="AC434" s="208"/>
      <c r="AD434" s="208"/>
      <c r="AE434" s="208"/>
      <c r="AF434" s="208"/>
      <c r="AG434" s="208"/>
      <c r="AH434" s="208"/>
      <c r="AI434" s="208"/>
      <c r="AJ434" s="208"/>
      <c r="AK434" s="208"/>
      <c r="AL434" s="208"/>
      <c r="AM434" s="208"/>
      <c r="AN434" s="208"/>
      <c r="AO434" s="208"/>
      <c r="AP434" s="208"/>
      <c r="AQ434" s="208"/>
      <c r="AR434" s="208"/>
      <c r="AS434" s="208"/>
      <c r="AT434" s="208"/>
      <c r="AU434" s="208"/>
      <c r="AV434" s="208"/>
      <c r="AW434" s="208"/>
      <c r="AX434" s="208"/>
      <c r="AY434" s="208"/>
      <c r="AZ434" s="208"/>
      <c r="BA434" s="208"/>
    </row>
    <row r="435" ht="15.75" hidden="1" customHeight="1">
      <c r="A435" s="208"/>
      <c r="B435" s="208"/>
      <c r="C435" s="208"/>
      <c r="D435" s="208"/>
      <c r="E435" s="208"/>
      <c r="F435" s="208"/>
      <c r="G435" s="208"/>
      <c r="H435" s="208"/>
      <c r="I435" s="208"/>
      <c r="J435" s="208"/>
      <c r="K435" s="208"/>
      <c r="L435" s="208"/>
      <c r="M435" s="208"/>
      <c r="N435" s="208"/>
      <c r="O435" s="208"/>
      <c r="P435" s="208"/>
      <c r="Q435" s="208"/>
      <c r="R435" s="208"/>
      <c r="S435" s="208"/>
      <c r="T435" s="208"/>
      <c r="U435" s="208"/>
      <c r="V435" s="208"/>
      <c r="W435" s="208"/>
      <c r="X435" s="208"/>
      <c r="Y435" s="208"/>
      <c r="Z435" s="208"/>
      <c r="AA435" s="208"/>
      <c r="AB435" s="208"/>
      <c r="AC435" s="208"/>
      <c r="AD435" s="208"/>
      <c r="AE435" s="208"/>
      <c r="AF435" s="208"/>
      <c r="AG435" s="208"/>
      <c r="AH435" s="208"/>
      <c r="AI435" s="208"/>
      <c r="AJ435" s="208"/>
      <c r="AK435" s="208"/>
      <c r="AL435" s="208"/>
      <c r="AM435" s="208"/>
      <c r="AN435" s="208"/>
      <c r="AO435" s="208"/>
      <c r="AP435" s="208"/>
      <c r="AQ435" s="208"/>
      <c r="AR435" s="208"/>
      <c r="AS435" s="208"/>
      <c r="AT435" s="208"/>
      <c r="AU435" s="208"/>
      <c r="AV435" s="208"/>
      <c r="AW435" s="208"/>
      <c r="AX435" s="208"/>
      <c r="AY435" s="208"/>
      <c r="AZ435" s="208"/>
      <c r="BA435" s="208"/>
    </row>
    <row r="436" ht="15.75" hidden="1" customHeight="1">
      <c r="A436" s="208"/>
      <c r="B436" s="208"/>
      <c r="C436" s="208"/>
      <c r="D436" s="208"/>
      <c r="E436" s="208"/>
      <c r="F436" s="208"/>
      <c r="G436" s="208"/>
      <c r="H436" s="208"/>
      <c r="I436" s="208"/>
      <c r="J436" s="208"/>
      <c r="K436" s="208"/>
      <c r="L436" s="208"/>
      <c r="M436" s="208"/>
      <c r="N436" s="208"/>
      <c r="O436" s="208"/>
      <c r="P436" s="208"/>
      <c r="Q436" s="208"/>
      <c r="R436" s="208"/>
      <c r="S436" s="208"/>
      <c r="T436" s="208"/>
      <c r="U436" s="208"/>
      <c r="V436" s="208"/>
      <c r="W436" s="208"/>
      <c r="X436" s="208"/>
      <c r="Y436" s="208"/>
      <c r="Z436" s="208"/>
      <c r="AA436" s="208"/>
      <c r="AB436" s="208"/>
      <c r="AC436" s="208"/>
      <c r="AD436" s="208"/>
      <c r="AE436" s="208"/>
      <c r="AF436" s="208"/>
      <c r="AG436" s="208"/>
      <c r="AH436" s="208"/>
      <c r="AI436" s="208"/>
      <c r="AJ436" s="208"/>
      <c r="AK436" s="208"/>
      <c r="AL436" s="208"/>
      <c r="AM436" s="208"/>
      <c r="AN436" s="208"/>
      <c r="AO436" s="208"/>
      <c r="AP436" s="208"/>
      <c r="AQ436" s="208"/>
      <c r="AR436" s="208"/>
      <c r="AS436" s="208"/>
      <c r="AT436" s="208"/>
      <c r="AU436" s="208"/>
      <c r="AV436" s="208"/>
      <c r="AW436" s="208"/>
      <c r="AX436" s="208"/>
      <c r="AY436" s="208"/>
      <c r="AZ436" s="208"/>
      <c r="BA436" s="208"/>
    </row>
    <row r="437" ht="15.75" hidden="1" customHeight="1">
      <c r="A437" s="208"/>
      <c r="B437" s="208"/>
      <c r="C437" s="208"/>
      <c r="D437" s="208"/>
      <c r="E437" s="208"/>
      <c r="F437" s="208"/>
      <c r="G437" s="208"/>
      <c r="H437" s="208"/>
      <c r="I437" s="208"/>
      <c r="J437" s="208"/>
      <c r="K437" s="208"/>
      <c r="L437" s="208"/>
      <c r="M437" s="208"/>
      <c r="N437" s="208"/>
      <c r="O437" s="208"/>
      <c r="P437" s="208"/>
      <c r="Q437" s="208"/>
      <c r="R437" s="208"/>
      <c r="S437" s="208"/>
      <c r="T437" s="208"/>
      <c r="U437" s="208"/>
      <c r="V437" s="208"/>
      <c r="W437" s="208"/>
      <c r="X437" s="208"/>
      <c r="Y437" s="208"/>
      <c r="Z437" s="208"/>
      <c r="AA437" s="208"/>
      <c r="AB437" s="208"/>
      <c r="AC437" s="208"/>
      <c r="AD437" s="208"/>
      <c r="AE437" s="208"/>
      <c r="AF437" s="208"/>
      <c r="AG437" s="208"/>
      <c r="AH437" s="208"/>
      <c r="AI437" s="208"/>
      <c r="AJ437" s="208"/>
      <c r="AK437" s="208"/>
      <c r="AL437" s="208"/>
      <c r="AM437" s="208"/>
      <c r="AN437" s="208"/>
      <c r="AO437" s="208"/>
      <c r="AP437" s="208"/>
      <c r="AQ437" s="208"/>
      <c r="AR437" s="208"/>
      <c r="AS437" s="208"/>
      <c r="AT437" s="208"/>
      <c r="AU437" s="208"/>
      <c r="AV437" s="208"/>
      <c r="AW437" s="208"/>
      <c r="AX437" s="208"/>
      <c r="AY437" s="208"/>
      <c r="AZ437" s="208"/>
      <c r="BA437" s="208"/>
    </row>
    <row r="438" ht="15.75" hidden="1" customHeight="1">
      <c r="A438" s="208"/>
      <c r="B438" s="208"/>
      <c r="C438" s="208"/>
      <c r="D438" s="208"/>
      <c r="E438" s="208"/>
      <c r="F438" s="208"/>
      <c r="G438" s="208"/>
      <c r="H438" s="208"/>
      <c r="I438" s="208"/>
      <c r="J438" s="208"/>
      <c r="K438" s="208"/>
      <c r="L438" s="208"/>
      <c r="M438" s="208"/>
      <c r="N438" s="208"/>
      <c r="O438" s="208"/>
      <c r="P438" s="208"/>
      <c r="Q438" s="208"/>
      <c r="R438" s="208"/>
      <c r="S438" s="208"/>
      <c r="T438" s="208"/>
      <c r="U438" s="208"/>
      <c r="V438" s="208"/>
      <c r="W438" s="208"/>
      <c r="X438" s="208"/>
      <c r="Y438" s="208"/>
      <c r="Z438" s="208"/>
      <c r="AA438" s="208"/>
      <c r="AB438" s="208"/>
      <c r="AC438" s="208"/>
      <c r="AD438" s="208"/>
      <c r="AE438" s="208"/>
      <c r="AF438" s="208"/>
      <c r="AG438" s="208"/>
      <c r="AH438" s="208"/>
      <c r="AI438" s="208"/>
      <c r="AJ438" s="208"/>
      <c r="AK438" s="208"/>
      <c r="AL438" s="208"/>
      <c r="AM438" s="208"/>
      <c r="AN438" s="208"/>
      <c r="AO438" s="208"/>
      <c r="AP438" s="208"/>
      <c r="AQ438" s="208"/>
      <c r="AR438" s="208"/>
      <c r="AS438" s="208"/>
      <c r="AT438" s="208"/>
      <c r="AU438" s="208"/>
      <c r="AV438" s="208"/>
      <c r="AW438" s="208"/>
      <c r="AX438" s="208"/>
      <c r="AY438" s="208"/>
      <c r="AZ438" s="208"/>
      <c r="BA438" s="208"/>
    </row>
    <row r="439" ht="15.75" hidden="1" customHeight="1">
      <c r="A439" s="208"/>
      <c r="B439" s="208"/>
      <c r="C439" s="208"/>
      <c r="D439" s="208"/>
      <c r="E439" s="208"/>
      <c r="F439" s="208"/>
      <c r="G439" s="208"/>
      <c r="H439" s="208"/>
      <c r="I439" s="208"/>
      <c r="J439" s="208"/>
      <c r="K439" s="208"/>
      <c r="L439" s="208"/>
      <c r="M439" s="208"/>
      <c r="N439" s="208"/>
      <c r="O439" s="208"/>
      <c r="P439" s="208"/>
      <c r="Q439" s="208"/>
      <c r="R439" s="208"/>
      <c r="S439" s="208"/>
      <c r="T439" s="208"/>
      <c r="U439" s="208"/>
      <c r="V439" s="208"/>
      <c r="W439" s="208"/>
      <c r="X439" s="208"/>
      <c r="Y439" s="208"/>
      <c r="Z439" s="208"/>
      <c r="AA439" s="208"/>
      <c r="AB439" s="208"/>
      <c r="AC439" s="208"/>
      <c r="AD439" s="208"/>
      <c r="AE439" s="208"/>
      <c r="AF439" s="208"/>
      <c r="AG439" s="208"/>
      <c r="AH439" s="208"/>
      <c r="AI439" s="208"/>
      <c r="AJ439" s="208"/>
      <c r="AK439" s="208"/>
      <c r="AL439" s="208"/>
      <c r="AM439" s="208"/>
      <c r="AN439" s="208"/>
      <c r="AO439" s="208"/>
      <c r="AP439" s="208"/>
      <c r="AQ439" s="208"/>
      <c r="AR439" s="208"/>
      <c r="AS439" s="208"/>
      <c r="AT439" s="208"/>
      <c r="AU439" s="208"/>
      <c r="AV439" s="208"/>
      <c r="AW439" s="208"/>
      <c r="AX439" s="208"/>
      <c r="AY439" s="208"/>
      <c r="AZ439" s="208"/>
      <c r="BA439" s="208"/>
    </row>
    <row r="440" ht="15.75" hidden="1" customHeight="1">
      <c r="A440" s="208"/>
      <c r="B440" s="208"/>
      <c r="C440" s="208"/>
      <c r="D440" s="208"/>
      <c r="E440" s="208"/>
      <c r="F440" s="208"/>
      <c r="G440" s="208"/>
      <c r="H440" s="208"/>
      <c r="I440" s="208"/>
      <c r="J440" s="208"/>
      <c r="K440" s="208"/>
      <c r="L440" s="208"/>
      <c r="M440" s="208"/>
      <c r="N440" s="208"/>
      <c r="O440" s="208"/>
      <c r="P440" s="208"/>
      <c r="Q440" s="208"/>
      <c r="R440" s="208"/>
      <c r="S440" s="208"/>
      <c r="T440" s="208"/>
      <c r="U440" s="208"/>
      <c r="V440" s="208"/>
      <c r="W440" s="208"/>
      <c r="X440" s="208"/>
      <c r="Y440" s="208"/>
      <c r="Z440" s="208"/>
      <c r="AA440" s="208"/>
      <c r="AB440" s="208"/>
      <c r="AC440" s="208"/>
      <c r="AD440" s="208"/>
      <c r="AE440" s="208"/>
      <c r="AF440" s="208"/>
      <c r="AG440" s="208"/>
      <c r="AH440" s="208"/>
      <c r="AI440" s="208"/>
      <c r="AJ440" s="208"/>
      <c r="AK440" s="208"/>
      <c r="AL440" s="208"/>
      <c r="AM440" s="208"/>
      <c r="AN440" s="208"/>
      <c r="AO440" s="208"/>
      <c r="AP440" s="208"/>
      <c r="AQ440" s="208"/>
      <c r="AR440" s="208"/>
      <c r="AS440" s="208"/>
      <c r="AT440" s="208"/>
      <c r="AU440" s="208"/>
      <c r="AV440" s="208"/>
      <c r="AW440" s="208"/>
      <c r="AX440" s="208"/>
      <c r="AY440" s="208"/>
      <c r="AZ440" s="208"/>
      <c r="BA440" s="208"/>
    </row>
    <row r="441" ht="15.75" hidden="1" customHeight="1">
      <c r="A441" s="208"/>
      <c r="B441" s="208"/>
      <c r="C441" s="208"/>
      <c r="D441" s="208"/>
      <c r="E441" s="208"/>
      <c r="F441" s="208"/>
      <c r="G441" s="208"/>
      <c r="H441" s="208"/>
      <c r="I441" s="208"/>
      <c r="J441" s="208"/>
      <c r="K441" s="208"/>
      <c r="L441" s="208"/>
      <c r="M441" s="208"/>
      <c r="N441" s="208"/>
      <c r="O441" s="208"/>
      <c r="P441" s="208"/>
      <c r="Q441" s="208"/>
      <c r="R441" s="208"/>
      <c r="S441" s="208"/>
      <c r="T441" s="208"/>
      <c r="U441" s="208"/>
      <c r="V441" s="208"/>
      <c r="W441" s="208"/>
      <c r="X441" s="208"/>
      <c r="Y441" s="208"/>
      <c r="Z441" s="208"/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  <c r="AL441" s="208"/>
      <c r="AM441" s="208"/>
      <c r="AN441" s="208"/>
      <c r="AO441" s="208"/>
      <c r="AP441" s="208"/>
      <c r="AQ441" s="208"/>
      <c r="AR441" s="208"/>
      <c r="AS441" s="208"/>
      <c r="AT441" s="208"/>
      <c r="AU441" s="208"/>
      <c r="AV441" s="208"/>
      <c r="AW441" s="208"/>
      <c r="AX441" s="208"/>
      <c r="AY441" s="208"/>
      <c r="AZ441" s="208"/>
      <c r="BA441" s="208"/>
    </row>
    <row r="442" ht="15.75" hidden="1" customHeight="1">
      <c r="A442" s="208"/>
      <c r="B442" s="208"/>
      <c r="C442" s="208"/>
      <c r="D442" s="208"/>
      <c r="E442" s="208"/>
      <c r="F442" s="208"/>
      <c r="G442" s="208"/>
      <c r="H442" s="208"/>
      <c r="I442" s="208"/>
      <c r="J442" s="208"/>
      <c r="K442" s="208"/>
      <c r="L442" s="208"/>
      <c r="M442" s="208"/>
      <c r="N442" s="208"/>
      <c r="O442" s="208"/>
      <c r="P442" s="208"/>
      <c r="Q442" s="208"/>
      <c r="R442" s="208"/>
      <c r="S442" s="208"/>
      <c r="T442" s="208"/>
      <c r="U442" s="208"/>
      <c r="V442" s="208"/>
      <c r="W442" s="208"/>
      <c r="X442" s="208"/>
      <c r="Y442" s="208"/>
      <c r="Z442" s="208"/>
      <c r="AA442" s="208"/>
      <c r="AB442" s="208"/>
      <c r="AC442" s="208"/>
      <c r="AD442" s="208"/>
      <c r="AE442" s="208"/>
      <c r="AF442" s="208"/>
      <c r="AG442" s="208"/>
      <c r="AH442" s="208"/>
      <c r="AI442" s="208"/>
      <c r="AJ442" s="208"/>
      <c r="AK442" s="208"/>
      <c r="AL442" s="208"/>
      <c r="AM442" s="208"/>
      <c r="AN442" s="208"/>
      <c r="AO442" s="208"/>
      <c r="AP442" s="208"/>
      <c r="AQ442" s="208"/>
      <c r="AR442" s="208"/>
      <c r="AS442" s="208"/>
      <c r="AT442" s="208"/>
      <c r="AU442" s="208"/>
      <c r="AV442" s="208"/>
      <c r="AW442" s="208"/>
      <c r="AX442" s="208"/>
      <c r="AY442" s="208"/>
      <c r="AZ442" s="208"/>
      <c r="BA442" s="208"/>
    </row>
    <row r="443" ht="15.75" hidden="1" customHeight="1">
      <c r="A443" s="208"/>
      <c r="B443" s="208"/>
      <c r="C443" s="208"/>
      <c r="D443" s="208"/>
      <c r="E443" s="208"/>
      <c r="F443" s="208"/>
      <c r="G443" s="208"/>
      <c r="H443" s="208"/>
      <c r="I443" s="208"/>
      <c r="J443" s="208"/>
      <c r="K443" s="208"/>
      <c r="L443" s="208"/>
      <c r="M443" s="208"/>
      <c r="N443" s="208"/>
      <c r="O443" s="208"/>
      <c r="P443" s="208"/>
      <c r="Q443" s="208"/>
      <c r="R443" s="208"/>
      <c r="S443" s="208"/>
      <c r="T443" s="208"/>
      <c r="U443" s="208"/>
      <c r="V443" s="208"/>
      <c r="W443" s="208"/>
      <c r="X443" s="208"/>
      <c r="Y443" s="208"/>
      <c r="Z443" s="208"/>
      <c r="AA443" s="208"/>
      <c r="AB443" s="208"/>
      <c r="AC443" s="208"/>
      <c r="AD443" s="208"/>
      <c r="AE443" s="208"/>
      <c r="AF443" s="208"/>
      <c r="AG443" s="208"/>
      <c r="AH443" s="208"/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08"/>
      <c r="AW443" s="208"/>
      <c r="AX443" s="208"/>
      <c r="AY443" s="208"/>
      <c r="AZ443" s="208"/>
      <c r="BA443" s="208"/>
    </row>
    <row r="444" ht="15.75" hidden="1" customHeight="1">
      <c r="A444" s="208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208"/>
      <c r="O444" s="208"/>
      <c r="P444" s="208"/>
      <c r="Q444" s="208"/>
      <c r="R444" s="208"/>
      <c r="S444" s="208"/>
      <c r="T444" s="208"/>
      <c r="U444" s="208"/>
      <c r="V444" s="208"/>
      <c r="W444" s="208"/>
      <c r="X444" s="208"/>
      <c r="Y444" s="208"/>
      <c r="Z444" s="208"/>
      <c r="AA444" s="208"/>
      <c r="AB444" s="208"/>
      <c r="AC444" s="208"/>
      <c r="AD444" s="208"/>
      <c r="AE444" s="208"/>
      <c r="AF444" s="208"/>
      <c r="AG444" s="208"/>
      <c r="AH444" s="208"/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  <c r="AT444" s="208"/>
      <c r="AU444" s="208"/>
      <c r="AV444" s="208"/>
      <c r="AW444" s="208"/>
      <c r="AX444" s="208"/>
      <c r="AY444" s="208"/>
      <c r="AZ444" s="208"/>
      <c r="BA444" s="208"/>
    </row>
    <row r="445" ht="15.75" hidden="1" customHeight="1">
      <c r="A445" s="208"/>
      <c r="B445" s="208"/>
      <c r="C445" s="208"/>
      <c r="D445" s="208"/>
      <c r="E445" s="208"/>
      <c r="F445" s="208"/>
      <c r="G445" s="208"/>
      <c r="H445" s="208"/>
      <c r="I445" s="208"/>
      <c r="J445" s="208"/>
      <c r="K445" s="208"/>
      <c r="L445" s="208"/>
      <c r="M445" s="208"/>
      <c r="N445" s="208"/>
      <c r="O445" s="208"/>
      <c r="P445" s="208"/>
      <c r="Q445" s="208"/>
      <c r="R445" s="208"/>
      <c r="S445" s="208"/>
      <c r="T445" s="208"/>
      <c r="U445" s="208"/>
      <c r="V445" s="208"/>
      <c r="W445" s="208"/>
      <c r="X445" s="208"/>
      <c r="Y445" s="208"/>
      <c r="Z445" s="208"/>
      <c r="AA445" s="208"/>
      <c r="AB445" s="208"/>
      <c r="AC445" s="208"/>
      <c r="AD445" s="208"/>
      <c r="AE445" s="208"/>
      <c r="AF445" s="208"/>
      <c r="AG445" s="208"/>
      <c r="AH445" s="208"/>
      <c r="AI445" s="208"/>
      <c r="AJ445" s="208"/>
      <c r="AK445" s="208"/>
      <c r="AL445" s="208"/>
      <c r="AM445" s="208"/>
      <c r="AN445" s="208"/>
      <c r="AO445" s="208"/>
      <c r="AP445" s="208"/>
      <c r="AQ445" s="208"/>
      <c r="AR445" s="208"/>
      <c r="AS445" s="208"/>
      <c r="AT445" s="208"/>
      <c r="AU445" s="208"/>
      <c r="AV445" s="208"/>
      <c r="AW445" s="208"/>
      <c r="AX445" s="208"/>
      <c r="AY445" s="208"/>
      <c r="AZ445" s="208"/>
      <c r="BA445" s="208"/>
    </row>
    <row r="446" ht="15.75" hidden="1" customHeight="1">
      <c r="A446" s="208"/>
      <c r="B446" s="208"/>
      <c r="C446" s="208"/>
      <c r="D446" s="208"/>
      <c r="E446" s="208"/>
      <c r="F446" s="208"/>
      <c r="G446" s="208"/>
      <c r="H446" s="208"/>
      <c r="I446" s="208"/>
      <c r="J446" s="208"/>
      <c r="K446" s="208"/>
      <c r="L446" s="208"/>
      <c r="M446" s="208"/>
      <c r="N446" s="208"/>
      <c r="O446" s="208"/>
      <c r="P446" s="208"/>
      <c r="Q446" s="208"/>
      <c r="R446" s="208"/>
      <c r="S446" s="208"/>
      <c r="T446" s="208"/>
      <c r="U446" s="208"/>
      <c r="V446" s="208"/>
      <c r="W446" s="208"/>
      <c r="X446" s="208"/>
      <c r="Y446" s="208"/>
      <c r="Z446" s="208"/>
      <c r="AA446" s="208"/>
      <c r="AB446" s="208"/>
      <c r="AC446" s="208"/>
      <c r="AD446" s="208"/>
      <c r="AE446" s="208"/>
      <c r="AF446" s="208"/>
      <c r="AG446" s="208"/>
      <c r="AH446" s="208"/>
      <c r="AI446" s="208"/>
      <c r="AJ446" s="208"/>
      <c r="AK446" s="208"/>
      <c r="AL446" s="208"/>
      <c r="AM446" s="208"/>
      <c r="AN446" s="208"/>
      <c r="AO446" s="208"/>
      <c r="AP446" s="208"/>
      <c r="AQ446" s="208"/>
      <c r="AR446" s="208"/>
      <c r="AS446" s="208"/>
      <c r="AT446" s="208"/>
      <c r="AU446" s="208"/>
      <c r="AV446" s="208"/>
      <c r="AW446" s="208"/>
      <c r="AX446" s="208"/>
      <c r="AY446" s="208"/>
      <c r="AZ446" s="208"/>
      <c r="BA446" s="208"/>
    </row>
    <row r="447" ht="15.75" hidden="1" customHeight="1">
      <c r="A447" s="208"/>
      <c r="B447" s="208"/>
      <c r="C447" s="208"/>
      <c r="D447" s="208"/>
      <c r="E447" s="208"/>
      <c r="F447" s="208"/>
      <c r="G447" s="208"/>
      <c r="H447" s="208"/>
      <c r="I447" s="208"/>
      <c r="J447" s="208"/>
      <c r="K447" s="208"/>
      <c r="L447" s="208"/>
      <c r="M447" s="208"/>
      <c r="N447" s="208"/>
      <c r="O447" s="208"/>
      <c r="P447" s="208"/>
      <c r="Q447" s="208"/>
      <c r="R447" s="208"/>
      <c r="S447" s="208"/>
      <c r="T447" s="208"/>
      <c r="U447" s="208"/>
      <c r="V447" s="208"/>
      <c r="W447" s="208"/>
      <c r="X447" s="208"/>
      <c r="Y447" s="208"/>
      <c r="Z447" s="208"/>
      <c r="AA447" s="208"/>
      <c r="AB447" s="208"/>
      <c r="AC447" s="208"/>
      <c r="AD447" s="208"/>
      <c r="AE447" s="208"/>
      <c r="AF447" s="208"/>
      <c r="AG447" s="208"/>
      <c r="AH447" s="208"/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  <c r="AT447" s="208"/>
      <c r="AU447" s="208"/>
      <c r="AV447" s="208"/>
      <c r="AW447" s="208"/>
      <c r="AX447" s="208"/>
      <c r="AY447" s="208"/>
      <c r="AZ447" s="208"/>
      <c r="BA447" s="208"/>
    </row>
    <row r="448" ht="15.75" hidden="1" customHeight="1">
      <c r="A448" s="208"/>
      <c r="B448" s="208"/>
      <c r="C448" s="208"/>
      <c r="D448" s="208"/>
      <c r="E448" s="208"/>
      <c r="F448" s="208"/>
      <c r="G448" s="208"/>
      <c r="H448" s="208"/>
      <c r="I448" s="208"/>
      <c r="J448" s="208"/>
      <c r="K448" s="208"/>
      <c r="L448" s="208"/>
      <c r="M448" s="208"/>
      <c r="N448" s="208"/>
      <c r="O448" s="208"/>
      <c r="P448" s="208"/>
      <c r="Q448" s="208"/>
      <c r="R448" s="208"/>
      <c r="S448" s="208"/>
      <c r="T448" s="208"/>
      <c r="U448" s="208"/>
      <c r="V448" s="208"/>
      <c r="W448" s="208"/>
      <c r="X448" s="208"/>
      <c r="Y448" s="208"/>
      <c r="Z448" s="208"/>
      <c r="AA448" s="208"/>
      <c r="AB448" s="208"/>
      <c r="AC448" s="208"/>
      <c r="AD448" s="208"/>
      <c r="AE448" s="208"/>
      <c r="AF448" s="208"/>
      <c r="AG448" s="208"/>
      <c r="AH448" s="208"/>
      <c r="AI448" s="208"/>
      <c r="AJ448" s="208"/>
      <c r="AK448" s="208"/>
      <c r="AL448" s="208"/>
      <c r="AM448" s="208"/>
      <c r="AN448" s="208"/>
      <c r="AO448" s="208"/>
      <c r="AP448" s="208"/>
      <c r="AQ448" s="208"/>
      <c r="AR448" s="208"/>
      <c r="AS448" s="208"/>
      <c r="AT448" s="208"/>
      <c r="AU448" s="208"/>
      <c r="AV448" s="208"/>
      <c r="AW448" s="208"/>
      <c r="AX448" s="208"/>
      <c r="AY448" s="208"/>
      <c r="AZ448" s="208"/>
      <c r="BA448" s="208"/>
    </row>
    <row r="449" ht="15.75" hidden="1" customHeight="1">
      <c r="A449" s="208"/>
      <c r="B449" s="208"/>
      <c r="C449" s="208"/>
      <c r="D449" s="208"/>
      <c r="E449" s="208"/>
      <c r="F449" s="208"/>
      <c r="G449" s="208"/>
      <c r="H449" s="208"/>
      <c r="I449" s="208"/>
      <c r="J449" s="208"/>
      <c r="K449" s="208"/>
      <c r="L449" s="208"/>
      <c r="M449" s="208"/>
      <c r="N449" s="208"/>
      <c r="O449" s="208"/>
      <c r="P449" s="208"/>
      <c r="Q449" s="208"/>
      <c r="R449" s="208"/>
      <c r="S449" s="208"/>
      <c r="T449" s="208"/>
      <c r="U449" s="208"/>
      <c r="V449" s="208"/>
      <c r="W449" s="208"/>
      <c r="X449" s="208"/>
      <c r="Y449" s="208"/>
      <c r="Z449" s="208"/>
      <c r="AA449" s="208"/>
      <c r="AB449" s="208"/>
      <c r="AC449" s="208"/>
      <c r="AD449" s="208"/>
      <c r="AE449" s="208"/>
      <c r="AF449" s="208"/>
      <c r="AG449" s="208"/>
      <c r="AH449" s="208"/>
      <c r="AI449" s="208"/>
      <c r="AJ449" s="208"/>
      <c r="AK449" s="208"/>
      <c r="AL449" s="208"/>
      <c r="AM449" s="208"/>
      <c r="AN449" s="208"/>
      <c r="AO449" s="208"/>
      <c r="AP449" s="208"/>
      <c r="AQ449" s="208"/>
      <c r="AR449" s="208"/>
      <c r="AS449" s="208"/>
      <c r="AT449" s="208"/>
      <c r="AU449" s="208"/>
      <c r="AV449" s="208"/>
      <c r="AW449" s="208"/>
      <c r="AX449" s="208"/>
      <c r="AY449" s="208"/>
      <c r="AZ449" s="208"/>
      <c r="BA449" s="208"/>
    </row>
    <row r="450" ht="15.75" hidden="1" customHeight="1">
      <c r="A450" s="208"/>
      <c r="B450" s="208"/>
      <c r="C450" s="208"/>
      <c r="D450" s="208"/>
      <c r="E450" s="208"/>
      <c r="F450" s="208"/>
      <c r="G450" s="208"/>
      <c r="H450" s="208"/>
      <c r="I450" s="208"/>
      <c r="J450" s="208"/>
      <c r="K450" s="208"/>
      <c r="L450" s="208"/>
      <c r="M450" s="208"/>
      <c r="N450" s="208"/>
      <c r="O450" s="208"/>
      <c r="P450" s="208"/>
      <c r="Q450" s="208"/>
      <c r="R450" s="208"/>
      <c r="S450" s="208"/>
      <c r="T450" s="208"/>
      <c r="U450" s="208"/>
      <c r="V450" s="208"/>
      <c r="W450" s="208"/>
      <c r="X450" s="208"/>
      <c r="Y450" s="208"/>
      <c r="Z450" s="208"/>
      <c r="AA450" s="208"/>
      <c r="AB450" s="208"/>
      <c r="AC450" s="208"/>
      <c r="AD450" s="208"/>
      <c r="AE450" s="208"/>
      <c r="AF450" s="208"/>
      <c r="AG450" s="208"/>
      <c r="AH450" s="208"/>
      <c r="AI450" s="208"/>
      <c r="AJ450" s="208"/>
      <c r="AK450" s="208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08"/>
      <c r="AW450" s="208"/>
      <c r="AX450" s="208"/>
      <c r="AY450" s="208"/>
      <c r="AZ450" s="208"/>
      <c r="BA450" s="208"/>
    </row>
    <row r="451" ht="15.75" hidden="1" customHeight="1">
      <c r="A451" s="208"/>
      <c r="B451" s="208"/>
      <c r="C451" s="208"/>
      <c r="D451" s="208"/>
      <c r="E451" s="208"/>
      <c r="F451" s="208"/>
      <c r="G451" s="208"/>
      <c r="H451" s="208"/>
      <c r="I451" s="208"/>
      <c r="J451" s="208"/>
      <c r="K451" s="208"/>
      <c r="L451" s="208"/>
      <c r="M451" s="208"/>
      <c r="N451" s="208"/>
      <c r="O451" s="208"/>
      <c r="P451" s="208"/>
      <c r="Q451" s="208"/>
      <c r="R451" s="208"/>
      <c r="S451" s="208"/>
      <c r="T451" s="208"/>
      <c r="U451" s="208"/>
      <c r="V451" s="208"/>
      <c r="W451" s="208"/>
      <c r="X451" s="208"/>
      <c r="Y451" s="208"/>
      <c r="Z451" s="208"/>
      <c r="AA451" s="208"/>
      <c r="AB451" s="208"/>
      <c r="AC451" s="208"/>
      <c r="AD451" s="208"/>
      <c r="AE451" s="208"/>
      <c r="AF451" s="208"/>
      <c r="AG451" s="208"/>
      <c r="AH451" s="208"/>
      <c r="AI451" s="208"/>
      <c r="AJ451" s="208"/>
      <c r="AK451" s="208"/>
      <c r="AL451" s="208"/>
      <c r="AM451" s="208"/>
      <c r="AN451" s="208"/>
      <c r="AO451" s="208"/>
      <c r="AP451" s="208"/>
      <c r="AQ451" s="208"/>
      <c r="AR451" s="208"/>
      <c r="AS451" s="208"/>
      <c r="AT451" s="208"/>
      <c r="AU451" s="208"/>
      <c r="AV451" s="208"/>
      <c r="AW451" s="208"/>
      <c r="AX451" s="208"/>
      <c r="AY451" s="208"/>
      <c r="AZ451" s="208"/>
      <c r="BA451" s="208"/>
    </row>
    <row r="452" ht="15.75" hidden="1" customHeight="1">
      <c r="A452" s="208"/>
      <c r="B452" s="208"/>
      <c r="C452" s="208"/>
      <c r="D452" s="208"/>
      <c r="E452" s="208"/>
      <c r="F452" s="208"/>
      <c r="G452" s="208"/>
      <c r="H452" s="208"/>
      <c r="I452" s="208"/>
      <c r="J452" s="208"/>
      <c r="K452" s="208"/>
      <c r="L452" s="208"/>
      <c r="M452" s="208"/>
      <c r="N452" s="208"/>
      <c r="O452" s="208"/>
      <c r="P452" s="208"/>
      <c r="Q452" s="208"/>
      <c r="R452" s="208"/>
      <c r="S452" s="208"/>
      <c r="T452" s="208"/>
      <c r="U452" s="208"/>
      <c r="V452" s="208"/>
      <c r="W452" s="208"/>
      <c r="X452" s="208"/>
      <c r="Y452" s="208"/>
      <c r="Z452" s="208"/>
      <c r="AA452" s="208"/>
      <c r="AB452" s="208"/>
      <c r="AC452" s="208"/>
      <c r="AD452" s="208"/>
      <c r="AE452" s="208"/>
      <c r="AF452" s="208"/>
      <c r="AG452" s="208"/>
      <c r="AH452" s="208"/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08"/>
      <c r="AW452" s="208"/>
      <c r="AX452" s="208"/>
      <c r="AY452" s="208"/>
      <c r="AZ452" s="208"/>
      <c r="BA452" s="208"/>
    </row>
    <row r="453" ht="15.75" hidden="1" customHeight="1">
      <c r="A453" s="208"/>
      <c r="B453" s="208"/>
      <c r="C453" s="208"/>
      <c r="D453" s="208"/>
      <c r="E453" s="208"/>
      <c r="F453" s="208"/>
      <c r="G453" s="208"/>
      <c r="H453" s="208"/>
      <c r="I453" s="208"/>
      <c r="J453" s="208"/>
      <c r="K453" s="208"/>
      <c r="L453" s="208"/>
      <c r="M453" s="208"/>
      <c r="N453" s="208"/>
      <c r="O453" s="208"/>
      <c r="P453" s="208"/>
      <c r="Q453" s="208"/>
      <c r="R453" s="208"/>
      <c r="S453" s="208"/>
      <c r="T453" s="208"/>
      <c r="U453" s="208"/>
      <c r="V453" s="208"/>
      <c r="W453" s="208"/>
      <c r="X453" s="208"/>
      <c r="Y453" s="208"/>
      <c r="Z453" s="208"/>
      <c r="AA453" s="208"/>
      <c r="AB453" s="208"/>
      <c r="AC453" s="208"/>
      <c r="AD453" s="208"/>
      <c r="AE453" s="208"/>
      <c r="AF453" s="208"/>
      <c r="AG453" s="208"/>
      <c r="AH453" s="208"/>
      <c r="AI453" s="208"/>
      <c r="AJ453" s="208"/>
      <c r="AK453" s="208"/>
      <c r="AL453" s="208"/>
      <c r="AM453" s="208"/>
      <c r="AN453" s="208"/>
      <c r="AO453" s="208"/>
      <c r="AP453" s="208"/>
      <c r="AQ453" s="208"/>
      <c r="AR453" s="208"/>
      <c r="AS453" s="208"/>
      <c r="AT453" s="208"/>
      <c r="AU453" s="208"/>
      <c r="AV453" s="208"/>
      <c r="AW453" s="208"/>
      <c r="AX453" s="208"/>
      <c r="AY453" s="208"/>
      <c r="AZ453" s="208"/>
      <c r="BA453" s="208"/>
    </row>
    <row r="454" ht="15.75" hidden="1" customHeight="1">
      <c r="A454" s="208"/>
      <c r="B454" s="208"/>
      <c r="C454" s="208"/>
      <c r="D454" s="208"/>
      <c r="E454" s="208"/>
      <c r="F454" s="208"/>
      <c r="G454" s="208"/>
      <c r="H454" s="208"/>
      <c r="I454" s="208"/>
      <c r="J454" s="208"/>
      <c r="K454" s="208"/>
      <c r="L454" s="208"/>
      <c r="M454" s="208"/>
      <c r="N454" s="208"/>
      <c r="O454" s="208"/>
      <c r="P454" s="208"/>
      <c r="Q454" s="208"/>
      <c r="R454" s="208"/>
      <c r="S454" s="208"/>
      <c r="T454" s="208"/>
      <c r="U454" s="208"/>
      <c r="V454" s="208"/>
      <c r="W454" s="208"/>
      <c r="X454" s="208"/>
      <c r="Y454" s="208"/>
      <c r="Z454" s="208"/>
      <c r="AA454" s="208"/>
      <c r="AB454" s="208"/>
      <c r="AC454" s="208"/>
      <c r="AD454" s="208"/>
      <c r="AE454" s="208"/>
      <c r="AF454" s="208"/>
      <c r="AG454" s="208"/>
      <c r="AH454" s="208"/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08"/>
      <c r="AW454" s="208"/>
      <c r="AX454" s="208"/>
      <c r="AY454" s="208"/>
      <c r="AZ454" s="208"/>
      <c r="BA454" s="208"/>
    </row>
    <row r="455" ht="15.75" hidden="1" customHeight="1">
      <c r="A455" s="208"/>
      <c r="B455" s="208"/>
      <c r="C455" s="208"/>
      <c r="D455" s="208"/>
      <c r="E455" s="208"/>
      <c r="F455" s="208"/>
      <c r="G455" s="208"/>
      <c r="H455" s="208"/>
      <c r="I455" s="208"/>
      <c r="J455" s="208"/>
      <c r="K455" s="208"/>
      <c r="L455" s="208"/>
      <c r="M455" s="208"/>
      <c r="N455" s="208"/>
      <c r="O455" s="208"/>
      <c r="P455" s="208"/>
      <c r="Q455" s="208"/>
      <c r="R455" s="208"/>
      <c r="S455" s="208"/>
      <c r="T455" s="208"/>
      <c r="U455" s="208"/>
      <c r="V455" s="208"/>
      <c r="W455" s="208"/>
      <c r="X455" s="208"/>
      <c r="Y455" s="208"/>
      <c r="Z455" s="208"/>
      <c r="AA455" s="208"/>
      <c r="AB455" s="208"/>
      <c r="AC455" s="208"/>
      <c r="AD455" s="208"/>
      <c r="AE455" s="208"/>
      <c r="AF455" s="208"/>
      <c r="AG455" s="208"/>
      <c r="AH455" s="208"/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  <c r="AT455" s="208"/>
      <c r="AU455" s="208"/>
      <c r="AV455" s="208"/>
      <c r="AW455" s="208"/>
      <c r="AX455" s="208"/>
      <c r="AY455" s="208"/>
      <c r="AZ455" s="208"/>
      <c r="BA455" s="208"/>
    </row>
    <row r="456" ht="15.75" hidden="1" customHeight="1">
      <c r="A456" s="208"/>
      <c r="B456" s="208"/>
      <c r="C456" s="208"/>
      <c r="D456" s="208"/>
      <c r="E456" s="208"/>
      <c r="F456" s="208"/>
      <c r="G456" s="208"/>
      <c r="H456" s="208"/>
      <c r="I456" s="208"/>
      <c r="J456" s="208"/>
      <c r="K456" s="208"/>
      <c r="L456" s="208"/>
      <c r="M456" s="208"/>
      <c r="N456" s="208"/>
      <c r="O456" s="208"/>
      <c r="P456" s="208"/>
      <c r="Q456" s="208"/>
      <c r="R456" s="208"/>
      <c r="S456" s="208"/>
      <c r="T456" s="208"/>
      <c r="U456" s="208"/>
      <c r="V456" s="208"/>
      <c r="W456" s="208"/>
      <c r="X456" s="208"/>
      <c r="Y456" s="208"/>
      <c r="Z456" s="208"/>
      <c r="AA456" s="208"/>
      <c r="AB456" s="208"/>
      <c r="AC456" s="208"/>
      <c r="AD456" s="208"/>
      <c r="AE456" s="208"/>
      <c r="AF456" s="208"/>
      <c r="AG456" s="208"/>
      <c r="AH456" s="208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</row>
    <row r="457" ht="15.75" hidden="1" customHeight="1">
      <c r="A457" s="208"/>
      <c r="B457" s="208"/>
      <c r="C457" s="208"/>
      <c r="D457" s="208"/>
      <c r="E457" s="208"/>
      <c r="F457" s="208"/>
      <c r="G457" s="208"/>
      <c r="H457" s="208"/>
      <c r="I457" s="208"/>
      <c r="J457" s="208"/>
      <c r="K457" s="208"/>
      <c r="L457" s="208"/>
      <c r="M457" s="208"/>
      <c r="N457" s="208"/>
      <c r="O457" s="208"/>
      <c r="P457" s="208"/>
      <c r="Q457" s="208"/>
      <c r="R457" s="208"/>
      <c r="S457" s="208"/>
      <c r="T457" s="208"/>
      <c r="U457" s="208"/>
      <c r="V457" s="208"/>
      <c r="W457" s="208"/>
      <c r="X457" s="208"/>
      <c r="Y457" s="208"/>
      <c r="Z457" s="208"/>
      <c r="AA457" s="208"/>
      <c r="AB457" s="208"/>
      <c r="AC457" s="208"/>
      <c r="AD457" s="208"/>
      <c r="AE457" s="208"/>
      <c r="AF457" s="208"/>
      <c r="AG457" s="208"/>
      <c r="AH457" s="208"/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08"/>
      <c r="AW457" s="208"/>
      <c r="AX457" s="208"/>
      <c r="AY457" s="208"/>
      <c r="AZ457" s="208"/>
      <c r="BA457" s="208"/>
    </row>
    <row r="458" ht="15.75" hidden="1" customHeight="1">
      <c r="A458" s="208"/>
      <c r="B458" s="208"/>
      <c r="C458" s="208"/>
      <c r="D458" s="208"/>
      <c r="E458" s="208"/>
      <c r="F458" s="208"/>
      <c r="G458" s="208"/>
      <c r="H458" s="208"/>
      <c r="I458" s="208"/>
      <c r="J458" s="208"/>
      <c r="K458" s="208"/>
      <c r="L458" s="208"/>
      <c r="M458" s="208"/>
      <c r="N458" s="208"/>
      <c r="O458" s="208"/>
      <c r="P458" s="208"/>
      <c r="Q458" s="208"/>
      <c r="R458" s="208"/>
      <c r="S458" s="208"/>
      <c r="T458" s="208"/>
      <c r="U458" s="208"/>
      <c r="V458" s="208"/>
      <c r="W458" s="208"/>
      <c r="X458" s="208"/>
      <c r="Y458" s="208"/>
      <c r="Z458" s="208"/>
      <c r="AA458" s="208"/>
      <c r="AB458" s="208"/>
      <c r="AC458" s="208"/>
      <c r="AD458" s="208"/>
      <c r="AE458" s="208"/>
      <c r="AF458" s="208"/>
      <c r="AG458" s="208"/>
      <c r="AH458" s="208"/>
      <c r="AI458" s="208"/>
      <c r="AJ458" s="208"/>
      <c r="AK458" s="208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08"/>
      <c r="AW458" s="208"/>
      <c r="AX458" s="208"/>
      <c r="AY458" s="208"/>
      <c r="AZ458" s="208"/>
      <c r="BA458" s="208"/>
    </row>
    <row r="459" ht="15.75" hidden="1" customHeight="1">
      <c r="A459" s="208"/>
      <c r="B459" s="208"/>
      <c r="C459" s="208"/>
      <c r="D459" s="208"/>
      <c r="E459" s="208"/>
      <c r="F459" s="208"/>
      <c r="G459" s="208"/>
      <c r="H459" s="208"/>
      <c r="I459" s="208"/>
      <c r="J459" s="208"/>
      <c r="K459" s="208"/>
      <c r="L459" s="208"/>
      <c r="M459" s="208"/>
      <c r="N459" s="208"/>
      <c r="O459" s="208"/>
      <c r="P459" s="208"/>
      <c r="Q459" s="208"/>
      <c r="R459" s="208"/>
      <c r="S459" s="208"/>
      <c r="T459" s="208"/>
      <c r="U459" s="208"/>
      <c r="V459" s="208"/>
      <c r="W459" s="208"/>
      <c r="X459" s="208"/>
      <c r="Y459" s="208"/>
      <c r="Z459" s="208"/>
      <c r="AA459" s="208"/>
      <c r="AB459" s="208"/>
      <c r="AC459" s="208"/>
      <c r="AD459" s="208"/>
      <c r="AE459" s="208"/>
      <c r="AF459" s="208"/>
      <c r="AG459" s="208"/>
      <c r="AH459" s="208"/>
      <c r="AI459" s="208"/>
      <c r="AJ459" s="208"/>
      <c r="AK459" s="208"/>
      <c r="AL459" s="208"/>
      <c r="AM459" s="208"/>
      <c r="AN459" s="208"/>
      <c r="AO459" s="208"/>
      <c r="AP459" s="208"/>
      <c r="AQ459" s="208"/>
      <c r="AR459" s="208"/>
      <c r="AS459" s="208"/>
      <c r="AT459" s="208"/>
      <c r="AU459" s="208"/>
      <c r="AV459" s="208"/>
      <c r="AW459" s="208"/>
      <c r="AX459" s="208"/>
      <c r="AY459" s="208"/>
      <c r="AZ459" s="208"/>
      <c r="BA459" s="208"/>
    </row>
    <row r="460" ht="15.75" hidden="1" customHeight="1">
      <c r="A460" s="208"/>
      <c r="B460" s="208"/>
      <c r="C460" s="208"/>
      <c r="D460" s="208"/>
      <c r="E460" s="208"/>
      <c r="F460" s="208"/>
      <c r="G460" s="208"/>
      <c r="H460" s="208"/>
      <c r="I460" s="208"/>
      <c r="J460" s="208"/>
      <c r="K460" s="208"/>
      <c r="L460" s="208"/>
      <c r="M460" s="208"/>
      <c r="N460" s="208"/>
      <c r="O460" s="208"/>
      <c r="P460" s="208"/>
      <c r="Q460" s="208"/>
      <c r="R460" s="208"/>
      <c r="S460" s="208"/>
      <c r="T460" s="208"/>
      <c r="U460" s="208"/>
      <c r="V460" s="208"/>
      <c r="W460" s="208"/>
      <c r="X460" s="208"/>
      <c r="Y460" s="208"/>
      <c r="Z460" s="208"/>
      <c r="AA460" s="208"/>
      <c r="AB460" s="208"/>
      <c r="AC460" s="208"/>
      <c r="AD460" s="208"/>
      <c r="AE460" s="208"/>
      <c r="AF460" s="208"/>
      <c r="AG460" s="208"/>
      <c r="AH460" s="208"/>
      <c r="AI460" s="208"/>
      <c r="AJ460" s="208"/>
      <c r="AK460" s="208"/>
      <c r="AL460" s="208"/>
      <c r="AM460" s="208"/>
      <c r="AN460" s="208"/>
      <c r="AO460" s="208"/>
      <c r="AP460" s="208"/>
      <c r="AQ460" s="208"/>
      <c r="AR460" s="208"/>
      <c r="AS460" s="208"/>
      <c r="AT460" s="208"/>
      <c r="AU460" s="208"/>
      <c r="AV460" s="208"/>
      <c r="AW460" s="208"/>
      <c r="AX460" s="208"/>
      <c r="AY460" s="208"/>
      <c r="AZ460" s="208"/>
      <c r="BA460" s="208"/>
    </row>
    <row r="461" ht="15.75" hidden="1" customHeight="1">
      <c r="A461" s="208"/>
      <c r="B461" s="208"/>
      <c r="C461" s="208"/>
      <c r="D461" s="208"/>
      <c r="E461" s="208"/>
      <c r="F461" s="208"/>
      <c r="G461" s="208"/>
      <c r="H461" s="208"/>
      <c r="I461" s="208"/>
      <c r="J461" s="208"/>
      <c r="K461" s="208"/>
      <c r="L461" s="208"/>
      <c r="M461" s="208"/>
      <c r="N461" s="208"/>
      <c r="O461" s="208"/>
      <c r="P461" s="208"/>
      <c r="Q461" s="208"/>
      <c r="R461" s="208"/>
      <c r="S461" s="208"/>
      <c r="T461" s="208"/>
      <c r="U461" s="208"/>
      <c r="V461" s="208"/>
      <c r="W461" s="208"/>
      <c r="X461" s="208"/>
      <c r="Y461" s="208"/>
      <c r="Z461" s="208"/>
      <c r="AA461" s="208"/>
      <c r="AB461" s="208"/>
      <c r="AC461" s="208"/>
      <c r="AD461" s="208"/>
      <c r="AE461" s="208"/>
      <c r="AF461" s="208"/>
      <c r="AG461" s="208"/>
      <c r="AH461" s="208"/>
      <c r="AI461" s="208"/>
      <c r="AJ461" s="208"/>
      <c r="AK461" s="208"/>
      <c r="AL461" s="208"/>
      <c r="AM461" s="208"/>
      <c r="AN461" s="208"/>
      <c r="AO461" s="208"/>
      <c r="AP461" s="208"/>
      <c r="AQ461" s="208"/>
      <c r="AR461" s="208"/>
      <c r="AS461" s="208"/>
      <c r="AT461" s="208"/>
      <c r="AU461" s="208"/>
      <c r="AV461" s="208"/>
      <c r="AW461" s="208"/>
      <c r="AX461" s="208"/>
      <c r="AY461" s="208"/>
      <c r="AZ461" s="208"/>
      <c r="BA461" s="208"/>
    </row>
    <row r="462" ht="15.75" hidden="1" customHeight="1">
      <c r="A462" s="208"/>
      <c r="B462" s="208"/>
      <c r="C462" s="208"/>
      <c r="D462" s="208"/>
      <c r="E462" s="208"/>
      <c r="F462" s="208"/>
      <c r="G462" s="208"/>
      <c r="H462" s="208"/>
      <c r="I462" s="208"/>
      <c r="J462" s="208"/>
      <c r="K462" s="208"/>
      <c r="L462" s="208"/>
      <c r="M462" s="208"/>
      <c r="N462" s="208"/>
      <c r="O462" s="208"/>
      <c r="P462" s="208"/>
      <c r="Q462" s="208"/>
      <c r="R462" s="208"/>
      <c r="S462" s="208"/>
      <c r="T462" s="208"/>
      <c r="U462" s="208"/>
      <c r="V462" s="208"/>
      <c r="W462" s="208"/>
      <c r="X462" s="208"/>
      <c r="Y462" s="208"/>
      <c r="Z462" s="208"/>
      <c r="AA462" s="208"/>
      <c r="AB462" s="208"/>
      <c r="AC462" s="208"/>
      <c r="AD462" s="208"/>
      <c r="AE462" s="208"/>
      <c r="AF462" s="208"/>
      <c r="AG462" s="208"/>
      <c r="AH462" s="208"/>
      <c r="AI462" s="208"/>
      <c r="AJ462" s="208"/>
      <c r="AK462" s="208"/>
      <c r="AL462" s="208"/>
      <c r="AM462" s="208"/>
      <c r="AN462" s="208"/>
      <c r="AO462" s="208"/>
      <c r="AP462" s="208"/>
      <c r="AQ462" s="208"/>
      <c r="AR462" s="208"/>
      <c r="AS462" s="208"/>
      <c r="AT462" s="208"/>
      <c r="AU462" s="208"/>
      <c r="AV462" s="208"/>
      <c r="AW462" s="208"/>
      <c r="AX462" s="208"/>
      <c r="AY462" s="208"/>
      <c r="AZ462" s="208"/>
      <c r="BA462" s="208"/>
    </row>
    <row r="463" ht="15.75" hidden="1" customHeight="1">
      <c r="A463" s="208"/>
      <c r="B463" s="208"/>
      <c r="C463" s="208"/>
      <c r="D463" s="208"/>
      <c r="E463" s="208"/>
      <c r="F463" s="208"/>
      <c r="G463" s="208"/>
      <c r="H463" s="208"/>
      <c r="I463" s="208"/>
      <c r="J463" s="208"/>
      <c r="K463" s="208"/>
      <c r="L463" s="208"/>
      <c r="M463" s="208"/>
      <c r="N463" s="208"/>
      <c r="O463" s="208"/>
      <c r="P463" s="208"/>
      <c r="Q463" s="208"/>
      <c r="R463" s="208"/>
      <c r="S463" s="208"/>
      <c r="T463" s="208"/>
      <c r="U463" s="208"/>
      <c r="V463" s="208"/>
      <c r="W463" s="208"/>
      <c r="X463" s="208"/>
      <c r="Y463" s="208"/>
      <c r="Z463" s="208"/>
      <c r="AA463" s="208"/>
      <c r="AB463" s="208"/>
      <c r="AC463" s="208"/>
      <c r="AD463" s="208"/>
      <c r="AE463" s="208"/>
      <c r="AF463" s="208"/>
      <c r="AG463" s="208"/>
      <c r="AH463" s="208"/>
      <c r="AI463" s="208"/>
      <c r="AJ463" s="208"/>
      <c r="AK463" s="208"/>
      <c r="AL463" s="208"/>
      <c r="AM463" s="208"/>
      <c r="AN463" s="208"/>
      <c r="AO463" s="208"/>
      <c r="AP463" s="208"/>
      <c r="AQ463" s="208"/>
      <c r="AR463" s="208"/>
      <c r="AS463" s="208"/>
      <c r="AT463" s="208"/>
      <c r="AU463" s="208"/>
      <c r="AV463" s="208"/>
      <c r="AW463" s="208"/>
      <c r="AX463" s="208"/>
      <c r="AY463" s="208"/>
      <c r="AZ463" s="208"/>
      <c r="BA463" s="208"/>
    </row>
    <row r="464" ht="15.75" hidden="1" customHeight="1">
      <c r="A464" s="208"/>
      <c r="B464" s="208"/>
      <c r="C464" s="208"/>
      <c r="D464" s="208"/>
      <c r="E464" s="208"/>
      <c r="F464" s="208"/>
      <c r="G464" s="208"/>
      <c r="H464" s="208"/>
      <c r="I464" s="208"/>
      <c r="J464" s="208"/>
      <c r="K464" s="208"/>
      <c r="L464" s="208"/>
      <c r="M464" s="208"/>
      <c r="N464" s="208"/>
      <c r="O464" s="208"/>
      <c r="P464" s="208"/>
      <c r="Q464" s="208"/>
      <c r="R464" s="208"/>
      <c r="S464" s="208"/>
      <c r="T464" s="208"/>
      <c r="U464" s="208"/>
      <c r="V464" s="208"/>
      <c r="W464" s="208"/>
      <c r="X464" s="208"/>
      <c r="Y464" s="208"/>
      <c r="Z464" s="208"/>
      <c r="AA464" s="208"/>
      <c r="AB464" s="208"/>
      <c r="AC464" s="208"/>
      <c r="AD464" s="208"/>
      <c r="AE464" s="208"/>
      <c r="AF464" s="208"/>
      <c r="AG464" s="208"/>
      <c r="AH464" s="208"/>
      <c r="AI464" s="208"/>
      <c r="AJ464" s="208"/>
      <c r="AK464" s="208"/>
      <c r="AL464" s="208"/>
      <c r="AM464" s="208"/>
      <c r="AN464" s="208"/>
      <c r="AO464" s="208"/>
      <c r="AP464" s="208"/>
      <c r="AQ464" s="208"/>
      <c r="AR464" s="208"/>
      <c r="AS464" s="208"/>
      <c r="AT464" s="208"/>
      <c r="AU464" s="208"/>
      <c r="AV464" s="208"/>
      <c r="AW464" s="208"/>
      <c r="AX464" s="208"/>
      <c r="AY464" s="208"/>
      <c r="AZ464" s="208"/>
      <c r="BA464" s="208"/>
    </row>
    <row r="465" ht="15.75" hidden="1" customHeight="1">
      <c r="A465" s="208"/>
      <c r="B465" s="208"/>
      <c r="C465" s="208"/>
      <c r="D465" s="208"/>
      <c r="E465" s="208"/>
      <c r="F465" s="208"/>
      <c r="G465" s="208"/>
      <c r="H465" s="208"/>
      <c r="I465" s="208"/>
      <c r="J465" s="208"/>
      <c r="K465" s="208"/>
      <c r="L465" s="208"/>
      <c r="M465" s="208"/>
      <c r="N465" s="208"/>
      <c r="O465" s="208"/>
      <c r="P465" s="208"/>
      <c r="Q465" s="208"/>
      <c r="R465" s="208"/>
      <c r="S465" s="208"/>
      <c r="T465" s="208"/>
      <c r="U465" s="208"/>
      <c r="V465" s="208"/>
      <c r="W465" s="208"/>
      <c r="X465" s="208"/>
      <c r="Y465" s="208"/>
      <c r="Z465" s="208"/>
      <c r="AA465" s="208"/>
      <c r="AB465" s="208"/>
      <c r="AC465" s="208"/>
      <c r="AD465" s="208"/>
      <c r="AE465" s="208"/>
      <c r="AF465" s="208"/>
      <c r="AG465" s="208"/>
      <c r="AH465" s="208"/>
      <c r="AI465" s="208"/>
      <c r="AJ465" s="208"/>
      <c r="AK465" s="208"/>
      <c r="AL465" s="208"/>
      <c r="AM465" s="208"/>
      <c r="AN465" s="208"/>
      <c r="AO465" s="208"/>
      <c r="AP465" s="208"/>
      <c r="AQ465" s="208"/>
      <c r="AR465" s="208"/>
      <c r="AS465" s="208"/>
      <c r="AT465" s="208"/>
      <c r="AU465" s="208"/>
      <c r="AV465" s="208"/>
      <c r="AW465" s="208"/>
      <c r="AX465" s="208"/>
      <c r="AY465" s="208"/>
      <c r="AZ465" s="208"/>
      <c r="BA465" s="208"/>
    </row>
    <row r="466" ht="15.75" hidden="1" customHeight="1">
      <c r="A466" s="208"/>
      <c r="B466" s="208"/>
      <c r="C466" s="208"/>
      <c r="D466" s="208"/>
      <c r="E466" s="208"/>
      <c r="F466" s="208"/>
      <c r="G466" s="208"/>
      <c r="H466" s="208"/>
      <c r="I466" s="208"/>
      <c r="J466" s="208"/>
      <c r="K466" s="208"/>
      <c r="L466" s="208"/>
      <c r="M466" s="208"/>
      <c r="N466" s="208"/>
      <c r="O466" s="208"/>
      <c r="P466" s="208"/>
      <c r="Q466" s="208"/>
      <c r="R466" s="208"/>
      <c r="S466" s="208"/>
      <c r="T466" s="208"/>
      <c r="U466" s="208"/>
      <c r="V466" s="208"/>
      <c r="W466" s="208"/>
      <c r="X466" s="208"/>
      <c r="Y466" s="208"/>
      <c r="Z466" s="208"/>
      <c r="AA466" s="208"/>
      <c r="AB466" s="208"/>
      <c r="AC466" s="208"/>
      <c r="AD466" s="208"/>
      <c r="AE466" s="208"/>
      <c r="AF466" s="208"/>
      <c r="AG466" s="208"/>
      <c r="AH466" s="208"/>
      <c r="AI466" s="208"/>
      <c r="AJ466" s="208"/>
      <c r="AK466" s="208"/>
      <c r="AL466" s="208"/>
      <c r="AM466" s="208"/>
      <c r="AN466" s="208"/>
      <c r="AO466" s="208"/>
      <c r="AP466" s="208"/>
      <c r="AQ466" s="208"/>
      <c r="AR466" s="208"/>
      <c r="AS466" s="208"/>
      <c r="AT466" s="208"/>
      <c r="AU466" s="208"/>
      <c r="AV466" s="208"/>
      <c r="AW466" s="208"/>
      <c r="AX466" s="208"/>
      <c r="AY466" s="208"/>
      <c r="AZ466" s="208"/>
      <c r="BA466" s="208"/>
    </row>
    <row r="467" ht="15.75" hidden="1" customHeight="1">
      <c r="A467" s="208"/>
      <c r="B467" s="208"/>
      <c r="C467" s="208"/>
      <c r="D467" s="208"/>
      <c r="E467" s="208"/>
      <c r="F467" s="208"/>
      <c r="G467" s="208"/>
      <c r="H467" s="208"/>
      <c r="I467" s="208"/>
      <c r="J467" s="208"/>
      <c r="K467" s="208"/>
      <c r="L467" s="208"/>
      <c r="M467" s="208"/>
      <c r="N467" s="208"/>
      <c r="O467" s="208"/>
      <c r="P467" s="208"/>
      <c r="Q467" s="208"/>
      <c r="R467" s="208"/>
      <c r="S467" s="208"/>
      <c r="T467" s="208"/>
      <c r="U467" s="208"/>
      <c r="V467" s="208"/>
      <c r="W467" s="208"/>
      <c r="X467" s="208"/>
      <c r="Y467" s="208"/>
      <c r="Z467" s="208"/>
      <c r="AA467" s="208"/>
      <c r="AB467" s="208"/>
      <c r="AC467" s="208"/>
      <c r="AD467" s="208"/>
      <c r="AE467" s="208"/>
      <c r="AF467" s="208"/>
      <c r="AG467" s="208"/>
      <c r="AH467" s="208"/>
      <c r="AI467" s="208"/>
      <c r="AJ467" s="208"/>
      <c r="AK467" s="208"/>
      <c r="AL467" s="208"/>
      <c r="AM467" s="208"/>
      <c r="AN467" s="208"/>
      <c r="AO467" s="208"/>
      <c r="AP467" s="208"/>
      <c r="AQ467" s="208"/>
      <c r="AR467" s="208"/>
      <c r="AS467" s="208"/>
      <c r="AT467" s="208"/>
      <c r="AU467" s="208"/>
      <c r="AV467" s="208"/>
      <c r="AW467" s="208"/>
      <c r="AX467" s="208"/>
      <c r="AY467" s="208"/>
      <c r="AZ467" s="208"/>
      <c r="BA467" s="208"/>
    </row>
    <row r="468" ht="15.75" hidden="1" customHeight="1">
      <c r="A468" s="208"/>
      <c r="B468" s="208"/>
      <c r="C468" s="208"/>
      <c r="D468" s="208"/>
      <c r="E468" s="208"/>
      <c r="F468" s="208"/>
      <c r="G468" s="208"/>
      <c r="H468" s="208"/>
      <c r="I468" s="208"/>
      <c r="J468" s="208"/>
      <c r="K468" s="208"/>
      <c r="L468" s="208"/>
      <c r="M468" s="208"/>
      <c r="N468" s="208"/>
      <c r="O468" s="208"/>
      <c r="P468" s="208"/>
      <c r="Q468" s="208"/>
      <c r="R468" s="208"/>
      <c r="S468" s="208"/>
      <c r="T468" s="208"/>
      <c r="U468" s="208"/>
      <c r="V468" s="208"/>
      <c r="W468" s="208"/>
      <c r="X468" s="208"/>
      <c r="Y468" s="208"/>
      <c r="Z468" s="208"/>
      <c r="AA468" s="208"/>
      <c r="AB468" s="208"/>
      <c r="AC468" s="208"/>
      <c r="AD468" s="208"/>
      <c r="AE468" s="208"/>
      <c r="AF468" s="208"/>
      <c r="AG468" s="208"/>
      <c r="AH468" s="208"/>
      <c r="AI468" s="208"/>
      <c r="AJ468" s="208"/>
      <c r="AK468" s="208"/>
      <c r="AL468" s="208"/>
      <c r="AM468" s="208"/>
      <c r="AN468" s="208"/>
      <c r="AO468" s="208"/>
      <c r="AP468" s="208"/>
      <c r="AQ468" s="208"/>
      <c r="AR468" s="208"/>
      <c r="AS468" s="208"/>
      <c r="AT468" s="208"/>
      <c r="AU468" s="208"/>
      <c r="AV468" s="208"/>
      <c r="AW468" s="208"/>
      <c r="AX468" s="208"/>
      <c r="AY468" s="208"/>
      <c r="AZ468" s="208"/>
      <c r="BA468" s="208"/>
    </row>
    <row r="469" ht="15.75" hidden="1" customHeight="1">
      <c r="A469" s="208"/>
      <c r="B469" s="208"/>
      <c r="C469" s="208"/>
      <c r="D469" s="208"/>
      <c r="E469" s="208"/>
      <c r="F469" s="208"/>
      <c r="G469" s="208"/>
      <c r="H469" s="208"/>
      <c r="I469" s="208"/>
      <c r="J469" s="208"/>
      <c r="K469" s="208"/>
      <c r="L469" s="208"/>
      <c r="M469" s="208"/>
      <c r="N469" s="208"/>
      <c r="O469" s="208"/>
      <c r="P469" s="208"/>
      <c r="Q469" s="208"/>
      <c r="R469" s="208"/>
      <c r="S469" s="208"/>
      <c r="T469" s="208"/>
      <c r="U469" s="208"/>
      <c r="V469" s="208"/>
      <c r="W469" s="208"/>
      <c r="X469" s="208"/>
      <c r="Y469" s="208"/>
      <c r="Z469" s="208"/>
      <c r="AA469" s="208"/>
      <c r="AB469" s="208"/>
      <c r="AC469" s="208"/>
      <c r="AD469" s="208"/>
      <c r="AE469" s="208"/>
      <c r="AF469" s="208"/>
      <c r="AG469" s="208"/>
      <c r="AH469" s="208"/>
      <c r="AI469" s="208"/>
      <c r="AJ469" s="208"/>
      <c r="AK469" s="208"/>
      <c r="AL469" s="208"/>
      <c r="AM469" s="208"/>
      <c r="AN469" s="208"/>
      <c r="AO469" s="208"/>
      <c r="AP469" s="208"/>
      <c r="AQ469" s="208"/>
      <c r="AR469" s="208"/>
      <c r="AS469" s="208"/>
      <c r="AT469" s="208"/>
      <c r="AU469" s="208"/>
      <c r="AV469" s="208"/>
      <c r="AW469" s="208"/>
      <c r="AX469" s="208"/>
      <c r="AY469" s="208"/>
      <c r="AZ469" s="208"/>
      <c r="BA469" s="208"/>
    </row>
    <row r="470" ht="15.75" hidden="1" customHeight="1">
      <c r="A470" s="208"/>
      <c r="B470" s="208"/>
      <c r="C470" s="208"/>
      <c r="D470" s="208"/>
      <c r="E470" s="208"/>
      <c r="F470" s="208"/>
      <c r="G470" s="208"/>
      <c r="H470" s="208"/>
      <c r="I470" s="208"/>
      <c r="J470" s="208"/>
      <c r="K470" s="208"/>
      <c r="L470" s="208"/>
      <c r="M470" s="208"/>
      <c r="N470" s="208"/>
      <c r="O470" s="208"/>
      <c r="P470" s="208"/>
      <c r="Q470" s="208"/>
      <c r="R470" s="208"/>
      <c r="S470" s="208"/>
      <c r="T470" s="208"/>
      <c r="U470" s="208"/>
      <c r="V470" s="208"/>
      <c r="W470" s="208"/>
      <c r="X470" s="208"/>
      <c r="Y470" s="208"/>
      <c r="Z470" s="208"/>
      <c r="AA470" s="208"/>
      <c r="AB470" s="208"/>
      <c r="AC470" s="208"/>
      <c r="AD470" s="208"/>
      <c r="AE470" s="208"/>
      <c r="AF470" s="208"/>
      <c r="AG470" s="208"/>
      <c r="AH470" s="208"/>
      <c r="AI470" s="208"/>
      <c r="AJ470" s="208"/>
      <c r="AK470" s="208"/>
      <c r="AL470" s="208"/>
      <c r="AM470" s="208"/>
      <c r="AN470" s="208"/>
      <c r="AO470" s="208"/>
      <c r="AP470" s="208"/>
      <c r="AQ470" s="208"/>
      <c r="AR470" s="208"/>
      <c r="AS470" s="208"/>
      <c r="AT470" s="208"/>
      <c r="AU470" s="208"/>
      <c r="AV470" s="208"/>
      <c r="AW470" s="208"/>
      <c r="AX470" s="208"/>
      <c r="AY470" s="208"/>
      <c r="AZ470" s="208"/>
      <c r="BA470" s="208"/>
    </row>
    <row r="471" ht="15.75" hidden="1" customHeight="1">
      <c r="A471" s="208"/>
      <c r="B471" s="208"/>
      <c r="C471" s="208"/>
      <c r="D471" s="208"/>
      <c r="E471" s="208"/>
      <c r="F471" s="208"/>
      <c r="G471" s="208"/>
      <c r="H471" s="208"/>
      <c r="I471" s="208"/>
      <c r="J471" s="208"/>
      <c r="K471" s="208"/>
      <c r="L471" s="208"/>
      <c r="M471" s="208"/>
      <c r="N471" s="208"/>
      <c r="O471" s="208"/>
      <c r="P471" s="208"/>
      <c r="Q471" s="208"/>
      <c r="R471" s="208"/>
      <c r="S471" s="208"/>
      <c r="T471" s="208"/>
      <c r="U471" s="208"/>
      <c r="V471" s="208"/>
      <c r="W471" s="208"/>
      <c r="X471" s="208"/>
      <c r="Y471" s="208"/>
      <c r="Z471" s="208"/>
      <c r="AA471" s="208"/>
      <c r="AB471" s="208"/>
      <c r="AC471" s="208"/>
      <c r="AD471" s="208"/>
      <c r="AE471" s="208"/>
      <c r="AF471" s="208"/>
      <c r="AG471" s="208"/>
      <c r="AH471" s="208"/>
      <c r="AI471" s="208"/>
      <c r="AJ471" s="208"/>
      <c r="AK471" s="208"/>
      <c r="AL471" s="208"/>
      <c r="AM471" s="208"/>
      <c r="AN471" s="208"/>
      <c r="AO471" s="208"/>
      <c r="AP471" s="208"/>
      <c r="AQ471" s="208"/>
      <c r="AR471" s="208"/>
      <c r="AS471" s="208"/>
      <c r="AT471" s="208"/>
      <c r="AU471" s="208"/>
      <c r="AV471" s="208"/>
      <c r="AW471" s="208"/>
      <c r="AX471" s="208"/>
      <c r="AY471" s="208"/>
      <c r="AZ471" s="208"/>
      <c r="BA471" s="208"/>
    </row>
    <row r="472" ht="15.75" hidden="1" customHeight="1">
      <c r="A472" s="208"/>
      <c r="B472" s="208"/>
      <c r="C472" s="208"/>
      <c r="D472" s="208"/>
      <c r="E472" s="208"/>
      <c r="F472" s="208"/>
      <c r="G472" s="208"/>
      <c r="H472" s="208"/>
      <c r="I472" s="208"/>
      <c r="J472" s="208"/>
      <c r="K472" s="208"/>
      <c r="L472" s="208"/>
      <c r="M472" s="208"/>
      <c r="N472" s="208"/>
      <c r="O472" s="208"/>
      <c r="P472" s="208"/>
      <c r="Q472" s="208"/>
      <c r="R472" s="208"/>
      <c r="S472" s="208"/>
      <c r="T472" s="208"/>
      <c r="U472" s="208"/>
      <c r="V472" s="208"/>
      <c r="W472" s="208"/>
      <c r="X472" s="208"/>
      <c r="Y472" s="208"/>
      <c r="Z472" s="208"/>
      <c r="AA472" s="208"/>
      <c r="AB472" s="208"/>
      <c r="AC472" s="208"/>
      <c r="AD472" s="208"/>
      <c r="AE472" s="208"/>
      <c r="AF472" s="208"/>
      <c r="AG472" s="208"/>
      <c r="AH472" s="208"/>
      <c r="AI472" s="208"/>
      <c r="AJ472" s="208"/>
      <c r="AK472" s="208"/>
      <c r="AL472" s="208"/>
      <c r="AM472" s="208"/>
      <c r="AN472" s="208"/>
      <c r="AO472" s="208"/>
      <c r="AP472" s="208"/>
      <c r="AQ472" s="208"/>
      <c r="AR472" s="208"/>
      <c r="AS472" s="208"/>
      <c r="AT472" s="208"/>
      <c r="AU472" s="208"/>
      <c r="AV472" s="208"/>
      <c r="AW472" s="208"/>
      <c r="AX472" s="208"/>
      <c r="AY472" s="208"/>
      <c r="AZ472" s="208"/>
      <c r="BA472" s="208"/>
    </row>
    <row r="473" ht="15.75" hidden="1" customHeight="1">
      <c r="A473" s="208"/>
      <c r="B473" s="208"/>
      <c r="C473" s="208"/>
      <c r="D473" s="208"/>
      <c r="E473" s="208"/>
      <c r="F473" s="208"/>
      <c r="G473" s="208"/>
      <c r="H473" s="208"/>
      <c r="I473" s="208"/>
      <c r="J473" s="208"/>
      <c r="K473" s="208"/>
      <c r="L473" s="208"/>
      <c r="M473" s="208"/>
      <c r="N473" s="208"/>
      <c r="O473" s="208"/>
      <c r="P473" s="208"/>
      <c r="Q473" s="208"/>
      <c r="R473" s="208"/>
      <c r="S473" s="208"/>
      <c r="T473" s="208"/>
      <c r="U473" s="208"/>
      <c r="V473" s="208"/>
      <c r="W473" s="208"/>
      <c r="X473" s="208"/>
      <c r="Y473" s="208"/>
      <c r="Z473" s="208"/>
      <c r="AA473" s="208"/>
      <c r="AB473" s="208"/>
      <c r="AC473" s="208"/>
      <c r="AD473" s="208"/>
      <c r="AE473" s="208"/>
      <c r="AF473" s="208"/>
      <c r="AG473" s="208"/>
      <c r="AH473" s="208"/>
      <c r="AI473" s="208"/>
      <c r="AJ473" s="208"/>
      <c r="AK473" s="208"/>
      <c r="AL473" s="208"/>
      <c r="AM473" s="208"/>
      <c r="AN473" s="208"/>
      <c r="AO473" s="208"/>
      <c r="AP473" s="208"/>
      <c r="AQ473" s="208"/>
      <c r="AR473" s="208"/>
      <c r="AS473" s="208"/>
      <c r="AT473" s="208"/>
      <c r="AU473" s="208"/>
      <c r="AV473" s="208"/>
      <c r="AW473" s="208"/>
      <c r="AX473" s="208"/>
      <c r="AY473" s="208"/>
      <c r="AZ473" s="208"/>
      <c r="BA473" s="208"/>
    </row>
    <row r="474" ht="15.75" hidden="1" customHeight="1">
      <c r="A474" s="208"/>
      <c r="B474" s="208"/>
      <c r="C474" s="208"/>
      <c r="D474" s="208"/>
      <c r="E474" s="208"/>
      <c r="F474" s="208"/>
      <c r="G474" s="208"/>
      <c r="H474" s="208"/>
      <c r="I474" s="208"/>
      <c r="J474" s="208"/>
      <c r="K474" s="208"/>
      <c r="L474" s="208"/>
      <c r="M474" s="208"/>
      <c r="N474" s="208"/>
      <c r="O474" s="208"/>
      <c r="P474" s="208"/>
      <c r="Q474" s="208"/>
      <c r="R474" s="208"/>
      <c r="S474" s="208"/>
      <c r="T474" s="208"/>
      <c r="U474" s="208"/>
      <c r="V474" s="208"/>
      <c r="W474" s="208"/>
      <c r="X474" s="208"/>
      <c r="Y474" s="208"/>
      <c r="Z474" s="208"/>
      <c r="AA474" s="208"/>
      <c r="AB474" s="208"/>
      <c r="AC474" s="208"/>
      <c r="AD474" s="208"/>
      <c r="AE474" s="208"/>
      <c r="AF474" s="208"/>
      <c r="AG474" s="208"/>
      <c r="AH474" s="208"/>
      <c r="AI474" s="208"/>
      <c r="AJ474" s="208"/>
      <c r="AK474" s="208"/>
      <c r="AL474" s="208"/>
      <c r="AM474" s="208"/>
      <c r="AN474" s="208"/>
      <c r="AO474" s="208"/>
      <c r="AP474" s="208"/>
      <c r="AQ474" s="208"/>
      <c r="AR474" s="208"/>
      <c r="AS474" s="208"/>
      <c r="AT474" s="208"/>
      <c r="AU474" s="208"/>
      <c r="AV474" s="208"/>
      <c r="AW474" s="208"/>
      <c r="AX474" s="208"/>
      <c r="AY474" s="208"/>
      <c r="AZ474" s="208"/>
      <c r="BA474" s="208"/>
    </row>
    <row r="475" ht="15.75" hidden="1" customHeight="1">
      <c r="A475" s="208"/>
      <c r="B475" s="208"/>
      <c r="C475" s="208"/>
      <c r="D475" s="208"/>
      <c r="E475" s="208"/>
      <c r="F475" s="208"/>
      <c r="G475" s="208"/>
      <c r="H475" s="208"/>
      <c r="I475" s="208"/>
      <c r="J475" s="208"/>
      <c r="K475" s="208"/>
      <c r="L475" s="208"/>
      <c r="M475" s="208"/>
      <c r="N475" s="208"/>
      <c r="O475" s="208"/>
      <c r="P475" s="208"/>
      <c r="Q475" s="208"/>
      <c r="R475" s="208"/>
      <c r="S475" s="208"/>
      <c r="T475" s="208"/>
      <c r="U475" s="208"/>
      <c r="V475" s="208"/>
      <c r="W475" s="208"/>
      <c r="X475" s="208"/>
      <c r="Y475" s="208"/>
      <c r="Z475" s="208"/>
      <c r="AA475" s="208"/>
      <c r="AB475" s="208"/>
      <c r="AC475" s="208"/>
      <c r="AD475" s="208"/>
      <c r="AE475" s="208"/>
      <c r="AF475" s="208"/>
      <c r="AG475" s="208"/>
      <c r="AH475" s="208"/>
      <c r="AI475" s="208"/>
      <c r="AJ475" s="208"/>
      <c r="AK475" s="208"/>
      <c r="AL475" s="208"/>
      <c r="AM475" s="208"/>
      <c r="AN475" s="208"/>
      <c r="AO475" s="208"/>
      <c r="AP475" s="208"/>
      <c r="AQ475" s="208"/>
      <c r="AR475" s="208"/>
      <c r="AS475" s="208"/>
      <c r="AT475" s="208"/>
      <c r="AU475" s="208"/>
      <c r="AV475" s="208"/>
      <c r="AW475" s="208"/>
      <c r="AX475" s="208"/>
      <c r="AY475" s="208"/>
      <c r="AZ475" s="208"/>
      <c r="BA475" s="208"/>
    </row>
    <row r="476" ht="15.75" hidden="1" customHeight="1">
      <c r="A476" s="208"/>
      <c r="B476" s="208"/>
      <c r="C476" s="208"/>
      <c r="D476" s="208"/>
      <c r="E476" s="208"/>
      <c r="F476" s="208"/>
      <c r="G476" s="208"/>
      <c r="H476" s="208"/>
      <c r="I476" s="208"/>
      <c r="J476" s="208"/>
      <c r="K476" s="208"/>
      <c r="L476" s="208"/>
      <c r="M476" s="208"/>
      <c r="N476" s="208"/>
      <c r="O476" s="208"/>
      <c r="P476" s="208"/>
      <c r="Q476" s="208"/>
      <c r="R476" s="208"/>
      <c r="S476" s="208"/>
      <c r="T476" s="208"/>
      <c r="U476" s="208"/>
      <c r="V476" s="208"/>
      <c r="W476" s="208"/>
      <c r="X476" s="208"/>
      <c r="Y476" s="208"/>
      <c r="Z476" s="208"/>
      <c r="AA476" s="208"/>
      <c r="AB476" s="208"/>
      <c r="AC476" s="208"/>
      <c r="AD476" s="208"/>
      <c r="AE476" s="208"/>
      <c r="AF476" s="208"/>
      <c r="AG476" s="208"/>
      <c r="AH476" s="208"/>
      <c r="AI476" s="208"/>
      <c r="AJ476" s="208"/>
      <c r="AK476" s="208"/>
      <c r="AL476" s="208"/>
      <c r="AM476" s="208"/>
      <c r="AN476" s="208"/>
      <c r="AO476" s="208"/>
      <c r="AP476" s="208"/>
      <c r="AQ476" s="208"/>
      <c r="AR476" s="208"/>
      <c r="AS476" s="208"/>
      <c r="AT476" s="208"/>
      <c r="AU476" s="208"/>
      <c r="AV476" s="208"/>
      <c r="AW476" s="208"/>
      <c r="AX476" s="208"/>
      <c r="AY476" s="208"/>
      <c r="AZ476" s="208"/>
      <c r="BA476" s="208"/>
    </row>
    <row r="477" ht="15.75" hidden="1" customHeight="1">
      <c r="A477" s="208"/>
      <c r="B477" s="208"/>
      <c r="C477" s="208"/>
      <c r="D477" s="208"/>
      <c r="E477" s="208"/>
      <c r="F477" s="208"/>
      <c r="G477" s="208"/>
      <c r="H477" s="208"/>
      <c r="I477" s="208"/>
      <c r="J477" s="208"/>
      <c r="K477" s="208"/>
      <c r="L477" s="208"/>
      <c r="M477" s="208"/>
      <c r="N477" s="208"/>
      <c r="O477" s="208"/>
      <c r="P477" s="208"/>
      <c r="Q477" s="208"/>
      <c r="R477" s="208"/>
      <c r="S477" s="208"/>
      <c r="T477" s="208"/>
      <c r="U477" s="208"/>
      <c r="V477" s="208"/>
      <c r="W477" s="208"/>
      <c r="X477" s="208"/>
      <c r="Y477" s="208"/>
      <c r="Z477" s="208"/>
      <c r="AA477" s="208"/>
      <c r="AB477" s="208"/>
      <c r="AC477" s="208"/>
      <c r="AD477" s="208"/>
      <c r="AE477" s="208"/>
      <c r="AF477" s="208"/>
      <c r="AG477" s="208"/>
      <c r="AH477" s="208"/>
      <c r="AI477" s="208"/>
      <c r="AJ477" s="208"/>
      <c r="AK477" s="208"/>
      <c r="AL477" s="208"/>
      <c r="AM477" s="208"/>
      <c r="AN477" s="208"/>
      <c r="AO477" s="208"/>
      <c r="AP477" s="208"/>
      <c r="AQ477" s="208"/>
      <c r="AR477" s="208"/>
      <c r="AS477" s="208"/>
      <c r="AT477" s="208"/>
      <c r="AU477" s="208"/>
      <c r="AV477" s="208"/>
      <c r="AW477" s="208"/>
      <c r="AX477" s="208"/>
      <c r="AY477" s="208"/>
      <c r="AZ477" s="208"/>
      <c r="BA477" s="208"/>
    </row>
    <row r="478" ht="15.75" hidden="1" customHeight="1">
      <c r="A478" s="208"/>
      <c r="B478" s="208"/>
      <c r="C478" s="208"/>
      <c r="D478" s="208"/>
      <c r="E478" s="208"/>
      <c r="F478" s="208"/>
      <c r="G478" s="208"/>
      <c r="H478" s="208"/>
      <c r="I478" s="208"/>
      <c r="J478" s="208"/>
      <c r="K478" s="208"/>
      <c r="L478" s="208"/>
      <c r="M478" s="208"/>
      <c r="N478" s="208"/>
      <c r="O478" s="208"/>
      <c r="P478" s="208"/>
      <c r="Q478" s="208"/>
      <c r="R478" s="208"/>
      <c r="S478" s="208"/>
      <c r="T478" s="208"/>
      <c r="U478" s="208"/>
      <c r="V478" s="208"/>
      <c r="W478" s="208"/>
      <c r="X478" s="208"/>
      <c r="Y478" s="208"/>
      <c r="Z478" s="208"/>
      <c r="AA478" s="208"/>
      <c r="AB478" s="208"/>
      <c r="AC478" s="208"/>
      <c r="AD478" s="208"/>
      <c r="AE478" s="208"/>
      <c r="AF478" s="208"/>
      <c r="AG478" s="208"/>
      <c r="AH478" s="208"/>
      <c r="AI478" s="208"/>
      <c r="AJ478" s="208"/>
      <c r="AK478" s="208"/>
      <c r="AL478" s="208"/>
      <c r="AM478" s="208"/>
      <c r="AN478" s="208"/>
      <c r="AO478" s="208"/>
      <c r="AP478" s="208"/>
      <c r="AQ478" s="208"/>
      <c r="AR478" s="208"/>
      <c r="AS478" s="208"/>
      <c r="AT478" s="208"/>
      <c r="AU478" s="208"/>
      <c r="AV478" s="208"/>
      <c r="AW478" s="208"/>
      <c r="AX478" s="208"/>
      <c r="AY478" s="208"/>
      <c r="AZ478" s="208"/>
      <c r="BA478" s="208"/>
    </row>
    <row r="479" ht="15.75" hidden="1" customHeight="1">
      <c r="A479" s="208"/>
      <c r="B479" s="208"/>
      <c r="C479" s="208"/>
      <c r="D479" s="208"/>
      <c r="E479" s="208"/>
      <c r="F479" s="208"/>
      <c r="G479" s="208"/>
      <c r="H479" s="208"/>
      <c r="I479" s="208"/>
      <c r="J479" s="208"/>
      <c r="K479" s="208"/>
      <c r="L479" s="208"/>
      <c r="M479" s="208"/>
      <c r="N479" s="208"/>
      <c r="O479" s="208"/>
      <c r="P479" s="208"/>
      <c r="Q479" s="208"/>
      <c r="R479" s="208"/>
      <c r="S479" s="208"/>
      <c r="T479" s="208"/>
      <c r="U479" s="208"/>
      <c r="V479" s="208"/>
      <c r="W479" s="208"/>
      <c r="X479" s="208"/>
      <c r="Y479" s="208"/>
      <c r="Z479" s="208"/>
      <c r="AA479" s="208"/>
      <c r="AB479" s="208"/>
      <c r="AC479" s="208"/>
      <c r="AD479" s="208"/>
      <c r="AE479" s="208"/>
      <c r="AF479" s="208"/>
      <c r="AG479" s="208"/>
      <c r="AH479" s="208"/>
      <c r="AI479" s="208"/>
      <c r="AJ479" s="208"/>
      <c r="AK479" s="208"/>
      <c r="AL479" s="208"/>
      <c r="AM479" s="208"/>
      <c r="AN479" s="208"/>
      <c r="AO479" s="208"/>
      <c r="AP479" s="208"/>
      <c r="AQ479" s="208"/>
      <c r="AR479" s="208"/>
      <c r="AS479" s="208"/>
      <c r="AT479" s="208"/>
      <c r="AU479" s="208"/>
      <c r="AV479" s="208"/>
      <c r="AW479" s="208"/>
      <c r="AX479" s="208"/>
      <c r="AY479" s="208"/>
      <c r="AZ479" s="208"/>
      <c r="BA479" s="208"/>
    </row>
    <row r="480" ht="15.75" hidden="1" customHeight="1">
      <c r="A480" s="208"/>
      <c r="B480" s="208"/>
      <c r="C480" s="208"/>
      <c r="D480" s="208"/>
      <c r="E480" s="208"/>
      <c r="F480" s="208"/>
      <c r="G480" s="208"/>
      <c r="H480" s="208"/>
      <c r="I480" s="208"/>
      <c r="J480" s="208"/>
      <c r="K480" s="208"/>
      <c r="L480" s="208"/>
      <c r="M480" s="208"/>
      <c r="N480" s="208"/>
      <c r="O480" s="208"/>
      <c r="P480" s="208"/>
      <c r="Q480" s="208"/>
      <c r="R480" s="208"/>
      <c r="S480" s="208"/>
      <c r="T480" s="208"/>
      <c r="U480" s="208"/>
      <c r="V480" s="208"/>
      <c r="W480" s="208"/>
      <c r="X480" s="208"/>
      <c r="Y480" s="208"/>
      <c r="Z480" s="208"/>
      <c r="AA480" s="208"/>
      <c r="AB480" s="208"/>
      <c r="AC480" s="208"/>
      <c r="AD480" s="208"/>
      <c r="AE480" s="208"/>
      <c r="AF480" s="208"/>
      <c r="AG480" s="208"/>
      <c r="AH480" s="208"/>
      <c r="AI480" s="208"/>
      <c r="AJ480" s="208"/>
      <c r="AK480" s="208"/>
      <c r="AL480" s="208"/>
      <c r="AM480" s="208"/>
      <c r="AN480" s="208"/>
      <c r="AO480" s="208"/>
      <c r="AP480" s="208"/>
      <c r="AQ480" s="208"/>
      <c r="AR480" s="208"/>
      <c r="AS480" s="208"/>
      <c r="AT480" s="208"/>
      <c r="AU480" s="208"/>
      <c r="AV480" s="208"/>
      <c r="AW480" s="208"/>
      <c r="AX480" s="208"/>
      <c r="AY480" s="208"/>
      <c r="AZ480" s="208"/>
      <c r="BA480" s="208"/>
    </row>
    <row r="481" ht="15.75" hidden="1" customHeight="1">
      <c r="A481" s="208"/>
      <c r="B481" s="208"/>
      <c r="C481" s="208"/>
      <c r="D481" s="208"/>
      <c r="E481" s="208"/>
      <c r="F481" s="208"/>
      <c r="G481" s="208"/>
      <c r="H481" s="208"/>
      <c r="I481" s="208"/>
      <c r="J481" s="208"/>
      <c r="K481" s="208"/>
      <c r="L481" s="208"/>
      <c r="M481" s="208"/>
      <c r="N481" s="208"/>
      <c r="O481" s="208"/>
      <c r="P481" s="208"/>
      <c r="Q481" s="208"/>
      <c r="R481" s="208"/>
      <c r="S481" s="208"/>
      <c r="T481" s="208"/>
      <c r="U481" s="208"/>
      <c r="V481" s="208"/>
      <c r="W481" s="208"/>
      <c r="X481" s="208"/>
      <c r="Y481" s="208"/>
      <c r="Z481" s="208"/>
      <c r="AA481" s="208"/>
      <c r="AB481" s="208"/>
      <c r="AC481" s="208"/>
      <c r="AD481" s="208"/>
      <c r="AE481" s="208"/>
      <c r="AF481" s="208"/>
      <c r="AG481" s="208"/>
      <c r="AH481" s="208"/>
      <c r="AI481" s="208"/>
      <c r="AJ481" s="208"/>
      <c r="AK481" s="208"/>
      <c r="AL481" s="208"/>
      <c r="AM481" s="208"/>
      <c r="AN481" s="208"/>
      <c r="AO481" s="208"/>
      <c r="AP481" s="208"/>
      <c r="AQ481" s="208"/>
      <c r="AR481" s="208"/>
      <c r="AS481" s="208"/>
      <c r="AT481" s="208"/>
      <c r="AU481" s="208"/>
      <c r="AV481" s="208"/>
      <c r="AW481" s="208"/>
      <c r="AX481" s="208"/>
      <c r="AY481" s="208"/>
      <c r="AZ481" s="208"/>
      <c r="BA481" s="208"/>
    </row>
    <row r="482" ht="15.75" hidden="1" customHeight="1">
      <c r="A482" s="208"/>
      <c r="B482" s="208"/>
      <c r="C482" s="208"/>
      <c r="D482" s="208"/>
      <c r="E482" s="208"/>
      <c r="F482" s="208"/>
      <c r="G482" s="208"/>
      <c r="H482" s="208"/>
      <c r="I482" s="208"/>
      <c r="J482" s="208"/>
      <c r="K482" s="208"/>
      <c r="L482" s="208"/>
      <c r="M482" s="208"/>
      <c r="N482" s="208"/>
      <c r="O482" s="208"/>
      <c r="P482" s="208"/>
      <c r="Q482" s="208"/>
      <c r="R482" s="208"/>
      <c r="S482" s="208"/>
      <c r="T482" s="208"/>
      <c r="U482" s="208"/>
      <c r="V482" s="208"/>
      <c r="W482" s="208"/>
      <c r="X482" s="208"/>
      <c r="Y482" s="208"/>
      <c r="Z482" s="208"/>
      <c r="AA482" s="208"/>
      <c r="AB482" s="208"/>
      <c r="AC482" s="208"/>
      <c r="AD482" s="208"/>
      <c r="AE482" s="208"/>
      <c r="AF482" s="208"/>
      <c r="AG482" s="208"/>
      <c r="AH482" s="208"/>
      <c r="AI482" s="208"/>
      <c r="AJ482" s="208"/>
      <c r="AK482" s="208"/>
      <c r="AL482" s="208"/>
      <c r="AM482" s="208"/>
      <c r="AN482" s="208"/>
      <c r="AO482" s="208"/>
      <c r="AP482" s="208"/>
      <c r="AQ482" s="208"/>
      <c r="AR482" s="208"/>
      <c r="AS482" s="208"/>
      <c r="AT482" s="208"/>
      <c r="AU482" s="208"/>
      <c r="AV482" s="208"/>
      <c r="AW482" s="208"/>
      <c r="AX482" s="208"/>
      <c r="AY482" s="208"/>
      <c r="AZ482" s="208"/>
      <c r="BA482" s="208"/>
    </row>
    <row r="483" ht="15.75" hidden="1" customHeight="1">
      <c r="A483" s="208"/>
      <c r="B483" s="208"/>
      <c r="C483" s="208"/>
      <c r="D483" s="208"/>
      <c r="E483" s="208"/>
      <c r="F483" s="208"/>
      <c r="G483" s="208"/>
      <c r="H483" s="208"/>
      <c r="I483" s="208"/>
      <c r="J483" s="208"/>
      <c r="K483" s="208"/>
      <c r="L483" s="208"/>
      <c r="M483" s="208"/>
      <c r="N483" s="208"/>
      <c r="O483" s="208"/>
      <c r="P483" s="208"/>
      <c r="Q483" s="208"/>
      <c r="R483" s="208"/>
      <c r="S483" s="208"/>
      <c r="T483" s="208"/>
      <c r="U483" s="208"/>
      <c r="V483" s="208"/>
      <c r="W483" s="208"/>
      <c r="X483" s="208"/>
      <c r="Y483" s="208"/>
      <c r="Z483" s="208"/>
      <c r="AA483" s="208"/>
      <c r="AB483" s="208"/>
      <c r="AC483" s="208"/>
      <c r="AD483" s="208"/>
      <c r="AE483" s="208"/>
      <c r="AF483" s="208"/>
      <c r="AG483" s="208"/>
      <c r="AH483" s="208"/>
      <c r="AI483" s="208"/>
      <c r="AJ483" s="208"/>
      <c r="AK483" s="208"/>
      <c r="AL483" s="208"/>
      <c r="AM483" s="208"/>
      <c r="AN483" s="208"/>
      <c r="AO483" s="208"/>
      <c r="AP483" s="208"/>
      <c r="AQ483" s="208"/>
      <c r="AR483" s="208"/>
      <c r="AS483" s="208"/>
      <c r="AT483" s="208"/>
      <c r="AU483" s="208"/>
      <c r="AV483" s="208"/>
      <c r="AW483" s="208"/>
      <c r="AX483" s="208"/>
      <c r="AY483" s="208"/>
      <c r="AZ483" s="208"/>
      <c r="BA483" s="208"/>
    </row>
    <row r="484" ht="15.75" hidden="1" customHeight="1">
      <c r="A484" s="208"/>
      <c r="B484" s="208"/>
      <c r="C484" s="208"/>
      <c r="D484" s="208"/>
      <c r="E484" s="208"/>
      <c r="F484" s="208"/>
      <c r="G484" s="208"/>
      <c r="H484" s="208"/>
      <c r="I484" s="208"/>
      <c r="J484" s="208"/>
      <c r="K484" s="208"/>
      <c r="L484" s="208"/>
      <c r="M484" s="208"/>
      <c r="N484" s="208"/>
      <c r="O484" s="208"/>
      <c r="P484" s="208"/>
      <c r="Q484" s="208"/>
      <c r="R484" s="208"/>
      <c r="S484" s="208"/>
      <c r="T484" s="208"/>
      <c r="U484" s="208"/>
      <c r="V484" s="208"/>
      <c r="W484" s="208"/>
      <c r="X484" s="208"/>
      <c r="Y484" s="208"/>
      <c r="Z484" s="208"/>
      <c r="AA484" s="208"/>
      <c r="AB484" s="208"/>
      <c r="AC484" s="208"/>
      <c r="AD484" s="208"/>
      <c r="AE484" s="208"/>
      <c r="AF484" s="208"/>
      <c r="AG484" s="208"/>
      <c r="AH484" s="208"/>
      <c r="AI484" s="208"/>
      <c r="AJ484" s="208"/>
      <c r="AK484" s="208"/>
      <c r="AL484" s="208"/>
      <c r="AM484" s="208"/>
      <c r="AN484" s="208"/>
      <c r="AO484" s="208"/>
      <c r="AP484" s="208"/>
      <c r="AQ484" s="208"/>
      <c r="AR484" s="208"/>
      <c r="AS484" s="208"/>
      <c r="AT484" s="208"/>
      <c r="AU484" s="208"/>
      <c r="AV484" s="208"/>
      <c r="AW484" s="208"/>
      <c r="AX484" s="208"/>
      <c r="AY484" s="208"/>
      <c r="AZ484" s="208"/>
      <c r="BA484" s="208"/>
    </row>
    <row r="485" ht="15.75" hidden="1" customHeight="1">
      <c r="A485" s="208"/>
      <c r="B485" s="208"/>
      <c r="C485" s="208"/>
      <c r="D485" s="208"/>
      <c r="E485" s="208"/>
      <c r="F485" s="208"/>
      <c r="G485" s="208"/>
      <c r="H485" s="208"/>
      <c r="I485" s="208"/>
      <c r="J485" s="208"/>
      <c r="K485" s="208"/>
      <c r="L485" s="208"/>
      <c r="M485" s="208"/>
      <c r="N485" s="208"/>
      <c r="O485" s="208"/>
      <c r="P485" s="208"/>
      <c r="Q485" s="208"/>
      <c r="R485" s="208"/>
      <c r="S485" s="208"/>
      <c r="T485" s="208"/>
      <c r="U485" s="208"/>
      <c r="V485" s="208"/>
      <c r="W485" s="208"/>
      <c r="X485" s="208"/>
      <c r="Y485" s="208"/>
      <c r="Z485" s="208"/>
      <c r="AA485" s="208"/>
      <c r="AB485" s="208"/>
      <c r="AC485" s="208"/>
      <c r="AD485" s="208"/>
      <c r="AE485" s="208"/>
      <c r="AF485" s="208"/>
      <c r="AG485" s="208"/>
      <c r="AH485" s="208"/>
      <c r="AI485" s="208"/>
      <c r="AJ485" s="208"/>
      <c r="AK485" s="208"/>
      <c r="AL485" s="208"/>
      <c r="AM485" s="208"/>
      <c r="AN485" s="208"/>
      <c r="AO485" s="208"/>
      <c r="AP485" s="208"/>
      <c r="AQ485" s="208"/>
      <c r="AR485" s="208"/>
      <c r="AS485" s="208"/>
      <c r="AT485" s="208"/>
      <c r="AU485" s="208"/>
      <c r="AV485" s="208"/>
      <c r="AW485" s="208"/>
      <c r="AX485" s="208"/>
      <c r="AY485" s="208"/>
      <c r="AZ485" s="208"/>
      <c r="BA485" s="208"/>
    </row>
    <row r="486" ht="15.75" hidden="1" customHeight="1">
      <c r="A486" s="208"/>
      <c r="B486" s="208"/>
      <c r="C486" s="208"/>
      <c r="D486" s="208"/>
      <c r="E486" s="208"/>
      <c r="F486" s="208"/>
      <c r="G486" s="208"/>
      <c r="H486" s="208"/>
      <c r="I486" s="208"/>
      <c r="J486" s="208"/>
      <c r="K486" s="208"/>
      <c r="L486" s="208"/>
      <c r="M486" s="208"/>
      <c r="N486" s="208"/>
      <c r="O486" s="208"/>
      <c r="P486" s="208"/>
      <c r="Q486" s="208"/>
      <c r="R486" s="208"/>
      <c r="S486" s="208"/>
      <c r="T486" s="208"/>
      <c r="U486" s="208"/>
      <c r="V486" s="208"/>
      <c r="W486" s="208"/>
      <c r="X486" s="208"/>
      <c r="Y486" s="208"/>
      <c r="Z486" s="208"/>
      <c r="AA486" s="208"/>
      <c r="AB486" s="208"/>
      <c r="AC486" s="208"/>
      <c r="AD486" s="208"/>
      <c r="AE486" s="208"/>
      <c r="AF486" s="208"/>
      <c r="AG486" s="208"/>
      <c r="AH486" s="208"/>
      <c r="AI486" s="208"/>
      <c r="AJ486" s="208"/>
      <c r="AK486" s="208"/>
      <c r="AL486" s="208"/>
      <c r="AM486" s="208"/>
      <c r="AN486" s="208"/>
      <c r="AO486" s="208"/>
      <c r="AP486" s="208"/>
      <c r="AQ486" s="208"/>
      <c r="AR486" s="208"/>
      <c r="AS486" s="208"/>
      <c r="AT486" s="208"/>
      <c r="AU486" s="208"/>
      <c r="AV486" s="208"/>
      <c r="AW486" s="208"/>
      <c r="AX486" s="208"/>
      <c r="AY486" s="208"/>
      <c r="AZ486" s="208"/>
      <c r="BA486" s="208"/>
    </row>
    <row r="487" ht="15.75" hidden="1" customHeight="1">
      <c r="A487" s="208"/>
      <c r="B487" s="208"/>
      <c r="C487" s="208"/>
      <c r="D487" s="208"/>
      <c r="E487" s="208"/>
      <c r="F487" s="208"/>
      <c r="G487" s="208"/>
      <c r="H487" s="208"/>
      <c r="I487" s="208"/>
      <c r="J487" s="208"/>
      <c r="K487" s="208"/>
      <c r="L487" s="208"/>
      <c r="M487" s="208"/>
      <c r="N487" s="208"/>
      <c r="O487" s="208"/>
      <c r="P487" s="208"/>
      <c r="Q487" s="208"/>
      <c r="R487" s="208"/>
      <c r="S487" s="208"/>
      <c r="T487" s="208"/>
      <c r="U487" s="208"/>
      <c r="V487" s="208"/>
      <c r="W487" s="208"/>
      <c r="X487" s="208"/>
      <c r="Y487" s="208"/>
      <c r="Z487" s="208"/>
      <c r="AA487" s="208"/>
      <c r="AB487" s="208"/>
      <c r="AC487" s="208"/>
      <c r="AD487" s="208"/>
      <c r="AE487" s="208"/>
      <c r="AF487" s="208"/>
      <c r="AG487" s="208"/>
      <c r="AH487" s="208"/>
      <c r="AI487" s="208"/>
      <c r="AJ487" s="208"/>
      <c r="AK487" s="208"/>
      <c r="AL487" s="208"/>
      <c r="AM487" s="208"/>
      <c r="AN487" s="208"/>
      <c r="AO487" s="208"/>
      <c r="AP487" s="208"/>
      <c r="AQ487" s="208"/>
      <c r="AR487" s="208"/>
      <c r="AS487" s="208"/>
      <c r="AT487" s="208"/>
      <c r="AU487" s="208"/>
      <c r="AV487" s="208"/>
      <c r="AW487" s="208"/>
      <c r="AX487" s="208"/>
      <c r="AY487" s="208"/>
      <c r="AZ487" s="208"/>
      <c r="BA487" s="208"/>
    </row>
    <row r="488" ht="15.75" hidden="1" customHeight="1">
      <c r="A488" s="208"/>
      <c r="B488" s="208"/>
      <c r="C488" s="208"/>
      <c r="D488" s="208"/>
      <c r="E488" s="208"/>
      <c r="F488" s="208"/>
      <c r="G488" s="208"/>
      <c r="H488" s="208"/>
      <c r="I488" s="208"/>
      <c r="J488" s="208"/>
      <c r="K488" s="208"/>
      <c r="L488" s="208"/>
      <c r="M488" s="208"/>
      <c r="N488" s="208"/>
      <c r="O488" s="208"/>
      <c r="P488" s="208"/>
      <c r="Q488" s="208"/>
      <c r="R488" s="208"/>
      <c r="S488" s="208"/>
      <c r="T488" s="208"/>
      <c r="U488" s="208"/>
      <c r="V488" s="208"/>
      <c r="W488" s="208"/>
      <c r="X488" s="208"/>
      <c r="Y488" s="208"/>
      <c r="Z488" s="208"/>
      <c r="AA488" s="208"/>
      <c r="AB488" s="208"/>
      <c r="AC488" s="208"/>
      <c r="AD488" s="208"/>
      <c r="AE488" s="208"/>
      <c r="AF488" s="208"/>
      <c r="AG488" s="208"/>
      <c r="AH488" s="208"/>
      <c r="AI488" s="208"/>
      <c r="AJ488" s="208"/>
      <c r="AK488" s="208"/>
      <c r="AL488" s="208"/>
      <c r="AM488" s="208"/>
      <c r="AN488" s="208"/>
      <c r="AO488" s="208"/>
      <c r="AP488" s="208"/>
      <c r="AQ488" s="208"/>
      <c r="AR488" s="208"/>
      <c r="AS488" s="208"/>
      <c r="AT488" s="208"/>
      <c r="AU488" s="208"/>
      <c r="AV488" s="208"/>
      <c r="AW488" s="208"/>
      <c r="AX488" s="208"/>
      <c r="AY488" s="208"/>
      <c r="AZ488" s="208"/>
      <c r="BA488" s="208"/>
    </row>
    <row r="489" ht="15.75" hidden="1" customHeight="1">
      <c r="A489" s="208"/>
      <c r="B489" s="208"/>
      <c r="C489" s="208"/>
      <c r="D489" s="208"/>
      <c r="E489" s="208"/>
      <c r="F489" s="208"/>
      <c r="G489" s="208"/>
      <c r="H489" s="208"/>
      <c r="I489" s="208"/>
      <c r="J489" s="208"/>
      <c r="K489" s="208"/>
      <c r="L489" s="208"/>
      <c r="M489" s="208"/>
      <c r="N489" s="208"/>
      <c r="O489" s="208"/>
      <c r="P489" s="208"/>
      <c r="Q489" s="208"/>
      <c r="R489" s="208"/>
      <c r="S489" s="208"/>
      <c r="T489" s="208"/>
      <c r="U489" s="208"/>
      <c r="V489" s="208"/>
      <c r="W489" s="208"/>
      <c r="X489" s="208"/>
      <c r="Y489" s="208"/>
      <c r="Z489" s="208"/>
      <c r="AA489" s="208"/>
      <c r="AB489" s="208"/>
      <c r="AC489" s="208"/>
      <c r="AD489" s="208"/>
      <c r="AE489" s="208"/>
      <c r="AF489" s="208"/>
      <c r="AG489" s="208"/>
      <c r="AH489" s="208"/>
      <c r="AI489" s="208"/>
      <c r="AJ489" s="208"/>
      <c r="AK489" s="208"/>
      <c r="AL489" s="208"/>
      <c r="AM489" s="208"/>
      <c r="AN489" s="208"/>
      <c r="AO489" s="208"/>
      <c r="AP489" s="208"/>
      <c r="AQ489" s="208"/>
      <c r="AR489" s="208"/>
      <c r="AS489" s="208"/>
      <c r="AT489" s="208"/>
      <c r="AU489" s="208"/>
      <c r="AV489" s="208"/>
      <c r="AW489" s="208"/>
      <c r="AX489" s="208"/>
      <c r="AY489" s="208"/>
      <c r="AZ489" s="208"/>
      <c r="BA489" s="208"/>
    </row>
    <row r="490" ht="15.75" hidden="1" customHeight="1">
      <c r="A490" s="208"/>
      <c r="B490" s="208"/>
      <c r="C490" s="208"/>
      <c r="D490" s="208"/>
      <c r="E490" s="208"/>
      <c r="F490" s="208"/>
      <c r="G490" s="208"/>
      <c r="H490" s="208"/>
      <c r="I490" s="208"/>
      <c r="J490" s="208"/>
      <c r="K490" s="208"/>
      <c r="L490" s="208"/>
      <c r="M490" s="208"/>
      <c r="N490" s="208"/>
      <c r="O490" s="208"/>
      <c r="P490" s="208"/>
      <c r="Q490" s="208"/>
      <c r="R490" s="208"/>
      <c r="S490" s="208"/>
      <c r="T490" s="208"/>
      <c r="U490" s="208"/>
      <c r="V490" s="208"/>
      <c r="W490" s="208"/>
      <c r="X490" s="208"/>
      <c r="Y490" s="208"/>
      <c r="Z490" s="208"/>
      <c r="AA490" s="208"/>
      <c r="AB490" s="208"/>
      <c r="AC490" s="208"/>
      <c r="AD490" s="208"/>
      <c r="AE490" s="208"/>
      <c r="AF490" s="208"/>
      <c r="AG490" s="208"/>
      <c r="AH490" s="208"/>
      <c r="AI490" s="208"/>
      <c r="AJ490" s="208"/>
      <c r="AK490" s="208"/>
      <c r="AL490" s="208"/>
      <c r="AM490" s="208"/>
      <c r="AN490" s="208"/>
      <c r="AO490" s="208"/>
      <c r="AP490" s="208"/>
      <c r="AQ490" s="208"/>
      <c r="AR490" s="208"/>
      <c r="AS490" s="208"/>
      <c r="AT490" s="208"/>
      <c r="AU490" s="208"/>
      <c r="AV490" s="208"/>
      <c r="AW490" s="208"/>
      <c r="AX490" s="208"/>
      <c r="AY490" s="208"/>
      <c r="AZ490" s="208"/>
      <c r="BA490" s="208"/>
    </row>
    <row r="491" ht="15.75" hidden="1" customHeight="1">
      <c r="A491" s="208"/>
      <c r="B491" s="208"/>
      <c r="C491" s="208"/>
      <c r="D491" s="208"/>
      <c r="E491" s="208"/>
      <c r="F491" s="208"/>
      <c r="G491" s="208"/>
      <c r="H491" s="208"/>
      <c r="I491" s="208"/>
      <c r="J491" s="208"/>
      <c r="K491" s="208"/>
      <c r="L491" s="208"/>
      <c r="M491" s="208"/>
      <c r="N491" s="208"/>
      <c r="O491" s="208"/>
      <c r="P491" s="208"/>
      <c r="Q491" s="208"/>
      <c r="R491" s="208"/>
      <c r="S491" s="208"/>
      <c r="T491" s="208"/>
      <c r="U491" s="208"/>
      <c r="V491" s="208"/>
      <c r="W491" s="208"/>
      <c r="X491" s="208"/>
      <c r="Y491" s="208"/>
      <c r="Z491" s="208"/>
      <c r="AA491" s="208"/>
      <c r="AB491" s="208"/>
      <c r="AC491" s="208"/>
      <c r="AD491" s="208"/>
      <c r="AE491" s="208"/>
      <c r="AF491" s="208"/>
      <c r="AG491" s="208"/>
      <c r="AH491" s="208"/>
      <c r="AI491" s="208"/>
      <c r="AJ491" s="208"/>
      <c r="AK491" s="208"/>
      <c r="AL491" s="208"/>
      <c r="AM491" s="208"/>
      <c r="AN491" s="208"/>
      <c r="AO491" s="208"/>
      <c r="AP491" s="208"/>
      <c r="AQ491" s="208"/>
      <c r="AR491" s="208"/>
      <c r="AS491" s="208"/>
      <c r="AT491" s="208"/>
      <c r="AU491" s="208"/>
      <c r="AV491" s="208"/>
      <c r="AW491" s="208"/>
      <c r="AX491" s="208"/>
      <c r="AY491" s="208"/>
      <c r="AZ491" s="208"/>
      <c r="BA491" s="208"/>
    </row>
    <row r="492" ht="15.75" hidden="1" customHeight="1">
      <c r="A492" s="208"/>
      <c r="B492" s="208"/>
      <c r="C492" s="208"/>
      <c r="D492" s="208"/>
      <c r="E492" s="208"/>
      <c r="F492" s="208"/>
      <c r="G492" s="208"/>
      <c r="H492" s="208"/>
      <c r="I492" s="208"/>
      <c r="J492" s="208"/>
      <c r="K492" s="208"/>
      <c r="L492" s="208"/>
      <c r="M492" s="208"/>
      <c r="N492" s="208"/>
      <c r="O492" s="208"/>
      <c r="P492" s="208"/>
      <c r="Q492" s="208"/>
      <c r="R492" s="208"/>
      <c r="S492" s="208"/>
      <c r="T492" s="208"/>
      <c r="U492" s="208"/>
      <c r="V492" s="208"/>
      <c r="W492" s="208"/>
      <c r="X492" s="208"/>
      <c r="Y492" s="208"/>
      <c r="Z492" s="208"/>
      <c r="AA492" s="208"/>
      <c r="AB492" s="208"/>
      <c r="AC492" s="208"/>
      <c r="AD492" s="208"/>
      <c r="AE492" s="208"/>
      <c r="AF492" s="208"/>
      <c r="AG492" s="208"/>
      <c r="AH492" s="208"/>
      <c r="AI492" s="208"/>
      <c r="AJ492" s="208"/>
      <c r="AK492" s="208"/>
      <c r="AL492" s="208"/>
      <c r="AM492" s="208"/>
      <c r="AN492" s="208"/>
      <c r="AO492" s="208"/>
      <c r="AP492" s="208"/>
      <c r="AQ492" s="208"/>
      <c r="AR492" s="208"/>
      <c r="AS492" s="208"/>
      <c r="AT492" s="208"/>
      <c r="AU492" s="208"/>
      <c r="AV492" s="208"/>
      <c r="AW492" s="208"/>
      <c r="AX492" s="208"/>
      <c r="AY492" s="208"/>
      <c r="AZ492" s="208"/>
      <c r="BA492" s="208"/>
    </row>
    <row r="493" ht="15.75" hidden="1" customHeight="1">
      <c r="A493" s="208"/>
      <c r="B493" s="208"/>
      <c r="C493" s="208"/>
      <c r="D493" s="208"/>
      <c r="E493" s="208"/>
      <c r="F493" s="208"/>
      <c r="G493" s="208"/>
      <c r="H493" s="208"/>
      <c r="I493" s="208"/>
      <c r="J493" s="208"/>
      <c r="K493" s="208"/>
      <c r="L493" s="208"/>
      <c r="M493" s="208"/>
      <c r="N493" s="208"/>
      <c r="O493" s="208"/>
      <c r="P493" s="208"/>
      <c r="Q493" s="208"/>
      <c r="R493" s="208"/>
      <c r="S493" s="208"/>
      <c r="T493" s="208"/>
      <c r="U493" s="208"/>
      <c r="V493" s="208"/>
      <c r="W493" s="208"/>
      <c r="X493" s="208"/>
      <c r="Y493" s="208"/>
      <c r="Z493" s="208"/>
      <c r="AA493" s="208"/>
      <c r="AB493" s="208"/>
      <c r="AC493" s="208"/>
      <c r="AD493" s="208"/>
      <c r="AE493" s="208"/>
      <c r="AF493" s="208"/>
      <c r="AG493" s="208"/>
      <c r="AH493" s="208"/>
      <c r="AI493" s="208"/>
      <c r="AJ493" s="208"/>
      <c r="AK493" s="208"/>
      <c r="AL493" s="208"/>
      <c r="AM493" s="208"/>
      <c r="AN493" s="208"/>
      <c r="AO493" s="208"/>
      <c r="AP493" s="208"/>
      <c r="AQ493" s="208"/>
      <c r="AR493" s="208"/>
      <c r="AS493" s="208"/>
      <c r="AT493" s="208"/>
      <c r="AU493" s="208"/>
      <c r="AV493" s="208"/>
      <c r="AW493" s="208"/>
      <c r="AX493" s="208"/>
      <c r="AY493" s="208"/>
      <c r="AZ493" s="208"/>
      <c r="BA493" s="208"/>
    </row>
    <row r="494" ht="15.75" hidden="1" customHeight="1">
      <c r="A494" s="208"/>
      <c r="B494" s="208"/>
      <c r="C494" s="208"/>
      <c r="D494" s="208"/>
      <c r="E494" s="208"/>
      <c r="F494" s="208"/>
      <c r="G494" s="208"/>
      <c r="H494" s="208"/>
      <c r="I494" s="208"/>
      <c r="J494" s="208"/>
      <c r="K494" s="208"/>
      <c r="L494" s="208"/>
      <c r="M494" s="208"/>
      <c r="N494" s="208"/>
      <c r="O494" s="208"/>
      <c r="P494" s="208"/>
      <c r="Q494" s="208"/>
      <c r="R494" s="208"/>
      <c r="S494" s="208"/>
      <c r="T494" s="208"/>
      <c r="U494" s="208"/>
      <c r="V494" s="208"/>
      <c r="W494" s="208"/>
      <c r="X494" s="208"/>
      <c r="Y494" s="208"/>
      <c r="Z494" s="208"/>
      <c r="AA494" s="208"/>
      <c r="AB494" s="208"/>
      <c r="AC494" s="208"/>
      <c r="AD494" s="208"/>
      <c r="AE494" s="208"/>
      <c r="AF494" s="208"/>
      <c r="AG494" s="208"/>
      <c r="AH494" s="208"/>
      <c r="AI494" s="208"/>
      <c r="AJ494" s="208"/>
      <c r="AK494" s="208"/>
      <c r="AL494" s="208"/>
      <c r="AM494" s="208"/>
      <c r="AN494" s="208"/>
      <c r="AO494" s="208"/>
      <c r="AP494" s="208"/>
      <c r="AQ494" s="208"/>
      <c r="AR494" s="208"/>
      <c r="AS494" s="208"/>
      <c r="AT494" s="208"/>
      <c r="AU494" s="208"/>
      <c r="AV494" s="208"/>
      <c r="AW494" s="208"/>
      <c r="AX494" s="208"/>
      <c r="AY494" s="208"/>
      <c r="AZ494" s="208"/>
      <c r="BA494" s="208"/>
    </row>
    <row r="495" ht="15.75" hidden="1" customHeight="1">
      <c r="A495" s="208"/>
      <c r="B495" s="208"/>
      <c r="C495" s="208"/>
      <c r="D495" s="208"/>
      <c r="E495" s="208"/>
      <c r="F495" s="208"/>
      <c r="G495" s="208"/>
      <c r="H495" s="208"/>
      <c r="I495" s="208"/>
      <c r="J495" s="208"/>
      <c r="K495" s="208"/>
      <c r="L495" s="208"/>
      <c r="M495" s="208"/>
      <c r="N495" s="208"/>
      <c r="O495" s="208"/>
      <c r="P495" s="208"/>
      <c r="Q495" s="208"/>
      <c r="R495" s="208"/>
      <c r="S495" s="208"/>
      <c r="T495" s="208"/>
      <c r="U495" s="208"/>
      <c r="V495" s="208"/>
      <c r="W495" s="208"/>
      <c r="X495" s="208"/>
      <c r="Y495" s="208"/>
      <c r="Z495" s="208"/>
      <c r="AA495" s="208"/>
      <c r="AB495" s="208"/>
      <c r="AC495" s="208"/>
      <c r="AD495" s="208"/>
      <c r="AE495" s="208"/>
      <c r="AF495" s="208"/>
      <c r="AG495" s="208"/>
      <c r="AH495" s="208"/>
      <c r="AI495" s="208"/>
      <c r="AJ495" s="208"/>
      <c r="AK495" s="208"/>
      <c r="AL495" s="208"/>
      <c r="AM495" s="208"/>
      <c r="AN495" s="208"/>
      <c r="AO495" s="208"/>
      <c r="AP495" s="208"/>
      <c r="AQ495" s="208"/>
      <c r="AR495" s="208"/>
      <c r="AS495" s="208"/>
      <c r="AT495" s="208"/>
      <c r="AU495" s="208"/>
      <c r="AV495" s="208"/>
      <c r="AW495" s="208"/>
      <c r="AX495" s="208"/>
      <c r="AY495" s="208"/>
      <c r="AZ495" s="208"/>
      <c r="BA495" s="208"/>
    </row>
    <row r="496" ht="15.75" hidden="1" customHeight="1">
      <c r="A496" s="208"/>
      <c r="B496" s="208"/>
      <c r="C496" s="208"/>
      <c r="D496" s="208"/>
      <c r="E496" s="208"/>
      <c r="F496" s="208"/>
      <c r="G496" s="208"/>
      <c r="H496" s="208"/>
      <c r="I496" s="208"/>
      <c r="J496" s="208"/>
      <c r="K496" s="208"/>
      <c r="L496" s="208"/>
      <c r="M496" s="208"/>
      <c r="N496" s="208"/>
      <c r="O496" s="208"/>
      <c r="P496" s="208"/>
      <c r="Q496" s="208"/>
      <c r="R496" s="208"/>
      <c r="S496" s="208"/>
      <c r="T496" s="208"/>
      <c r="U496" s="208"/>
      <c r="V496" s="208"/>
      <c r="W496" s="208"/>
      <c r="X496" s="208"/>
      <c r="Y496" s="208"/>
      <c r="Z496" s="208"/>
      <c r="AA496" s="208"/>
      <c r="AB496" s="208"/>
      <c r="AC496" s="208"/>
      <c r="AD496" s="208"/>
      <c r="AE496" s="208"/>
      <c r="AF496" s="208"/>
      <c r="AG496" s="208"/>
      <c r="AH496" s="208"/>
      <c r="AI496" s="208"/>
      <c r="AJ496" s="208"/>
      <c r="AK496" s="208"/>
      <c r="AL496" s="208"/>
      <c r="AM496" s="208"/>
      <c r="AN496" s="208"/>
      <c r="AO496" s="208"/>
      <c r="AP496" s="208"/>
      <c r="AQ496" s="208"/>
      <c r="AR496" s="208"/>
      <c r="AS496" s="208"/>
      <c r="AT496" s="208"/>
      <c r="AU496" s="208"/>
      <c r="AV496" s="208"/>
      <c r="AW496" s="208"/>
      <c r="AX496" s="208"/>
      <c r="AY496" s="208"/>
      <c r="AZ496" s="208"/>
      <c r="BA496" s="208"/>
    </row>
    <row r="497" ht="15.75" hidden="1" customHeight="1">
      <c r="A497" s="208"/>
      <c r="B497" s="208"/>
      <c r="C497" s="208"/>
      <c r="D497" s="208"/>
      <c r="E497" s="208"/>
      <c r="F497" s="208"/>
      <c r="G497" s="208"/>
      <c r="H497" s="208"/>
      <c r="I497" s="208"/>
      <c r="J497" s="208"/>
      <c r="K497" s="208"/>
      <c r="L497" s="208"/>
      <c r="M497" s="208"/>
      <c r="N497" s="208"/>
      <c r="O497" s="208"/>
      <c r="P497" s="208"/>
      <c r="Q497" s="208"/>
      <c r="R497" s="208"/>
      <c r="S497" s="208"/>
      <c r="T497" s="208"/>
      <c r="U497" s="208"/>
      <c r="V497" s="208"/>
      <c r="W497" s="208"/>
      <c r="X497" s="208"/>
      <c r="Y497" s="208"/>
      <c r="Z497" s="208"/>
      <c r="AA497" s="208"/>
      <c r="AB497" s="208"/>
      <c r="AC497" s="208"/>
      <c r="AD497" s="208"/>
      <c r="AE497" s="208"/>
      <c r="AF497" s="208"/>
      <c r="AG497" s="208"/>
      <c r="AH497" s="208"/>
      <c r="AI497" s="208"/>
      <c r="AJ497" s="208"/>
      <c r="AK497" s="208"/>
      <c r="AL497" s="208"/>
      <c r="AM497" s="208"/>
      <c r="AN497" s="208"/>
      <c r="AO497" s="208"/>
      <c r="AP497" s="208"/>
      <c r="AQ497" s="208"/>
      <c r="AR497" s="208"/>
      <c r="AS497" s="208"/>
      <c r="AT497" s="208"/>
      <c r="AU497" s="208"/>
      <c r="AV497" s="208"/>
      <c r="AW497" s="208"/>
      <c r="AX497" s="208"/>
      <c r="AY497" s="208"/>
      <c r="AZ497" s="208"/>
      <c r="BA497" s="208"/>
    </row>
    <row r="498" ht="15.75" hidden="1" customHeight="1">
      <c r="A498" s="208"/>
      <c r="B498" s="208"/>
      <c r="C498" s="208"/>
      <c r="D498" s="208"/>
      <c r="E498" s="208"/>
      <c r="F498" s="208"/>
      <c r="G498" s="208"/>
      <c r="H498" s="208"/>
      <c r="I498" s="208"/>
      <c r="J498" s="208"/>
      <c r="K498" s="208"/>
      <c r="L498" s="208"/>
      <c r="M498" s="208"/>
      <c r="N498" s="208"/>
      <c r="O498" s="208"/>
      <c r="P498" s="208"/>
      <c r="Q498" s="208"/>
      <c r="R498" s="208"/>
      <c r="S498" s="208"/>
      <c r="T498" s="208"/>
      <c r="U498" s="208"/>
      <c r="V498" s="208"/>
      <c r="W498" s="208"/>
      <c r="X498" s="208"/>
      <c r="Y498" s="208"/>
      <c r="Z498" s="208"/>
      <c r="AA498" s="208"/>
      <c r="AB498" s="208"/>
      <c r="AC498" s="208"/>
      <c r="AD498" s="208"/>
      <c r="AE498" s="208"/>
      <c r="AF498" s="208"/>
      <c r="AG498" s="208"/>
      <c r="AH498" s="208"/>
      <c r="AI498" s="208"/>
      <c r="AJ498" s="208"/>
      <c r="AK498" s="208"/>
      <c r="AL498" s="208"/>
      <c r="AM498" s="208"/>
      <c r="AN498" s="208"/>
      <c r="AO498" s="208"/>
      <c r="AP498" s="208"/>
      <c r="AQ498" s="208"/>
      <c r="AR498" s="208"/>
      <c r="AS498" s="208"/>
      <c r="AT498" s="208"/>
      <c r="AU498" s="208"/>
      <c r="AV498" s="208"/>
      <c r="AW498" s="208"/>
      <c r="AX498" s="208"/>
      <c r="AY498" s="208"/>
      <c r="AZ498" s="208"/>
      <c r="BA498" s="208"/>
    </row>
    <row r="499" ht="15.75" hidden="1" customHeight="1">
      <c r="A499" s="208"/>
      <c r="B499" s="208"/>
      <c r="C499" s="208"/>
      <c r="D499" s="208"/>
      <c r="E499" s="208"/>
      <c r="F499" s="208"/>
      <c r="G499" s="208"/>
      <c r="H499" s="208"/>
      <c r="I499" s="208"/>
      <c r="J499" s="208"/>
      <c r="K499" s="208"/>
      <c r="L499" s="208"/>
      <c r="M499" s="208"/>
      <c r="N499" s="208"/>
      <c r="O499" s="208"/>
      <c r="P499" s="208"/>
      <c r="Q499" s="208"/>
      <c r="R499" s="208"/>
      <c r="S499" s="208"/>
      <c r="T499" s="208"/>
      <c r="U499" s="208"/>
      <c r="V499" s="208"/>
      <c r="W499" s="208"/>
      <c r="X499" s="208"/>
      <c r="Y499" s="208"/>
      <c r="Z499" s="208"/>
      <c r="AA499" s="208"/>
      <c r="AB499" s="208"/>
      <c r="AC499" s="208"/>
      <c r="AD499" s="208"/>
      <c r="AE499" s="208"/>
      <c r="AF499" s="208"/>
      <c r="AG499" s="208"/>
      <c r="AH499" s="208"/>
      <c r="AI499" s="208"/>
      <c r="AJ499" s="208"/>
      <c r="AK499" s="208"/>
      <c r="AL499" s="208"/>
      <c r="AM499" s="208"/>
      <c r="AN499" s="208"/>
      <c r="AO499" s="208"/>
      <c r="AP499" s="208"/>
      <c r="AQ499" s="208"/>
      <c r="AR499" s="208"/>
      <c r="AS499" s="208"/>
      <c r="AT499" s="208"/>
      <c r="AU499" s="208"/>
      <c r="AV499" s="208"/>
      <c r="AW499" s="208"/>
      <c r="AX499" s="208"/>
      <c r="AY499" s="208"/>
      <c r="AZ499" s="208"/>
      <c r="BA499" s="208"/>
    </row>
    <row r="500" ht="15.75" hidden="1" customHeight="1">
      <c r="A500" s="208"/>
      <c r="B500" s="208"/>
      <c r="C500" s="208"/>
      <c r="D500" s="208"/>
      <c r="E500" s="208"/>
      <c r="F500" s="208"/>
      <c r="G500" s="208"/>
      <c r="H500" s="208"/>
      <c r="I500" s="208"/>
      <c r="J500" s="208"/>
      <c r="K500" s="208"/>
      <c r="L500" s="208"/>
      <c r="M500" s="208"/>
      <c r="N500" s="208"/>
      <c r="O500" s="208"/>
      <c r="P500" s="208"/>
      <c r="Q500" s="208"/>
      <c r="R500" s="208"/>
      <c r="S500" s="208"/>
      <c r="T500" s="208"/>
      <c r="U500" s="208"/>
      <c r="V500" s="208"/>
      <c r="W500" s="208"/>
      <c r="X500" s="208"/>
      <c r="Y500" s="208"/>
      <c r="Z500" s="208"/>
      <c r="AA500" s="208"/>
      <c r="AB500" s="208"/>
      <c r="AC500" s="208"/>
      <c r="AD500" s="208"/>
      <c r="AE500" s="208"/>
      <c r="AF500" s="208"/>
      <c r="AG500" s="208"/>
      <c r="AH500" s="208"/>
      <c r="AI500" s="208"/>
      <c r="AJ500" s="208"/>
      <c r="AK500" s="208"/>
      <c r="AL500" s="208"/>
      <c r="AM500" s="208"/>
      <c r="AN500" s="208"/>
      <c r="AO500" s="208"/>
      <c r="AP500" s="208"/>
      <c r="AQ500" s="208"/>
      <c r="AR500" s="208"/>
      <c r="AS500" s="208"/>
      <c r="AT500" s="208"/>
      <c r="AU500" s="208"/>
      <c r="AV500" s="208"/>
      <c r="AW500" s="208"/>
      <c r="AX500" s="208"/>
      <c r="AY500" s="208"/>
      <c r="AZ500" s="208"/>
      <c r="BA500" s="208"/>
    </row>
    <row r="501" ht="15.75" hidden="1" customHeight="1">
      <c r="A501" s="208"/>
      <c r="B501" s="208"/>
      <c r="C501" s="208"/>
      <c r="D501" s="208"/>
      <c r="E501" s="208"/>
      <c r="F501" s="208"/>
      <c r="G501" s="208"/>
      <c r="H501" s="208"/>
      <c r="I501" s="208"/>
      <c r="J501" s="208"/>
      <c r="K501" s="208"/>
      <c r="L501" s="208"/>
      <c r="M501" s="208"/>
      <c r="N501" s="208"/>
      <c r="O501" s="208"/>
      <c r="P501" s="208"/>
      <c r="Q501" s="208"/>
      <c r="R501" s="208"/>
      <c r="S501" s="208"/>
      <c r="T501" s="208"/>
      <c r="U501" s="208"/>
      <c r="V501" s="208"/>
      <c r="W501" s="208"/>
      <c r="X501" s="208"/>
      <c r="Y501" s="208"/>
      <c r="Z501" s="208"/>
      <c r="AA501" s="208"/>
      <c r="AB501" s="208"/>
      <c r="AC501" s="208"/>
      <c r="AD501" s="208"/>
      <c r="AE501" s="208"/>
      <c r="AF501" s="208"/>
      <c r="AG501" s="208"/>
      <c r="AH501" s="208"/>
      <c r="AI501" s="208"/>
      <c r="AJ501" s="208"/>
      <c r="AK501" s="208"/>
      <c r="AL501" s="208"/>
      <c r="AM501" s="208"/>
      <c r="AN501" s="208"/>
      <c r="AO501" s="208"/>
      <c r="AP501" s="208"/>
      <c r="AQ501" s="208"/>
      <c r="AR501" s="208"/>
      <c r="AS501" s="208"/>
      <c r="AT501" s="208"/>
      <c r="AU501" s="208"/>
      <c r="AV501" s="208"/>
      <c r="AW501" s="208"/>
      <c r="AX501" s="208"/>
      <c r="AY501" s="208"/>
      <c r="AZ501" s="208"/>
      <c r="BA501" s="208"/>
    </row>
    <row r="502" ht="15.75" hidden="1" customHeight="1">
      <c r="A502" s="208"/>
      <c r="B502" s="208"/>
      <c r="C502" s="208"/>
      <c r="D502" s="208"/>
      <c r="E502" s="208"/>
      <c r="F502" s="208"/>
      <c r="G502" s="208"/>
      <c r="H502" s="208"/>
      <c r="I502" s="208"/>
      <c r="J502" s="208"/>
      <c r="K502" s="208"/>
      <c r="L502" s="208"/>
      <c r="M502" s="208"/>
      <c r="N502" s="208"/>
      <c r="O502" s="208"/>
      <c r="P502" s="208"/>
      <c r="Q502" s="208"/>
      <c r="R502" s="208"/>
      <c r="S502" s="208"/>
      <c r="T502" s="208"/>
      <c r="U502" s="208"/>
      <c r="V502" s="208"/>
      <c r="W502" s="208"/>
      <c r="X502" s="208"/>
      <c r="Y502" s="208"/>
      <c r="Z502" s="208"/>
      <c r="AA502" s="208"/>
      <c r="AB502" s="208"/>
      <c r="AC502" s="208"/>
      <c r="AD502" s="208"/>
      <c r="AE502" s="208"/>
      <c r="AF502" s="208"/>
      <c r="AG502" s="208"/>
      <c r="AH502" s="208"/>
      <c r="AI502" s="208"/>
      <c r="AJ502" s="208"/>
      <c r="AK502" s="208"/>
      <c r="AL502" s="208"/>
      <c r="AM502" s="208"/>
      <c r="AN502" s="208"/>
      <c r="AO502" s="208"/>
      <c r="AP502" s="208"/>
      <c r="AQ502" s="208"/>
      <c r="AR502" s="208"/>
      <c r="AS502" s="208"/>
      <c r="AT502" s="208"/>
      <c r="AU502" s="208"/>
      <c r="AV502" s="208"/>
      <c r="AW502" s="208"/>
      <c r="AX502" s="208"/>
      <c r="AY502" s="208"/>
      <c r="AZ502" s="208"/>
      <c r="BA502" s="208"/>
    </row>
    <row r="503" ht="15.75" hidden="1" customHeight="1">
      <c r="A503" s="208"/>
      <c r="B503" s="208"/>
      <c r="C503" s="208"/>
      <c r="D503" s="208"/>
      <c r="E503" s="208"/>
      <c r="F503" s="208"/>
      <c r="G503" s="208"/>
      <c r="H503" s="208"/>
      <c r="I503" s="208"/>
      <c r="J503" s="208"/>
      <c r="K503" s="208"/>
      <c r="L503" s="208"/>
      <c r="M503" s="208"/>
      <c r="N503" s="208"/>
      <c r="O503" s="208"/>
      <c r="P503" s="208"/>
      <c r="Q503" s="208"/>
      <c r="R503" s="208"/>
      <c r="S503" s="208"/>
      <c r="T503" s="208"/>
      <c r="U503" s="208"/>
      <c r="V503" s="208"/>
      <c r="W503" s="208"/>
      <c r="X503" s="208"/>
      <c r="Y503" s="208"/>
      <c r="Z503" s="208"/>
      <c r="AA503" s="208"/>
      <c r="AB503" s="208"/>
      <c r="AC503" s="208"/>
      <c r="AD503" s="208"/>
      <c r="AE503" s="208"/>
      <c r="AF503" s="208"/>
      <c r="AG503" s="208"/>
      <c r="AH503" s="208"/>
      <c r="AI503" s="208"/>
      <c r="AJ503" s="208"/>
      <c r="AK503" s="208"/>
      <c r="AL503" s="208"/>
      <c r="AM503" s="208"/>
      <c r="AN503" s="208"/>
      <c r="AO503" s="208"/>
      <c r="AP503" s="208"/>
      <c r="AQ503" s="208"/>
      <c r="AR503" s="208"/>
      <c r="AS503" s="208"/>
      <c r="AT503" s="208"/>
      <c r="AU503" s="208"/>
      <c r="AV503" s="208"/>
      <c r="AW503" s="208"/>
      <c r="AX503" s="208"/>
      <c r="AY503" s="208"/>
      <c r="AZ503" s="208"/>
      <c r="BA503" s="208"/>
    </row>
    <row r="504" ht="15.75" hidden="1" customHeight="1">
      <c r="A504" s="208"/>
      <c r="B504" s="208"/>
      <c r="C504" s="208"/>
      <c r="D504" s="208"/>
      <c r="E504" s="208"/>
      <c r="F504" s="208"/>
      <c r="G504" s="208"/>
      <c r="H504" s="208"/>
      <c r="I504" s="208"/>
      <c r="J504" s="208"/>
      <c r="K504" s="208"/>
      <c r="L504" s="208"/>
      <c r="M504" s="208"/>
      <c r="N504" s="208"/>
      <c r="O504" s="208"/>
      <c r="P504" s="208"/>
      <c r="Q504" s="208"/>
      <c r="R504" s="208"/>
      <c r="S504" s="208"/>
      <c r="T504" s="208"/>
      <c r="U504" s="208"/>
      <c r="V504" s="208"/>
      <c r="W504" s="208"/>
      <c r="X504" s="208"/>
      <c r="Y504" s="208"/>
      <c r="Z504" s="208"/>
      <c r="AA504" s="208"/>
      <c r="AB504" s="208"/>
      <c r="AC504" s="208"/>
      <c r="AD504" s="208"/>
      <c r="AE504" s="208"/>
      <c r="AF504" s="208"/>
      <c r="AG504" s="208"/>
      <c r="AH504" s="208"/>
      <c r="AI504" s="208"/>
      <c r="AJ504" s="208"/>
      <c r="AK504" s="208"/>
      <c r="AL504" s="208"/>
      <c r="AM504" s="208"/>
      <c r="AN504" s="208"/>
      <c r="AO504" s="208"/>
      <c r="AP504" s="208"/>
      <c r="AQ504" s="208"/>
      <c r="AR504" s="208"/>
      <c r="AS504" s="208"/>
      <c r="AT504" s="208"/>
      <c r="AU504" s="208"/>
      <c r="AV504" s="208"/>
      <c r="AW504" s="208"/>
      <c r="AX504" s="208"/>
      <c r="AY504" s="208"/>
      <c r="AZ504" s="208"/>
      <c r="BA504" s="208"/>
    </row>
    <row r="505" ht="15.75" hidden="1" customHeight="1">
      <c r="A505" s="208"/>
      <c r="B505" s="208"/>
      <c r="C505" s="208"/>
      <c r="D505" s="208"/>
      <c r="E505" s="208"/>
      <c r="F505" s="208"/>
      <c r="G505" s="208"/>
      <c r="H505" s="208"/>
      <c r="I505" s="208"/>
      <c r="J505" s="208"/>
      <c r="K505" s="208"/>
      <c r="L505" s="208"/>
      <c r="M505" s="208"/>
      <c r="N505" s="208"/>
      <c r="O505" s="208"/>
      <c r="P505" s="208"/>
      <c r="Q505" s="208"/>
      <c r="R505" s="208"/>
      <c r="S505" s="208"/>
      <c r="T505" s="208"/>
      <c r="U505" s="208"/>
      <c r="V505" s="208"/>
      <c r="W505" s="208"/>
      <c r="X505" s="208"/>
      <c r="Y505" s="208"/>
      <c r="Z505" s="208"/>
      <c r="AA505" s="208"/>
      <c r="AB505" s="208"/>
      <c r="AC505" s="208"/>
      <c r="AD505" s="208"/>
      <c r="AE505" s="208"/>
      <c r="AF505" s="208"/>
      <c r="AG505" s="208"/>
      <c r="AH505" s="208"/>
      <c r="AI505" s="208"/>
      <c r="AJ505" s="208"/>
      <c r="AK505" s="208"/>
      <c r="AL505" s="208"/>
      <c r="AM505" s="208"/>
      <c r="AN505" s="208"/>
      <c r="AO505" s="208"/>
      <c r="AP505" s="208"/>
      <c r="AQ505" s="208"/>
      <c r="AR505" s="208"/>
      <c r="AS505" s="208"/>
      <c r="AT505" s="208"/>
      <c r="AU505" s="208"/>
      <c r="AV505" s="208"/>
      <c r="AW505" s="208"/>
      <c r="AX505" s="208"/>
      <c r="AY505" s="208"/>
      <c r="AZ505" s="208"/>
      <c r="BA505" s="208"/>
    </row>
    <row r="506" ht="15.75" hidden="1" customHeight="1">
      <c r="A506" s="208"/>
      <c r="B506" s="208"/>
      <c r="C506" s="208"/>
      <c r="D506" s="208"/>
      <c r="E506" s="208"/>
      <c r="F506" s="208"/>
      <c r="G506" s="208"/>
      <c r="H506" s="208"/>
      <c r="I506" s="208"/>
      <c r="J506" s="208"/>
      <c r="K506" s="208"/>
      <c r="L506" s="208"/>
      <c r="M506" s="208"/>
      <c r="N506" s="208"/>
      <c r="O506" s="208"/>
      <c r="P506" s="208"/>
      <c r="Q506" s="208"/>
      <c r="R506" s="208"/>
      <c r="S506" s="208"/>
      <c r="T506" s="208"/>
      <c r="U506" s="208"/>
      <c r="V506" s="208"/>
      <c r="W506" s="208"/>
      <c r="X506" s="208"/>
      <c r="Y506" s="208"/>
      <c r="Z506" s="208"/>
      <c r="AA506" s="208"/>
      <c r="AB506" s="208"/>
      <c r="AC506" s="208"/>
      <c r="AD506" s="208"/>
      <c r="AE506" s="208"/>
      <c r="AF506" s="208"/>
      <c r="AG506" s="208"/>
      <c r="AH506" s="208"/>
      <c r="AI506" s="208"/>
      <c r="AJ506" s="208"/>
      <c r="AK506" s="208"/>
      <c r="AL506" s="208"/>
      <c r="AM506" s="208"/>
      <c r="AN506" s="208"/>
      <c r="AO506" s="208"/>
      <c r="AP506" s="208"/>
      <c r="AQ506" s="208"/>
      <c r="AR506" s="208"/>
      <c r="AS506" s="208"/>
      <c r="AT506" s="208"/>
      <c r="AU506" s="208"/>
      <c r="AV506" s="208"/>
      <c r="AW506" s="208"/>
      <c r="AX506" s="208"/>
      <c r="AY506" s="208"/>
      <c r="AZ506" s="208"/>
      <c r="BA506" s="208"/>
    </row>
    <row r="507" ht="15.75" hidden="1" customHeight="1">
      <c r="A507" s="208"/>
      <c r="B507" s="208"/>
      <c r="C507" s="208"/>
      <c r="D507" s="208"/>
      <c r="E507" s="208"/>
      <c r="F507" s="208"/>
      <c r="G507" s="208"/>
      <c r="H507" s="208"/>
      <c r="I507" s="208"/>
      <c r="J507" s="208"/>
      <c r="K507" s="208"/>
      <c r="L507" s="208"/>
      <c r="M507" s="208"/>
      <c r="N507" s="208"/>
      <c r="O507" s="208"/>
      <c r="P507" s="208"/>
      <c r="Q507" s="208"/>
      <c r="R507" s="208"/>
      <c r="S507" s="208"/>
      <c r="T507" s="208"/>
      <c r="U507" s="208"/>
      <c r="V507" s="208"/>
      <c r="W507" s="208"/>
      <c r="X507" s="208"/>
      <c r="Y507" s="208"/>
      <c r="Z507" s="208"/>
      <c r="AA507" s="208"/>
      <c r="AB507" s="208"/>
      <c r="AC507" s="208"/>
      <c r="AD507" s="208"/>
      <c r="AE507" s="208"/>
      <c r="AF507" s="208"/>
      <c r="AG507" s="208"/>
      <c r="AH507" s="208"/>
      <c r="AI507" s="208"/>
      <c r="AJ507" s="208"/>
      <c r="AK507" s="208"/>
      <c r="AL507" s="208"/>
      <c r="AM507" s="208"/>
      <c r="AN507" s="208"/>
      <c r="AO507" s="208"/>
      <c r="AP507" s="208"/>
      <c r="AQ507" s="208"/>
      <c r="AR507" s="208"/>
      <c r="AS507" s="208"/>
      <c r="AT507" s="208"/>
      <c r="AU507" s="208"/>
      <c r="AV507" s="208"/>
      <c r="AW507" s="208"/>
      <c r="AX507" s="208"/>
      <c r="AY507" s="208"/>
      <c r="AZ507" s="208"/>
      <c r="BA507" s="208"/>
    </row>
    <row r="508" ht="15.75" hidden="1" customHeight="1">
      <c r="A508" s="208"/>
      <c r="B508" s="208"/>
      <c r="C508" s="208"/>
      <c r="D508" s="208"/>
      <c r="E508" s="208"/>
      <c r="F508" s="208"/>
      <c r="G508" s="208"/>
      <c r="H508" s="208"/>
      <c r="I508" s="208"/>
      <c r="J508" s="208"/>
      <c r="K508" s="208"/>
      <c r="L508" s="208"/>
      <c r="M508" s="208"/>
      <c r="N508" s="208"/>
      <c r="O508" s="208"/>
      <c r="P508" s="208"/>
      <c r="Q508" s="208"/>
      <c r="R508" s="208"/>
      <c r="S508" s="208"/>
      <c r="T508" s="208"/>
      <c r="U508" s="208"/>
      <c r="V508" s="208"/>
      <c r="W508" s="208"/>
      <c r="X508" s="208"/>
      <c r="Y508" s="208"/>
      <c r="Z508" s="208"/>
      <c r="AA508" s="208"/>
      <c r="AB508" s="208"/>
      <c r="AC508" s="208"/>
      <c r="AD508" s="208"/>
      <c r="AE508" s="208"/>
      <c r="AF508" s="208"/>
      <c r="AG508" s="208"/>
      <c r="AH508" s="208"/>
      <c r="AI508" s="208"/>
      <c r="AJ508" s="208"/>
      <c r="AK508" s="208"/>
      <c r="AL508" s="208"/>
      <c r="AM508" s="208"/>
      <c r="AN508" s="208"/>
      <c r="AO508" s="208"/>
      <c r="AP508" s="208"/>
      <c r="AQ508" s="208"/>
      <c r="AR508" s="208"/>
      <c r="AS508" s="208"/>
      <c r="AT508" s="208"/>
      <c r="AU508" s="208"/>
      <c r="AV508" s="208"/>
      <c r="AW508" s="208"/>
      <c r="AX508" s="208"/>
      <c r="AY508" s="208"/>
      <c r="AZ508" s="208"/>
      <c r="BA508" s="208"/>
    </row>
    <row r="509" ht="15.75" hidden="1" customHeight="1">
      <c r="A509" s="208"/>
      <c r="B509" s="208"/>
      <c r="C509" s="208"/>
      <c r="D509" s="208"/>
      <c r="E509" s="208"/>
      <c r="F509" s="208"/>
      <c r="G509" s="208"/>
      <c r="H509" s="208"/>
      <c r="I509" s="208"/>
      <c r="J509" s="208"/>
      <c r="K509" s="208"/>
      <c r="L509" s="208"/>
      <c r="M509" s="208"/>
      <c r="N509" s="208"/>
      <c r="O509" s="208"/>
      <c r="P509" s="208"/>
      <c r="Q509" s="208"/>
      <c r="R509" s="208"/>
      <c r="S509" s="208"/>
      <c r="T509" s="208"/>
      <c r="U509" s="208"/>
      <c r="V509" s="208"/>
      <c r="W509" s="208"/>
      <c r="X509" s="208"/>
      <c r="Y509" s="208"/>
      <c r="Z509" s="208"/>
      <c r="AA509" s="208"/>
      <c r="AB509" s="208"/>
      <c r="AC509" s="208"/>
      <c r="AD509" s="208"/>
      <c r="AE509" s="208"/>
      <c r="AF509" s="208"/>
      <c r="AG509" s="208"/>
      <c r="AH509" s="208"/>
      <c r="AI509" s="208"/>
      <c r="AJ509" s="208"/>
      <c r="AK509" s="208"/>
      <c r="AL509" s="208"/>
      <c r="AM509" s="208"/>
      <c r="AN509" s="208"/>
      <c r="AO509" s="208"/>
      <c r="AP509" s="208"/>
      <c r="AQ509" s="208"/>
      <c r="AR509" s="208"/>
      <c r="AS509" s="208"/>
      <c r="AT509" s="208"/>
      <c r="AU509" s="208"/>
      <c r="AV509" s="208"/>
      <c r="AW509" s="208"/>
      <c r="AX509" s="208"/>
      <c r="AY509" s="208"/>
      <c r="AZ509" s="208"/>
      <c r="BA509" s="208"/>
    </row>
    <row r="510" ht="15.75" hidden="1" customHeight="1">
      <c r="A510" s="208"/>
      <c r="B510" s="208"/>
      <c r="C510" s="208"/>
      <c r="D510" s="208"/>
      <c r="E510" s="208"/>
      <c r="F510" s="208"/>
      <c r="G510" s="208"/>
      <c r="H510" s="208"/>
      <c r="I510" s="208"/>
      <c r="J510" s="208"/>
      <c r="K510" s="208"/>
      <c r="L510" s="208"/>
      <c r="M510" s="208"/>
      <c r="N510" s="208"/>
      <c r="O510" s="208"/>
      <c r="P510" s="208"/>
      <c r="Q510" s="208"/>
      <c r="R510" s="208"/>
      <c r="S510" s="208"/>
      <c r="T510" s="208"/>
      <c r="U510" s="208"/>
      <c r="V510" s="208"/>
      <c r="W510" s="208"/>
      <c r="X510" s="208"/>
      <c r="Y510" s="208"/>
      <c r="Z510" s="208"/>
      <c r="AA510" s="208"/>
      <c r="AB510" s="208"/>
      <c r="AC510" s="208"/>
      <c r="AD510" s="208"/>
      <c r="AE510" s="208"/>
      <c r="AF510" s="208"/>
      <c r="AG510" s="208"/>
      <c r="AH510" s="208"/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8"/>
      <c r="AT510" s="208"/>
      <c r="AU510" s="208"/>
      <c r="AV510" s="208"/>
      <c r="AW510" s="208"/>
      <c r="AX510" s="208"/>
      <c r="AY510" s="208"/>
      <c r="AZ510" s="208"/>
      <c r="BA510" s="208"/>
    </row>
    <row r="511" ht="15.75" hidden="1" customHeight="1">
      <c r="A511" s="208"/>
      <c r="B511" s="208"/>
      <c r="C511" s="208"/>
      <c r="D511" s="208"/>
      <c r="E511" s="208"/>
      <c r="F511" s="208"/>
      <c r="G511" s="208"/>
      <c r="H511" s="208"/>
      <c r="I511" s="208"/>
      <c r="J511" s="208"/>
      <c r="K511" s="208"/>
      <c r="L511" s="208"/>
      <c r="M511" s="208"/>
      <c r="N511" s="208"/>
      <c r="O511" s="208"/>
      <c r="P511" s="208"/>
      <c r="Q511" s="208"/>
      <c r="R511" s="208"/>
      <c r="S511" s="208"/>
      <c r="T511" s="208"/>
      <c r="U511" s="208"/>
      <c r="V511" s="208"/>
      <c r="W511" s="208"/>
      <c r="X511" s="208"/>
      <c r="Y511" s="208"/>
      <c r="Z511" s="208"/>
      <c r="AA511" s="208"/>
      <c r="AB511" s="208"/>
      <c r="AC511" s="208"/>
      <c r="AD511" s="208"/>
      <c r="AE511" s="208"/>
      <c r="AF511" s="208"/>
      <c r="AG511" s="208"/>
      <c r="AH511" s="208"/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8"/>
      <c r="AT511" s="208"/>
      <c r="AU511" s="208"/>
      <c r="AV511" s="208"/>
      <c r="AW511" s="208"/>
      <c r="AX511" s="208"/>
      <c r="AY511" s="208"/>
      <c r="AZ511" s="208"/>
      <c r="BA511" s="208"/>
    </row>
    <row r="512" ht="15.75" hidden="1" customHeight="1">
      <c r="A512" s="208"/>
      <c r="B512" s="208"/>
      <c r="C512" s="208"/>
      <c r="D512" s="208"/>
      <c r="E512" s="208"/>
      <c r="F512" s="208"/>
      <c r="G512" s="208"/>
      <c r="H512" s="208"/>
      <c r="I512" s="208"/>
      <c r="J512" s="208"/>
      <c r="K512" s="208"/>
      <c r="L512" s="208"/>
      <c r="M512" s="208"/>
      <c r="N512" s="208"/>
      <c r="O512" s="208"/>
      <c r="P512" s="208"/>
      <c r="Q512" s="208"/>
      <c r="R512" s="208"/>
      <c r="S512" s="208"/>
      <c r="T512" s="208"/>
      <c r="U512" s="208"/>
      <c r="V512" s="208"/>
      <c r="W512" s="208"/>
      <c r="X512" s="208"/>
      <c r="Y512" s="208"/>
      <c r="Z512" s="208"/>
      <c r="AA512" s="208"/>
      <c r="AB512" s="208"/>
      <c r="AC512" s="208"/>
      <c r="AD512" s="208"/>
      <c r="AE512" s="208"/>
      <c r="AF512" s="208"/>
      <c r="AG512" s="208"/>
      <c r="AH512" s="208"/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8"/>
      <c r="AT512" s="208"/>
      <c r="AU512" s="208"/>
      <c r="AV512" s="208"/>
      <c r="AW512" s="208"/>
      <c r="AX512" s="208"/>
      <c r="AY512" s="208"/>
      <c r="AZ512" s="208"/>
      <c r="BA512" s="208"/>
    </row>
    <row r="513" ht="15.75" hidden="1" customHeight="1">
      <c r="A513" s="208"/>
      <c r="B513" s="208"/>
      <c r="C513" s="208"/>
      <c r="D513" s="208"/>
      <c r="E513" s="208"/>
      <c r="F513" s="208"/>
      <c r="G513" s="208"/>
      <c r="H513" s="208"/>
      <c r="I513" s="208"/>
      <c r="J513" s="208"/>
      <c r="K513" s="208"/>
      <c r="L513" s="208"/>
      <c r="M513" s="208"/>
      <c r="N513" s="208"/>
      <c r="O513" s="208"/>
      <c r="P513" s="208"/>
      <c r="Q513" s="208"/>
      <c r="R513" s="208"/>
      <c r="S513" s="208"/>
      <c r="T513" s="208"/>
      <c r="U513" s="208"/>
      <c r="V513" s="208"/>
      <c r="W513" s="208"/>
      <c r="X513" s="208"/>
      <c r="Y513" s="208"/>
      <c r="Z513" s="208"/>
      <c r="AA513" s="208"/>
      <c r="AB513" s="208"/>
      <c r="AC513" s="208"/>
      <c r="AD513" s="208"/>
      <c r="AE513" s="208"/>
      <c r="AF513" s="208"/>
      <c r="AG513" s="208"/>
      <c r="AH513" s="208"/>
      <c r="AI513" s="208"/>
      <c r="AJ513" s="208"/>
      <c r="AK513" s="208"/>
      <c r="AL513" s="208"/>
      <c r="AM513" s="208"/>
      <c r="AN513" s="208"/>
      <c r="AO513" s="208"/>
      <c r="AP513" s="208"/>
      <c r="AQ513" s="208"/>
      <c r="AR513" s="208"/>
      <c r="AS513" s="208"/>
      <c r="AT513" s="208"/>
      <c r="AU513" s="208"/>
      <c r="AV513" s="208"/>
      <c r="AW513" s="208"/>
      <c r="AX513" s="208"/>
      <c r="AY513" s="208"/>
      <c r="AZ513" s="208"/>
      <c r="BA513" s="208"/>
    </row>
    <row r="514" ht="15.75" hidden="1" customHeight="1">
      <c r="A514" s="208"/>
      <c r="B514" s="208"/>
      <c r="C514" s="208"/>
      <c r="D514" s="208"/>
      <c r="E514" s="208"/>
      <c r="F514" s="208"/>
      <c r="G514" s="208"/>
      <c r="H514" s="208"/>
      <c r="I514" s="208"/>
      <c r="J514" s="208"/>
      <c r="K514" s="208"/>
      <c r="L514" s="208"/>
      <c r="M514" s="208"/>
      <c r="N514" s="208"/>
      <c r="O514" s="208"/>
      <c r="P514" s="208"/>
      <c r="Q514" s="208"/>
      <c r="R514" s="208"/>
      <c r="S514" s="208"/>
      <c r="T514" s="208"/>
      <c r="U514" s="208"/>
      <c r="V514" s="208"/>
      <c r="W514" s="208"/>
      <c r="X514" s="208"/>
      <c r="Y514" s="208"/>
      <c r="Z514" s="208"/>
      <c r="AA514" s="208"/>
      <c r="AB514" s="208"/>
      <c r="AC514" s="208"/>
      <c r="AD514" s="208"/>
      <c r="AE514" s="208"/>
      <c r="AF514" s="208"/>
      <c r="AG514" s="208"/>
      <c r="AH514" s="208"/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8"/>
      <c r="AT514" s="208"/>
      <c r="AU514" s="208"/>
      <c r="AV514" s="208"/>
      <c r="AW514" s="208"/>
      <c r="AX514" s="208"/>
      <c r="AY514" s="208"/>
      <c r="AZ514" s="208"/>
      <c r="BA514" s="208"/>
    </row>
    <row r="515" ht="15.75" hidden="1" customHeight="1">
      <c r="A515" s="208"/>
      <c r="B515" s="208"/>
      <c r="C515" s="208"/>
      <c r="D515" s="208"/>
      <c r="E515" s="208"/>
      <c r="F515" s="208"/>
      <c r="G515" s="208"/>
      <c r="H515" s="208"/>
      <c r="I515" s="208"/>
      <c r="J515" s="208"/>
      <c r="K515" s="208"/>
      <c r="L515" s="208"/>
      <c r="M515" s="208"/>
      <c r="N515" s="208"/>
      <c r="O515" s="208"/>
      <c r="P515" s="208"/>
      <c r="Q515" s="208"/>
      <c r="R515" s="208"/>
      <c r="S515" s="208"/>
      <c r="T515" s="208"/>
      <c r="U515" s="208"/>
      <c r="V515" s="208"/>
      <c r="W515" s="208"/>
      <c r="X515" s="208"/>
      <c r="Y515" s="208"/>
      <c r="Z515" s="208"/>
      <c r="AA515" s="208"/>
      <c r="AB515" s="208"/>
      <c r="AC515" s="208"/>
      <c r="AD515" s="208"/>
      <c r="AE515" s="208"/>
      <c r="AF515" s="208"/>
      <c r="AG515" s="208"/>
      <c r="AH515" s="208"/>
      <c r="AI515" s="208"/>
      <c r="AJ515" s="208"/>
      <c r="AK515" s="208"/>
      <c r="AL515" s="208"/>
      <c r="AM515" s="208"/>
      <c r="AN515" s="208"/>
      <c r="AO515" s="208"/>
      <c r="AP515" s="208"/>
      <c r="AQ515" s="208"/>
      <c r="AR515" s="208"/>
      <c r="AS515" s="208"/>
      <c r="AT515" s="208"/>
      <c r="AU515" s="208"/>
      <c r="AV515" s="208"/>
      <c r="AW515" s="208"/>
      <c r="AX515" s="208"/>
      <c r="AY515" s="208"/>
      <c r="AZ515" s="208"/>
      <c r="BA515" s="208"/>
    </row>
    <row r="516" ht="15.75" hidden="1" customHeight="1">
      <c r="A516" s="208"/>
      <c r="B516" s="208"/>
      <c r="C516" s="208"/>
      <c r="D516" s="208"/>
      <c r="E516" s="208"/>
      <c r="F516" s="208"/>
      <c r="G516" s="208"/>
      <c r="H516" s="208"/>
      <c r="I516" s="208"/>
      <c r="J516" s="208"/>
      <c r="K516" s="208"/>
      <c r="L516" s="208"/>
      <c r="M516" s="208"/>
      <c r="N516" s="208"/>
      <c r="O516" s="208"/>
      <c r="P516" s="208"/>
      <c r="Q516" s="208"/>
      <c r="R516" s="208"/>
      <c r="S516" s="208"/>
      <c r="T516" s="208"/>
      <c r="U516" s="208"/>
      <c r="V516" s="208"/>
      <c r="W516" s="208"/>
      <c r="X516" s="208"/>
      <c r="Y516" s="208"/>
      <c r="Z516" s="208"/>
      <c r="AA516" s="208"/>
      <c r="AB516" s="208"/>
      <c r="AC516" s="208"/>
      <c r="AD516" s="208"/>
      <c r="AE516" s="208"/>
      <c r="AF516" s="208"/>
      <c r="AG516" s="208"/>
      <c r="AH516" s="208"/>
      <c r="AI516" s="208"/>
      <c r="AJ516" s="208"/>
      <c r="AK516" s="208"/>
      <c r="AL516" s="208"/>
      <c r="AM516" s="208"/>
      <c r="AN516" s="208"/>
      <c r="AO516" s="208"/>
      <c r="AP516" s="208"/>
      <c r="AQ516" s="208"/>
      <c r="AR516" s="208"/>
      <c r="AS516" s="208"/>
      <c r="AT516" s="208"/>
      <c r="AU516" s="208"/>
      <c r="AV516" s="208"/>
      <c r="AW516" s="208"/>
      <c r="AX516" s="208"/>
      <c r="AY516" s="208"/>
      <c r="AZ516" s="208"/>
      <c r="BA516" s="208"/>
    </row>
    <row r="517" ht="15.75" hidden="1" customHeight="1">
      <c r="A517" s="208"/>
      <c r="B517" s="208"/>
      <c r="C517" s="208"/>
      <c r="D517" s="208"/>
      <c r="E517" s="208"/>
      <c r="F517" s="208"/>
      <c r="G517" s="208"/>
      <c r="H517" s="208"/>
      <c r="I517" s="208"/>
      <c r="J517" s="208"/>
      <c r="K517" s="208"/>
      <c r="L517" s="208"/>
      <c r="M517" s="208"/>
      <c r="N517" s="208"/>
      <c r="O517" s="208"/>
      <c r="P517" s="208"/>
      <c r="Q517" s="208"/>
      <c r="R517" s="208"/>
      <c r="S517" s="208"/>
      <c r="T517" s="208"/>
      <c r="U517" s="208"/>
      <c r="V517" s="208"/>
      <c r="W517" s="208"/>
      <c r="X517" s="208"/>
      <c r="Y517" s="208"/>
      <c r="Z517" s="208"/>
      <c r="AA517" s="208"/>
      <c r="AB517" s="208"/>
      <c r="AC517" s="208"/>
      <c r="AD517" s="208"/>
      <c r="AE517" s="208"/>
      <c r="AF517" s="208"/>
      <c r="AG517" s="208"/>
      <c r="AH517" s="208"/>
      <c r="AI517" s="208"/>
      <c r="AJ517" s="208"/>
      <c r="AK517" s="208"/>
      <c r="AL517" s="208"/>
      <c r="AM517" s="208"/>
      <c r="AN517" s="208"/>
      <c r="AO517" s="208"/>
      <c r="AP517" s="208"/>
      <c r="AQ517" s="208"/>
      <c r="AR517" s="208"/>
      <c r="AS517" s="208"/>
      <c r="AT517" s="208"/>
      <c r="AU517" s="208"/>
      <c r="AV517" s="208"/>
      <c r="AW517" s="208"/>
      <c r="AX517" s="208"/>
      <c r="AY517" s="208"/>
      <c r="AZ517" s="208"/>
      <c r="BA517" s="208"/>
    </row>
    <row r="518" ht="15.75" hidden="1" customHeight="1">
      <c r="A518" s="208"/>
      <c r="B518" s="208"/>
      <c r="C518" s="208"/>
      <c r="D518" s="208"/>
      <c r="E518" s="208"/>
      <c r="F518" s="208"/>
      <c r="G518" s="208"/>
      <c r="H518" s="208"/>
      <c r="I518" s="208"/>
      <c r="J518" s="208"/>
      <c r="K518" s="208"/>
      <c r="L518" s="208"/>
      <c r="M518" s="208"/>
      <c r="N518" s="208"/>
      <c r="O518" s="208"/>
      <c r="P518" s="208"/>
      <c r="Q518" s="208"/>
      <c r="R518" s="208"/>
      <c r="S518" s="208"/>
      <c r="T518" s="208"/>
      <c r="U518" s="208"/>
      <c r="V518" s="208"/>
      <c r="W518" s="208"/>
      <c r="X518" s="208"/>
      <c r="Y518" s="208"/>
      <c r="Z518" s="208"/>
      <c r="AA518" s="208"/>
      <c r="AB518" s="208"/>
      <c r="AC518" s="208"/>
      <c r="AD518" s="208"/>
      <c r="AE518" s="208"/>
      <c r="AF518" s="208"/>
      <c r="AG518" s="208"/>
      <c r="AH518" s="208"/>
      <c r="AI518" s="208"/>
      <c r="AJ518" s="208"/>
      <c r="AK518" s="208"/>
      <c r="AL518" s="208"/>
      <c r="AM518" s="208"/>
      <c r="AN518" s="208"/>
      <c r="AO518" s="208"/>
      <c r="AP518" s="208"/>
      <c r="AQ518" s="208"/>
      <c r="AR518" s="208"/>
      <c r="AS518" s="208"/>
      <c r="AT518" s="208"/>
      <c r="AU518" s="208"/>
      <c r="AV518" s="208"/>
      <c r="AW518" s="208"/>
      <c r="AX518" s="208"/>
      <c r="AY518" s="208"/>
      <c r="AZ518" s="208"/>
      <c r="BA518" s="208"/>
    </row>
    <row r="519" ht="15.75" hidden="1" customHeight="1">
      <c r="A519" s="208"/>
      <c r="B519" s="208"/>
      <c r="C519" s="208"/>
      <c r="D519" s="208"/>
      <c r="E519" s="208"/>
      <c r="F519" s="208"/>
      <c r="G519" s="208"/>
      <c r="H519" s="208"/>
      <c r="I519" s="208"/>
      <c r="J519" s="208"/>
      <c r="K519" s="208"/>
      <c r="L519" s="208"/>
      <c r="M519" s="208"/>
      <c r="N519" s="208"/>
      <c r="O519" s="208"/>
      <c r="P519" s="208"/>
      <c r="Q519" s="208"/>
      <c r="R519" s="208"/>
      <c r="S519" s="208"/>
      <c r="T519" s="208"/>
      <c r="U519" s="208"/>
      <c r="V519" s="208"/>
      <c r="W519" s="208"/>
      <c r="X519" s="208"/>
      <c r="Y519" s="208"/>
      <c r="Z519" s="208"/>
      <c r="AA519" s="208"/>
      <c r="AB519" s="208"/>
      <c r="AC519" s="208"/>
      <c r="AD519" s="208"/>
      <c r="AE519" s="208"/>
      <c r="AF519" s="208"/>
      <c r="AG519" s="208"/>
      <c r="AH519" s="208"/>
      <c r="AI519" s="208"/>
      <c r="AJ519" s="208"/>
      <c r="AK519" s="208"/>
      <c r="AL519" s="208"/>
      <c r="AM519" s="208"/>
      <c r="AN519" s="208"/>
      <c r="AO519" s="208"/>
      <c r="AP519" s="208"/>
      <c r="AQ519" s="208"/>
      <c r="AR519" s="208"/>
      <c r="AS519" s="208"/>
      <c r="AT519" s="208"/>
      <c r="AU519" s="208"/>
      <c r="AV519" s="208"/>
      <c r="AW519" s="208"/>
      <c r="AX519" s="208"/>
      <c r="AY519" s="208"/>
      <c r="AZ519" s="208"/>
      <c r="BA519" s="208"/>
    </row>
    <row r="520" ht="15.75" hidden="1" customHeight="1">
      <c r="A520" s="208"/>
      <c r="B520" s="208"/>
      <c r="C520" s="208"/>
      <c r="D520" s="208"/>
      <c r="E520" s="208"/>
      <c r="F520" s="208"/>
      <c r="G520" s="208"/>
      <c r="H520" s="208"/>
      <c r="I520" s="208"/>
      <c r="J520" s="208"/>
      <c r="K520" s="208"/>
      <c r="L520" s="208"/>
      <c r="M520" s="208"/>
      <c r="N520" s="208"/>
      <c r="O520" s="208"/>
      <c r="P520" s="208"/>
      <c r="Q520" s="208"/>
      <c r="R520" s="208"/>
      <c r="S520" s="208"/>
      <c r="T520" s="208"/>
      <c r="U520" s="208"/>
      <c r="V520" s="208"/>
      <c r="W520" s="208"/>
      <c r="X520" s="208"/>
      <c r="Y520" s="208"/>
      <c r="Z520" s="208"/>
      <c r="AA520" s="208"/>
      <c r="AB520" s="208"/>
      <c r="AC520" s="208"/>
      <c r="AD520" s="208"/>
      <c r="AE520" s="208"/>
      <c r="AF520" s="208"/>
      <c r="AG520" s="208"/>
      <c r="AH520" s="208"/>
      <c r="AI520" s="208"/>
      <c r="AJ520" s="208"/>
      <c r="AK520" s="208"/>
      <c r="AL520" s="208"/>
      <c r="AM520" s="208"/>
      <c r="AN520" s="208"/>
      <c r="AO520" s="208"/>
      <c r="AP520" s="208"/>
      <c r="AQ520" s="208"/>
      <c r="AR520" s="208"/>
      <c r="AS520" s="208"/>
      <c r="AT520" s="208"/>
      <c r="AU520" s="208"/>
      <c r="AV520" s="208"/>
      <c r="AW520" s="208"/>
      <c r="AX520" s="208"/>
      <c r="AY520" s="208"/>
      <c r="AZ520" s="208"/>
      <c r="BA520" s="208"/>
    </row>
    <row r="521" ht="15.75" hidden="1" customHeight="1">
      <c r="A521" s="208"/>
      <c r="B521" s="208"/>
      <c r="C521" s="208"/>
      <c r="D521" s="208"/>
      <c r="E521" s="208"/>
      <c r="F521" s="208"/>
      <c r="G521" s="208"/>
      <c r="H521" s="208"/>
      <c r="I521" s="208"/>
      <c r="J521" s="208"/>
      <c r="K521" s="208"/>
      <c r="L521" s="208"/>
      <c r="M521" s="208"/>
      <c r="N521" s="208"/>
      <c r="O521" s="208"/>
      <c r="P521" s="208"/>
      <c r="Q521" s="208"/>
      <c r="R521" s="208"/>
      <c r="S521" s="208"/>
      <c r="T521" s="208"/>
      <c r="U521" s="208"/>
      <c r="V521" s="208"/>
      <c r="W521" s="208"/>
      <c r="X521" s="208"/>
      <c r="Y521" s="208"/>
      <c r="Z521" s="208"/>
      <c r="AA521" s="208"/>
      <c r="AB521" s="208"/>
      <c r="AC521" s="208"/>
      <c r="AD521" s="208"/>
      <c r="AE521" s="208"/>
      <c r="AF521" s="208"/>
      <c r="AG521" s="208"/>
      <c r="AH521" s="208"/>
      <c r="AI521" s="208"/>
      <c r="AJ521" s="208"/>
      <c r="AK521" s="208"/>
      <c r="AL521" s="208"/>
      <c r="AM521" s="208"/>
      <c r="AN521" s="208"/>
      <c r="AO521" s="208"/>
      <c r="AP521" s="208"/>
      <c r="AQ521" s="208"/>
      <c r="AR521" s="208"/>
      <c r="AS521" s="208"/>
      <c r="AT521" s="208"/>
      <c r="AU521" s="208"/>
      <c r="AV521" s="208"/>
      <c r="AW521" s="208"/>
      <c r="AX521" s="208"/>
      <c r="AY521" s="208"/>
      <c r="AZ521" s="208"/>
      <c r="BA521" s="208"/>
    </row>
    <row r="522" ht="15.75" hidden="1" customHeight="1">
      <c r="A522" s="208"/>
      <c r="B522" s="208"/>
      <c r="C522" s="208"/>
      <c r="D522" s="208"/>
      <c r="E522" s="208"/>
      <c r="F522" s="208"/>
      <c r="G522" s="208"/>
      <c r="H522" s="208"/>
      <c r="I522" s="208"/>
      <c r="J522" s="208"/>
      <c r="K522" s="208"/>
      <c r="L522" s="208"/>
      <c r="M522" s="208"/>
      <c r="N522" s="208"/>
      <c r="O522" s="208"/>
      <c r="P522" s="208"/>
      <c r="Q522" s="208"/>
      <c r="R522" s="208"/>
      <c r="S522" s="208"/>
      <c r="T522" s="208"/>
      <c r="U522" s="208"/>
      <c r="V522" s="208"/>
      <c r="W522" s="208"/>
      <c r="X522" s="208"/>
      <c r="Y522" s="208"/>
      <c r="Z522" s="208"/>
      <c r="AA522" s="208"/>
      <c r="AB522" s="208"/>
      <c r="AC522" s="208"/>
      <c r="AD522" s="208"/>
      <c r="AE522" s="208"/>
      <c r="AF522" s="208"/>
      <c r="AG522" s="208"/>
      <c r="AH522" s="208"/>
      <c r="AI522" s="208"/>
      <c r="AJ522" s="208"/>
      <c r="AK522" s="208"/>
      <c r="AL522" s="208"/>
      <c r="AM522" s="208"/>
      <c r="AN522" s="208"/>
      <c r="AO522" s="208"/>
      <c r="AP522" s="208"/>
      <c r="AQ522" s="208"/>
      <c r="AR522" s="208"/>
      <c r="AS522" s="208"/>
      <c r="AT522" s="208"/>
      <c r="AU522" s="208"/>
      <c r="AV522" s="208"/>
      <c r="AW522" s="208"/>
      <c r="AX522" s="208"/>
      <c r="AY522" s="208"/>
      <c r="AZ522" s="208"/>
      <c r="BA522" s="208"/>
    </row>
    <row r="523" ht="15.75" hidden="1" customHeight="1">
      <c r="A523" s="208"/>
      <c r="B523" s="208"/>
      <c r="C523" s="208"/>
      <c r="D523" s="208"/>
      <c r="E523" s="208"/>
      <c r="F523" s="208"/>
      <c r="G523" s="208"/>
      <c r="H523" s="208"/>
      <c r="I523" s="208"/>
      <c r="J523" s="208"/>
      <c r="K523" s="208"/>
      <c r="L523" s="208"/>
      <c r="M523" s="208"/>
      <c r="N523" s="208"/>
      <c r="O523" s="208"/>
      <c r="P523" s="208"/>
      <c r="Q523" s="208"/>
      <c r="R523" s="208"/>
      <c r="S523" s="208"/>
      <c r="T523" s="208"/>
      <c r="U523" s="208"/>
      <c r="V523" s="208"/>
      <c r="W523" s="208"/>
      <c r="X523" s="208"/>
      <c r="Y523" s="208"/>
      <c r="Z523" s="208"/>
      <c r="AA523" s="208"/>
      <c r="AB523" s="208"/>
      <c r="AC523" s="208"/>
      <c r="AD523" s="208"/>
      <c r="AE523" s="208"/>
      <c r="AF523" s="208"/>
      <c r="AG523" s="208"/>
      <c r="AH523" s="208"/>
      <c r="AI523" s="208"/>
      <c r="AJ523" s="208"/>
      <c r="AK523" s="208"/>
      <c r="AL523" s="208"/>
      <c r="AM523" s="208"/>
      <c r="AN523" s="208"/>
      <c r="AO523" s="208"/>
      <c r="AP523" s="208"/>
      <c r="AQ523" s="208"/>
      <c r="AR523" s="208"/>
      <c r="AS523" s="208"/>
      <c r="AT523" s="208"/>
      <c r="AU523" s="208"/>
      <c r="AV523" s="208"/>
      <c r="AW523" s="208"/>
      <c r="AX523" s="208"/>
      <c r="AY523" s="208"/>
      <c r="AZ523" s="208"/>
      <c r="BA523" s="208"/>
    </row>
    <row r="524" ht="15.75" hidden="1" customHeight="1">
      <c r="A524" s="208"/>
      <c r="B524" s="208"/>
      <c r="C524" s="208"/>
      <c r="D524" s="208"/>
      <c r="E524" s="208"/>
      <c r="F524" s="208"/>
      <c r="G524" s="208"/>
      <c r="H524" s="208"/>
      <c r="I524" s="208"/>
      <c r="J524" s="208"/>
      <c r="K524" s="208"/>
      <c r="L524" s="208"/>
      <c r="M524" s="208"/>
      <c r="N524" s="208"/>
      <c r="O524" s="208"/>
      <c r="P524" s="208"/>
      <c r="Q524" s="208"/>
      <c r="R524" s="208"/>
      <c r="S524" s="208"/>
      <c r="T524" s="208"/>
      <c r="U524" s="208"/>
      <c r="V524" s="208"/>
      <c r="W524" s="208"/>
      <c r="X524" s="208"/>
      <c r="Y524" s="208"/>
      <c r="Z524" s="208"/>
      <c r="AA524" s="208"/>
      <c r="AB524" s="208"/>
      <c r="AC524" s="208"/>
      <c r="AD524" s="208"/>
      <c r="AE524" s="208"/>
      <c r="AF524" s="208"/>
      <c r="AG524" s="208"/>
      <c r="AH524" s="208"/>
      <c r="AI524" s="208"/>
      <c r="AJ524" s="208"/>
      <c r="AK524" s="208"/>
      <c r="AL524" s="208"/>
      <c r="AM524" s="208"/>
      <c r="AN524" s="208"/>
      <c r="AO524" s="208"/>
      <c r="AP524" s="208"/>
      <c r="AQ524" s="208"/>
      <c r="AR524" s="208"/>
      <c r="AS524" s="208"/>
      <c r="AT524" s="208"/>
      <c r="AU524" s="208"/>
      <c r="AV524" s="208"/>
      <c r="AW524" s="208"/>
      <c r="AX524" s="208"/>
      <c r="AY524" s="208"/>
      <c r="AZ524" s="208"/>
      <c r="BA524" s="208"/>
    </row>
    <row r="525" ht="15.75" hidden="1" customHeight="1">
      <c r="A525" s="208"/>
      <c r="B525" s="208"/>
      <c r="C525" s="208"/>
      <c r="D525" s="208"/>
      <c r="E525" s="208"/>
      <c r="F525" s="208"/>
      <c r="G525" s="208"/>
      <c r="H525" s="208"/>
      <c r="I525" s="208"/>
      <c r="J525" s="208"/>
      <c r="K525" s="208"/>
      <c r="L525" s="208"/>
      <c r="M525" s="208"/>
      <c r="N525" s="208"/>
      <c r="O525" s="208"/>
      <c r="P525" s="208"/>
      <c r="Q525" s="208"/>
      <c r="R525" s="208"/>
      <c r="S525" s="208"/>
      <c r="T525" s="208"/>
      <c r="U525" s="208"/>
      <c r="V525" s="208"/>
      <c r="W525" s="208"/>
      <c r="X525" s="208"/>
      <c r="Y525" s="208"/>
      <c r="Z525" s="208"/>
      <c r="AA525" s="208"/>
      <c r="AB525" s="208"/>
      <c r="AC525" s="208"/>
      <c r="AD525" s="208"/>
      <c r="AE525" s="208"/>
      <c r="AF525" s="208"/>
      <c r="AG525" s="208"/>
      <c r="AH525" s="208"/>
      <c r="AI525" s="208"/>
      <c r="AJ525" s="208"/>
      <c r="AK525" s="208"/>
      <c r="AL525" s="208"/>
      <c r="AM525" s="208"/>
      <c r="AN525" s="208"/>
      <c r="AO525" s="208"/>
      <c r="AP525" s="208"/>
      <c r="AQ525" s="208"/>
      <c r="AR525" s="208"/>
      <c r="AS525" s="208"/>
      <c r="AT525" s="208"/>
      <c r="AU525" s="208"/>
      <c r="AV525" s="208"/>
      <c r="AW525" s="208"/>
      <c r="AX525" s="208"/>
      <c r="AY525" s="208"/>
      <c r="AZ525" s="208"/>
      <c r="BA525" s="208"/>
    </row>
    <row r="526" ht="15.75" hidden="1" customHeight="1">
      <c r="A526" s="208"/>
      <c r="B526" s="208"/>
      <c r="C526" s="208"/>
      <c r="D526" s="208"/>
      <c r="E526" s="208"/>
      <c r="F526" s="208"/>
      <c r="G526" s="208"/>
      <c r="H526" s="208"/>
      <c r="I526" s="208"/>
      <c r="J526" s="208"/>
      <c r="K526" s="208"/>
      <c r="L526" s="208"/>
      <c r="M526" s="208"/>
      <c r="N526" s="208"/>
      <c r="O526" s="208"/>
      <c r="P526" s="208"/>
      <c r="Q526" s="208"/>
      <c r="R526" s="208"/>
      <c r="S526" s="208"/>
      <c r="T526" s="208"/>
      <c r="U526" s="208"/>
      <c r="V526" s="208"/>
      <c r="W526" s="208"/>
      <c r="X526" s="208"/>
      <c r="Y526" s="208"/>
      <c r="Z526" s="208"/>
      <c r="AA526" s="208"/>
      <c r="AB526" s="208"/>
      <c r="AC526" s="208"/>
      <c r="AD526" s="208"/>
      <c r="AE526" s="208"/>
      <c r="AF526" s="208"/>
      <c r="AG526" s="208"/>
      <c r="AH526" s="208"/>
      <c r="AI526" s="208"/>
      <c r="AJ526" s="208"/>
      <c r="AK526" s="208"/>
      <c r="AL526" s="208"/>
      <c r="AM526" s="208"/>
      <c r="AN526" s="208"/>
      <c r="AO526" s="208"/>
      <c r="AP526" s="208"/>
      <c r="AQ526" s="208"/>
      <c r="AR526" s="208"/>
      <c r="AS526" s="208"/>
      <c r="AT526" s="208"/>
      <c r="AU526" s="208"/>
      <c r="AV526" s="208"/>
      <c r="AW526" s="208"/>
      <c r="AX526" s="208"/>
      <c r="AY526" s="208"/>
      <c r="AZ526" s="208"/>
      <c r="BA526" s="208"/>
    </row>
    <row r="527" ht="15.75" hidden="1" customHeight="1">
      <c r="A527" s="208"/>
      <c r="B527" s="208"/>
      <c r="C527" s="208"/>
      <c r="D527" s="208"/>
      <c r="E527" s="208"/>
      <c r="F527" s="208"/>
      <c r="G527" s="208"/>
      <c r="H527" s="208"/>
      <c r="I527" s="208"/>
      <c r="J527" s="208"/>
      <c r="K527" s="208"/>
      <c r="L527" s="208"/>
      <c r="M527" s="208"/>
      <c r="N527" s="208"/>
      <c r="O527" s="208"/>
      <c r="P527" s="208"/>
      <c r="Q527" s="208"/>
      <c r="R527" s="208"/>
      <c r="S527" s="208"/>
      <c r="T527" s="208"/>
      <c r="U527" s="208"/>
      <c r="V527" s="208"/>
      <c r="W527" s="208"/>
      <c r="X527" s="208"/>
      <c r="Y527" s="208"/>
      <c r="Z527" s="208"/>
      <c r="AA527" s="208"/>
      <c r="AB527" s="208"/>
      <c r="AC527" s="208"/>
      <c r="AD527" s="208"/>
      <c r="AE527" s="208"/>
      <c r="AF527" s="208"/>
      <c r="AG527" s="208"/>
      <c r="AH527" s="208"/>
      <c r="AI527" s="208"/>
      <c r="AJ527" s="208"/>
      <c r="AK527" s="208"/>
      <c r="AL527" s="208"/>
      <c r="AM527" s="208"/>
      <c r="AN527" s="208"/>
      <c r="AO527" s="208"/>
      <c r="AP527" s="208"/>
      <c r="AQ527" s="208"/>
      <c r="AR527" s="208"/>
      <c r="AS527" s="208"/>
      <c r="AT527" s="208"/>
      <c r="AU527" s="208"/>
      <c r="AV527" s="208"/>
      <c r="AW527" s="208"/>
      <c r="AX527" s="208"/>
      <c r="AY527" s="208"/>
      <c r="AZ527" s="208"/>
      <c r="BA527" s="208"/>
    </row>
    <row r="528" ht="15.75" hidden="1" customHeight="1">
      <c r="A528" s="208"/>
      <c r="B528" s="208"/>
      <c r="C528" s="208"/>
      <c r="D528" s="208"/>
      <c r="E528" s="208"/>
      <c r="F528" s="208"/>
      <c r="G528" s="208"/>
      <c r="H528" s="208"/>
      <c r="I528" s="208"/>
      <c r="J528" s="208"/>
      <c r="K528" s="208"/>
      <c r="L528" s="208"/>
      <c r="M528" s="208"/>
      <c r="N528" s="208"/>
      <c r="O528" s="208"/>
      <c r="P528" s="208"/>
      <c r="Q528" s="208"/>
      <c r="R528" s="208"/>
      <c r="S528" s="208"/>
      <c r="T528" s="208"/>
      <c r="U528" s="208"/>
      <c r="V528" s="208"/>
      <c r="W528" s="208"/>
      <c r="X528" s="208"/>
      <c r="Y528" s="208"/>
      <c r="Z528" s="208"/>
      <c r="AA528" s="208"/>
      <c r="AB528" s="208"/>
      <c r="AC528" s="208"/>
      <c r="AD528" s="208"/>
      <c r="AE528" s="208"/>
      <c r="AF528" s="208"/>
      <c r="AG528" s="208"/>
      <c r="AH528" s="208"/>
      <c r="AI528" s="208"/>
      <c r="AJ528" s="208"/>
      <c r="AK528" s="208"/>
      <c r="AL528" s="208"/>
      <c r="AM528" s="208"/>
      <c r="AN528" s="208"/>
      <c r="AO528" s="208"/>
      <c r="AP528" s="208"/>
      <c r="AQ528" s="208"/>
      <c r="AR528" s="208"/>
      <c r="AS528" s="208"/>
      <c r="AT528" s="208"/>
      <c r="AU528" s="208"/>
      <c r="AV528" s="208"/>
      <c r="AW528" s="208"/>
      <c r="AX528" s="208"/>
      <c r="AY528" s="208"/>
      <c r="AZ528" s="208"/>
      <c r="BA528" s="208"/>
    </row>
    <row r="529" ht="15.75" hidden="1" customHeight="1">
      <c r="A529" s="208"/>
      <c r="B529" s="208"/>
      <c r="C529" s="208"/>
      <c r="D529" s="208"/>
      <c r="E529" s="208"/>
      <c r="F529" s="208"/>
      <c r="G529" s="208"/>
      <c r="H529" s="208"/>
      <c r="I529" s="208"/>
      <c r="J529" s="208"/>
      <c r="K529" s="208"/>
      <c r="L529" s="208"/>
      <c r="M529" s="208"/>
      <c r="N529" s="208"/>
      <c r="O529" s="208"/>
      <c r="P529" s="208"/>
      <c r="Q529" s="208"/>
      <c r="R529" s="208"/>
      <c r="S529" s="208"/>
      <c r="T529" s="208"/>
      <c r="U529" s="208"/>
      <c r="V529" s="208"/>
      <c r="W529" s="208"/>
      <c r="X529" s="208"/>
      <c r="Y529" s="208"/>
      <c r="Z529" s="208"/>
      <c r="AA529" s="208"/>
      <c r="AB529" s="208"/>
      <c r="AC529" s="208"/>
      <c r="AD529" s="208"/>
      <c r="AE529" s="208"/>
      <c r="AF529" s="208"/>
      <c r="AG529" s="208"/>
      <c r="AH529" s="208"/>
      <c r="AI529" s="208"/>
      <c r="AJ529" s="208"/>
      <c r="AK529" s="208"/>
      <c r="AL529" s="208"/>
      <c r="AM529" s="208"/>
      <c r="AN529" s="208"/>
      <c r="AO529" s="208"/>
      <c r="AP529" s="208"/>
      <c r="AQ529" s="208"/>
      <c r="AR529" s="208"/>
      <c r="AS529" s="208"/>
      <c r="AT529" s="208"/>
      <c r="AU529" s="208"/>
      <c r="AV529" s="208"/>
      <c r="AW529" s="208"/>
      <c r="AX529" s="208"/>
      <c r="AY529" s="208"/>
      <c r="AZ529" s="208"/>
      <c r="BA529" s="208"/>
    </row>
    <row r="530" ht="15.75" hidden="1" customHeight="1">
      <c r="A530" s="208"/>
      <c r="B530" s="208"/>
      <c r="C530" s="208"/>
      <c r="D530" s="208"/>
      <c r="E530" s="208"/>
      <c r="F530" s="208"/>
      <c r="G530" s="208"/>
      <c r="H530" s="208"/>
      <c r="I530" s="208"/>
      <c r="J530" s="208"/>
      <c r="K530" s="208"/>
      <c r="L530" s="208"/>
      <c r="M530" s="208"/>
      <c r="N530" s="208"/>
      <c r="O530" s="208"/>
      <c r="P530" s="208"/>
      <c r="Q530" s="208"/>
      <c r="R530" s="208"/>
      <c r="S530" s="208"/>
      <c r="T530" s="208"/>
      <c r="U530" s="208"/>
      <c r="V530" s="208"/>
      <c r="W530" s="208"/>
      <c r="X530" s="208"/>
      <c r="Y530" s="208"/>
      <c r="Z530" s="208"/>
      <c r="AA530" s="208"/>
      <c r="AB530" s="208"/>
      <c r="AC530" s="208"/>
      <c r="AD530" s="208"/>
      <c r="AE530" s="208"/>
      <c r="AF530" s="208"/>
      <c r="AG530" s="208"/>
      <c r="AH530" s="208"/>
      <c r="AI530" s="208"/>
      <c r="AJ530" s="208"/>
      <c r="AK530" s="208"/>
      <c r="AL530" s="208"/>
      <c r="AM530" s="208"/>
      <c r="AN530" s="208"/>
      <c r="AO530" s="208"/>
      <c r="AP530" s="208"/>
      <c r="AQ530" s="208"/>
      <c r="AR530" s="208"/>
      <c r="AS530" s="208"/>
      <c r="AT530" s="208"/>
      <c r="AU530" s="208"/>
      <c r="AV530" s="208"/>
      <c r="AW530" s="208"/>
      <c r="AX530" s="208"/>
      <c r="AY530" s="208"/>
      <c r="AZ530" s="208"/>
      <c r="BA530" s="208"/>
    </row>
    <row r="531" ht="15.75" hidden="1" customHeight="1">
      <c r="A531" s="208"/>
      <c r="B531" s="208"/>
      <c r="C531" s="208"/>
      <c r="D531" s="208"/>
      <c r="E531" s="208"/>
      <c r="F531" s="208"/>
      <c r="G531" s="208"/>
      <c r="H531" s="208"/>
      <c r="I531" s="208"/>
      <c r="J531" s="208"/>
      <c r="K531" s="208"/>
      <c r="L531" s="208"/>
      <c r="M531" s="208"/>
      <c r="N531" s="208"/>
      <c r="O531" s="208"/>
      <c r="P531" s="208"/>
      <c r="Q531" s="208"/>
      <c r="R531" s="208"/>
      <c r="S531" s="208"/>
      <c r="T531" s="208"/>
      <c r="U531" s="208"/>
      <c r="V531" s="208"/>
      <c r="W531" s="208"/>
      <c r="X531" s="208"/>
      <c r="Y531" s="208"/>
      <c r="Z531" s="208"/>
      <c r="AA531" s="208"/>
      <c r="AB531" s="208"/>
      <c r="AC531" s="208"/>
      <c r="AD531" s="208"/>
      <c r="AE531" s="208"/>
      <c r="AF531" s="208"/>
      <c r="AG531" s="208"/>
      <c r="AH531" s="208"/>
      <c r="AI531" s="208"/>
      <c r="AJ531" s="208"/>
      <c r="AK531" s="208"/>
      <c r="AL531" s="208"/>
      <c r="AM531" s="208"/>
      <c r="AN531" s="208"/>
      <c r="AO531" s="208"/>
      <c r="AP531" s="208"/>
      <c r="AQ531" s="208"/>
      <c r="AR531" s="208"/>
      <c r="AS531" s="208"/>
      <c r="AT531" s="208"/>
      <c r="AU531" s="208"/>
      <c r="AV531" s="208"/>
      <c r="AW531" s="208"/>
      <c r="AX531" s="208"/>
      <c r="AY531" s="208"/>
      <c r="AZ531" s="208"/>
      <c r="BA531" s="208"/>
    </row>
    <row r="532" ht="15.75" hidden="1" customHeight="1">
      <c r="A532" s="208"/>
      <c r="B532" s="208"/>
      <c r="C532" s="208"/>
      <c r="D532" s="208"/>
      <c r="E532" s="208"/>
      <c r="F532" s="208"/>
      <c r="G532" s="208"/>
      <c r="H532" s="208"/>
      <c r="I532" s="208"/>
      <c r="J532" s="208"/>
      <c r="K532" s="208"/>
      <c r="L532" s="208"/>
      <c r="M532" s="208"/>
      <c r="N532" s="208"/>
      <c r="O532" s="208"/>
      <c r="P532" s="208"/>
      <c r="Q532" s="208"/>
      <c r="R532" s="208"/>
      <c r="S532" s="208"/>
      <c r="T532" s="208"/>
      <c r="U532" s="208"/>
      <c r="V532" s="208"/>
      <c r="W532" s="208"/>
      <c r="X532" s="208"/>
      <c r="Y532" s="208"/>
      <c r="Z532" s="208"/>
      <c r="AA532" s="208"/>
      <c r="AB532" s="208"/>
      <c r="AC532" s="208"/>
      <c r="AD532" s="208"/>
      <c r="AE532" s="208"/>
      <c r="AF532" s="208"/>
      <c r="AG532" s="208"/>
      <c r="AH532" s="208"/>
      <c r="AI532" s="208"/>
      <c r="AJ532" s="208"/>
      <c r="AK532" s="208"/>
      <c r="AL532" s="208"/>
      <c r="AM532" s="208"/>
      <c r="AN532" s="208"/>
      <c r="AO532" s="208"/>
      <c r="AP532" s="208"/>
      <c r="AQ532" s="208"/>
      <c r="AR532" s="208"/>
      <c r="AS532" s="208"/>
      <c r="AT532" s="208"/>
      <c r="AU532" s="208"/>
      <c r="AV532" s="208"/>
      <c r="AW532" s="208"/>
      <c r="AX532" s="208"/>
      <c r="AY532" s="208"/>
      <c r="AZ532" s="208"/>
      <c r="BA532" s="208"/>
    </row>
    <row r="533" ht="15.75" hidden="1" customHeight="1">
      <c r="A533" s="208"/>
      <c r="B533" s="208"/>
      <c r="C533" s="208"/>
      <c r="D533" s="208"/>
      <c r="E533" s="208"/>
      <c r="F533" s="208"/>
      <c r="G533" s="208"/>
      <c r="H533" s="208"/>
      <c r="I533" s="208"/>
      <c r="J533" s="208"/>
      <c r="K533" s="208"/>
      <c r="L533" s="208"/>
      <c r="M533" s="208"/>
      <c r="N533" s="208"/>
      <c r="O533" s="208"/>
      <c r="P533" s="208"/>
      <c r="Q533" s="208"/>
      <c r="R533" s="208"/>
      <c r="S533" s="208"/>
      <c r="T533" s="208"/>
      <c r="U533" s="208"/>
      <c r="V533" s="208"/>
      <c r="W533" s="208"/>
      <c r="X533" s="208"/>
      <c r="Y533" s="208"/>
      <c r="Z533" s="208"/>
      <c r="AA533" s="208"/>
      <c r="AB533" s="208"/>
      <c r="AC533" s="208"/>
      <c r="AD533" s="208"/>
      <c r="AE533" s="208"/>
      <c r="AF533" s="208"/>
      <c r="AG533" s="208"/>
      <c r="AH533" s="208"/>
      <c r="AI533" s="208"/>
      <c r="AJ533" s="208"/>
      <c r="AK533" s="208"/>
      <c r="AL533" s="208"/>
      <c r="AM533" s="208"/>
      <c r="AN533" s="208"/>
      <c r="AO533" s="208"/>
      <c r="AP533" s="208"/>
      <c r="AQ533" s="208"/>
      <c r="AR533" s="208"/>
      <c r="AS533" s="208"/>
      <c r="AT533" s="208"/>
      <c r="AU533" s="208"/>
      <c r="AV533" s="208"/>
      <c r="AW533" s="208"/>
      <c r="AX533" s="208"/>
      <c r="AY533" s="208"/>
      <c r="AZ533" s="208"/>
      <c r="BA533" s="208"/>
    </row>
    <row r="534" ht="15.75" hidden="1" customHeight="1">
      <c r="A534" s="208"/>
      <c r="B534" s="208"/>
      <c r="C534" s="208"/>
      <c r="D534" s="208"/>
      <c r="E534" s="208"/>
      <c r="F534" s="208"/>
      <c r="G534" s="208"/>
      <c r="H534" s="208"/>
      <c r="I534" s="208"/>
      <c r="J534" s="208"/>
      <c r="K534" s="208"/>
      <c r="L534" s="208"/>
      <c r="M534" s="208"/>
      <c r="N534" s="208"/>
      <c r="O534" s="208"/>
      <c r="P534" s="208"/>
      <c r="Q534" s="208"/>
      <c r="R534" s="208"/>
      <c r="S534" s="208"/>
      <c r="T534" s="208"/>
      <c r="U534" s="208"/>
      <c r="V534" s="208"/>
      <c r="W534" s="208"/>
      <c r="X534" s="208"/>
      <c r="Y534" s="208"/>
      <c r="Z534" s="208"/>
      <c r="AA534" s="208"/>
      <c r="AB534" s="208"/>
      <c r="AC534" s="208"/>
      <c r="AD534" s="208"/>
      <c r="AE534" s="208"/>
      <c r="AF534" s="208"/>
      <c r="AG534" s="208"/>
      <c r="AH534" s="208"/>
      <c r="AI534" s="208"/>
      <c r="AJ534" s="208"/>
      <c r="AK534" s="208"/>
      <c r="AL534" s="208"/>
      <c r="AM534" s="208"/>
      <c r="AN534" s="208"/>
      <c r="AO534" s="208"/>
      <c r="AP534" s="208"/>
      <c r="AQ534" s="208"/>
      <c r="AR534" s="208"/>
      <c r="AS534" s="208"/>
      <c r="AT534" s="208"/>
      <c r="AU534" s="208"/>
      <c r="AV534" s="208"/>
      <c r="AW534" s="208"/>
      <c r="AX534" s="208"/>
      <c r="AY534" s="208"/>
      <c r="AZ534" s="208"/>
      <c r="BA534" s="208"/>
    </row>
    <row r="535" ht="15.75" hidden="1" customHeight="1">
      <c r="A535" s="208"/>
      <c r="B535" s="208"/>
      <c r="C535" s="208"/>
      <c r="D535" s="208"/>
      <c r="E535" s="208"/>
      <c r="F535" s="208"/>
      <c r="G535" s="208"/>
      <c r="H535" s="208"/>
      <c r="I535" s="208"/>
      <c r="J535" s="208"/>
      <c r="K535" s="208"/>
      <c r="L535" s="208"/>
      <c r="M535" s="208"/>
      <c r="N535" s="208"/>
      <c r="O535" s="208"/>
      <c r="P535" s="208"/>
      <c r="Q535" s="208"/>
      <c r="R535" s="208"/>
      <c r="S535" s="208"/>
      <c r="T535" s="208"/>
      <c r="U535" s="208"/>
      <c r="V535" s="208"/>
      <c r="W535" s="208"/>
      <c r="X535" s="208"/>
      <c r="Y535" s="208"/>
      <c r="Z535" s="208"/>
      <c r="AA535" s="208"/>
      <c r="AB535" s="208"/>
      <c r="AC535" s="208"/>
      <c r="AD535" s="208"/>
      <c r="AE535" s="208"/>
      <c r="AF535" s="208"/>
      <c r="AG535" s="208"/>
      <c r="AH535" s="208"/>
      <c r="AI535" s="208"/>
      <c r="AJ535" s="208"/>
      <c r="AK535" s="208"/>
      <c r="AL535" s="208"/>
      <c r="AM535" s="208"/>
      <c r="AN535" s="208"/>
      <c r="AO535" s="208"/>
      <c r="AP535" s="208"/>
      <c r="AQ535" s="208"/>
      <c r="AR535" s="208"/>
      <c r="AS535" s="208"/>
      <c r="AT535" s="208"/>
      <c r="AU535" s="208"/>
      <c r="AV535" s="208"/>
      <c r="AW535" s="208"/>
      <c r="AX535" s="208"/>
      <c r="AY535" s="208"/>
      <c r="AZ535" s="208"/>
      <c r="BA535" s="208"/>
    </row>
    <row r="536" ht="15.75" hidden="1" customHeight="1">
      <c r="A536" s="208"/>
      <c r="B536" s="208"/>
      <c r="C536" s="208"/>
      <c r="D536" s="208"/>
      <c r="E536" s="208"/>
      <c r="F536" s="208"/>
      <c r="G536" s="208"/>
      <c r="H536" s="208"/>
      <c r="I536" s="208"/>
      <c r="J536" s="208"/>
      <c r="K536" s="208"/>
      <c r="L536" s="208"/>
      <c r="M536" s="208"/>
      <c r="N536" s="208"/>
      <c r="O536" s="208"/>
      <c r="P536" s="208"/>
      <c r="Q536" s="208"/>
      <c r="R536" s="208"/>
      <c r="S536" s="208"/>
      <c r="T536" s="208"/>
      <c r="U536" s="208"/>
      <c r="V536" s="208"/>
      <c r="W536" s="208"/>
      <c r="X536" s="208"/>
      <c r="Y536" s="208"/>
      <c r="Z536" s="208"/>
      <c r="AA536" s="208"/>
      <c r="AB536" s="208"/>
      <c r="AC536" s="208"/>
      <c r="AD536" s="208"/>
      <c r="AE536" s="208"/>
      <c r="AF536" s="208"/>
      <c r="AG536" s="208"/>
      <c r="AH536" s="208"/>
      <c r="AI536" s="208"/>
      <c r="AJ536" s="208"/>
      <c r="AK536" s="208"/>
      <c r="AL536" s="208"/>
      <c r="AM536" s="208"/>
      <c r="AN536" s="208"/>
      <c r="AO536" s="208"/>
      <c r="AP536" s="208"/>
      <c r="AQ536" s="208"/>
      <c r="AR536" s="208"/>
      <c r="AS536" s="208"/>
      <c r="AT536" s="208"/>
      <c r="AU536" s="208"/>
      <c r="AV536" s="208"/>
      <c r="AW536" s="208"/>
      <c r="AX536" s="208"/>
      <c r="AY536" s="208"/>
      <c r="AZ536" s="208"/>
      <c r="BA536" s="208"/>
    </row>
    <row r="537" ht="15.75" hidden="1" customHeight="1">
      <c r="A537" s="208"/>
      <c r="B537" s="208"/>
      <c r="C537" s="208"/>
      <c r="D537" s="208"/>
      <c r="E537" s="208"/>
      <c r="F537" s="208"/>
      <c r="G537" s="208"/>
      <c r="H537" s="208"/>
      <c r="I537" s="208"/>
      <c r="J537" s="208"/>
      <c r="K537" s="208"/>
      <c r="L537" s="208"/>
      <c r="M537" s="208"/>
      <c r="N537" s="208"/>
      <c r="O537" s="208"/>
      <c r="P537" s="208"/>
      <c r="Q537" s="208"/>
      <c r="R537" s="208"/>
      <c r="S537" s="208"/>
      <c r="T537" s="208"/>
      <c r="U537" s="208"/>
      <c r="V537" s="208"/>
      <c r="W537" s="208"/>
      <c r="X537" s="208"/>
      <c r="Y537" s="208"/>
      <c r="Z537" s="208"/>
      <c r="AA537" s="208"/>
      <c r="AB537" s="208"/>
      <c r="AC537" s="208"/>
      <c r="AD537" s="208"/>
      <c r="AE537" s="208"/>
      <c r="AF537" s="208"/>
      <c r="AG537" s="208"/>
      <c r="AH537" s="208"/>
      <c r="AI537" s="208"/>
      <c r="AJ537" s="208"/>
      <c r="AK537" s="208"/>
      <c r="AL537" s="208"/>
      <c r="AM537" s="208"/>
      <c r="AN537" s="208"/>
      <c r="AO537" s="208"/>
      <c r="AP537" s="208"/>
      <c r="AQ537" s="208"/>
      <c r="AR537" s="208"/>
      <c r="AS537" s="208"/>
      <c r="AT537" s="208"/>
      <c r="AU537" s="208"/>
      <c r="AV537" s="208"/>
      <c r="AW537" s="208"/>
      <c r="AX537" s="208"/>
      <c r="AY537" s="208"/>
      <c r="AZ537" s="208"/>
      <c r="BA537" s="208"/>
    </row>
    <row r="538" ht="15.75" hidden="1" customHeight="1">
      <c r="A538" s="208"/>
      <c r="B538" s="208"/>
      <c r="C538" s="208"/>
      <c r="D538" s="208"/>
      <c r="E538" s="208"/>
      <c r="F538" s="208"/>
      <c r="G538" s="208"/>
      <c r="H538" s="208"/>
      <c r="I538" s="208"/>
      <c r="J538" s="208"/>
      <c r="K538" s="208"/>
      <c r="L538" s="208"/>
      <c r="M538" s="208"/>
      <c r="N538" s="208"/>
      <c r="O538" s="208"/>
      <c r="P538" s="208"/>
      <c r="Q538" s="208"/>
      <c r="R538" s="208"/>
      <c r="S538" s="208"/>
      <c r="T538" s="208"/>
      <c r="U538" s="208"/>
      <c r="V538" s="208"/>
      <c r="W538" s="208"/>
      <c r="X538" s="208"/>
      <c r="Y538" s="208"/>
      <c r="Z538" s="208"/>
      <c r="AA538" s="208"/>
      <c r="AB538" s="208"/>
      <c r="AC538" s="208"/>
      <c r="AD538" s="208"/>
      <c r="AE538" s="208"/>
      <c r="AF538" s="208"/>
      <c r="AG538" s="208"/>
      <c r="AH538" s="208"/>
      <c r="AI538" s="208"/>
      <c r="AJ538" s="208"/>
      <c r="AK538" s="208"/>
      <c r="AL538" s="208"/>
      <c r="AM538" s="208"/>
      <c r="AN538" s="208"/>
      <c r="AO538" s="208"/>
      <c r="AP538" s="208"/>
      <c r="AQ538" s="208"/>
      <c r="AR538" s="208"/>
      <c r="AS538" s="208"/>
      <c r="AT538" s="208"/>
      <c r="AU538" s="208"/>
      <c r="AV538" s="208"/>
      <c r="AW538" s="208"/>
      <c r="AX538" s="208"/>
      <c r="AY538" s="208"/>
      <c r="AZ538" s="208"/>
      <c r="BA538" s="208"/>
    </row>
    <row r="539" ht="15.75" hidden="1" customHeight="1">
      <c r="A539" s="208"/>
      <c r="B539" s="208"/>
      <c r="C539" s="208"/>
      <c r="D539" s="208"/>
      <c r="E539" s="208"/>
      <c r="F539" s="208"/>
      <c r="G539" s="208"/>
      <c r="H539" s="208"/>
      <c r="I539" s="208"/>
      <c r="J539" s="208"/>
      <c r="K539" s="208"/>
      <c r="L539" s="208"/>
      <c r="M539" s="208"/>
      <c r="N539" s="208"/>
      <c r="O539" s="208"/>
      <c r="P539" s="208"/>
      <c r="Q539" s="208"/>
      <c r="R539" s="208"/>
      <c r="S539" s="208"/>
      <c r="T539" s="208"/>
      <c r="U539" s="208"/>
      <c r="V539" s="208"/>
      <c r="W539" s="208"/>
      <c r="X539" s="208"/>
      <c r="Y539" s="208"/>
      <c r="Z539" s="208"/>
      <c r="AA539" s="208"/>
      <c r="AB539" s="208"/>
      <c r="AC539" s="208"/>
      <c r="AD539" s="208"/>
      <c r="AE539" s="208"/>
      <c r="AF539" s="208"/>
      <c r="AG539" s="208"/>
      <c r="AH539" s="208"/>
      <c r="AI539" s="208"/>
      <c r="AJ539" s="208"/>
      <c r="AK539" s="208"/>
      <c r="AL539" s="208"/>
      <c r="AM539" s="208"/>
      <c r="AN539" s="208"/>
      <c r="AO539" s="208"/>
      <c r="AP539" s="208"/>
      <c r="AQ539" s="208"/>
      <c r="AR539" s="208"/>
      <c r="AS539" s="208"/>
      <c r="AT539" s="208"/>
      <c r="AU539" s="208"/>
      <c r="AV539" s="208"/>
      <c r="AW539" s="208"/>
      <c r="AX539" s="208"/>
      <c r="AY539" s="208"/>
      <c r="AZ539" s="208"/>
      <c r="BA539" s="208"/>
    </row>
    <row r="540" ht="15.75" hidden="1" customHeight="1">
      <c r="A540" s="208"/>
      <c r="B540" s="208"/>
      <c r="C540" s="208"/>
      <c r="D540" s="208"/>
      <c r="E540" s="208"/>
      <c r="F540" s="208"/>
      <c r="G540" s="208"/>
      <c r="H540" s="208"/>
      <c r="I540" s="208"/>
      <c r="J540" s="208"/>
      <c r="K540" s="208"/>
      <c r="L540" s="208"/>
      <c r="M540" s="208"/>
      <c r="N540" s="208"/>
      <c r="O540" s="208"/>
      <c r="P540" s="208"/>
      <c r="Q540" s="208"/>
      <c r="R540" s="208"/>
      <c r="S540" s="208"/>
      <c r="T540" s="208"/>
      <c r="U540" s="208"/>
      <c r="V540" s="208"/>
      <c r="W540" s="208"/>
      <c r="X540" s="208"/>
      <c r="Y540" s="208"/>
      <c r="Z540" s="208"/>
      <c r="AA540" s="208"/>
      <c r="AB540" s="208"/>
      <c r="AC540" s="208"/>
      <c r="AD540" s="208"/>
      <c r="AE540" s="208"/>
      <c r="AF540" s="208"/>
      <c r="AG540" s="208"/>
      <c r="AH540" s="208"/>
      <c r="AI540" s="208"/>
      <c r="AJ540" s="208"/>
      <c r="AK540" s="208"/>
      <c r="AL540" s="208"/>
      <c r="AM540" s="208"/>
      <c r="AN540" s="208"/>
      <c r="AO540" s="208"/>
      <c r="AP540" s="208"/>
      <c r="AQ540" s="208"/>
      <c r="AR540" s="208"/>
      <c r="AS540" s="208"/>
      <c r="AT540" s="208"/>
      <c r="AU540" s="208"/>
      <c r="AV540" s="208"/>
      <c r="AW540" s="208"/>
      <c r="AX540" s="208"/>
      <c r="AY540" s="208"/>
      <c r="AZ540" s="208"/>
      <c r="BA540" s="208"/>
    </row>
    <row r="541" ht="15.75" hidden="1" customHeight="1">
      <c r="A541" s="208"/>
      <c r="B541" s="208"/>
      <c r="C541" s="208"/>
      <c r="D541" s="208"/>
      <c r="E541" s="208"/>
      <c r="F541" s="208"/>
      <c r="G541" s="208"/>
      <c r="H541" s="208"/>
      <c r="I541" s="208"/>
      <c r="J541" s="208"/>
      <c r="K541" s="208"/>
      <c r="L541" s="208"/>
      <c r="M541" s="208"/>
      <c r="N541" s="208"/>
      <c r="O541" s="208"/>
      <c r="P541" s="208"/>
      <c r="Q541" s="208"/>
      <c r="R541" s="208"/>
      <c r="S541" s="208"/>
      <c r="T541" s="208"/>
      <c r="U541" s="208"/>
      <c r="V541" s="208"/>
      <c r="W541" s="208"/>
      <c r="X541" s="208"/>
      <c r="Y541" s="208"/>
      <c r="Z541" s="208"/>
      <c r="AA541" s="208"/>
      <c r="AB541" s="208"/>
      <c r="AC541" s="208"/>
      <c r="AD541" s="208"/>
      <c r="AE541" s="208"/>
      <c r="AF541" s="208"/>
      <c r="AG541" s="208"/>
      <c r="AH541" s="208"/>
      <c r="AI541" s="208"/>
      <c r="AJ541" s="208"/>
      <c r="AK541" s="208"/>
      <c r="AL541" s="208"/>
      <c r="AM541" s="208"/>
      <c r="AN541" s="208"/>
      <c r="AO541" s="208"/>
      <c r="AP541" s="208"/>
      <c r="AQ541" s="208"/>
      <c r="AR541" s="208"/>
      <c r="AS541" s="208"/>
      <c r="AT541" s="208"/>
      <c r="AU541" s="208"/>
      <c r="AV541" s="208"/>
      <c r="AW541" s="208"/>
      <c r="AX541" s="208"/>
      <c r="AY541" s="208"/>
      <c r="AZ541" s="208"/>
      <c r="BA541" s="208"/>
    </row>
    <row r="542" ht="15.75" hidden="1" customHeight="1">
      <c r="A542" s="208"/>
      <c r="B542" s="208"/>
      <c r="C542" s="208"/>
      <c r="D542" s="208"/>
      <c r="E542" s="208"/>
      <c r="F542" s="208"/>
      <c r="G542" s="208"/>
      <c r="H542" s="208"/>
      <c r="I542" s="208"/>
      <c r="J542" s="208"/>
      <c r="K542" s="208"/>
      <c r="L542" s="208"/>
      <c r="M542" s="208"/>
      <c r="N542" s="208"/>
      <c r="O542" s="208"/>
      <c r="P542" s="208"/>
      <c r="Q542" s="208"/>
      <c r="R542" s="208"/>
      <c r="S542" s="208"/>
      <c r="T542" s="208"/>
      <c r="U542" s="208"/>
      <c r="V542" s="208"/>
      <c r="W542" s="208"/>
      <c r="X542" s="208"/>
      <c r="Y542" s="208"/>
      <c r="Z542" s="208"/>
      <c r="AA542" s="208"/>
      <c r="AB542" s="208"/>
      <c r="AC542" s="208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</row>
    <row r="543" ht="15.75" hidden="1" customHeight="1">
      <c r="A543" s="208"/>
      <c r="B543" s="208"/>
      <c r="C543" s="208"/>
      <c r="D543" s="208"/>
      <c r="E543" s="208"/>
      <c r="F543" s="208"/>
      <c r="G543" s="208"/>
      <c r="H543" s="208"/>
      <c r="I543" s="208"/>
      <c r="J543" s="208"/>
      <c r="K543" s="208"/>
      <c r="L543" s="208"/>
      <c r="M543" s="208"/>
      <c r="N543" s="208"/>
      <c r="O543" s="208"/>
      <c r="P543" s="208"/>
      <c r="Q543" s="208"/>
      <c r="R543" s="208"/>
      <c r="S543" s="208"/>
      <c r="T543" s="208"/>
      <c r="U543" s="208"/>
      <c r="V543" s="208"/>
      <c r="W543" s="208"/>
      <c r="X543" s="208"/>
      <c r="Y543" s="208"/>
      <c r="Z543" s="208"/>
      <c r="AA543" s="208"/>
      <c r="AB543" s="208"/>
      <c r="AC543" s="208"/>
      <c r="AD543" s="208"/>
      <c r="AE543" s="208"/>
      <c r="AF543" s="208"/>
      <c r="AG543" s="208"/>
      <c r="AH543" s="208"/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08"/>
      <c r="AT543" s="208"/>
      <c r="AU543" s="208"/>
      <c r="AV543" s="208"/>
      <c r="AW543" s="208"/>
      <c r="AX543" s="208"/>
      <c r="AY543" s="208"/>
      <c r="AZ543" s="208"/>
      <c r="BA543" s="208"/>
    </row>
    <row r="544" ht="15.75" hidden="1" customHeight="1">
      <c r="A544" s="208"/>
      <c r="B544" s="208"/>
      <c r="C544" s="208"/>
      <c r="D544" s="208"/>
      <c r="E544" s="208"/>
      <c r="F544" s="208"/>
      <c r="G544" s="208"/>
      <c r="H544" s="208"/>
      <c r="I544" s="208"/>
      <c r="J544" s="208"/>
      <c r="K544" s="208"/>
      <c r="L544" s="208"/>
      <c r="M544" s="208"/>
      <c r="N544" s="208"/>
      <c r="O544" s="208"/>
      <c r="P544" s="208"/>
      <c r="Q544" s="208"/>
      <c r="R544" s="208"/>
      <c r="S544" s="208"/>
      <c r="T544" s="208"/>
      <c r="U544" s="208"/>
      <c r="V544" s="208"/>
      <c r="W544" s="208"/>
      <c r="X544" s="208"/>
      <c r="Y544" s="208"/>
      <c r="Z544" s="208"/>
      <c r="AA544" s="208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08"/>
      <c r="AT544" s="208"/>
      <c r="AU544" s="208"/>
      <c r="AV544" s="208"/>
      <c r="AW544" s="208"/>
      <c r="AX544" s="208"/>
      <c r="AY544" s="208"/>
      <c r="AZ544" s="208"/>
      <c r="BA544" s="208"/>
    </row>
    <row r="545" ht="15.75" hidden="1" customHeight="1">
      <c r="A545" s="208"/>
      <c r="B545" s="208"/>
      <c r="C545" s="208"/>
      <c r="D545" s="208"/>
      <c r="E545" s="208"/>
      <c r="F545" s="208"/>
      <c r="G545" s="208"/>
      <c r="H545" s="208"/>
      <c r="I545" s="208"/>
      <c r="J545" s="208"/>
      <c r="K545" s="208"/>
      <c r="L545" s="208"/>
      <c r="M545" s="208"/>
      <c r="N545" s="208"/>
      <c r="O545" s="208"/>
      <c r="P545" s="208"/>
      <c r="Q545" s="208"/>
      <c r="R545" s="208"/>
      <c r="S545" s="208"/>
      <c r="T545" s="208"/>
      <c r="U545" s="208"/>
      <c r="V545" s="208"/>
      <c r="W545" s="208"/>
      <c r="X545" s="208"/>
      <c r="Y545" s="208"/>
      <c r="Z545" s="208"/>
      <c r="AA545" s="208"/>
      <c r="AB545" s="208"/>
      <c r="AC545" s="208"/>
      <c r="AD545" s="208"/>
      <c r="AE545" s="208"/>
      <c r="AF545" s="208"/>
      <c r="AG545" s="208"/>
      <c r="AH545" s="208"/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08"/>
      <c r="AT545" s="208"/>
      <c r="AU545" s="208"/>
      <c r="AV545" s="208"/>
      <c r="AW545" s="208"/>
      <c r="AX545" s="208"/>
      <c r="AY545" s="208"/>
      <c r="AZ545" s="208"/>
      <c r="BA545" s="208"/>
    </row>
    <row r="546" ht="15.75" hidden="1" customHeight="1">
      <c r="A546" s="208"/>
      <c r="B546" s="208"/>
      <c r="C546" s="208"/>
      <c r="D546" s="208"/>
      <c r="E546" s="208"/>
      <c r="F546" s="208"/>
      <c r="G546" s="208"/>
      <c r="H546" s="208"/>
      <c r="I546" s="208"/>
      <c r="J546" s="208"/>
      <c r="K546" s="208"/>
      <c r="L546" s="208"/>
      <c r="M546" s="208"/>
      <c r="N546" s="208"/>
      <c r="O546" s="208"/>
      <c r="P546" s="208"/>
      <c r="Q546" s="208"/>
      <c r="R546" s="208"/>
      <c r="S546" s="208"/>
      <c r="T546" s="208"/>
      <c r="U546" s="208"/>
      <c r="V546" s="208"/>
      <c r="W546" s="208"/>
      <c r="X546" s="208"/>
      <c r="Y546" s="208"/>
      <c r="Z546" s="208"/>
      <c r="AA546" s="208"/>
      <c r="AB546" s="208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</row>
    <row r="547" ht="15.75" hidden="1" customHeight="1">
      <c r="A547" s="208"/>
      <c r="B547" s="208"/>
      <c r="C547" s="208"/>
      <c r="D547" s="208"/>
      <c r="E547" s="208"/>
      <c r="F547" s="208"/>
      <c r="G547" s="208"/>
      <c r="H547" s="208"/>
      <c r="I547" s="208"/>
      <c r="J547" s="208"/>
      <c r="K547" s="208"/>
      <c r="L547" s="208"/>
      <c r="M547" s="208"/>
      <c r="N547" s="208"/>
      <c r="O547" s="208"/>
      <c r="P547" s="208"/>
      <c r="Q547" s="208"/>
      <c r="R547" s="208"/>
      <c r="S547" s="208"/>
      <c r="T547" s="208"/>
      <c r="U547" s="208"/>
      <c r="V547" s="208"/>
      <c r="W547" s="208"/>
      <c r="X547" s="208"/>
      <c r="Y547" s="208"/>
      <c r="Z547" s="208"/>
      <c r="AA547" s="208"/>
      <c r="AB547" s="208"/>
      <c r="AC547" s="208"/>
      <c r="AD547" s="208"/>
      <c r="AE547" s="208"/>
      <c r="AF547" s="208"/>
      <c r="AG547" s="208"/>
      <c r="AH547" s="208"/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</row>
    <row r="548" ht="15.75" hidden="1" customHeight="1">
      <c r="A548" s="208"/>
      <c r="B548" s="208"/>
      <c r="C548" s="208"/>
      <c r="D548" s="208"/>
      <c r="E548" s="208"/>
      <c r="F548" s="208"/>
      <c r="G548" s="208"/>
      <c r="H548" s="208"/>
      <c r="I548" s="208"/>
      <c r="J548" s="208"/>
      <c r="K548" s="208"/>
      <c r="L548" s="208"/>
      <c r="M548" s="208"/>
      <c r="N548" s="208"/>
      <c r="O548" s="208"/>
      <c r="P548" s="208"/>
      <c r="Q548" s="208"/>
      <c r="R548" s="208"/>
      <c r="S548" s="208"/>
      <c r="T548" s="208"/>
      <c r="U548" s="208"/>
      <c r="V548" s="208"/>
      <c r="W548" s="208"/>
      <c r="X548" s="208"/>
      <c r="Y548" s="208"/>
      <c r="Z548" s="208"/>
      <c r="AA548" s="208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8"/>
      <c r="AT548" s="208"/>
      <c r="AU548" s="208"/>
      <c r="AV548" s="208"/>
      <c r="AW548" s="208"/>
      <c r="AX548" s="208"/>
      <c r="AY548" s="208"/>
      <c r="AZ548" s="208"/>
      <c r="BA548" s="208"/>
    </row>
    <row r="549" ht="15.75" hidden="1" customHeight="1">
      <c r="A549" s="208"/>
      <c r="B549" s="208"/>
      <c r="C549" s="208"/>
      <c r="D549" s="208"/>
      <c r="E549" s="208"/>
      <c r="F549" s="208"/>
      <c r="G549" s="208"/>
      <c r="H549" s="208"/>
      <c r="I549" s="208"/>
      <c r="J549" s="208"/>
      <c r="K549" s="208"/>
      <c r="L549" s="208"/>
      <c r="M549" s="208"/>
      <c r="N549" s="208"/>
      <c r="O549" s="208"/>
      <c r="P549" s="208"/>
      <c r="Q549" s="208"/>
      <c r="R549" s="208"/>
      <c r="S549" s="208"/>
      <c r="T549" s="208"/>
      <c r="U549" s="208"/>
      <c r="V549" s="208"/>
      <c r="W549" s="208"/>
      <c r="X549" s="208"/>
      <c r="Y549" s="208"/>
      <c r="Z549" s="208"/>
      <c r="AA549" s="208"/>
      <c r="AB549" s="208"/>
      <c r="AC549" s="208"/>
      <c r="AD549" s="208"/>
      <c r="AE549" s="208"/>
      <c r="AF549" s="208"/>
      <c r="AG549" s="208"/>
      <c r="AH549" s="208"/>
      <c r="AI549" s="208"/>
      <c r="AJ549" s="208"/>
      <c r="AK549" s="208"/>
      <c r="AL549" s="208"/>
      <c r="AM549" s="208"/>
      <c r="AN549" s="208"/>
      <c r="AO549" s="208"/>
      <c r="AP549" s="208"/>
      <c r="AQ549" s="208"/>
      <c r="AR549" s="208"/>
      <c r="AS549" s="208"/>
      <c r="AT549" s="208"/>
      <c r="AU549" s="208"/>
      <c r="AV549" s="208"/>
      <c r="AW549" s="208"/>
      <c r="AX549" s="208"/>
      <c r="AY549" s="208"/>
      <c r="AZ549" s="208"/>
      <c r="BA549" s="208"/>
    </row>
    <row r="550" ht="15.75" hidden="1" customHeight="1">
      <c r="A550" s="208"/>
      <c r="B550" s="208"/>
      <c r="C550" s="208"/>
      <c r="D550" s="208"/>
      <c r="E550" s="208"/>
      <c r="F550" s="208"/>
      <c r="G550" s="208"/>
      <c r="H550" s="208"/>
      <c r="I550" s="208"/>
      <c r="J550" s="208"/>
      <c r="K550" s="208"/>
      <c r="L550" s="208"/>
      <c r="M550" s="208"/>
      <c r="N550" s="208"/>
      <c r="O550" s="208"/>
      <c r="P550" s="208"/>
      <c r="Q550" s="208"/>
      <c r="R550" s="208"/>
      <c r="S550" s="208"/>
      <c r="T550" s="208"/>
      <c r="U550" s="208"/>
      <c r="V550" s="208"/>
      <c r="W550" s="208"/>
      <c r="X550" s="208"/>
      <c r="Y550" s="208"/>
      <c r="Z550" s="208"/>
      <c r="AA550" s="208"/>
      <c r="AB550" s="208"/>
      <c r="AC550" s="208"/>
      <c r="AD550" s="208"/>
      <c r="AE550" s="208"/>
      <c r="AF550" s="208"/>
      <c r="AG550" s="208"/>
      <c r="AH550" s="208"/>
      <c r="AI550" s="208"/>
      <c r="AJ550" s="208"/>
      <c r="AK550" s="208"/>
      <c r="AL550" s="208"/>
      <c r="AM550" s="208"/>
      <c r="AN550" s="208"/>
      <c r="AO550" s="208"/>
      <c r="AP550" s="208"/>
      <c r="AQ550" s="208"/>
      <c r="AR550" s="208"/>
      <c r="AS550" s="208"/>
      <c r="AT550" s="208"/>
      <c r="AU550" s="208"/>
      <c r="AV550" s="208"/>
      <c r="AW550" s="208"/>
      <c r="AX550" s="208"/>
      <c r="AY550" s="208"/>
      <c r="AZ550" s="208"/>
      <c r="BA550" s="208"/>
    </row>
    <row r="551" ht="15.75" hidden="1" customHeight="1">
      <c r="A551" s="208"/>
      <c r="B551" s="208"/>
      <c r="C551" s="208"/>
      <c r="D551" s="208"/>
      <c r="E551" s="208"/>
      <c r="F551" s="208"/>
      <c r="G551" s="208"/>
      <c r="H551" s="208"/>
      <c r="I551" s="208"/>
      <c r="J551" s="208"/>
      <c r="K551" s="208"/>
      <c r="L551" s="208"/>
      <c r="M551" s="208"/>
      <c r="N551" s="208"/>
      <c r="O551" s="208"/>
      <c r="P551" s="208"/>
      <c r="Q551" s="208"/>
      <c r="R551" s="208"/>
      <c r="S551" s="208"/>
      <c r="T551" s="208"/>
      <c r="U551" s="208"/>
      <c r="V551" s="208"/>
      <c r="W551" s="208"/>
      <c r="X551" s="208"/>
      <c r="Y551" s="208"/>
      <c r="Z551" s="208"/>
      <c r="AA551" s="208"/>
      <c r="AB551" s="208"/>
      <c r="AC551" s="208"/>
      <c r="AD551" s="208"/>
      <c r="AE551" s="208"/>
      <c r="AF551" s="208"/>
      <c r="AG551" s="208"/>
      <c r="AH551" s="208"/>
      <c r="AI551" s="208"/>
      <c r="AJ551" s="208"/>
      <c r="AK551" s="208"/>
      <c r="AL551" s="208"/>
      <c r="AM551" s="208"/>
      <c r="AN551" s="208"/>
      <c r="AO551" s="208"/>
      <c r="AP551" s="208"/>
      <c r="AQ551" s="208"/>
      <c r="AR551" s="208"/>
      <c r="AS551" s="208"/>
      <c r="AT551" s="208"/>
      <c r="AU551" s="208"/>
      <c r="AV551" s="208"/>
      <c r="AW551" s="208"/>
      <c r="AX551" s="208"/>
      <c r="AY551" s="208"/>
      <c r="AZ551" s="208"/>
      <c r="BA551" s="208"/>
    </row>
    <row r="552" ht="15.75" hidden="1" customHeight="1">
      <c r="A552" s="208"/>
      <c r="B552" s="208"/>
      <c r="C552" s="208"/>
      <c r="D552" s="208"/>
      <c r="E552" s="208"/>
      <c r="F552" s="208"/>
      <c r="G552" s="208"/>
      <c r="H552" s="208"/>
      <c r="I552" s="208"/>
      <c r="J552" s="208"/>
      <c r="K552" s="208"/>
      <c r="L552" s="208"/>
      <c r="M552" s="208"/>
      <c r="N552" s="208"/>
      <c r="O552" s="208"/>
      <c r="P552" s="208"/>
      <c r="Q552" s="208"/>
      <c r="R552" s="208"/>
      <c r="S552" s="208"/>
      <c r="T552" s="208"/>
      <c r="U552" s="208"/>
      <c r="V552" s="208"/>
      <c r="W552" s="208"/>
      <c r="X552" s="208"/>
      <c r="Y552" s="208"/>
      <c r="Z552" s="208"/>
      <c r="AA552" s="208"/>
      <c r="AB552" s="208"/>
      <c r="AC552" s="208"/>
      <c r="AD552" s="208"/>
      <c r="AE552" s="208"/>
      <c r="AF552" s="208"/>
      <c r="AG552" s="208"/>
      <c r="AH552" s="208"/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8"/>
      <c r="AT552" s="208"/>
      <c r="AU552" s="208"/>
      <c r="AV552" s="208"/>
      <c r="AW552" s="208"/>
      <c r="AX552" s="208"/>
      <c r="AY552" s="208"/>
      <c r="AZ552" s="208"/>
      <c r="BA552" s="208"/>
    </row>
    <row r="553" ht="15.75" hidden="1" customHeight="1">
      <c r="A553" s="208"/>
      <c r="B553" s="208"/>
      <c r="C553" s="208"/>
      <c r="D553" s="208"/>
      <c r="E553" s="208"/>
      <c r="F553" s="208"/>
      <c r="G553" s="208"/>
      <c r="H553" s="208"/>
      <c r="I553" s="208"/>
      <c r="J553" s="208"/>
      <c r="K553" s="208"/>
      <c r="L553" s="208"/>
      <c r="M553" s="208"/>
      <c r="N553" s="208"/>
      <c r="O553" s="208"/>
      <c r="P553" s="208"/>
      <c r="Q553" s="208"/>
      <c r="R553" s="208"/>
      <c r="S553" s="208"/>
      <c r="T553" s="208"/>
      <c r="U553" s="208"/>
      <c r="V553" s="208"/>
      <c r="W553" s="208"/>
      <c r="X553" s="208"/>
      <c r="Y553" s="208"/>
      <c r="Z553" s="208"/>
      <c r="AA553" s="208"/>
      <c r="AB553" s="208"/>
      <c r="AC553" s="208"/>
      <c r="AD553" s="208"/>
      <c r="AE553" s="208"/>
      <c r="AF553" s="208"/>
      <c r="AG553" s="208"/>
      <c r="AH553" s="208"/>
      <c r="AI553" s="208"/>
      <c r="AJ553" s="208"/>
      <c r="AK553" s="208"/>
      <c r="AL553" s="208"/>
      <c r="AM553" s="208"/>
      <c r="AN553" s="208"/>
      <c r="AO553" s="208"/>
      <c r="AP553" s="208"/>
      <c r="AQ553" s="208"/>
      <c r="AR553" s="208"/>
      <c r="AS553" s="208"/>
      <c r="AT553" s="208"/>
      <c r="AU553" s="208"/>
      <c r="AV553" s="208"/>
      <c r="AW553" s="208"/>
      <c r="AX553" s="208"/>
      <c r="AY553" s="208"/>
      <c r="AZ553" s="208"/>
      <c r="BA553" s="208"/>
    </row>
    <row r="554" ht="15.75" hidden="1" customHeight="1">
      <c r="A554" s="208"/>
      <c r="B554" s="208"/>
      <c r="C554" s="208"/>
      <c r="D554" s="208"/>
      <c r="E554" s="208"/>
      <c r="F554" s="208"/>
      <c r="G554" s="208"/>
      <c r="H554" s="208"/>
      <c r="I554" s="208"/>
      <c r="J554" s="208"/>
      <c r="K554" s="208"/>
      <c r="L554" s="208"/>
      <c r="M554" s="208"/>
      <c r="N554" s="208"/>
      <c r="O554" s="208"/>
      <c r="P554" s="208"/>
      <c r="Q554" s="208"/>
      <c r="R554" s="208"/>
      <c r="S554" s="208"/>
      <c r="T554" s="208"/>
      <c r="U554" s="208"/>
      <c r="V554" s="208"/>
      <c r="W554" s="208"/>
      <c r="X554" s="208"/>
      <c r="Y554" s="208"/>
      <c r="Z554" s="208"/>
      <c r="AA554" s="208"/>
      <c r="AB554" s="208"/>
      <c r="AC554" s="208"/>
      <c r="AD554" s="208"/>
      <c r="AE554" s="208"/>
      <c r="AF554" s="208"/>
      <c r="AG554" s="208"/>
      <c r="AH554" s="208"/>
      <c r="AI554" s="208"/>
      <c r="AJ554" s="208"/>
      <c r="AK554" s="208"/>
      <c r="AL554" s="208"/>
      <c r="AM554" s="208"/>
      <c r="AN554" s="208"/>
      <c r="AO554" s="208"/>
      <c r="AP554" s="208"/>
      <c r="AQ554" s="208"/>
      <c r="AR554" s="208"/>
      <c r="AS554" s="208"/>
      <c r="AT554" s="208"/>
      <c r="AU554" s="208"/>
      <c r="AV554" s="208"/>
      <c r="AW554" s="208"/>
      <c r="AX554" s="208"/>
      <c r="AY554" s="208"/>
      <c r="AZ554" s="208"/>
      <c r="BA554" s="208"/>
    </row>
    <row r="555" ht="15.75" hidden="1" customHeight="1">
      <c r="A555" s="208"/>
      <c r="B555" s="208"/>
      <c r="C555" s="208"/>
      <c r="D555" s="208"/>
      <c r="E555" s="208"/>
      <c r="F555" s="208"/>
      <c r="G555" s="208"/>
      <c r="H555" s="208"/>
      <c r="I555" s="208"/>
      <c r="J555" s="208"/>
      <c r="K555" s="208"/>
      <c r="L555" s="208"/>
      <c r="M555" s="208"/>
      <c r="N555" s="208"/>
      <c r="O555" s="208"/>
      <c r="P555" s="208"/>
      <c r="Q555" s="208"/>
      <c r="R555" s="208"/>
      <c r="S555" s="208"/>
      <c r="T555" s="208"/>
      <c r="U555" s="208"/>
      <c r="V555" s="208"/>
      <c r="W555" s="208"/>
      <c r="X555" s="208"/>
      <c r="Y555" s="208"/>
      <c r="Z555" s="208"/>
      <c r="AA555" s="208"/>
      <c r="AB555" s="208"/>
      <c r="AC555" s="208"/>
      <c r="AD555" s="208"/>
      <c r="AE555" s="208"/>
      <c r="AF555" s="208"/>
      <c r="AG555" s="208"/>
      <c r="AH555" s="208"/>
      <c r="AI555" s="208"/>
      <c r="AJ555" s="208"/>
      <c r="AK555" s="208"/>
      <c r="AL555" s="208"/>
      <c r="AM555" s="208"/>
      <c r="AN555" s="208"/>
      <c r="AO555" s="208"/>
      <c r="AP555" s="208"/>
      <c r="AQ555" s="208"/>
      <c r="AR555" s="208"/>
      <c r="AS555" s="208"/>
      <c r="AT555" s="208"/>
      <c r="AU555" s="208"/>
      <c r="AV555" s="208"/>
      <c r="AW555" s="208"/>
      <c r="AX555" s="208"/>
      <c r="AY555" s="208"/>
      <c r="AZ555" s="208"/>
      <c r="BA555" s="208"/>
    </row>
    <row r="556" ht="15.75" hidden="1" customHeight="1">
      <c r="A556" s="208"/>
      <c r="B556" s="208"/>
      <c r="C556" s="208"/>
      <c r="D556" s="208"/>
      <c r="E556" s="208"/>
      <c r="F556" s="208"/>
      <c r="G556" s="208"/>
      <c r="H556" s="208"/>
      <c r="I556" s="208"/>
      <c r="J556" s="208"/>
      <c r="K556" s="208"/>
      <c r="L556" s="208"/>
      <c r="M556" s="208"/>
      <c r="N556" s="208"/>
      <c r="O556" s="208"/>
      <c r="P556" s="208"/>
      <c r="Q556" s="208"/>
      <c r="R556" s="208"/>
      <c r="S556" s="208"/>
      <c r="T556" s="208"/>
      <c r="U556" s="208"/>
      <c r="V556" s="208"/>
      <c r="W556" s="208"/>
      <c r="X556" s="208"/>
      <c r="Y556" s="208"/>
      <c r="Z556" s="208"/>
      <c r="AA556" s="208"/>
      <c r="AB556" s="208"/>
      <c r="AC556" s="208"/>
      <c r="AD556" s="208"/>
      <c r="AE556" s="208"/>
      <c r="AF556" s="208"/>
      <c r="AG556" s="208"/>
      <c r="AH556" s="208"/>
      <c r="AI556" s="208"/>
      <c r="AJ556" s="208"/>
      <c r="AK556" s="208"/>
      <c r="AL556" s="208"/>
      <c r="AM556" s="208"/>
      <c r="AN556" s="208"/>
      <c r="AO556" s="208"/>
      <c r="AP556" s="208"/>
      <c r="AQ556" s="208"/>
      <c r="AR556" s="208"/>
      <c r="AS556" s="208"/>
      <c r="AT556" s="208"/>
      <c r="AU556" s="208"/>
      <c r="AV556" s="208"/>
      <c r="AW556" s="208"/>
      <c r="AX556" s="208"/>
      <c r="AY556" s="208"/>
      <c r="AZ556" s="208"/>
      <c r="BA556" s="208"/>
    </row>
    <row r="557" ht="15.75" hidden="1" customHeight="1">
      <c r="A557" s="208"/>
      <c r="B557" s="208"/>
      <c r="C557" s="208"/>
      <c r="D557" s="208"/>
      <c r="E557" s="208"/>
      <c r="F557" s="208"/>
      <c r="G557" s="208"/>
      <c r="H557" s="208"/>
      <c r="I557" s="208"/>
      <c r="J557" s="208"/>
      <c r="K557" s="208"/>
      <c r="L557" s="208"/>
      <c r="M557" s="208"/>
      <c r="N557" s="208"/>
      <c r="O557" s="208"/>
      <c r="P557" s="208"/>
      <c r="Q557" s="208"/>
      <c r="R557" s="208"/>
      <c r="S557" s="208"/>
      <c r="T557" s="208"/>
      <c r="U557" s="208"/>
      <c r="V557" s="208"/>
      <c r="W557" s="208"/>
      <c r="X557" s="208"/>
      <c r="Y557" s="208"/>
      <c r="Z557" s="208"/>
      <c r="AA557" s="208"/>
      <c r="AB557" s="208"/>
      <c r="AC557" s="208"/>
      <c r="AD557" s="208"/>
      <c r="AE557" s="208"/>
      <c r="AF557" s="208"/>
      <c r="AG557" s="208"/>
      <c r="AH557" s="208"/>
      <c r="AI557" s="208"/>
      <c r="AJ557" s="208"/>
      <c r="AK557" s="208"/>
      <c r="AL557" s="208"/>
      <c r="AM557" s="208"/>
      <c r="AN557" s="208"/>
      <c r="AO557" s="208"/>
      <c r="AP557" s="208"/>
      <c r="AQ557" s="208"/>
      <c r="AR557" s="208"/>
      <c r="AS557" s="208"/>
      <c r="AT557" s="208"/>
      <c r="AU557" s="208"/>
      <c r="AV557" s="208"/>
      <c r="AW557" s="208"/>
      <c r="AX557" s="208"/>
      <c r="AY557" s="208"/>
      <c r="AZ557" s="208"/>
      <c r="BA557" s="208"/>
    </row>
    <row r="558" ht="15.75" hidden="1" customHeight="1">
      <c r="A558" s="208"/>
      <c r="B558" s="208"/>
      <c r="C558" s="208"/>
      <c r="D558" s="208"/>
      <c r="E558" s="208"/>
      <c r="F558" s="208"/>
      <c r="G558" s="208"/>
      <c r="H558" s="208"/>
      <c r="I558" s="208"/>
      <c r="J558" s="208"/>
      <c r="K558" s="208"/>
      <c r="L558" s="208"/>
      <c r="M558" s="208"/>
      <c r="N558" s="208"/>
      <c r="O558" s="208"/>
      <c r="P558" s="208"/>
      <c r="Q558" s="208"/>
      <c r="R558" s="208"/>
      <c r="S558" s="208"/>
      <c r="T558" s="208"/>
      <c r="U558" s="208"/>
      <c r="V558" s="208"/>
      <c r="W558" s="208"/>
      <c r="X558" s="208"/>
      <c r="Y558" s="208"/>
      <c r="Z558" s="208"/>
      <c r="AA558" s="208"/>
      <c r="AB558" s="208"/>
      <c r="AC558" s="208"/>
      <c r="AD558" s="208"/>
      <c r="AE558" s="208"/>
      <c r="AF558" s="208"/>
      <c r="AG558" s="208"/>
      <c r="AH558" s="208"/>
      <c r="AI558" s="208"/>
      <c r="AJ558" s="208"/>
      <c r="AK558" s="208"/>
      <c r="AL558" s="208"/>
      <c r="AM558" s="208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08"/>
      <c r="AY558" s="208"/>
      <c r="AZ558" s="208"/>
      <c r="BA558" s="208"/>
    </row>
    <row r="559" ht="15.75" hidden="1" customHeight="1">
      <c r="A559" s="208"/>
      <c r="B559" s="208"/>
      <c r="C559" s="208"/>
      <c r="D559" s="208"/>
      <c r="E559" s="208"/>
      <c r="F559" s="208"/>
      <c r="G559" s="208"/>
      <c r="H559" s="208"/>
      <c r="I559" s="208"/>
      <c r="J559" s="208"/>
      <c r="K559" s="208"/>
      <c r="L559" s="208"/>
      <c r="M559" s="208"/>
      <c r="N559" s="208"/>
      <c r="O559" s="208"/>
      <c r="P559" s="208"/>
      <c r="Q559" s="208"/>
      <c r="R559" s="208"/>
      <c r="S559" s="208"/>
      <c r="T559" s="208"/>
      <c r="U559" s="208"/>
      <c r="V559" s="208"/>
      <c r="W559" s="208"/>
      <c r="X559" s="208"/>
      <c r="Y559" s="208"/>
      <c r="Z559" s="208"/>
      <c r="AA559" s="208"/>
      <c r="AB559" s="208"/>
      <c r="AC559" s="208"/>
      <c r="AD559" s="208"/>
      <c r="AE559" s="208"/>
      <c r="AF559" s="208"/>
      <c r="AG559" s="208"/>
      <c r="AH559" s="208"/>
      <c r="AI559" s="208"/>
      <c r="AJ559" s="208"/>
      <c r="AK559" s="208"/>
      <c r="AL559" s="208"/>
      <c r="AM559" s="208"/>
      <c r="AN559" s="208"/>
      <c r="AO559" s="208"/>
      <c r="AP559" s="208"/>
      <c r="AQ559" s="208"/>
      <c r="AR559" s="208"/>
      <c r="AS559" s="208"/>
      <c r="AT559" s="208"/>
      <c r="AU559" s="208"/>
      <c r="AV559" s="208"/>
      <c r="AW559" s="208"/>
      <c r="AX559" s="208"/>
      <c r="AY559" s="208"/>
      <c r="AZ559" s="208"/>
      <c r="BA559" s="208"/>
    </row>
    <row r="560" ht="15.75" hidden="1" customHeight="1">
      <c r="A560" s="208"/>
      <c r="B560" s="208"/>
      <c r="C560" s="208"/>
      <c r="D560" s="208"/>
      <c r="E560" s="208"/>
      <c r="F560" s="208"/>
      <c r="G560" s="208"/>
      <c r="H560" s="208"/>
      <c r="I560" s="208"/>
      <c r="J560" s="208"/>
      <c r="K560" s="208"/>
      <c r="L560" s="208"/>
      <c r="M560" s="208"/>
      <c r="N560" s="208"/>
      <c r="O560" s="208"/>
      <c r="P560" s="208"/>
      <c r="Q560" s="208"/>
      <c r="R560" s="208"/>
      <c r="S560" s="208"/>
      <c r="T560" s="208"/>
      <c r="U560" s="208"/>
      <c r="V560" s="208"/>
      <c r="W560" s="208"/>
      <c r="X560" s="208"/>
      <c r="Y560" s="208"/>
      <c r="Z560" s="208"/>
      <c r="AA560" s="208"/>
      <c r="AB560" s="208"/>
      <c r="AC560" s="208"/>
      <c r="AD560" s="208"/>
      <c r="AE560" s="208"/>
      <c r="AF560" s="208"/>
      <c r="AG560" s="208"/>
      <c r="AH560" s="208"/>
      <c r="AI560" s="208"/>
      <c r="AJ560" s="208"/>
      <c r="AK560" s="208"/>
      <c r="AL560" s="208"/>
      <c r="AM560" s="208"/>
      <c r="AN560" s="208"/>
      <c r="AO560" s="208"/>
      <c r="AP560" s="208"/>
      <c r="AQ560" s="208"/>
      <c r="AR560" s="208"/>
      <c r="AS560" s="208"/>
      <c r="AT560" s="208"/>
      <c r="AU560" s="208"/>
      <c r="AV560" s="208"/>
      <c r="AW560" s="208"/>
      <c r="AX560" s="208"/>
      <c r="AY560" s="208"/>
      <c r="AZ560" s="208"/>
      <c r="BA560" s="208"/>
    </row>
    <row r="561" ht="15.75" hidden="1" customHeight="1">
      <c r="A561" s="208"/>
      <c r="B561" s="208"/>
      <c r="C561" s="208"/>
      <c r="D561" s="208"/>
      <c r="E561" s="208"/>
      <c r="F561" s="208"/>
      <c r="G561" s="208"/>
      <c r="H561" s="208"/>
      <c r="I561" s="208"/>
      <c r="J561" s="208"/>
      <c r="K561" s="208"/>
      <c r="L561" s="208"/>
      <c r="M561" s="208"/>
      <c r="N561" s="208"/>
      <c r="O561" s="208"/>
      <c r="P561" s="208"/>
      <c r="Q561" s="208"/>
      <c r="R561" s="208"/>
      <c r="S561" s="208"/>
      <c r="T561" s="208"/>
      <c r="U561" s="208"/>
      <c r="V561" s="208"/>
      <c r="W561" s="208"/>
      <c r="X561" s="208"/>
      <c r="Y561" s="208"/>
      <c r="Z561" s="208"/>
      <c r="AA561" s="208"/>
      <c r="AB561" s="208"/>
      <c r="AC561" s="208"/>
      <c r="AD561" s="208"/>
      <c r="AE561" s="208"/>
      <c r="AF561" s="208"/>
      <c r="AG561" s="208"/>
      <c r="AH561" s="208"/>
      <c r="AI561" s="208"/>
      <c r="AJ561" s="208"/>
      <c r="AK561" s="208"/>
      <c r="AL561" s="208"/>
      <c r="AM561" s="208"/>
      <c r="AN561" s="208"/>
      <c r="AO561" s="208"/>
      <c r="AP561" s="208"/>
      <c r="AQ561" s="208"/>
      <c r="AR561" s="208"/>
      <c r="AS561" s="208"/>
      <c r="AT561" s="208"/>
      <c r="AU561" s="208"/>
      <c r="AV561" s="208"/>
      <c r="AW561" s="208"/>
      <c r="AX561" s="208"/>
      <c r="AY561" s="208"/>
      <c r="AZ561" s="208"/>
      <c r="BA561" s="208"/>
    </row>
    <row r="562" ht="15.75" hidden="1" customHeight="1">
      <c r="A562" s="208"/>
      <c r="B562" s="208"/>
      <c r="C562" s="208"/>
      <c r="D562" s="208"/>
      <c r="E562" s="208"/>
      <c r="F562" s="208"/>
      <c r="G562" s="208"/>
      <c r="H562" s="208"/>
      <c r="I562" s="208"/>
      <c r="J562" s="208"/>
      <c r="K562" s="208"/>
      <c r="L562" s="208"/>
      <c r="M562" s="208"/>
      <c r="N562" s="208"/>
      <c r="O562" s="208"/>
      <c r="P562" s="208"/>
      <c r="Q562" s="208"/>
      <c r="R562" s="208"/>
      <c r="S562" s="208"/>
      <c r="T562" s="208"/>
      <c r="U562" s="208"/>
      <c r="V562" s="208"/>
      <c r="W562" s="208"/>
      <c r="X562" s="208"/>
      <c r="Y562" s="208"/>
      <c r="Z562" s="208"/>
      <c r="AA562" s="208"/>
      <c r="AB562" s="208"/>
      <c r="AC562" s="208"/>
      <c r="AD562" s="208"/>
      <c r="AE562" s="208"/>
      <c r="AF562" s="208"/>
      <c r="AG562" s="208"/>
      <c r="AH562" s="208"/>
      <c r="AI562" s="208"/>
      <c r="AJ562" s="208"/>
      <c r="AK562" s="208"/>
      <c r="AL562" s="208"/>
      <c r="AM562" s="208"/>
      <c r="AN562" s="208"/>
      <c r="AO562" s="208"/>
      <c r="AP562" s="208"/>
      <c r="AQ562" s="208"/>
      <c r="AR562" s="208"/>
      <c r="AS562" s="208"/>
      <c r="AT562" s="208"/>
      <c r="AU562" s="208"/>
      <c r="AV562" s="208"/>
      <c r="AW562" s="208"/>
      <c r="AX562" s="208"/>
      <c r="AY562" s="208"/>
      <c r="AZ562" s="208"/>
      <c r="BA562" s="208"/>
    </row>
    <row r="563" ht="15.75" hidden="1" customHeight="1">
      <c r="A563" s="208"/>
      <c r="B563" s="208"/>
      <c r="C563" s="208"/>
      <c r="D563" s="208"/>
      <c r="E563" s="208"/>
      <c r="F563" s="208"/>
      <c r="G563" s="208"/>
      <c r="H563" s="208"/>
      <c r="I563" s="208"/>
      <c r="J563" s="208"/>
      <c r="K563" s="208"/>
      <c r="L563" s="208"/>
      <c r="M563" s="208"/>
      <c r="N563" s="208"/>
      <c r="O563" s="208"/>
      <c r="P563" s="208"/>
      <c r="Q563" s="208"/>
      <c r="R563" s="208"/>
      <c r="S563" s="208"/>
      <c r="T563" s="208"/>
      <c r="U563" s="208"/>
      <c r="V563" s="208"/>
      <c r="W563" s="208"/>
      <c r="X563" s="208"/>
      <c r="Y563" s="208"/>
      <c r="Z563" s="208"/>
      <c r="AA563" s="208"/>
      <c r="AB563" s="208"/>
      <c r="AC563" s="208"/>
      <c r="AD563" s="208"/>
      <c r="AE563" s="208"/>
      <c r="AF563" s="208"/>
      <c r="AG563" s="208"/>
      <c r="AH563" s="208"/>
      <c r="AI563" s="208"/>
      <c r="AJ563" s="208"/>
      <c r="AK563" s="208"/>
      <c r="AL563" s="208"/>
      <c r="AM563" s="208"/>
      <c r="AN563" s="208"/>
      <c r="AO563" s="208"/>
      <c r="AP563" s="208"/>
      <c r="AQ563" s="208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/>
    </row>
    <row r="564" ht="15.75" hidden="1" customHeight="1">
      <c r="A564" s="208"/>
      <c r="B564" s="208"/>
      <c r="C564" s="208"/>
      <c r="D564" s="208"/>
      <c r="E564" s="208"/>
      <c r="F564" s="208"/>
      <c r="G564" s="208"/>
      <c r="H564" s="208"/>
      <c r="I564" s="208"/>
      <c r="J564" s="208"/>
      <c r="K564" s="208"/>
      <c r="L564" s="208"/>
      <c r="M564" s="208"/>
      <c r="N564" s="208"/>
      <c r="O564" s="208"/>
      <c r="P564" s="208"/>
      <c r="Q564" s="208"/>
      <c r="R564" s="208"/>
      <c r="S564" s="208"/>
      <c r="T564" s="208"/>
      <c r="U564" s="208"/>
      <c r="V564" s="208"/>
      <c r="W564" s="208"/>
      <c r="X564" s="208"/>
      <c r="Y564" s="208"/>
      <c r="Z564" s="208"/>
      <c r="AA564" s="208"/>
      <c r="AB564" s="208"/>
      <c r="AC564" s="208"/>
      <c r="AD564" s="208"/>
      <c r="AE564" s="208"/>
      <c r="AF564" s="208"/>
      <c r="AG564" s="208"/>
      <c r="AH564" s="208"/>
      <c r="AI564" s="208"/>
      <c r="AJ564" s="208"/>
      <c r="AK564" s="208"/>
      <c r="AL564" s="208"/>
      <c r="AM564" s="208"/>
      <c r="AN564" s="208"/>
      <c r="AO564" s="208"/>
      <c r="AP564" s="208"/>
      <c r="AQ564" s="208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</row>
    <row r="565" ht="15.75" hidden="1" customHeight="1">
      <c r="A565" s="208"/>
      <c r="B565" s="208"/>
      <c r="C565" s="208"/>
      <c r="D565" s="208"/>
      <c r="E565" s="208"/>
      <c r="F565" s="208"/>
      <c r="G565" s="208"/>
      <c r="H565" s="208"/>
      <c r="I565" s="208"/>
      <c r="J565" s="208"/>
      <c r="K565" s="208"/>
      <c r="L565" s="208"/>
      <c r="M565" s="208"/>
      <c r="N565" s="208"/>
      <c r="O565" s="208"/>
      <c r="P565" s="208"/>
      <c r="Q565" s="208"/>
      <c r="R565" s="208"/>
      <c r="S565" s="208"/>
      <c r="T565" s="208"/>
      <c r="U565" s="208"/>
      <c r="V565" s="208"/>
      <c r="W565" s="208"/>
      <c r="X565" s="208"/>
      <c r="Y565" s="208"/>
      <c r="Z565" s="208"/>
      <c r="AA565" s="208"/>
      <c r="AB565" s="208"/>
      <c r="AC565" s="208"/>
      <c r="AD565" s="208"/>
      <c r="AE565" s="208"/>
      <c r="AF565" s="208"/>
      <c r="AG565" s="208"/>
      <c r="AH565" s="208"/>
      <c r="AI565" s="208"/>
      <c r="AJ565" s="208"/>
      <c r="AK565" s="208"/>
      <c r="AL565" s="208"/>
      <c r="AM565" s="208"/>
      <c r="AN565" s="208"/>
      <c r="AO565" s="208"/>
      <c r="AP565" s="208"/>
      <c r="AQ565" s="208"/>
      <c r="AR565" s="208"/>
      <c r="AS565" s="208"/>
      <c r="AT565" s="208"/>
      <c r="AU565" s="208"/>
      <c r="AV565" s="208"/>
      <c r="AW565" s="208"/>
      <c r="AX565" s="208"/>
      <c r="AY565" s="208"/>
      <c r="AZ565" s="208"/>
      <c r="BA565" s="208"/>
    </row>
    <row r="566" ht="15.75" hidden="1" customHeight="1">
      <c r="A566" s="208"/>
      <c r="B566" s="208"/>
      <c r="C566" s="208"/>
      <c r="D566" s="208"/>
      <c r="E566" s="208"/>
      <c r="F566" s="208"/>
      <c r="G566" s="208"/>
      <c r="H566" s="208"/>
      <c r="I566" s="208"/>
      <c r="J566" s="208"/>
      <c r="K566" s="208"/>
      <c r="L566" s="208"/>
      <c r="M566" s="208"/>
      <c r="N566" s="208"/>
      <c r="O566" s="208"/>
      <c r="P566" s="208"/>
      <c r="Q566" s="208"/>
      <c r="R566" s="208"/>
      <c r="S566" s="208"/>
      <c r="T566" s="208"/>
      <c r="U566" s="208"/>
      <c r="V566" s="208"/>
      <c r="W566" s="208"/>
      <c r="X566" s="208"/>
      <c r="Y566" s="208"/>
      <c r="Z566" s="208"/>
      <c r="AA566" s="208"/>
      <c r="AB566" s="208"/>
      <c r="AC566" s="208"/>
      <c r="AD566" s="208"/>
      <c r="AE566" s="208"/>
      <c r="AF566" s="208"/>
      <c r="AG566" s="208"/>
      <c r="AH566" s="208"/>
      <c r="AI566" s="208"/>
      <c r="AJ566" s="208"/>
      <c r="AK566" s="208"/>
      <c r="AL566" s="208"/>
      <c r="AM566" s="208"/>
      <c r="AN566" s="208"/>
      <c r="AO566" s="208"/>
      <c r="AP566" s="208"/>
      <c r="AQ566" s="208"/>
      <c r="AR566" s="208"/>
      <c r="AS566" s="208"/>
      <c r="AT566" s="208"/>
      <c r="AU566" s="208"/>
      <c r="AV566" s="208"/>
      <c r="AW566" s="208"/>
      <c r="AX566" s="208"/>
      <c r="AY566" s="208"/>
      <c r="AZ566" s="208"/>
      <c r="BA566" s="208"/>
    </row>
    <row r="567" ht="15.75" hidden="1" customHeight="1">
      <c r="A567" s="208"/>
      <c r="B567" s="208"/>
      <c r="C567" s="208"/>
      <c r="D567" s="208"/>
      <c r="E567" s="208"/>
      <c r="F567" s="208"/>
      <c r="G567" s="208"/>
      <c r="H567" s="208"/>
      <c r="I567" s="208"/>
      <c r="J567" s="208"/>
      <c r="K567" s="208"/>
      <c r="L567" s="208"/>
      <c r="M567" s="208"/>
      <c r="N567" s="208"/>
      <c r="O567" s="208"/>
      <c r="P567" s="208"/>
      <c r="Q567" s="208"/>
      <c r="R567" s="208"/>
      <c r="S567" s="208"/>
      <c r="T567" s="208"/>
      <c r="U567" s="208"/>
      <c r="V567" s="208"/>
      <c r="W567" s="208"/>
      <c r="X567" s="208"/>
      <c r="Y567" s="208"/>
      <c r="Z567" s="208"/>
      <c r="AA567" s="208"/>
      <c r="AB567" s="208"/>
      <c r="AC567" s="208"/>
      <c r="AD567" s="208"/>
      <c r="AE567" s="208"/>
      <c r="AF567" s="208"/>
      <c r="AG567" s="208"/>
      <c r="AH567" s="208"/>
      <c r="AI567" s="208"/>
      <c r="AJ567" s="208"/>
      <c r="AK567" s="208"/>
      <c r="AL567" s="208"/>
      <c r="AM567" s="208"/>
      <c r="AN567" s="208"/>
      <c r="AO567" s="208"/>
      <c r="AP567" s="208"/>
      <c r="AQ567" s="208"/>
      <c r="AR567" s="208"/>
      <c r="AS567" s="208"/>
      <c r="AT567" s="208"/>
      <c r="AU567" s="208"/>
      <c r="AV567" s="208"/>
      <c r="AW567" s="208"/>
      <c r="AX567" s="208"/>
      <c r="AY567" s="208"/>
      <c r="AZ567" s="208"/>
      <c r="BA567" s="208"/>
    </row>
    <row r="568" ht="15.75" hidden="1" customHeight="1">
      <c r="A568" s="208"/>
      <c r="B568" s="208"/>
      <c r="C568" s="208"/>
      <c r="D568" s="208"/>
      <c r="E568" s="208"/>
      <c r="F568" s="208"/>
      <c r="G568" s="208"/>
      <c r="H568" s="208"/>
      <c r="I568" s="208"/>
      <c r="J568" s="208"/>
      <c r="K568" s="208"/>
      <c r="L568" s="208"/>
      <c r="M568" s="208"/>
      <c r="N568" s="208"/>
      <c r="O568" s="208"/>
      <c r="P568" s="208"/>
      <c r="Q568" s="208"/>
      <c r="R568" s="208"/>
      <c r="S568" s="208"/>
      <c r="T568" s="208"/>
      <c r="U568" s="208"/>
      <c r="V568" s="208"/>
      <c r="W568" s="208"/>
      <c r="X568" s="208"/>
      <c r="Y568" s="208"/>
      <c r="Z568" s="208"/>
      <c r="AA568" s="208"/>
      <c r="AB568" s="208"/>
      <c r="AC568" s="208"/>
      <c r="AD568" s="208"/>
      <c r="AE568" s="208"/>
      <c r="AF568" s="208"/>
      <c r="AG568" s="208"/>
      <c r="AH568" s="208"/>
      <c r="AI568" s="208"/>
      <c r="AJ568" s="208"/>
      <c r="AK568" s="208"/>
      <c r="AL568" s="208"/>
      <c r="AM568" s="208"/>
      <c r="AN568" s="208"/>
      <c r="AO568" s="208"/>
      <c r="AP568" s="208"/>
      <c r="AQ568" s="208"/>
      <c r="AR568" s="208"/>
      <c r="AS568" s="208"/>
      <c r="AT568" s="208"/>
      <c r="AU568" s="208"/>
      <c r="AV568" s="208"/>
      <c r="AW568" s="208"/>
      <c r="AX568" s="208"/>
      <c r="AY568" s="208"/>
      <c r="AZ568" s="208"/>
      <c r="BA568" s="208"/>
    </row>
    <row r="569" ht="15.75" hidden="1" customHeight="1">
      <c r="A569" s="208"/>
      <c r="B569" s="208"/>
      <c r="C569" s="208"/>
      <c r="D569" s="208"/>
      <c r="E569" s="208"/>
      <c r="F569" s="208"/>
      <c r="G569" s="208"/>
      <c r="H569" s="208"/>
      <c r="I569" s="208"/>
      <c r="J569" s="208"/>
      <c r="K569" s="208"/>
      <c r="L569" s="208"/>
      <c r="M569" s="208"/>
      <c r="N569" s="208"/>
      <c r="O569" s="208"/>
      <c r="P569" s="208"/>
      <c r="Q569" s="208"/>
      <c r="R569" s="208"/>
      <c r="S569" s="208"/>
      <c r="T569" s="208"/>
      <c r="U569" s="208"/>
      <c r="V569" s="208"/>
      <c r="W569" s="208"/>
      <c r="X569" s="208"/>
      <c r="Y569" s="208"/>
      <c r="Z569" s="208"/>
      <c r="AA569" s="208"/>
      <c r="AB569" s="208"/>
      <c r="AC569" s="208"/>
      <c r="AD569" s="208"/>
      <c r="AE569" s="208"/>
      <c r="AF569" s="208"/>
      <c r="AG569" s="208"/>
      <c r="AH569" s="208"/>
      <c r="AI569" s="208"/>
      <c r="AJ569" s="208"/>
      <c r="AK569" s="208"/>
      <c r="AL569" s="208"/>
      <c r="AM569" s="208"/>
      <c r="AN569" s="208"/>
      <c r="AO569" s="208"/>
      <c r="AP569" s="208"/>
      <c r="AQ569" s="208"/>
      <c r="AR569" s="208"/>
      <c r="AS569" s="208"/>
      <c r="AT569" s="208"/>
      <c r="AU569" s="208"/>
      <c r="AV569" s="208"/>
      <c r="AW569" s="208"/>
      <c r="AX569" s="208"/>
      <c r="AY569" s="208"/>
      <c r="AZ569" s="208"/>
      <c r="BA569" s="208"/>
    </row>
    <row r="570" ht="15.75" hidden="1" customHeight="1">
      <c r="A570" s="208"/>
      <c r="B570" s="208"/>
      <c r="C570" s="208"/>
      <c r="D570" s="208"/>
      <c r="E570" s="208"/>
      <c r="F570" s="208"/>
      <c r="G570" s="208"/>
      <c r="H570" s="208"/>
      <c r="I570" s="208"/>
      <c r="J570" s="208"/>
      <c r="K570" s="208"/>
      <c r="L570" s="208"/>
      <c r="M570" s="208"/>
      <c r="N570" s="208"/>
      <c r="O570" s="208"/>
      <c r="P570" s="208"/>
      <c r="Q570" s="208"/>
      <c r="R570" s="208"/>
      <c r="S570" s="208"/>
      <c r="T570" s="208"/>
      <c r="U570" s="208"/>
      <c r="V570" s="208"/>
      <c r="W570" s="208"/>
      <c r="X570" s="208"/>
      <c r="Y570" s="208"/>
      <c r="Z570" s="208"/>
      <c r="AA570" s="208"/>
      <c r="AB570" s="208"/>
      <c r="AC570" s="208"/>
      <c r="AD570" s="208"/>
      <c r="AE570" s="208"/>
      <c r="AF570" s="208"/>
      <c r="AG570" s="208"/>
      <c r="AH570" s="208"/>
      <c r="AI570" s="208"/>
      <c r="AJ570" s="208"/>
      <c r="AK570" s="208"/>
      <c r="AL570" s="208"/>
      <c r="AM570" s="208"/>
      <c r="AN570" s="208"/>
      <c r="AO570" s="208"/>
      <c r="AP570" s="208"/>
      <c r="AQ570" s="208"/>
      <c r="AR570" s="208"/>
      <c r="AS570" s="208"/>
      <c r="AT570" s="208"/>
      <c r="AU570" s="208"/>
      <c r="AV570" s="208"/>
      <c r="AW570" s="208"/>
      <c r="AX570" s="208"/>
      <c r="AY570" s="208"/>
      <c r="AZ570" s="208"/>
      <c r="BA570" s="208"/>
    </row>
    <row r="571" ht="15.75" hidden="1" customHeight="1">
      <c r="A571" s="208"/>
      <c r="B571" s="208"/>
      <c r="C571" s="208"/>
      <c r="D571" s="208"/>
      <c r="E571" s="208"/>
      <c r="F571" s="208"/>
      <c r="G571" s="208"/>
      <c r="H571" s="208"/>
      <c r="I571" s="208"/>
      <c r="J571" s="208"/>
      <c r="K571" s="208"/>
      <c r="L571" s="208"/>
      <c r="M571" s="208"/>
      <c r="N571" s="208"/>
      <c r="O571" s="208"/>
      <c r="P571" s="208"/>
      <c r="Q571" s="208"/>
      <c r="R571" s="208"/>
      <c r="S571" s="208"/>
      <c r="T571" s="208"/>
      <c r="U571" s="208"/>
      <c r="V571" s="208"/>
      <c r="W571" s="208"/>
      <c r="X571" s="208"/>
      <c r="Y571" s="208"/>
      <c r="Z571" s="208"/>
      <c r="AA571" s="208"/>
      <c r="AB571" s="208"/>
      <c r="AC571" s="208"/>
      <c r="AD571" s="208"/>
      <c r="AE571" s="208"/>
      <c r="AF571" s="208"/>
      <c r="AG571" s="208"/>
      <c r="AH571" s="208"/>
      <c r="AI571" s="208"/>
      <c r="AJ571" s="208"/>
      <c r="AK571" s="208"/>
      <c r="AL571" s="208"/>
      <c r="AM571" s="208"/>
      <c r="AN571" s="208"/>
      <c r="AO571" s="208"/>
      <c r="AP571" s="208"/>
      <c r="AQ571" s="208"/>
      <c r="AR571" s="208"/>
      <c r="AS571" s="208"/>
      <c r="AT571" s="208"/>
      <c r="AU571" s="208"/>
      <c r="AV571" s="208"/>
      <c r="AW571" s="208"/>
      <c r="AX571" s="208"/>
      <c r="AY571" s="208"/>
      <c r="AZ571" s="208"/>
      <c r="BA571" s="208"/>
    </row>
    <row r="572" ht="15.75" hidden="1" customHeight="1">
      <c r="A572" s="208"/>
      <c r="B572" s="208"/>
      <c r="C572" s="208"/>
      <c r="D572" s="208"/>
      <c r="E572" s="208"/>
      <c r="F572" s="208"/>
      <c r="G572" s="208"/>
      <c r="H572" s="208"/>
      <c r="I572" s="208"/>
      <c r="J572" s="208"/>
      <c r="K572" s="208"/>
      <c r="L572" s="208"/>
      <c r="M572" s="208"/>
      <c r="N572" s="208"/>
      <c r="O572" s="208"/>
      <c r="P572" s="208"/>
      <c r="Q572" s="208"/>
      <c r="R572" s="208"/>
      <c r="S572" s="208"/>
      <c r="T572" s="208"/>
      <c r="U572" s="208"/>
      <c r="V572" s="208"/>
      <c r="W572" s="208"/>
      <c r="X572" s="208"/>
      <c r="Y572" s="208"/>
      <c r="Z572" s="208"/>
      <c r="AA572" s="208"/>
      <c r="AB572" s="208"/>
      <c r="AC572" s="208"/>
      <c r="AD572" s="208"/>
      <c r="AE572" s="208"/>
      <c r="AF572" s="208"/>
      <c r="AG572" s="208"/>
      <c r="AH572" s="208"/>
      <c r="AI572" s="208"/>
      <c r="AJ572" s="208"/>
      <c r="AK572" s="208"/>
      <c r="AL572" s="208"/>
      <c r="AM572" s="208"/>
      <c r="AN572" s="208"/>
      <c r="AO572" s="208"/>
      <c r="AP572" s="208"/>
      <c r="AQ572" s="208"/>
      <c r="AR572" s="208"/>
      <c r="AS572" s="208"/>
      <c r="AT572" s="208"/>
      <c r="AU572" s="208"/>
      <c r="AV572" s="208"/>
      <c r="AW572" s="208"/>
      <c r="AX572" s="208"/>
      <c r="AY572" s="208"/>
      <c r="AZ572" s="208"/>
      <c r="BA572" s="208"/>
    </row>
    <row r="573" ht="15.75" hidden="1" customHeight="1">
      <c r="A573" s="208"/>
      <c r="B573" s="208"/>
      <c r="C573" s="208"/>
      <c r="D573" s="208"/>
      <c r="E573" s="208"/>
      <c r="F573" s="208"/>
      <c r="G573" s="208"/>
      <c r="H573" s="208"/>
      <c r="I573" s="208"/>
      <c r="J573" s="208"/>
      <c r="K573" s="208"/>
      <c r="L573" s="208"/>
      <c r="M573" s="208"/>
      <c r="N573" s="208"/>
      <c r="O573" s="208"/>
      <c r="P573" s="208"/>
      <c r="Q573" s="208"/>
      <c r="R573" s="208"/>
      <c r="S573" s="208"/>
      <c r="T573" s="208"/>
      <c r="U573" s="208"/>
      <c r="V573" s="208"/>
      <c r="W573" s="208"/>
      <c r="X573" s="208"/>
      <c r="Y573" s="208"/>
      <c r="Z573" s="208"/>
      <c r="AA573" s="208"/>
      <c r="AB573" s="208"/>
      <c r="AC573" s="208"/>
      <c r="AD573" s="208"/>
      <c r="AE573" s="208"/>
      <c r="AF573" s="208"/>
      <c r="AG573" s="208"/>
      <c r="AH573" s="208"/>
      <c r="AI573" s="208"/>
      <c r="AJ573" s="208"/>
      <c r="AK573" s="208"/>
      <c r="AL573" s="208"/>
      <c r="AM573" s="208"/>
      <c r="AN573" s="208"/>
      <c r="AO573" s="208"/>
      <c r="AP573" s="208"/>
      <c r="AQ573" s="208"/>
      <c r="AR573" s="208"/>
      <c r="AS573" s="208"/>
      <c r="AT573" s="208"/>
      <c r="AU573" s="208"/>
      <c r="AV573" s="208"/>
      <c r="AW573" s="208"/>
      <c r="AX573" s="208"/>
      <c r="AY573" s="208"/>
      <c r="AZ573" s="208"/>
      <c r="BA573" s="208"/>
    </row>
    <row r="574" ht="15.75" hidden="1" customHeight="1">
      <c r="A574" s="208"/>
      <c r="B574" s="208"/>
      <c r="C574" s="208"/>
      <c r="D574" s="208"/>
      <c r="E574" s="208"/>
      <c r="F574" s="208"/>
      <c r="G574" s="208"/>
      <c r="H574" s="208"/>
      <c r="I574" s="208"/>
      <c r="J574" s="208"/>
      <c r="K574" s="208"/>
      <c r="L574" s="208"/>
      <c r="M574" s="208"/>
      <c r="N574" s="208"/>
      <c r="O574" s="208"/>
      <c r="P574" s="208"/>
      <c r="Q574" s="208"/>
      <c r="R574" s="208"/>
      <c r="S574" s="208"/>
      <c r="T574" s="208"/>
      <c r="U574" s="208"/>
      <c r="V574" s="208"/>
      <c r="W574" s="208"/>
      <c r="X574" s="208"/>
      <c r="Y574" s="208"/>
      <c r="Z574" s="208"/>
      <c r="AA574" s="208"/>
      <c r="AB574" s="208"/>
      <c r="AC574" s="208"/>
      <c r="AD574" s="208"/>
      <c r="AE574" s="208"/>
      <c r="AF574" s="208"/>
      <c r="AG574" s="208"/>
      <c r="AH574" s="208"/>
      <c r="AI574" s="208"/>
      <c r="AJ574" s="208"/>
      <c r="AK574" s="208"/>
      <c r="AL574" s="208"/>
      <c r="AM574" s="208"/>
      <c r="AN574" s="208"/>
      <c r="AO574" s="208"/>
      <c r="AP574" s="208"/>
      <c r="AQ574" s="208"/>
      <c r="AR574" s="208"/>
      <c r="AS574" s="208"/>
      <c r="AT574" s="208"/>
      <c r="AU574" s="208"/>
      <c r="AV574" s="208"/>
      <c r="AW574" s="208"/>
      <c r="AX574" s="208"/>
      <c r="AY574" s="208"/>
      <c r="AZ574" s="208"/>
      <c r="BA574" s="208"/>
    </row>
    <row r="575" ht="15.75" hidden="1" customHeight="1">
      <c r="A575" s="208"/>
      <c r="B575" s="208"/>
      <c r="C575" s="208"/>
      <c r="D575" s="208"/>
      <c r="E575" s="208"/>
      <c r="F575" s="208"/>
      <c r="G575" s="208"/>
      <c r="H575" s="208"/>
      <c r="I575" s="208"/>
      <c r="J575" s="208"/>
      <c r="K575" s="208"/>
      <c r="L575" s="208"/>
      <c r="M575" s="208"/>
      <c r="N575" s="208"/>
      <c r="O575" s="208"/>
      <c r="P575" s="208"/>
      <c r="Q575" s="208"/>
      <c r="R575" s="208"/>
      <c r="S575" s="208"/>
      <c r="T575" s="208"/>
      <c r="U575" s="208"/>
      <c r="V575" s="208"/>
      <c r="W575" s="208"/>
      <c r="X575" s="208"/>
      <c r="Y575" s="208"/>
      <c r="Z575" s="208"/>
      <c r="AA575" s="208"/>
      <c r="AB575" s="208"/>
      <c r="AC575" s="208"/>
      <c r="AD575" s="208"/>
      <c r="AE575" s="208"/>
      <c r="AF575" s="208"/>
      <c r="AG575" s="208"/>
      <c r="AH575" s="208"/>
      <c r="AI575" s="208"/>
      <c r="AJ575" s="208"/>
      <c r="AK575" s="208"/>
      <c r="AL575" s="208"/>
      <c r="AM575" s="208"/>
      <c r="AN575" s="208"/>
      <c r="AO575" s="208"/>
      <c r="AP575" s="208"/>
      <c r="AQ575" s="208"/>
      <c r="AR575" s="208"/>
      <c r="AS575" s="208"/>
      <c r="AT575" s="208"/>
      <c r="AU575" s="208"/>
      <c r="AV575" s="208"/>
      <c r="AW575" s="208"/>
      <c r="AX575" s="208"/>
      <c r="AY575" s="208"/>
      <c r="AZ575" s="208"/>
      <c r="BA575" s="208"/>
    </row>
    <row r="576" ht="15.75" hidden="1" customHeight="1">
      <c r="A576" s="208"/>
      <c r="B576" s="208"/>
      <c r="C576" s="208"/>
      <c r="D576" s="208"/>
      <c r="E576" s="208"/>
      <c r="F576" s="208"/>
      <c r="G576" s="208"/>
      <c r="H576" s="208"/>
      <c r="I576" s="208"/>
      <c r="J576" s="208"/>
      <c r="K576" s="208"/>
      <c r="L576" s="208"/>
      <c r="M576" s="208"/>
      <c r="N576" s="208"/>
      <c r="O576" s="208"/>
      <c r="P576" s="208"/>
      <c r="Q576" s="208"/>
      <c r="R576" s="208"/>
      <c r="S576" s="208"/>
      <c r="T576" s="208"/>
      <c r="U576" s="208"/>
      <c r="V576" s="208"/>
      <c r="W576" s="208"/>
      <c r="X576" s="208"/>
      <c r="Y576" s="208"/>
      <c r="Z576" s="208"/>
      <c r="AA576" s="208"/>
      <c r="AB576" s="208"/>
      <c r="AC576" s="208"/>
      <c r="AD576" s="208"/>
      <c r="AE576" s="208"/>
      <c r="AF576" s="208"/>
      <c r="AG576" s="208"/>
      <c r="AH576" s="208"/>
      <c r="AI576" s="208"/>
      <c r="AJ576" s="208"/>
      <c r="AK576" s="208"/>
      <c r="AL576" s="208"/>
      <c r="AM576" s="208"/>
      <c r="AN576" s="208"/>
      <c r="AO576" s="208"/>
      <c r="AP576" s="208"/>
      <c r="AQ576" s="208"/>
      <c r="AR576" s="208"/>
      <c r="AS576" s="208"/>
      <c r="AT576" s="208"/>
      <c r="AU576" s="208"/>
      <c r="AV576" s="208"/>
      <c r="AW576" s="208"/>
      <c r="AX576" s="208"/>
      <c r="AY576" s="208"/>
      <c r="AZ576" s="208"/>
      <c r="BA576" s="208"/>
    </row>
    <row r="577" ht="15.75" hidden="1" customHeight="1">
      <c r="A577" s="208"/>
      <c r="B577" s="208"/>
      <c r="C577" s="208"/>
      <c r="D577" s="208"/>
      <c r="E577" s="208"/>
      <c r="F577" s="208"/>
      <c r="G577" s="208"/>
      <c r="H577" s="208"/>
      <c r="I577" s="208"/>
      <c r="J577" s="208"/>
      <c r="K577" s="208"/>
      <c r="L577" s="208"/>
      <c r="M577" s="208"/>
      <c r="N577" s="208"/>
      <c r="O577" s="208"/>
      <c r="P577" s="208"/>
      <c r="Q577" s="208"/>
      <c r="R577" s="208"/>
      <c r="S577" s="208"/>
      <c r="T577" s="208"/>
      <c r="U577" s="208"/>
      <c r="V577" s="208"/>
      <c r="W577" s="208"/>
      <c r="X577" s="208"/>
      <c r="Y577" s="208"/>
      <c r="Z577" s="208"/>
      <c r="AA577" s="208"/>
      <c r="AB577" s="208"/>
      <c r="AC577" s="208"/>
      <c r="AD577" s="208"/>
      <c r="AE577" s="208"/>
      <c r="AF577" s="208"/>
      <c r="AG577" s="208"/>
      <c r="AH577" s="208"/>
      <c r="AI577" s="208"/>
      <c r="AJ577" s="208"/>
      <c r="AK577" s="208"/>
      <c r="AL577" s="208"/>
      <c r="AM577" s="208"/>
      <c r="AN577" s="208"/>
      <c r="AO577" s="208"/>
      <c r="AP577" s="208"/>
      <c r="AQ577" s="208"/>
      <c r="AR577" s="208"/>
      <c r="AS577" s="208"/>
      <c r="AT577" s="208"/>
      <c r="AU577" s="208"/>
      <c r="AV577" s="208"/>
      <c r="AW577" s="208"/>
      <c r="AX577" s="208"/>
      <c r="AY577" s="208"/>
      <c r="AZ577" s="208"/>
      <c r="BA577" s="208"/>
    </row>
    <row r="578" ht="15.75" hidden="1" customHeight="1">
      <c r="A578" s="208"/>
      <c r="B578" s="208"/>
      <c r="C578" s="208"/>
      <c r="D578" s="208"/>
      <c r="E578" s="208"/>
      <c r="F578" s="208"/>
      <c r="G578" s="208"/>
      <c r="H578" s="208"/>
      <c r="I578" s="208"/>
      <c r="J578" s="208"/>
      <c r="K578" s="208"/>
      <c r="L578" s="208"/>
      <c r="M578" s="208"/>
      <c r="N578" s="208"/>
      <c r="O578" s="208"/>
      <c r="P578" s="208"/>
      <c r="Q578" s="208"/>
      <c r="R578" s="208"/>
      <c r="S578" s="208"/>
      <c r="T578" s="208"/>
      <c r="U578" s="208"/>
      <c r="V578" s="208"/>
      <c r="W578" s="208"/>
      <c r="X578" s="208"/>
      <c r="Y578" s="208"/>
      <c r="Z578" s="208"/>
      <c r="AA578" s="208"/>
      <c r="AB578" s="208"/>
      <c r="AC578" s="208"/>
      <c r="AD578" s="208"/>
      <c r="AE578" s="208"/>
      <c r="AF578" s="208"/>
      <c r="AG578" s="208"/>
      <c r="AH578" s="208"/>
      <c r="AI578" s="208"/>
      <c r="AJ578" s="208"/>
      <c r="AK578" s="208"/>
      <c r="AL578" s="208"/>
      <c r="AM578" s="208"/>
      <c r="AN578" s="208"/>
      <c r="AO578" s="208"/>
      <c r="AP578" s="208"/>
      <c r="AQ578" s="208"/>
      <c r="AR578" s="208"/>
      <c r="AS578" s="208"/>
      <c r="AT578" s="208"/>
      <c r="AU578" s="208"/>
      <c r="AV578" s="208"/>
      <c r="AW578" s="208"/>
      <c r="AX578" s="208"/>
      <c r="AY578" s="208"/>
      <c r="AZ578" s="208"/>
      <c r="BA578" s="208"/>
    </row>
    <row r="579" ht="15.75" hidden="1" customHeight="1">
      <c r="A579" s="208"/>
      <c r="B579" s="208"/>
      <c r="C579" s="208"/>
      <c r="D579" s="208"/>
      <c r="E579" s="208"/>
      <c r="F579" s="208"/>
      <c r="G579" s="208"/>
      <c r="H579" s="208"/>
      <c r="I579" s="208"/>
      <c r="J579" s="208"/>
      <c r="K579" s="208"/>
      <c r="L579" s="208"/>
      <c r="M579" s="208"/>
      <c r="N579" s="208"/>
      <c r="O579" s="208"/>
      <c r="P579" s="208"/>
      <c r="Q579" s="208"/>
      <c r="R579" s="208"/>
      <c r="S579" s="208"/>
      <c r="T579" s="208"/>
      <c r="U579" s="208"/>
      <c r="V579" s="208"/>
      <c r="W579" s="208"/>
      <c r="X579" s="208"/>
      <c r="Y579" s="208"/>
      <c r="Z579" s="208"/>
      <c r="AA579" s="208"/>
      <c r="AB579" s="208"/>
      <c r="AC579" s="208"/>
      <c r="AD579" s="208"/>
      <c r="AE579" s="208"/>
      <c r="AF579" s="208"/>
      <c r="AG579" s="208"/>
      <c r="AH579" s="208"/>
      <c r="AI579" s="208"/>
      <c r="AJ579" s="208"/>
      <c r="AK579" s="208"/>
      <c r="AL579" s="208"/>
      <c r="AM579" s="208"/>
      <c r="AN579" s="208"/>
      <c r="AO579" s="208"/>
      <c r="AP579" s="208"/>
      <c r="AQ579" s="208"/>
      <c r="AR579" s="208"/>
      <c r="AS579" s="208"/>
      <c r="AT579" s="208"/>
      <c r="AU579" s="208"/>
      <c r="AV579" s="208"/>
      <c r="AW579" s="208"/>
      <c r="AX579" s="208"/>
      <c r="AY579" s="208"/>
      <c r="AZ579" s="208"/>
      <c r="BA579" s="208"/>
    </row>
    <row r="580" ht="15.75" hidden="1" customHeight="1">
      <c r="A580" s="208"/>
      <c r="B580" s="208"/>
      <c r="C580" s="208"/>
      <c r="D580" s="208"/>
      <c r="E580" s="208"/>
      <c r="F580" s="208"/>
      <c r="G580" s="208"/>
      <c r="H580" s="208"/>
      <c r="I580" s="208"/>
      <c r="J580" s="208"/>
      <c r="K580" s="208"/>
      <c r="L580" s="208"/>
      <c r="M580" s="208"/>
      <c r="N580" s="208"/>
      <c r="O580" s="208"/>
      <c r="P580" s="208"/>
      <c r="Q580" s="208"/>
      <c r="R580" s="208"/>
      <c r="S580" s="208"/>
      <c r="T580" s="208"/>
      <c r="U580" s="208"/>
      <c r="V580" s="208"/>
      <c r="W580" s="208"/>
      <c r="X580" s="208"/>
      <c r="Y580" s="208"/>
      <c r="Z580" s="208"/>
      <c r="AA580" s="208"/>
      <c r="AB580" s="208"/>
      <c r="AC580" s="208"/>
      <c r="AD580" s="208"/>
      <c r="AE580" s="208"/>
      <c r="AF580" s="208"/>
      <c r="AG580" s="208"/>
      <c r="AH580" s="208"/>
      <c r="AI580" s="208"/>
      <c r="AJ580" s="208"/>
      <c r="AK580" s="208"/>
      <c r="AL580" s="208"/>
      <c r="AM580" s="208"/>
      <c r="AN580" s="208"/>
      <c r="AO580" s="208"/>
      <c r="AP580" s="208"/>
      <c r="AQ580" s="208"/>
      <c r="AR580" s="208"/>
      <c r="AS580" s="208"/>
      <c r="AT580" s="208"/>
      <c r="AU580" s="208"/>
      <c r="AV580" s="208"/>
      <c r="AW580" s="208"/>
      <c r="AX580" s="208"/>
      <c r="AY580" s="208"/>
      <c r="AZ580" s="208"/>
      <c r="BA580" s="208"/>
    </row>
    <row r="581" ht="15.75" hidden="1" customHeight="1">
      <c r="A581" s="208"/>
      <c r="B581" s="208"/>
      <c r="C581" s="208"/>
      <c r="D581" s="208"/>
      <c r="E581" s="208"/>
      <c r="F581" s="208"/>
      <c r="G581" s="208"/>
      <c r="H581" s="208"/>
      <c r="I581" s="208"/>
      <c r="J581" s="208"/>
      <c r="K581" s="208"/>
      <c r="L581" s="208"/>
      <c r="M581" s="208"/>
      <c r="N581" s="208"/>
      <c r="O581" s="208"/>
      <c r="P581" s="208"/>
      <c r="Q581" s="208"/>
      <c r="R581" s="208"/>
      <c r="S581" s="208"/>
      <c r="T581" s="208"/>
      <c r="U581" s="208"/>
      <c r="V581" s="208"/>
      <c r="W581" s="208"/>
      <c r="X581" s="208"/>
      <c r="Y581" s="208"/>
      <c r="Z581" s="208"/>
      <c r="AA581" s="208"/>
      <c r="AB581" s="208"/>
      <c r="AC581" s="208"/>
      <c r="AD581" s="208"/>
      <c r="AE581" s="208"/>
      <c r="AF581" s="208"/>
      <c r="AG581" s="208"/>
      <c r="AH581" s="208"/>
      <c r="AI581" s="208"/>
      <c r="AJ581" s="208"/>
      <c r="AK581" s="208"/>
      <c r="AL581" s="208"/>
      <c r="AM581" s="208"/>
      <c r="AN581" s="208"/>
      <c r="AO581" s="208"/>
      <c r="AP581" s="208"/>
      <c r="AQ581" s="208"/>
      <c r="AR581" s="208"/>
      <c r="AS581" s="208"/>
      <c r="AT581" s="208"/>
      <c r="AU581" s="208"/>
      <c r="AV581" s="208"/>
      <c r="AW581" s="208"/>
      <c r="AX581" s="208"/>
      <c r="AY581" s="208"/>
      <c r="AZ581" s="208"/>
      <c r="BA581" s="208"/>
    </row>
    <row r="582" ht="15.75" hidden="1" customHeight="1">
      <c r="A582" s="208"/>
      <c r="B582" s="208"/>
      <c r="C582" s="208"/>
      <c r="D582" s="208"/>
      <c r="E582" s="208"/>
      <c r="F582" s="208"/>
      <c r="G582" s="208"/>
      <c r="H582" s="208"/>
      <c r="I582" s="208"/>
      <c r="J582" s="208"/>
      <c r="K582" s="208"/>
      <c r="L582" s="208"/>
      <c r="M582" s="208"/>
      <c r="N582" s="208"/>
      <c r="O582" s="208"/>
      <c r="P582" s="208"/>
      <c r="Q582" s="208"/>
      <c r="R582" s="208"/>
      <c r="S582" s="208"/>
      <c r="T582" s="208"/>
      <c r="U582" s="208"/>
      <c r="V582" s="208"/>
      <c r="W582" s="208"/>
      <c r="X582" s="208"/>
      <c r="Y582" s="208"/>
      <c r="Z582" s="208"/>
      <c r="AA582" s="208"/>
      <c r="AB582" s="208"/>
      <c r="AC582" s="208"/>
      <c r="AD582" s="208"/>
      <c r="AE582" s="208"/>
      <c r="AF582" s="208"/>
      <c r="AG582" s="208"/>
      <c r="AH582" s="208"/>
      <c r="AI582" s="208"/>
      <c r="AJ582" s="208"/>
      <c r="AK582" s="208"/>
      <c r="AL582" s="208"/>
      <c r="AM582" s="208"/>
      <c r="AN582" s="208"/>
      <c r="AO582" s="208"/>
      <c r="AP582" s="208"/>
      <c r="AQ582" s="208"/>
      <c r="AR582" s="208"/>
      <c r="AS582" s="208"/>
      <c r="AT582" s="208"/>
      <c r="AU582" s="208"/>
      <c r="AV582" s="208"/>
      <c r="AW582" s="208"/>
      <c r="AX582" s="208"/>
      <c r="AY582" s="208"/>
      <c r="AZ582" s="208"/>
      <c r="BA582" s="208"/>
    </row>
    <row r="583" ht="15.75" hidden="1" customHeight="1">
      <c r="A583" s="208"/>
      <c r="B583" s="208"/>
      <c r="C583" s="208"/>
      <c r="D583" s="208"/>
      <c r="E583" s="208"/>
      <c r="F583" s="208"/>
      <c r="G583" s="208"/>
      <c r="H583" s="208"/>
      <c r="I583" s="208"/>
      <c r="J583" s="208"/>
      <c r="K583" s="208"/>
      <c r="L583" s="208"/>
      <c r="M583" s="208"/>
      <c r="N583" s="208"/>
      <c r="O583" s="208"/>
      <c r="P583" s="208"/>
      <c r="Q583" s="208"/>
      <c r="R583" s="208"/>
      <c r="S583" s="208"/>
      <c r="T583" s="208"/>
      <c r="U583" s="208"/>
      <c r="V583" s="208"/>
      <c r="W583" s="208"/>
      <c r="X583" s="208"/>
      <c r="Y583" s="208"/>
      <c r="Z583" s="208"/>
      <c r="AA583" s="208"/>
      <c r="AB583" s="208"/>
      <c r="AC583" s="208"/>
      <c r="AD583" s="208"/>
      <c r="AE583" s="208"/>
      <c r="AF583" s="208"/>
      <c r="AG583" s="208"/>
      <c r="AH583" s="208"/>
      <c r="AI583" s="208"/>
      <c r="AJ583" s="208"/>
      <c r="AK583" s="208"/>
      <c r="AL583" s="208"/>
      <c r="AM583" s="208"/>
      <c r="AN583" s="208"/>
      <c r="AO583" s="208"/>
      <c r="AP583" s="208"/>
      <c r="AQ583" s="208"/>
      <c r="AR583" s="208"/>
      <c r="AS583" s="208"/>
      <c r="AT583" s="208"/>
      <c r="AU583" s="208"/>
      <c r="AV583" s="208"/>
      <c r="AW583" s="208"/>
      <c r="AX583" s="208"/>
      <c r="AY583" s="208"/>
      <c r="AZ583" s="208"/>
      <c r="BA583" s="208"/>
    </row>
    <row r="584" ht="15.75" hidden="1" customHeight="1">
      <c r="A584" s="208"/>
      <c r="B584" s="208"/>
      <c r="C584" s="208"/>
      <c r="D584" s="208"/>
      <c r="E584" s="208"/>
      <c r="F584" s="208"/>
      <c r="G584" s="208"/>
      <c r="H584" s="208"/>
      <c r="I584" s="208"/>
      <c r="J584" s="208"/>
      <c r="K584" s="208"/>
      <c r="L584" s="208"/>
      <c r="M584" s="208"/>
      <c r="N584" s="208"/>
      <c r="O584" s="208"/>
      <c r="P584" s="208"/>
      <c r="Q584" s="208"/>
      <c r="R584" s="208"/>
      <c r="S584" s="208"/>
      <c r="T584" s="208"/>
      <c r="U584" s="208"/>
      <c r="V584" s="208"/>
      <c r="W584" s="208"/>
      <c r="X584" s="208"/>
      <c r="Y584" s="208"/>
      <c r="Z584" s="208"/>
      <c r="AA584" s="208"/>
      <c r="AB584" s="208"/>
      <c r="AC584" s="208"/>
      <c r="AD584" s="208"/>
      <c r="AE584" s="208"/>
      <c r="AF584" s="208"/>
      <c r="AG584" s="208"/>
      <c r="AH584" s="208"/>
      <c r="AI584" s="208"/>
      <c r="AJ584" s="208"/>
      <c r="AK584" s="208"/>
      <c r="AL584" s="208"/>
      <c r="AM584" s="208"/>
      <c r="AN584" s="208"/>
      <c r="AO584" s="208"/>
      <c r="AP584" s="208"/>
      <c r="AQ584" s="208"/>
      <c r="AR584" s="208"/>
      <c r="AS584" s="208"/>
      <c r="AT584" s="208"/>
      <c r="AU584" s="208"/>
      <c r="AV584" s="208"/>
      <c r="AW584" s="208"/>
      <c r="AX584" s="208"/>
      <c r="AY584" s="208"/>
      <c r="AZ584" s="208"/>
      <c r="BA584" s="208"/>
    </row>
    <row r="585" ht="15.75" hidden="1" customHeight="1">
      <c r="A585" s="208"/>
      <c r="B585" s="208"/>
      <c r="C585" s="208"/>
      <c r="D585" s="208"/>
      <c r="E585" s="208"/>
      <c r="F585" s="208"/>
      <c r="G585" s="208"/>
      <c r="H585" s="208"/>
      <c r="I585" s="208"/>
      <c r="J585" s="208"/>
      <c r="K585" s="208"/>
      <c r="L585" s="208"/>
      <c r="M585" s="208"/>
      <c r="N585" s="208"/>
      <c r="O585" s="208"/>
      <c r="P585" s="208"/>
      <c r="Q585" s="208"/>
      <c r="R585" s="208"/>
      <c r="S585" s="208"/>
      <c r="T585" s="208"/>
      <c r="U585" s="208"/>
      <c r="V585" s="208"/>
      <c r="W585" s="208"/>
      <c r="X585" s="208"/>
      <c r="Y585" s="208"/>
      <c r="Z585" s="208"/>
      <c r="AA585" s="208"/>
      <c r="AB585" s="208"/>
      <c r="AC585" s="208"/>
      <c r="AD585" s="208"/>
      <c r="AE585" s="208"/>
      <c r="AF585" s="208"/>
      <c r="AG585" s="208"/>
      <c r="AH585" s="208"/>
      <c r="AI585" s="208"/>
      <c r="AJ585" s="208"/>
      <c r="AK585" s="208"/>
      <c r="AL585" s="208"/>
      <c r="AM585" s="208"/>
      <c r="AN585" s="208"/>
      <c r="AO585" s="208"/>
      <c r="AP585" s="208"/>
      <c r="AQ585" s="208"/>
      <c r="AR585" s="208"/>
      <c r="AS585" s="208"/>
      <c r="AT585" s="208"/>
      <c r="AU585" s="208"/>
      <c r="AV585" s="208"/>
      <c r="AW585" s="208"/>
      <c r="AX585" s="208"/>
      <c r="AY585" s="208"/>
      <c r="AZ585" s="208"/>
      <c r="BA585" s="208"/>
    </row>
    <row r="586" ht="15.75" hidden="1" customHeight="1">
      <c r="A586" s="208"/>
      <c r="B586" s="208"/>
      <c r="C586" s="208"/>
      <c r="D586" s="208"/>
      <c r="E586" s="208"/>
      <c r="F586" s="208"/>
      <c r="G586" s="208"/>
      <c r="H586" s="208"/>
      <c r="I586" s="208"/>
      <c r="J586" s="208"/>
      <c r="K586" s="208"/>
      <c r="L586" s="208"/>
      <c r="M586" s="208"/>
      <c r="N586" s="208"/>
      <c r="O586" s="208"/>
      <c r="P586" s="208"/>
      <c r="Q586" s="208"/>
      <c r="R586" s="208"/>
      <c r="S586" s="208"/>
      <c r="T586" s="208"/>
      <c r="U586" s="208"/>
      <c r="V586" s="208"/>
      <c r="W586" s="208"/>
      <c r="X586" s="208"/>
      <c r="Y586" s="208"/>
      <c r="Z586" s="208"/>
      <c r="AA586" s="208"/>
      <c r="AB586" s="208"/>
      <c r="AC586" s="208"/>
      <c r="AD586" s="208"/>
      <c r="AE586" s="208"/>
      <c r="AF586" s="208"/>
      <c r="AG586" s="208"/>
      <c r="AH586" s="208"/>
      <c r="AI586" s="208"/>
      <c r="AJ586" s="208"/>
      <c r="AK586" s="208"/>
      <c r="AL586" s="208"/>
      <c r="AM586" s="208"/>
      <c r="AN586" s="208"/>
      <c r="AO586" s="208"/>
      <c r="AP586" s="208"/>
      <c r="AQ586" s="208"/>
      <c r="AR586" s="208"/>
      <c r="AS586" s="208"/>
      <c r="AT586" s="208"/>
      <c r="AU586" s="208"/>
      <c r="AV586" s="208"/>
      <c r="AW586" s="208"/>
      <c r="AX586" s="208"/>
      <c r="AY586" s="208"/>
      <c r="AZ586" s="208"/>
      <c r="BA586" s="208"/>
    </row>
    <row r="587" ht="15.75" hidden="1" customHeight="1">
      <c r="A587" s="208"/>
      <c r="B587" s="208"/>
      <c r="C587" s="208"/>
      <c r="D587" s="208"/>
      <c r="E587" s="208"/>
      <c r="F587" s="208"/>
      <c r="G587" s="208"/>
      <c r="H587" s="208"/>
      <c r="I587" s="208"/>
      <c r="J587" s="208"/>
      <c r="K587" s="208"/>
      <c r="L587" s="208"/>
      <c r="M587" s="208"/>
      <c r="N587" s="208"/>
      <c r="O587" s="208"/>
      <c r="P587" s="208"/>
      <c r="Q587" s="208"/>
      <c r="R587" s="208"/>
      <c r="S587" s="208"/>
      <c r="T587" s="208"/>
      <c r="U587" s="208"/>
      <c r="V587" s="208"/>
      <c r="W587" s="208"/>
      <c r="X587" s="208"/>
      <c r="Y587" s="208"/>
      <c r="Z587" s="208"/>
      <c r="AA587" s="208"/>
      <c r="AB587" s="208"/>
      <c r="AC587" s="208"/>
      <c r="AD587" s="208"/>
      <c r="AE587" s="208"/>
      <c r="AF587" s="208"/>
      <c r="AG587" s="208"/>
      <c r="AH587" s="208"/>
      <c r="AI587" s="208"/>
      <c r="AJ587" s="208"/>
      <c r="AK587" s="208"/>
      <c r="AL587" s="208"/>
      <c r="AM587" s="208"/>
      <c r="AN587" s="208"/>
      <c r="AO587" s="208"/>
      <c r="AP587" s="208"/>
      <c r="AQ587" s="208"/>
      <c r="AR587" s="208"/>
      <c r="AS587" s="208"/>
      <c r="AT587" s="208"/>
      <c r="AU587" s="208"/>
      <c r="AV587" s="208"/>
      <c r="AW587" s="208"/>
      <c r="AX587" s="208"/>
      <c r="AY587" s="208"/>
      <c r="AZ587" s="208"/>
      <c r="BA587" s="208"/>
    </row>
    <row r="588" ht="15.75" hidden="1" customHeight="1">
      <c r="A588" s="208"/>
      <c r="B588" s="208"/>
      <c r="C588" s="208"/>
      <c r="D588" s="208"/>
      <c r="E588" s="208"/>
      <c r="F588" s="208"/>
      <c r="G588" s="208"/>
      <c r="H588" s="208"/>
      <c r="I588" s="208"/>
      <c r="J588" s="208"/>
      <c r="K588" s="208"/>
      <c r="L588" s="208"/>
      <c r="M588" s="208"/>
      <c r="N588" s="208"/>
      <c r="O588" s="208"/>
      <c r="P588" s="208"/>
      <c r="Q588" s="208"/>
      <c r="R588" s="208"/>
      <c r="S588" s="208"/>
      <c r="T588" s="208"/>
      <c r="U588" s="208"/>
      <c r="V588" s="208"/>
      <c r="W588" s="208"/>
      <c r="X588" s="208"/>
      <c r="Y588" s="208"/>
      <c r="Z588" s="208"/>
      <c r="AA588" s="208"/>
      <c r="AB588" s="208"/>
      <c r="AC588" s="208"/>
      <c r="AD588" s="208"/>
      <c r="AE588" s="208"/>
      <c r="AF588" s="208"/>
      <c r="AG588" s="208"/>
      <c r="AH588" s="208"/>
      <c r="AI588" s="208"/>
      <c r="AJ588" s="208"/>
      <c r="AK588" s="208"/>
      <c r="AL588" s="208"/>
      <c r="AM588" s="208"/>
      <c r="AN588" s="208"/>
      <c r="AO588" s="208"/>
      <c r="AP588" s="208"/>
      <c r="AQ588" s="208"/>
      <c r="AR588" s="208"/>
      <c r="AS588" s="208"/>
      <c r="AT588" s="208"/>
      <c r="AU588" s="208"/>
      <c r="AV588" s="208"/>
      <c r="AW588" s="208"/>
      <c r="AX588" s="208"/>
      <c r="AY588" s="208"/>
      <c r="AZ588" s="208"/>
      <c r="BA588" s="208"/>
    </row>
    <row r="589" ht="15.75" hidden="1" customHeight="1">
      <c r="A589" s="208"/>
      <c r="B589" s="208"/>
      <c r="C589" s="208"/>
      <c r="D589" s="208"/>
      <c r="E589" s="208"/>
      <c r="F589" s="208"/>
      <c r="G589" s="208"/>
      <c r="H589" s="208"/>
      <c r="I589" s="208"/>
      <c r="J589" s="208"/>
      <c r="K589" s="208"/>
      <c r="L589" s="208"/>
      <c r="M589" s="208"/>
      <c r="N589" s="208"/>
      <c r="O589" s="208"/>
      <c r="P589" s="208"/>
      <c r="Q589" s="208"/>
      <c r="R589" s="208"/>
      <c r="S589" s="208"/>
      <c r="T589" s="208"/>
      <c r="U589" s="208"/>
      <c r="V589" s="208"/>
      <c r="W589" s="208"/>
      <c r="X589" s="208"/>
      <c r="Y589" s="208"/>
      <c r="Z589" s="208"/>
      <c r="AA589" s="208"/>
      <c r="AB589" s="208"/>
      <c r="AC589" s="208"/>
      <c r="AD589" s="208"/>
      <c r="AE589" s="208"/>
      <c r="AF589" s="208"/>
      <c r="AG589" s="208"/>
      <c r="AH589" s="208"/>
      <c r="AI589" s="208"/>
      <c r="AJ589" s="208"/>
      <c r="AK589" s="208"/>
      <c r="AL589" s="208"/>
      <c r="AM589" s="208"/>
      <c r="AN589" s="208"/>
      <c r="AO589" s="208"/>
      <c r="AP589" s="208"/>
      <c r="AQ589" s="208"/>
      <c r="AR589" s="208"/>
      <c r="AS589" s="208"/>
      <c r="AT589" s="208"/>
      <c r="AU589" s="208"/>
      <c r="AV589" s="208"/>
      <c r="AW589" s="208"/>
      <c r="AX589" s="208"/>
      <c r="AY589" s="208"/>
      <c r="AZ589" s="208"/>
      <c r="BA589" s="208"/>
    </row>
    <row r="590" ht="15.75" hidden="1" customHeight="1">
      <c r="A590" s="208"/>
      <c r="B590" s="208"/>
      <c r="C590" s="208"/>
      <c r="D590" s="208"/>
      <c r="E590" s="208"/>
      <c r="F590" s="208"/>
      <c r="G590" s="208"/>
      <c r="H590" s="208"/>
      <c r="I590" s="208"/>
      <c r="J590" s="208"/>
      <c r="K590" s="208"/>
      <c r="L590" s="208"/>
      <c r="M590" s="208"/>
      <c r="N590" s="208"/>
      <c r="O590" s="208"/>
      <c r="P590" s="208"/>
      <c r="Q590" s="208"/>
      <c r="R590" s="208"/>
      <c r="S590" s="208"/>
      <c r="T590" s="208"/>
      <c r="U590" s="208"/>
      <c r="V590" s="208"/>
      <c r="W590" s="208"/>
      <c r="X590" s="208"/>
      <c r="Y590" s="208"/>
      <c r="Z590" s="208"/>
      <c r="AA590" s="208"/>
      <c r="AB590" s="208"/>
      <c r="AC590" s="208"/>
      <c r="AD590" s="208"/>
      <c r="AE590" s="208"/>
      <c r="AF590" s="208"/>
      <c r="AG590" s="208"/>
      <c r="AH590" s="208"/>
      <c r="AI590" s="208"/>
      <c r="AJ590" s="208"/>
      <c r="AK590" s="208"/>
      <c r="AL590" s="208"/>
      <c r="AM590" s="208"/>
      <c r="AN590" s="208"/>
      <c r="AO590" s="208"/>
      <c r="AP590" s="208"/>
      <c r="AQ590" s="208"/>
      <c r="AR590" s="208"/>
      <c r="AS590" s="208"/>
      <c r="AT590" s="208"/>
      <c r="AU590" s="208"/>
      <c r="AV590" s="208"/>
      <c r="AW590" s="208"/>
      <c r="AX590" s="208"/>
      <c r="AY590" s="208"/>
      <c r="AZ590" s="208"/>
      <c r="BA590" s="208"/>
    </row>
    <row r="591" ht="15.75" hidden="1" customHeight="1">
      <c r="A591" s="208"/>
      <c r="B591" s="208"/>
      <c r="C591" s="208"/>
      <c r="D591" s="208"/>
      <c r="E591" s="208"/>
      <c r="F591" s="208"/>
      <c r="G591" s="208"/>
      <c r="H591" s="208"/>
      <c r="I591" s="208"/>
      <c r="J591" s="208"/>
      <c r="K591" s="208"/>
      <c r="L591" s="208"/>
      <c r="M591" s="208"/>
      <c r="N591" s="208"/>
      <c r="O591" s="208"/>
      <c r="P591" s="208"/>
      <c r="Q591" s="208"/>
      <c r="R591" s="208"/>
      <c r="S591" s="208"/>
      <c r="T591" s="208"/>
      <c r="U591" s="208"/>
      <c r="V591" s="208"/>
      <c r="W591" s="208"/>
      <c r="X591" s="208"/>
      <c r="Y591" s="208"/>
      <c r="Z591" s="208"/>
      <c r="AA591" s="208"/>
      <c r="AB591" s="208"/>
      <c r="AC591" s="208"/>
      <c r="AD591" s="208"/>
      <c r="AE591" s="208"/>
      <c r="AF591" s="208"/>
      <c r="AG591" s="208"/>
      <c r="AH591" s="208"/>
      <c r="AI591" s="208"/>
      <c r="AJ591" s="208"/>
      <c r="AK591" s="208"/>
      <c r="AL591" s="208"/>
      <c r="AM591" s="208"/>
      <c r="AN591" s="208"/>
      <c r="AO591" s="208"/>
      <c r="AP591" s="208"/>
      <c r="AQ591" s="208"/>
      <c r="AR591" s="208"/>
      <c r="AS591" s="208"/>
      <c r="AT591" s="208"/>
      <c r="AU591" s="208"/>
      <c r="AV591" s="208"/>
      <c r="AW591" s="208"/>
      <c r="AX591" s="208"/>
      <c r="AY591" s="208"/>
      <c r="AZ591" s="208"/>
      <c r="BA591" s="208"/>
    </row>
    <row r="592" ht="15.75" hidden="1" customHeight="1">
      <c r="A592" s="208"/>
      <c r="B592" s="208"/>
      <c r="C592" s="208"/>
      <c r="D592" s="208"/>
      <c r="E592" s="208"/>
      <c r="F592" s="208"/>
      <c r="G592" s="208"/>
      <c r="H592" s="208"/>
      <c r="I592" s="208"/>
      <c r="J592" s="208"/>
      <c r="K592" s="208"/>
      <c r="L592" s="208"/>
      <c r="M592" s="208"/>
      <c r="N592" s="208"/>
      <c r="O592" s="208"/>
      <c r="P592" s="208"/>
      <c r="Q592" s="208"/>
      <c r="R592" s="208"/>
      <c r="S592" s="208"/>
      <c r="T592" s="208"/>
      <c r="U592" s="208"/>
      <c r="V592" s="208"/>
      <c r="W592" s="208"/>
      <c r="X592" s="208"/>
      <c r="Y592" s="208"/>
      <c r="Z592" s="208"/>
      <c r="AA592" s="208"/>
      <c r="AB592" s="208"/>
      <c r="AC592" s="208"/>
      <c r="AD592" s="208"/>
      <c r="AE592" s="208"/>
      <c r="AF592" s="208"/>
      <c r="AG592" s="208"/>
      <c r="AH592" s="208"/>
      <c r="AI592" s="208"/>
      <c r="AJ592" s="208"/>
      <c r="AK592" s="208"/>
      <c r="AL592" s="208"/>
      <c r="AM592" s="208"/>
      <c r="AN592" s="208"/>
      <c r="AO592" s="208"/>
      <c r="AP592" s="208"/>
      <c r="AQ592" s="208"/>
      <c r="AR592" s="208"/>
      <c r="AS592" s="208"/>
      <c r="AT592" s="208"/>
      <c r="AU592" s="208"/>
      <c r="AV592" s="208"/>
      <c r="AW592" s="208"/>
      <c r="AX592" s="208"/>
      <c r="AY592" s="208"/>
      <c r="AZ592" s="208"/>
      <c r="BA592" s="208"/>
    </row>
    <row r="593" ht="15.75" hidden="1" customHeight="1">
      <c r="A593" s="208"/>
      <c r="B593" s="208"/>
      <c r="C593" s="208"/>
      <c r="D593" s="208"/>
      <c r="E593" s="208"/>
      <c r="F593" s="208"/>
      <c r="G593" s="208"/>
      <c r="H593" s="208"/>
      <c r="I593" s="208"/>
      <c r="J593" s="208"/>
      <c r="K593" s="208"/>
      <c r="L593" s="208"/>
      <c r="M593" s="208"/>
      <c r="N593" s="208"/>
      <c r="O593" s="208"/>
      <c r="P593" s="208"/>
      <c r="Q593" s="208"/>
      <c r="R593" s="208"/>
      <c r="S593" s="208"/>
      <c r="T593" s="208"/>
      <c r="U593" s="208"/>
      <c r="V593" s="208"/>
      <c r="W593" s="208"/>
      <c r="X593" s="208"/>
      <c r="Y593" s="208"/>
      <c r="Z593" s="208"/>
      <c r="AA593" s="208"/>
      <c r="AB593" s="208"/>
      <c r="AC593" s="208"/>
      <c r="AD593" s="208"/>
      <c r="AE593" s="208"/>
      <c r="AF593" s="208"/>
      <c r="AG593" s="208"/>
      <c r="AH593" s="208"/>
      <c r="AI593" s="208"/>
      <c r="AJ593" s="208"/>
      <c r="AK593" s="208"/>
      <c r="AL593" s="208"/>
      <c r="AM593" s="208"/>
      <c r="AN593" s="208"/>
      <c r="AO593" s="208"/>
      <c r="AP593" s="208"/>
      <c r="AQ593" s="208"/>
      <c r="AR593" s="208"/>
      <c r="AS593" s="208"/>
      <c r="AT593" s="208"/>
      <c r="AU593" s="208"/>
      <c r="AV593" s="208"/>
      <c r="AW593" s="208"/>
      <c r="AX593" s="208"/>
      <c r="AY593" s="208"/>
      <c r="AZ593" s="208"/>
      <c r="BA593" s="208"/>
    </row>
    <row r="594" ht="15.75" hidden="1" customHeight="1">
      <c r="A594" s="208"/>
      <c r="B594" s="208"/>
      <c r="C594" s="208"/>
      <c r="D594" s="208"/>
      <c r="E594" s="208"/>
      <c r="F594" s="208"/>
      <c r="G594" s="208"/>
      <c r="H594" s="208"/>
      <c r="I594" s="208"/>
      <c r="J594" s="208"/>
      <c r="K594" s="208"/>
      <c r="L594" s="208"/>
      <c r="M594" s="208"/>
      <c r="N594" s="208"/>
      <c r="O594" s="208"/>
      <c r="P594" s="208"/>
      <c r="Q594" s="208"/>
      <c r="R594" s="208"/>
      <c r="S594" s="208"/>
      <c r="T594" s="208"/>
      <c r="U594" s="208"/>
      <c r="V594" s="208"/>
      <c r="W594" s="208"/>
      <c r="X594" s="208"/>
      <c r="Y594" s="208"/>
      <c r="Z594" s="208"/>
      <c r="AA594" s="208"/>
      <c r="AB594" s="208"/>
      <c r="AC594" s="208"/>
      <c r="AD594" s="208"/>
      <c r="AE594" s="208"/>
      <c r="AF594" s="208"/>
      <c r="AG594" s="208"/>
      <c r="AH594" s="208"/>
      <c r="AI594" s="208"/>
      <c r="AJ594" s="208"/>
      <c r="AK594" s="208"/>
      <c r="AL594" s="208"/>
      <c r="AM594" s="208"/>
      <c r="AN594" s="208"/>
      <c r="AO594" s="208"/>
      <c r="AP594" s="208"/>
      <c r="AQ594" s="208"/>
      <c r="AR594" s="208"/>
      <c r="AS594" s="208"/>
      <c r="AT594" s="208"/>
      <c r="AU594" s="208"/>
      <c r="AV594" s="208"/>
      <c r="AW594" s="208"/>
      <c r="AX594" s="208"/>
      <c r="AY594" s="208"/>
      <c r="AZ594" s="208"/>
      <c r="BA594" s="208"/>
    </row>
    <row r="595" ht="15.75" hidden="1" customHeight="1">
      <c r="A595" s="208"/>
      <c r="B595" s="208"/>
      <c r="C595" s="208"/>
      <c r="D595" s="208"/>
      <c r="E595" s="208"/>
      <c r="F595" s="208"/>
      <c r="G595" s="208"/>
      <c r="H595" s="208"/>
      <c r="I595" s="208"/>
      <c r="J595" s="208"/>
      <c r="K595" s="208"/>
      <c r="L595" s="208"/>
      <c r="M595" s="208"/>
      <c r="N595" s="208"/>
      <c r="O595" s="208"/>
      <c r="P595" s="208"/>
      <c r="Q595" s="208"/>
      <c r="R595" s="208"/>
      <c r="S595" s="208"/>
      <c r="T595" s="208"/>
      <c r="U595" s="208"/>
      <c r="V595" s="208"/>
      <c r="W595" s="208"/>
      <c r="X595" s="208"/>
      <c r="Y595" s="208"/>
      <c r="Z595" s="208"/>
      <c r="AA595" s="208"/>
      <c r="AB595" s="208"/>
      <c r="AC595" s="208"/>
      <c r="AD595" s="208"/>
      <c r="AE595" s="208"/>
      <c r="AF595" s="208"/>
      <c r="AG595" s="208"/>
      <c r="AH595" s="208"/>
      <c r="AI595" s="208"/>
      <c r="AJ595" s="208"/>
      <c r="AK595" s="208"/>
      <c r="AL595" s="208"/>
      <c r="AM595" s="208"/>
      <c r="AN595" s="208"/>
      <c r="AO595" s="208"/>
      <c r="AP595" s="208"/>
      <c r="AQ595" s="208"/>
      <c r="AR595" s="208"/>
      <c r="AS595" s="208"/>
      <c r="AT595" s="208"/>
      <c r="AU595" s="208"/>
      <c r="AV595" s="208"/>
      <c r="AW595" s="208"/>
      <c r="AX595" s="208"/>
      <c r="AY595" s="208"/>
      <c r="AZ595" s="208"/>
      <c r="BA595" s="208"/>
    </row>
    <row r="596" ht="15.75" hidden="1" customHeight="1">
      <c r="A596" s="208"/>
      <c r="B596" s="208"/>
      <c r="C596" s="208"/>
      <c r="D596" s="208"/>
      <c r="E596" s="208"/>
      <c r="F596" s="208"/>
      <c r="G596" s="208"/>
      <c r="H596" s="208"/>
      <c r="I596" s="208"/>
      <c r="J596" s="208"/>
      <c r="K596" s="208"/>
      <c r="L596" s="208"/>
      <c r="M596" s="208"/>
      <c r="N596" s="208"/>
      <c r="O596" s="208"/>
      <c r="P596" s="208"/>
      <c r="Q596" s="208"/>
      <c r="R596" s="208"/>
      <c r="S596" s="208"/>
      <c r="T596" s="208"/>
      <c r="U596" s="208"/>
      <c r="V596" s="208"/>
      <c r="W596" s="208"/>
      <c r="X596" s="208"/>
      <c r="Y596" s="208"/>
      <c r="Z596" s="208"/>
      <c r="AA596" s="208"/>
      <c r="AB596" s="208"/>
      <c r="AC596" s="208"/>
      <c r="AD596" s="208"/>
      <c r="AE596" s="208"/>
      <c r="AF596" s="208"/>
      <c r="AG596" s="208"/>
      <c r="AH596" s="208"/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/>
      <c r="AT596" s="208"/>
      <c r="AU596" s="208"/>
      <c r="AV596" s="208"/>
      <c r="AW596" s="208"/>
      <c r="AX596" s="208"/>
      <c r="AY596" s="208"/>
      <c r="AZ596" s="208"/>
      <c r="BA596" s="208"/>
    </row>
    <row r="597" ht="15.75" hidden="1" customHeight="1">
      <c r="A597" s="208"/>
      <c r="B597" s="208"/>
      <c r="C597" s="208"/>
      <c r="D597" s="208"/>
      <c r="E597" s="208"/>
      <c r="F597" s="208"/>
      <c r="G597" s="208"/>
      <c r="H597" s="208"/>
      <c r="I597" s="208"/>
      <c r="J597" s="208"/>
      <c r="K597" s="208"/>
      <c r="L597" s="208"/>
      <c r="M597" s="208"/>
      <c r="N597" s="208"/>
      <c r="O597" s="208"/>
      <c r="P597" s="208"/>
      <c r="Q597" s="208"/>
      <c r="R597" s="208"/>
      <c r="S597" s="208"/>
      <c r="T597" s="208"/>
      <c r="U597" s="208"/>
      <c r="V597" s="208"/>
      <c r="W597" s="208"/>
      <c r="X597" s="208"/>
      <c r="Y597" s="208"/>
      <c r="Z597" s="208"/>
      <c r="AA597" s="208"/>
      <c r="AB597" s="208"/>
      <c r="AC597" s="208"/>
      <c r="AD597" s="208"/>
      <c r="AE597" s="208"/>
      <c r="AF597" s="208"/>
      <c r="AG597" s="208"/>
      <c r="AH597" s="208"/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  <c r="AT597" s="208"/>
      <c r="AU597" s="208"/>
      <c r="AV597" s="208"/>
      <c r="AW597" s="208"/>
      <c r="AX597" s="208"/>
      <c r="AY597" s="208"/>
      <c r="AZ597" s="208"/>
      <c r="BA597" s="208"/>
    </row>
    <row r="598" ht="15.75" hidden="1" customHeight="1">
      <c r="A598" s="208"/>
      <c r="B598" s="208"/>
      <c r="C598" s="208"/>
      <c r="D598" s="208"/>
      <c r="E598" s="208"/>
      <c r="F598" s="208"/>
      <c r="G598" s="208"/>
      <c r="H598" s="208"/>
      <c r="I598" s="208"/>
      <c r="J598" s="208"/>
      <c r="K598" s="208"/>
      <c r="L598" s="208"/>
      <c r="M598" s="208"/>
      <c r="N598" s="208"/>
      <c r="O598" s="208"/>
      <c r="P598" s="208"/>
      <c r="Q598" s="208"/>
      <c r="R598" s="208"/>
      <c r="S598" s="208"/>
      <c r="T598" s="208"/>
      <c r="U598" s="208"/>
      <c r="V598" s="208"/>
      <c r="W598" s="208"/>
      <c r="X598" s="208"/>
      <c r="Y598" s="208"/>
      <c r="Z598" s="208"/>
      <c r="AA598" s="208"/>
      <c r="AB598" s="208"/>
      <c r="AC598" s="208"/>
      <c r="AD598" s="208"/>
      <c r="AE598" s="208"/>
      <c r="AF598" s="208"/>
      <c r="AG598" s="208"/>
      <c r="AH598" s="208"/>
      <c r="AI598" s="208"/>
      <c r="AJ598" s="208"/>
      <c r="AK598" s="208"/>
      <c r="AL598" s="208"/>
      <c r="AM598" s="208"/>
      <c r="AN598" s="208"/>
      <c r="AO598" s="208"/>
      <c r="AP598" s="208"/>
      <c r="AQ598" s="208"/>
      <c r="AR598" s="208"/>
      <c r="AS598" s="208"/>
      <c r="AT598" s="208"/>
      <c r="AU598" s="208"/>
      <c r="AV598" s="208"/>
      <c r="AW598" s="208"/>
      <c r="AX598" s="208"/>
      <c r="AY598" s="208"/>
      <c r="AZ598" s="208"/>
      <c r="BA598" s="208"/>
    </row>
    <row r="599" ht="15.75" hidden="1" customHeight="1">
      <c r="A599" s="208"/>
      <c r="B599" s="208"/>
      <c r="C599" s="208"/>
      <c r="D599" s="208"/>
      <c r="E599" s="208"/>
      <c r="F599" s="208"/>
      <c r="G599" s="208"/>
      <c r="H599" s="208"/>
      <c r="I599" s="208"/>
      <c r="J599" s="208"/>
      <c r="K599" s="208"/>
      <c r="L599" s="208"/>
      <c r="M599" s="208"/>
      <c r="N599" s="208"/>
      <c r="O599" s="208"/>
      <c r="P599" s="208"/>
      <c r="Q599" s="208"/>
      <c r="R599" s="208"/>
      <c r="S599" s="208"/>
      <c r="T599" s="208"/>
      <c r="U599" s="208"/>
      <c r="V599" s="208"/>
      <c r="W599" s="208"/>
      <c r="X599" s="208"/>
      <c r="Y599" s="208"/>
      <c r="Z599" s="208"/>
      <c r="AA599" s="208"/>
      <c r="AB599" s="208"/>
      <c r="AC599" s="208"/>
      <c r="AD599" s="208"/>
      <c r="AE599" s="208"/>
      <c r="AF599" s="208"/>
      <c r="AG599" s="208"/>
      <c r="AH599" s="208"/>
      <c r="AI599" s="208"/>
      <c r="AJ599" s="208"/>
      <c r="AK599" s="208"/>
      <c r="AL599" s="208"/>
      <c r="AM599" s="208"/>
      <c r="AN599" s="208"/>
      <c r="AO599" s="208"/>
      <c r="AP599" s="208"/>
      <c r="AQ599" s="208"/>
      <c r="AR599" s="208"/>
      <c r="AS599" s="208"/>
      <c r="AT599" s="208"/>
      <c r="AU599" s="208"/>
      <c r="AV599" s="208"/>
      <c r="AW599" s="208"/>
      <c r="AX599" s="208"/>
      <c r="AY599" s="208"/>
      <c r="AZ599" s="208"/>
      <c r="BA599" s="208"/>
    </row>
    <row r="600" ht="15.75" hidden="1" customHeight="1">
      <c r="A600" s="208"/>
      <c r="B600" s="208"/>
      <c r="C600" s="208"/>
      <c r="D600" s="208"/>
      <c r="E600" s="208"/>
      <c r="F600" s="208"/>
      <c r="G600" s="208"/>
      <c r="H600" s="208"/>
      <c r="I600" s="208"/>
      <c r="J600" s="208"/>
      <c r="K600" s="208"/>
      <c r="L600" s="208"/>
      <c r="M600" s="208"/>
      <c r="N600" s="208"/>
      <c r="O600" s="208"/>
      <c r="P600" s="208"/>
      <c r="Q600" s="208"/>
      <c r="R600" s="208"/>
      <c r="S600" s="208"/>
      <c r="T600" s="208"/>
      <c r="U600" s="208"/>
      <c r="V600" s="208"/>
      <c r="W600" s="208"/>
      <c r="X600" s="208"/>
      <c r="Y600" s="208"/>
      <c r="Z600" s="208"/>
      <c r="AA600" s="208"/>
      <c r="AB600" s="208"/>
      <c r="AC600" s="208"/>
      <c r="AD600" s="208"/>
      <c r="AE600" s="208"/>
      <c r="AF600" s="208"/>
      <c r="AG600" s="208"/>
      <c r="AH600" s="208"/>
      <c r="AI600" s="208"/>
      <c r="AJ600" s="208"/>
      <c r="AK600" s="208"/>
      <c r="AL600" s="208"/>
      <c r="AM600" s="208"/>
      <c r="AN600" s="208"/>
      <c r="AO600" s="208"/>
      <c r="AP600" s="208"/>
      <c r="AQ600" s="208"/>
      <c r="AR600" s="208"/>
      <c r="AS600" s="208"/>
      <c r="AT600" s="208"/>
      <c r="AU600" s="208"/>
      <c r="AV600" s="208"/>
      <c r="AW600" s="208"/>
      <c r="AX600" s="208"/>
      <c r="AY600" s="208"/>
      <c r="AZ600" s="208"/>
      <c r="BA600" s="208"/>
    </row>
    <row r="601" ht="15.75" hidden="1" customHeight="1">
      <c r="A601" s="208"/>
      <c r="B601" s="208"/>
      <c r="C601" s="208"/>
      <c r="D601" s="208"/>
      <c r="E601" s="208"/>
      <c r="F601" s="208"/>
      <c r="G601" s="208"/>
      <c r="H601" s="208"/>
      <c r="I601" s="208"/>
      <c r="J601" s="208"/>
      <c r="K601" s="208"/>
      <c r="L601" s="208"/>
      <c r="M601" s="208"/>
      <c r="N601" s="208"/>
      <c r="O601" s="208"/>
      <c r="P601" s="208"/>
      <c r="Q601" s="208"/>
      <c r="R601" s="208"/>
      <c r="S601" s="208"/>
      <c r="T601" s="208"/>
      <c r="U601" s="208"/>
      <c r="V601" s="208"/>
      <c r="W601" s="208"/>
      <c r="X601" s="208"/>
      <c r="Y601" s="208"/>
      <c r="Z601" s="208"/>
      <c r="AA601" s="208"/>
      <c r="AB601" s="208"/>
      <c r="AC601" s="208"/>
      <c r="AD601" s="208"/>
      <c r="AE601" s="208"/>
      <c r="AF601" s="208"/>
      <c r="AG601" s="208"/>
      <c r="AH601" s="208"/>
      <c r="AI601" s="208"/>
      <c r="AJ601" s="208"/>
      <c r="AK601" s="208"/>
      <c r="AL601" s="208"/>
      <c r="AM601" s="208"/>
      <c r="AN601" s="208"/>
      <c r="AO601" s="208"/>
      <c r="AP601" s="208"/>
      <c r="AQ601" s="208"/>
      <c r="AR601" s="208"/>
      <c r="AS601" s="208"/>
      <c r="AT601" s="208"/>
      <c r="AU601" s="208"/>
      <c r="AV601" s="208"/>
      <c r="AW601" s="208"/>
      <c r="AX601" s="208"/>
      <c r="AY601" s="208"/>
      <c r="AZ601" s="208"/>
      <c r="BA601" s="208"/>
    </row>
    <row r="602" ht="15.75" hidden="1" customHeight="1">
      <c r="A602" s="208"/>
      <c r="B602" s="208"/>
      <c r="C602" s="208"/>
      <c r="D602" s="208"/>
      <c r="E602" s="208"/>
      <c r="F602" s="208"/>
      <c r="G602" s="208"/>
      <c r="H602" s="208"/>
      <c r="I602" s="208"/>
      <c r="J602" s="208"/>
      <c r="K602" s="208"/>
      <c r="L602" s="208"/>
      <c r="M602" s="208"/>
      <c r="N602" s="208"/>
      <c r="O602" s="208"/>
      <c r="P602" s="208"/>
      <c r="Q602" s="208"/>
      <c r="R602" s="208"/>
      <c r="S602" s="208"/>
      <c r="T602" s="208"/>
      <c r="U602" s="208"/>
      <c r="V602" s="208"/>
      <c r="W602" s="208"/>
      <c r="X602" s="208"/>
      <c r="Y602" s="208"/>
      <c r="Z602" s="208"/>
      <c r="AA602" s="208"/>
      <c r="AB602" s="208"/>
      <c r="AC602" s="208"/>
      <c r="AD602" s="208"/>
      <c r="AE602" s="208"/>
      <c r="AF602" s="208"/>
      <c r="AG602" s="208"/>
      <c r="AH602" s="208"/>
      <c r="AI602" s="208"/>
      <c r="AJ602" s="208"/>
      <c r="AK602" s="208"/>
      <c r="AL602" s="208"/>
      <c r="AM602" s="208"/>
      <c r="AN602" s="208"/>
      <c r="AO602" s="208"/>
      <c r="AP602" s="208"/>
      <c r="AQ602" s="208"/>
      <c r="AR602" s="208"/>
      <c r="AS602" s="208"/>
      <c r="AT602" s="208"/>
      <c r="AU602" s="208"/>
      <c r="AV602" s="208"/>
      <c r="AW602" s="208"/>
      <c r="AX602" s="208"/>
      <c r="AY602" s="208"/>
      <c r="AZ602" s="208"/>
      <c r="BA602" s="208"/>
    </row>
    <row r="603" ht="15.75" hidden="1" customHeight="1">
      <c r="A603" s="208"/>
      <c r="B603" s="208"/>
      <c r="C603" s="208"/>
      <c r="D603" s="208"/>
      <c r="E603" s="208"/>
      <c r="F603" s="208"/>
      <c r="G603" s="208"/>
      <c r="H603" s="208"/>
      <c r="I603" s="208"/>
      <c r="J603" s="208"/>
      <c r="K603" s="208"/>
      <c r="L603" s="208"/>
      <c r="M603" s="208"/>
      <c r="N603" s="208"/>
      <c r="O603" s="208"/>
      <c r="P603" s="208"/>
      <c r="Q603" s="208"/>
      <c r="R603" s="208"/>
      <c r="S603" s="208"/>
      <c r="T603" s="208"/>
      <c r="U603" s="208"/>
      <c r="V603" s="208"/>
      <c r="W603" s="208"/>
      <c r="X603" s="208"/>
      <c r="Y603" s="208"/>
      <c r="Z603" s="208"/>
      <c r="AA603" s="208"/>
      <c r="AB603" s="208"/>
      <c r="AC603" s="208"/>
      <c r="AD603" s="208"/>
      <c r="AE603" s="208"/>
      <c r="AF603" s="208"/>
      <c r="AG603" s="208"/>
      <c r="AH603" s="208"/>
      <c r="AI603" s="208"/>
      <c r="AJ603" s="208"/>
      <c r="AK603" s="208"/>
      <c r="AL603" s="208"/>
      <c r="AM603" s="208"/>
      <c r="AN603" s="208"/>
      <c r="AO603" s="208"/>
      <c r="AP603" s="208"/>
      <c r="AQ603" s="208"/>
      <c r="AR603" s="208"/>
      <c r="AS603" s="208"/>
      <c r="AT603" s="208"/>
      <c r="AU603" s="208"/>
      <c r="AV603" s="208"/>
      <c r="AW603" s="208"/>
      <c r="AX603" s="208"/>
      <c r="AY603" s="208"/>
      <c r="AZ603" s="208"/>
      <c r="BA603" s="208"/>
    </row>
    <row r="604" ht="15.75" hidden="1" customHeight="1">
      <c r="A604" s="208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208"/>
      <c r="O604" s="208"/>
      <c r="P604" s="208"/>
      <c r="Q604" s="208"/>
      <c r="R604" s="208"/>
      <c r="S604" s="208"/>
      <c r="T604" s="208"/>
      <c r="U604" s="208"/>
      <c r="V604" s="208"/>
      <c r="W604" s="208"/>
      <c r="X604" s="208"/>
      <c r="Y604" s="208"/>
      <c r="Z604" s="208"/>
      <c r="AA604" s="208"/>
      <c r="AB604" s="208"/>
      <c r="AC604" s="208"/>
      <c r="AD604" s="208"/>
      <c r="AE604" s="208"/>
      <c r="AF604" s="208"/>
      <c r="AG604" s="208"/>
      <c r="AH604" s="208"/>
      <c r="AI604" s="208"/>
      <c r="AJ604" s="208"/>
      <c r="AK604" s="208"/>
      <c r="AL604" s="208"/>
      <c r="AM604" s="208"/>
      <c r="AN604" s="208"/>
      <c r="AO604" s="208"/>
      <c r="AP604" s="208"/>
      <c r="AQ604" s="208"/>
      <c r="AR604" s="208"/>
      <c r="AS604" s="208"/>
      <c r="AT604" s="208"/>
      <c r="AU604" s="208"/>
      <c r="AV604" s="208"/>
      <c r="AW604" s="208"/>
      <c r="AX604" s="208"/>
      <c r="AY604" s="208"/>
      <c r="AZ604" s="208"/>
      <c r="BA604" s="208"/>
    </row>
    <row r="605" ht="15.75" hidden="1" customHeight="1">
      <c r="A605" s="208"/>
      <c r="B605" s="208"/>
      <c r="C605" s="208"/>
      <c r="D605" s="208"/>
      <c r="E605" s="208"/>
      <c r="F605" s="208"/>
      <c r="G605" s="208"/>
      <c r="H605" s="208"/>
      <c r="I605" s="208"/>
      <c r="J605" s="208"/>
      <c r="K605" s="208"/>
      <c r="L605" s="208"/>
      <c r="M605" s="208"/>
      <c r="N605" s="208"/>
      <c r="O605" s="208"/>
      <c r="P605" s="208"/>
      <c r="Q605" s="208"/>
      <c r="R605" s="208"/>
      <c r="S605" s="208"/>
      <c r="T605" s="208"/>
      <c r="U605" s="208"/>
      <c r="V605" s="208"/>
      <c r="W605" s="208"/>
      <c r="X605" s="208"/>
      <c r="Y605" s="208"/>
      <c r="Z605" s="208"/>
      <c r="AA605" s="208"/>
      <c r="AB605" s="208"/>
      <c r="AC605" s="208"/>
      <c r="AD605" s="208"/>
      <c r="AE605" s="208"/>
      <c r="AF605" s="208"/>
      <c r="AG605" s="208"/>
      <c r="AH605" s="208"/>
      <c r="AI605" s="208"/>
      <c r="AJ605" s="208"/>
      <c r="AK605" s="208"/>
      <c r="AL605" s="208"/>
      <c r="AM605" s="208"/>
      <c r="AN605" s="208"/>
      <c r="AO605" s="208"/>
      <c r="AP605" s="208"/>
      <c r="AQ605" s="208"/>
      <c r="AR605" s="208"/>
      <c r="AS605" s="208"/>
      <c r="AT605" s="208"/>
      <c r="AU605" s="208"/>
      <c r="AV605" s="208"/>
      <c r="AW605" s="208"/>
      <c r="AX605" s="208"/>
      <c r="AY605" s="208"/>
      <c r="AZ605" s="208"/>
      <c r="BA605" s="208"/>
    </row>
    <row r="606" ht="15.75" hidden="1" customHeight="1">
      <c r="A606" s="208"/>
      <c r="B606" s="208"/>
      <c r="C606" s="208"/>
      <c r="D606" s="208"/>
      <c r="E606" s="208"/>
      <c r="F606" s="208"/>
      <c r="G606" s="208"/>
      <c r="H606" s="208"/>
      <c r="I606" s="208"/>
      <c r="J606" s="208"/>
      <c r="K606" s="208"/>
      <c r="L606" s="208"/>
      <c r="M606" s="208"/>
      <c r="N606" s="208"/>
      <c r="O606" s="208"/>
      <c r="P606" s="208"/>
      <c r="Q606" s="208"/>
      <c r="R606" s="208"/>
      <c r="S606" s="208"/>
      <c r="T606" s="208"/>
      <c r="U606" s="208"/>
      <c r="V606" s="208"/>
      <c r="W606" s="208"/>
      <c r="X606" s="208"/>
      <c r="Y606" s="208"/>
      <c r="Z606" s="208"/>
      <c r="AA606" s="208"/>
      <c r="AB606" s="208"/>
      <c r="AC606" s="208"/>
      <c r="AD606" s="208"/>
      <c r="AE606" s="208"/>
      <c r="AF606" s="208"/>
      <c r="AG606" s="208"/>
      <c r="AH606" s="208"/>
      <c r="AI606" s="208"/>
      <c r="AJ606" s="208"/>
      <c r="AK606" s="208"/>
      <c r="AL606" s="208"/>
      <c r="AM606" s="208"/>
      <c r="AN606" s="208"/>
      <c r="AO606" s="208"/>
      <c r="AP606" s="208"/>
      <c r="AQ606" s="208"/>
      <c r="AR606" s="208"/>
      <c r="AS606" s="208"/>
      <c r="AT606" s="208"/>
      <c r="AU606" s="208"/>
      <c r="AV606" s="208"/>
      <c r="AW606" s="208"/>
      <c r="AX606" s="208"/>
      <c r="AY606" s="208"/>
      <c r="AZ606" s="208"/>
      <c r="BA606" s="208"/>
    </row>
    <row r="607" ht="15.75" hidden="1" customHeight="1">
      <c r="A607" s="208"/>
      <c r="B607" s="208"/>
      <c r="C607" s="208"/>
      <c r="D607" s="208"/>
      <c r="E607" s="208"/>
      <c r="F607" s="208"/>
      <c r="G607" s="208"/>
      <c r="H607" s="208"/>
      <c r="I607" s="208"/>
      <c r="J607" s="208"/>
      <c r="K607" s="208"/>
      <c r="L607" s="208"/>
      <c r="M607" s="208"/>
      <c r="N607" s="208"/>
      <c r="O607" s="208"/>
      <c r="P607" s="208"/>
      <c r="Q607" s="208"/>
      <c r="R607" s="208"/>
      <c r="S607" s="208"/>
      <c r="T607" s="208"/>
      <c r="U607" s="208"/>
      <c r="V607" s="208"/>
      <c r="W607" s="208"/>
      <c r="X607" s="208"/>
      <c r="Y607" s="208"/>
      <c r="Z607" s="208"/>
      <c r="AA607" s="208"/>
      <c r="AB607" s="208"/>
      <c r="AC607" s="208"/>
      <c r="AD607" s="208"/>
      <c r="AE607" s="208"/>
      <c r="AF607" s="208"/>
      <c r="AG607" s="208"/>
      <c r="AH607" s="208"/>
      <c r="AI607" s="208"/>
      <c r="AJ607" s="208"/>
      <c r="AK607" s="208"/>
      <c r="AL607" s="208"/>
      <c r="AM607" s="208"/>
      <c r="AN607" s="208"/>
      <c r="AO607" s="208"/>
      <c r="AP607" s="208"/>
      <c r="AQ607" s="208"/>
      <c r="AR607" s="208"/>
      <c r="AS607" s="208"/>
      <c r="AT607" s="208"/>
      <c r="AU607" s="208"/>
      <c r="AV607" s="208"/>
      <c r="AW607" s="208"/>
      <c r="AX607" s="208"/>
      <c r="AY607" s="208"/>
      <c r="AZ607" s="208"/>
      <c r="BA607" s="208"/>
    </row>
    <row r="608" ht="15.75" hidden="1" customHeight="1">
      <c r="A608" s="208"/>
      <c r="B608" s="208"/>
      <c r="C608" s="208"/>
      <c r="D608" s="208"/>
      <c r="E608" s="208"/>
      <c r="F608" s="208"/>
      <c r="G608" s="208"/>
      <c r="H608" s="208"/>
      <c r="I608" s="208"/>
      <c r="J608" s="208"/>
      <c r="K608" s="208"/>
      <c r="L608" s="208"/>
      <c r="M608" s="208"/>
      <c r="N608" s="208"/>
      <c r="O608" s="208"/>
      <c r="P608" s="208"/>
      <c r="Q608" s="208"/>
      <c r="R608" s="208"/>
      <c r="S608" s="208"/>
      <c r="T608" s="208"/>
      <c r="U608" s="208"/>
      <c r="V608" s="208"/>
      <c r="W608" s="208"/>
      <c r="X608" s="208"/>
      <c r="Y608" s="208"/>
      <c r="Z608" s="208"/>
      <c r="AA608" s="208"/>
      <c r="AB608" s="208"/>
      <c r="AC608" s="208"/>
      <c r="AD608" s="208"/>
      <c r="AE608" s="208"/>
      <c r="AF608" s="208"/>
      <c r="AG608" s="208"/>
      <c r="AH608" s="208"/>
      <c r="AI608" s="208"/>
      <c r="AJ608" s="208"/>
      <c r="AK608" s="208"/>
      <c r="AL608" s="208"/>
      <c r="AM608" s="208"/>
      <c r="AN608" s="208"/>
      <c r="AO608" s="208"/>
      <c r="AP608" s="208"/>
      <c r="AQ608" s="208"/>
      <c r="AR608" s="208"/>
      <c r="AS608" s="208"/>
      <c r="AT608" s="208"/>
      <c r="AU608" s="208"/>
      <c r="AV608" s="208"/>
      <c r="AW608" s="208"/>
      <c r="AX608" s="208"/>
      <c r="AY608" s="208"/>
      <c r="AZ608" s="208"/>
      <c r="BA608" s="208"/>
    </row>
    <row r="609" ht="15.75" hidden="1" customHeight="1">
      <c r="A609" s="208"/>
      <c r="B609" s="208"/>
      <c r="C609" s="208"/>
      <c r="D609" s="208"/>
      <c r="E609" s="208"/>
      <c r="F609" s="208"/>
      <c r="G609" s="208"/>
      <c r="H609" s="208"/>
      <c r="I609" s="208"/>
      <c r="J609" s="208"/>
      <c r="K609" s="208"/>
      <c r="L609" s="208"/>
      <c r="M609" s="208"/>
      <c r="N609" s="208"/>
      <c r="O609" s="208"/>
      <c r="P609" s="208"/>
      <c r="Q609" s="208"/>
      <c r="R609" s="208"/>
      <c r="S609" s="208"/>
      <c r="T609" s="208"/>
      <c r="U609" s="208"/>
      <c r="V609" s="208"/>
      <c r="W609" s="208"/>
      <c r="X609" s="208"/>
      <c r="Y609" s="208"/>
      <c r="Z609" s="208"/>
      <c r="AA609" s="208"/>
      <c r="AB609" s="208"/>
      <c r="AC609" s="208"/>
      <c r="AD609" s="208"/>
      <c r="AE609" s="208"/>
      <c r="AF609" s="208"/>
      <c r="AG609" s="208"/>
      <c r="AH609" s="208"/>
      <c r="AI609" s="208"/>
      <c r="AJ609" s="208"/>
      <c r="AK609" s="208"/>
      <c r="AL609" s="208"/>
      <c r="AM609" s="208"/>
      <c r="AN609" s="208"/>
      <c r="AO609" s="208"/>
      <c r="AP609" s="208"/>
      <c r="AQ609" s="208"/>
      <c r="AR609" s="208"/>
      <c r="AS609" s="208"/>
      <c r="AT609" s="208"/>
      <c r="AU609" s="208"/>
      <c r="AV609" s="208"/>
      <c r="AW609" s="208"/>
      <c r="AX609" s="208"/>
      <c r="AY609" s="208"/>
      <c r="AZ609" s="208"/>
      <c r="BA609" s="208"/>
    </row>
    <row r="610" ht="15.75" hidden="1" customHeight="1">
      <c r="A610" s="208"/>
      <c r="B610" s="208"/>
      <c r="C610" s="208"/>
      <c r="D610" s="208"/>
      <c r="E610" s="208"/>
      <c r="F610" s="208"/>
      <c r="G610" s="208"/>
      <c r="H610" s="208"/>
      <c r="I610" s="208"/>
      <c r="J610" s="208"/>
      <c r="K610" s="208"/>
      <c r="L610" s="208"/>
      <c r="M610" s="208"/>
      <c r="N610" s="208"/>
      <c r="O610" s="208"/>
      <c r="P610" s="208"/>
      <c r="Q610" s="208"/>
      <c r="R610" s="208"/>
      <c r="S610" s="208"/>
      <c r="T610" s="208"/>
      <c r="U610" s="208"/>
      <c r="V610" s="208"/>
      <c r="W610" s="208"/>
      <c r="X610" s="208"/>
      <c r="Y610" s="208"/>
      <c r="Z610" s="208"/>
      <c r="AA610" s="208"/>
      <c r="AB610" s="208"/>
      <c r="AC610" s="208"/>
      <c r="AD610" s="208"/>
      <c r="AE610" s="208"/>
      <c r="AF610" s="208"/>
      <c r="AG610" s="208"/>
      <c r="AH610" s="208"/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8"/>
      <c r="AT610" s="208"/>
      <c r="AU610" s="208"/>
      <c r="AV610" s="208"/>
      <c r="AW610" s="208"/>
      <c r="AX610" s="208"/>
      <c r="AY610" s="208"/>
      <c r="AZ610" s="208"/>
      <c r="BA610" s="208"/>
    </row>
    <row r="611" ht="15.75" hidden="1" customHeight="1">
      <c r="A611" s="208"/>
      <c r="B611" s="208"/>
      <c r="C611" s="208"/>
      <c r="D611" s="208"/>
      <c r="E611" s="208"/>
      <c r="F611" s="208"/>
      <c r="G611" s="208"/>
      <c r="H611" s="208"/>
      <c r="I611" s="208"/>
      <c r="J611" s="208"/>
      <c r="K611" s="208"/>
      <c r="L611" s="208"/>
      <c r="M611" s="208"/>
      <c r="N611" s="208"/>
      <c r="O611" s="208"/>
      <c r="P611" s="208"/>
      <c r="Q611" s="208"/>
      <c r="R611" s="208"/>
      <c r="S611" s="208"/>
      <c r="T611" s="208"/>
      <c r="U611" s="208"/>
      <c r="V611" s="208"/>
      <c r="W611" s="208"/>
      <c r="X611" s="208"/>
      <c r="Y611" s="208"/>
      <c r="Z611" s="208"/>
      <c r="AA611" s="208"/>
      <c r="AB611" s="208"/>
      <c r="AC611" s="208"/>
      <c r="AD611" s="208"/>
      <c r="AE611" s="208"/>
      <c r="AF611" s="208"/>
      <c r="AG611" s="208"/>
      <c r="AH611" s="208"/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/>
      <c r="AT611" s="208"/>
      <c r="AU611" s="208"/>
      <c r="AV611" s="208"/>
      <c r="AW611" s="208"/>
      <c r="AX611" s="208"/>
      <c r="AY611" s="208"/>
      <c r="AZ611" s="208"/>
      <c r="BA611" s="208"/>
    </row>
    <row r="612" ht="15.75" hidden="1" customHeight="1">
      <c r="A612" s="208"/>
      <c r="B612" s="208"/>
      <c r="C612" s="208"/>
      <c r="D612" s="208"/>
      <c r="E612" s="208"/>
      <c r="F612" s="208"/>
      <c r="G612" s="208"/>
      <c r="H612" s="208"/>
      <c r="I612" s="208"/>
      <c r="J612" s="208"/>
      <c r="K612" s="208"/>
      <c r="L612" s="208"/>
      <c r="M612" s="208"/>
      <c r="N612" s="208"/>
      <c r="O612" s="208"/>
      <c r="P612" s="208"/>
      <c r="Q612" s="208"/>
      <c r="R612" s="208"/>
      <c r="S612" s="208"/>
      <c r="T612" s="208"/>
      <c r="U612" s="208"/>
      <c r="V612" s="208"/>
      <c r="W612" s="208"/>
      <c r="X612" s="208"/>
      <c r="Y612" s="208"/>
      <c r="Z612" s="208"/>
      <c r="AA612" s="208"/>
      <c r="AB612" s="208"/>
      <c r="AC612" s="208"/>
      <c r="AD612" s="208"/>
      <c r="AE612" s="208"/>
      <c r="AF612" s="208"/>
      <c r="AG612" s="208"/>
      <c r="AH612" s="208"/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8"/>
      <c r="AT612" s="208"/>
      <c r="AU612" s="208"/>
      <c r="AV612" s="208"/>
      <c r="AW612" s="208"/>
      <c r="AX612" s="208"/>
      <c r="AY612" s="208"/>
      <c r="AZ612" s="208"/>
      <c r="BA612" s="208"/>
    </row>
    <row r="613" ht="15.75" hidden="1" customHeight="1">
      <c r="A613" s="208"/>
      <c r="B613" s="208"/>
      <c r="C613" s="208"/>
      <c r="D613" s="208"/>
      <c r="E613" s="208"/>
      <c r="F613" s="208"/>
      <c r="G613" s="208"/>
      <c r="H613" s="208"/>
      <c r="I613" s="208"/>
      <c r="J613" s="208"/>
      <c r="K613" s="208"/>
      <c r="L613" s="208"/>
      <c r="M613" s="208"/>
      <c r="N613" s="208"/>
      <c r="O613" s="208"/>
      <c r="P613" s="208"/>
      <c r="Q613" s="208"/>
      <c r="R613" s="208"/>
      <c r="S613" s="208"/>
      <c r="T613" s="208"/>
      <c r="U613" s="208"/>
      <c r="V613" s="208"/>
      <c r="W613" s="208"/>
      <c r="X613" s="208"/>
      <c r="Y613" s="208"/>
      <c r="Z613" s="208"/>
      <c r="AA613" s="208"/>
      <c r="AB613" s="208"/>
      <c r="AC613" s="208"/>
      <c r="AD613" s="208"/>
      <c r="AE613" s="208"/>
      <c r="AF613" s="208"/>
      <c r="AG613" s="208"/>
      <c r="AH613" s="208"/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/>
      <c r="AT613" s="208"/>
      <c r="AU613" s="208"/>
      <c r="AV613" s="208"/>
      <c r="AW613" s="208"/>
      <c r="AX613" s="208"/>
      <c r="AY613" s="208"/>
      <c r="AZ613" s="208"/>
      <c r="BA613" s="208"/>
    </row>
    <row r="614" ht="15.75" hidden="1" customHeight="1">
      <c r="A614" s="208"/>
      <c r="B614" s="208"/>
      <c r="C614" s="208"/>
      <c r="D614" s="208"/>
      <c r="E614" s="208"/>
      <c r="F614" s="208"/>
      <c r="G614" s="208"/>
      <c r="H614" s="208"/>
      <c r="I614" s="208"/>
      <c r="J614" s="208"/>
      <c r="K614" s="208"/>
      <c r="L614" s="208"/>
      <c r="M614" s="208"/>
      <c r="N614" s="208"/>
      <c r="O614" s="208"/>
      <c r="P614" s="208"/>
      <c r="Q614" s="208"/>
      <c r="R614" s="208"/>
      <c r="S614" s="208"/>
      <c r="T614" s="208"/>
      <c r="U614" s="208"/>
      <c r="V614" s="208"/>
      <c r="W614" s="208"/>
      <c r="X614" s="208"/>
      <c r="Y614" s="208"/>
      <c r="Z614" s="208"/>
      <c r="AA614" s="208"/>
      <c r="AB614" s="208"/>
      <c r="AC614" s="208"/>
      <c r="AD614" s="208"/>
      <c r="AE614" s="208"/>
      <c r="AF614" s="208"/>
      <c r="AG614" s="208"/>
      <c r="AH614" s="208"/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/>
      <c r="AT614" s="208"/>
      <c r="AU614" s="208"/>
      <c r="AV614" s="208"/>
      <c r="AW614" s="208"/>
      <c r="AX614" s="208"/>
      <c r="AY614" s="208"/>
      <c r="AZ614" s="208"/>
      <c r="BA614" s="208"/>
    </row>
    <row r="615" ht="15.75" hidden="1" customHeight="1">
      <c r="A615" s="208"/>
      <c r="B615" s="208"/>
      <c r="C615" s="208"/>
      <c r="D615" s="208"/>
      <c r="E615" s="208"/>
      <c r="F615" s="208"/>
      <c r="G615" s="208"/>
      <c r="H615" s="208"/>
      <c r="I615" s="208"/>
      <c r="J615" s="208"/>
      <c r="K615" s="208"/>
      <c r="L615" s="208"/>
      <c r="M615" s="208"/>
      <c r="N615" s="208"/>
      <c r="O615" s="208"/>
      <c r="P615" s="208"/>
      <c r="Q615" s="208"/>
      <c r="R615" s="208"/>
      <c r="S615" s="208"/>
      <c r="T615" s="208"/>
      <c r="U615" s="208"/>
      <c r="V615" s="208"/>
      <c r="W615" s="208"/>
      <c r="X615" s="208"/>
      <c r="Y615" s="208"/>
      <c r="Z615" s="208"/>
      <c r="AA615" s="208"/>
      <c r="AB615" s="208"/>
      <c r="AC615" s="208"/>
      <c r="AD615" s="208"/>
      <c r="AE615" s="208"/>
      <c r="AF615" s="208"/>
      <c r="AG615" s="208"/>
      <c r="AH615" s="208"/>
      <c r="AI615" s="208"/>
      <c r="AJ615" s="208"/>
      <c r="AK615" s="208"/>
      <c r="AL615" s="208"/>
      <c r="AM615" s="208"/>
      <c r="AN615" s="208"/>
      <c r="AO615" s="208"/>
      <c r="AP615" s="208"/>
      <c r="AQ615" s="208"/>
      <c r="AR615" s="208"/>
      <c r="AS615" s="208"/>
      <c r="AT615" s="208"/>
      <c r="AU615" s="208"/>
      <c r="AV615" s="208"/>
      <c r="AW615" s="208"/>
      <c r="AX615" s="208"/>
      <c r="AY615" s="208"/>
      <c r="AZ615" s="208"/>
      <c r="BA615" s="208"/>
    </row>
    <row r="616" ht="15.75" hidden="1" customHeight="1">
      <c r="A616" s="208"/>
      <c r="B616" s="208"/>
      <c r="C616" s="208"/>
      <c r="D616" s="208"/>
      <c r="E616" s="208"/>
      <c r="F616" s="208"/>
      <c r="G616" s="208"/>
      <c r="H616" s="208"/>
      <c r="I616" s="208"/>
      <c r="J616" s="208"/>
      <c r="K616" s="208"/>
      <c r="L616" s="208"/>
      <c r="M616" s="208"/>
      <c r="N616" s="208"/>
      <c r="O616" s="208"/>
      <c r="P616" s="208"/>
      <c r="Q616" s="208"/>
      <c r="R616" s="208"/>
      <c r="S616" s="208"/>
      <c r="T616" s="208"/>
      <c r="U616" s="208"/>
      <c r="V616" s="208"/>
      <c r="W616" s="208"/>
      <c r="X616" s="208"/>
      <c r="Y616" s="208"/>
      <c r="Z616" s="208"/>
      <c r="AA616" s="208"/>
      <c r="AB616" s="208"/>
      <c r="AC616" s="208"/>
      <c r="AD616" s="208"/>
      <c r="AE616" s="208"/>
      <c r="AF616" s="208"/>
      <c r="AG616" s="208"/>
      <c r="AH616" s="208"/>
      <c r="AI616" s="208"/>
      <c r="AJ616" s="208"/>
      <c r="AK616" s="208"/>
      <c r="AL616" s="208"/>
      <c r="AM616" s="208"/>
      <c r="AN616" s="208"/>
      <c r="AO616" s="208"/>
      <c r="AP616" s="208"/>
      <c r="AQ616" s="208"/>
      <c r="AR616" s="208"/>
      <c r="AS616" s="208"/>
      <c r="AT616" s="208"/>
      <c r="AU616" s="208"/>
      <c r="AV616" s="208"/>
      <c r="AW616" s="208"/>
      <c r="AX616" s="208"/>
      <c r="AY616" s="208"/>
      <c r="AZ616" s="208"/>
      <c r="BA616" s="208"/>
    </row>
    <row r="617" ht="15.75" hidden="1" customHeight="1">
      <c r="A617" s="208"/>
      <c r="B617" s="208"/>
      <c r="C617" s="208"/>
      <c r="D617" s="208"/>
      <c r="E617" s="208"/>
      <c r="F617" s="208"/>
      <c r="G617" s="208"/>
      <c r="H617" s="208"/>
      <c r="I617" s="208"/>
      <c r="J617" s="208"/>
      <c r="K617" s="208"/>
      <c r="L617" s="208"/>
      <c r="M617" s="208"/>
      <c r="N617" s="208"/>
      <c r="O617" s="208"/>
      <c r="P617" s="208"/>
      <c r="Q617" s="208"/>
      <c r="R617" s="208"/>
      <c r="S617" s="208"/>
      <c r="T617" s="208"/>
      <c r="U617" s="208"/>
      <c r="V617" s="208"/>
      <c r="W617" s="208"/>
      <c r="X617" s="208"/>
      <c r="Y617" s="208"/>
      <c r="Z617" s="208"/>
      <c r="AA617" s="208"/>
      <c r="AB617" s="208"/>
      <c r="AC617" s="208"/>
      <c r="AD617" s="208"/>
      <c r="AE617" s="208"/>
      <c r="AF617" s="208"/>
      <c r="AG617" s="208"/>
      <c r="AH617" s="208"/>
      <c r="AI617" s="208"/>
      <c r="AJ617" s="208"/>
      <c r="AK617" s="208"/>
      <c r="AL617" s="208"/>
      <c r="AM617" s="208"/>
      <c r="AN617" s="208"/>
      <c r="AO617" s="208"/>
      <c r="AP617" s="208"/>
      <c r="AQ617" s="208"/>
      <c r="AR617" s="208"/>
      <c r="AS617" s="208"/>
      <c r="AT617" s="208"/>
      <c r="AU617" s="208"/>
      <c r="AV617" s="208"/>
      <c r="AW617" s="208"/>
      <c r="AX617" s="208"/>
      <c r="AY617" s="208"/>
      <c r="AZ617" s="208"/>
      <c r="BA617" s="208"/>
    </row>
    <row r="618" ht="15.75" hidden="1" customHeight="1">
      <c r="A618" s="208"/>
      <c r="B618" s="208"/>
      <c r="C618" s="208"/>
      <c r="D618" s="208"/>
      <c r="E618" s="208"/>
      <c r="F618" s="208"/>
      <c r="G618" s="208"/>
      <c r="H618" s="208"/>
      <c r="I618" s="208"/>
      <c r="J618" s="208"/>
      <c r="K618" s="208"/>
      <c r="L618" s="208"/>
      <c r="M618" s="208"/>
      <c r="N618" s="208"/>
      <c r="O618" s="208"/>
      <c r="P618" s="208"/>
      <c r="Q618" s="208"/>
      <c r="R618" s="208"/>
      <c r="S618" s="208"/>
      <c r="T618" s="208"/>
      <c r="U618" s="208"/>
      <c r="V618" s="208"/>
      <c r="W618" s="208"/>
      <c r="X618" s="208"/>
      <c r="Y618" s="208"/>
      <c r="Z618" s="208"/>
      <c r="AA618" s="208"/>
      <c r="AB618" s="208"/>
      <c r="AC618" s="208"/>
      <c r="AD618" s="208"/>
      <c r="AE618" s="208"/>
      <c r="AF618" s="208"/>
      <c r="AG618" s="208"/>
      <c r="AH618" s="208"/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8"/>
      <c r="AT618" s="208"/>
      <c r="AU618" s="208"/>
      <c r="AV618" s="208"/>
      <c r="AW618" s="208"/>
      <c r="AX618" s="208"/>
      <c r="AY618" s="208"/>
      <c r="AZ618" s="208"/>
      <c r="BA618" s="208"/>
    </row>
    <row r="619" ht="15.75" hidden="1" customHeight="1">
      <c r="A619" s="208"/>
      <c r="B619" s="208"/>
      <c r="C619" s="208"/>
      <c r="D619" s="208"/>
      <c r="E619" s="208"/>
      <c r="F619" s="208"/>
      <c r="G619" s="208"/>
      <c r="H619" s="208"/>
      <c r="I619" s="208"/>
      <c r="J619" s="208"/>
      <c r="K619" s="208"/>
      <c r="L619" s="208"/>
      <c r="M619" s="208"/>
      <c r="N619" s="208"/>
      <c r="O619" s="208"/>
      <c r="P619" s="208"/>
      <c r="Q619" s="208"/>
      <c r="R619" s="208"/>
      <c r="S619" s="208"/>
      <c r="T619" s="208"/>
      <c r="U619" s="208"/>
      <c r="V619" s="208"/>
      <c r="W619" s="208"/>
      <c r="X619" s="208"/>
      <c r="Y619" s="208"/>
      <c r="Z619" s="208"/>
      <c r="AA619" s="208"/>
      <c r="AB619" s="208"/>
      <c r="AC619" s="208"/>
      <c r="AD619" s="208"/>
      <c r="AE619" s="208"/>
      <c r="AF619" s="208"/>
      <c r="AG619" s="208"/>
      <c r="AH619" s="208"/>
      <c r="AI619" s="208"/>
      <c r="AJ619" s="208"/>
      <c r="AK619" s="208"/>
      <c r="AL619" s="208"/>
      <c r="AM619" s="208"/>
      <c r="AN619" s="208"/>
      <c r="AO619" s="208"/>
      <c r="AP619" s="208"/>
      <c r="AQ619" s="208"/>
      <c r="AR619" s="208"/>
      <c r="AS619" s="208"/>
      <c r="AT619" s="208"/>
      <c r="AU619" s="208"/>
      <c r="AV619" s="208"/>
      <c r="AW619" s="208"/>
      <c r="AX619" s="208"/>
      <c r="AY619" s="208"/>
      <c r="AZ619" s="208"/>
      <c r="BA619" s="208"/>
    </row>
    <row r="620" ht="15.75" hidden="1" customHeight="1">
      <c r="A620" s="208"/>
      <c r="B620" s="208"/>
      <c r="C620" s="208"/>
      <c r="D620" s="208"/>
      <c r="E620" s="208"/>
      <c r="F620" s="208"/>
      <c r="G620" s="208"/>
      <c r="H620" s="208"/>
      <c r="I620" s="208"/>
      <c r="J620" s="208"/>
      <c r="K620" s="208"/>
      <c r="L620" s="208"/>
      <c r="M620" s="208"/>
      <c r="N620" s="208"/>
      <c r="O620" s="208"/>
      <c r="P620" s="208"/>
      <c r="Q620" s="208"/>
      <c r="R620" s="208"/>
      <c r="S620" s="208"/>
      <c r="T620" s="208"/>
      <c r="U620" s="208"/>
      <c r="V620" s="208"/>
      <c r="W620" s="208"/>
      <c r="X620" s="208"/>
      <c r="Y620" s="208"/>
      <c r="Z620" s="208"/>
      <c r="AA620" s="208"/>
      <c r="AB620" s="208"/>
      <c r="AC620" s="208"/>
      <c r="AD620" s="208"/>
      <c r="AE620" s="208"/>
      <c r="AF620" s="208"/>
      <c r="AG620" s="208"/>
      <c r="AH620" s="208"/>
      <c r="AI620" s="208"/>
      <c r="AJ620" s="208"/>
      <c r="AK620" s="208"/>
      <c r="AL620" s="208"/>
      <c r="AM620" s="208"/>
      <c r="AN620" s="208"/>
      <c r="AO620" s="208"/>
      <c r="AP620" s="208"/>
      <c r="AQ620" s="208"/>
      <c r="AR620" s="208"/>
      <c r="AS620" s="208"/>
      <c r="AT620" s="208"/>
      <c r="AU620" s="208"/>
      <c r="AV620" s="208"/>
      <c r="AW620" s="208"/>
      <c r="AX620" s="208"/>
      <c r="AY620" s="208"/>
      <c r="AZ620" s="208"/>
      <c r="BA620" s="208"/>
    </row>
    <row r="621" ht="15.75" hidden="1" customHeight="1">
      <c r="A621" s="208"/>
      <c r="B621" s="208"/>
      <c r="C621" s="208"/>
      <c r="D621" s="208"/>
      <c r="E621" s="208"/>
      <c r="F621" s="208"/>
      <c r="G621" s="208"/>
      <c r="H621" s="208"/>
      <c r="I621" s="208"/>
      <c r="J621" s="208"/>
      <c r="K621" s="208"/>
      <c r="L621" s="208"/>
      <c r="M621" s="208"/>
      <c r="N621" s="208"/>
      <c r="O621" s="208"/>
      <c r="P621" s="208"/>
      <c r="Q621" s="208"/>
      <c r="R621" s="208"/>
      <c r="S621" s="208"/>
      <c r="T621" s="208"/>
      <c r="U621" s="208"/>
      <c r="V621" s="208"/>
      <c r="W621" s="208"/>
      <c r="X621" s="208"/>
      <c r="Y621" s="208"/>
      <c r="Z621" s="208"/>
      <c r="AA621" s="208"/>
      <c r="AB621" s="208"/>
      <c r="AC621" s="208"/>
      <c r="AD621" s="208"/>
      <c r="AE621" s="208"/>
      <c r="AF621" s="208"/>
      <c r="AG621" s="208"/>
      <c r="AH621" s="208"/>
      <c r="AI621" s="208"/>
      <c r="AJ621" s="208"/>
      <c r="AK621" s="208"/>
      <c r="AL621" s="208"/>
      <c r="AM621" s="208"/>
      <c r="AN621" s="208"/>
      <c r="AO621" s="208"/>
      <c r="AP621" s="208"/>
      <c r="AQ621" s="208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/>
    </row>
    <row r="622" ht="15.75" hidden="1" customHeight="1">
      <c r="A622" s="208"/>
      <c r="B622" s="208"/>
      <c r="C622" s="208"/>
      <c r="D622" s="208"/>
      <c r="E622" s="208"/>
      <c r="F622" s="208"/>
      <c r="G622" s="208"/>
      <c r="H622" s="208"/>
      <c r="I622" s="208"/>
      <c r="J622" s="208"/>
      <c r="K622" s="208"/>
      <c r="L622" s="208"/>
      <c r="M622" s="208"/>
      <c r="N622" s="208"/>
      <c r="O622" s="208"/>
      <c r="P622" s="208"/>
      <c r="Q622" s="208"/>
      <c r="R622" s="208"/>
      <c r="S622" s="208"/>
      <c r="T622" s="208"/>
      <c r="U622" s="208"/>
      <c r="V622" s="208"/>
      <c r="W622" s="208"/>
      <c r="X622" s="208"/>
      <c r="Y622" s="208"/>
      <c r="Z622" s="208"/>
      <c r="AA622" s="208"/>
      <c r="AB622" s="208"/>
      <c r="AC622" s="208"/>
      <c r="AD622" s="208"/>
      <c r="AE622" s="208"/>
      <c r="AF622" s="208"/>
      <c r="AG622" s="208"/>
      <c r="AH622" s="208"/>
      <c r="AI622" s="208"/>
      <c r="AJ622" s="208"/>
      <c r="AK622" s="208"/>
      <c r="AL622" s="208"/>
      <c r="AM622" s="208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</row>
    <row r="623" ht="15.75" hidden="1" customHeight="1">
      <c r="A623" s="208"/>
      <c r="B623" s="208"/>
      <c r="C623" s="208"/>
      <c r="D623" s="208"/>
      <c r="E623" s="208"/>
      <c r="F623" s="208"/>
      <c r="G623" s="208"/>
      <c r="H623" s="208"/>
      <c r="I623" s="208"/>
      <c r="J623" s="208"/>
      <c r="K623" s="208"/>
      <c r="L623" s="208"/>
      <c r="M623" s="208"/>
      <c r="N623" s="208"/>
      <c r="O623" s="208"/>
      <c r="P623" s="208"/>
      <c r="Q623" s="208"/>
      <c r="R623" s="208"/>
      <c r="S623" s="208"/>
      <c r="T623" s="208"/>
      <c r="U623" s="208"/>
      <c r="V623" s="208"/>
      <c r="W623" s="208"/>
      <c r="X623" s="208"/>
      <c r="Y623" s="208"/>
      <c r="Z623" s="208"/>
      <c r="AA623" s="208"/>
      <c r="AB623" s="208"/>
      <c r="AC623" s="208"/>
      <c r="AD623" s="208"/>
      <c r="AE623" s="208"/>
      <c r="AF623" s="208"/>
      <c r="AG623" s="208"/>
      <c r="AH623" s="208"/>
      <c r="AI623" s="208"/>
      <c r="AJ623" s="208"/>
      <c r="AK623" s="208"/>
      <c r="AL623" s="208"/>
      <c r="AM623" s="208"/>
      <c r="AN623" s="208"/>
      <c r="AO623" s="208"/>
      <c r="AP623" s="208"/>
      <c r="AQ623" s="208"/>
      <c r="AR623" s="208"/>
      <c r="AS623" s="208"/>
      <c r="AT623" s="208"/>
      <c r="AU623" s="208"/>
      <c r="AV623" s="208"/>
      <c r="AW623" s="208"/>
      <c r="AX623" s="208"/>
      <c r="AY623" s="208"/>
      <c r="AZ623" s="208"/>
      <c r="BA623" s="208"/>
    </row>
    <row r="624" ht="15.75" hidden="1" customHeight="1">
      <c r="A624" s="208"/>
      <c r="B624" s="208"/>
      <c r="C624" s="208"/>
      <c r="D624" s="208"/>
      <c r="E624" s="208"/>
      <c r="F624" s="208"/>
      <c r="G624" s="208"/>
      <c r="H624" s="208"/>
      <c r="I624" s="208"/>
      <c r="J624" s="208"/>
      <c r="K624" s="208"/>
      <c r="L624" s="208"/>
      <c r="M624" s="208"/>
      <c r="N624" s="208"/>
      <c r="O624" s="208"/>
      <c r="P624" s="208"/>
      <c r="Q624" s="208"/>
      <c r="R624" s="208"/>
      <c r="S624" s="208"/>
      <c r="T624" s="208"/>
      <c r="U624" s="208"/>
      <c r="V624" s="208"/>
      <c r="W624" s="208"/>
      <c r="X624" s="208"/>
      <c r="Y624" s="208"/>
      <c r="Z624" s="208"/>
      <c r="AA624" s="208"/>
      <c r="AB624" s="208"/>
      <c r="AC624" s="208"/>
      <c r="AD624" s="208"/>
      <c r="AE624" s="208"/>
      <c r="AF624" s="208"/>
      <c r="AG624" s="208"/>
      <c r="AH624" s="208"/>
      <c r="AI624" s="208"/>
      <c r="AJ624" s="208"/>
      <c r="AK624" s="208"/>
      <c r="AL624" s="208"/>
      <c r="AM624" s="208"/>
      <c r="AN624" s="208"/>
      <c r="AO624" s="208"/>
      <c r="AP624" s="208"/>
      <c r="AQ624" s="208"/>
      <c r="AR624" s="208"/>
      <c r="AS624" s="208"/>
      <c r="AT624" s="208"/>
      <c r="AU624" s="208"/>
      <c r="AV624" s="208"/>
      <c r="AW624" s="208"/>
      <c r="AX624" s="208"/>
      <c r="AY624" s="208"/>
      <c r="AZ624" s="208"/>
      <c r="BA624" s="208"/>
    </row>
    <row r="625" ht="15.75" hidden="1" customHeight="1">
      <c r="A625" s="208"/>
      <c r="B625" s="208"/>
      <c r="C625" s="208"/>
      <c r="D625" s="208"/>
      <c r="E625" s="208"/>
      <c r="F625" s="208"/>
      <c r="G625" s="208"/>
      <c r="H625" s="208"/>
      <c r="I625" s="208"/>
      <c r="J625" s="208"/>
      <c r="K625" s="208"/>
      <c r="L625" s="208"/>
      <c r="M625" s="208"/>
      <c r="N625" s="208"/>
      <c r="O625" s="208"/>
      <c r="P625" s="208"/>
      <c r="Q625" s="208"/>
      <c r="R625" s="208"/>
      <c r="S625" s="208"/>
      <c r="T625" s="208"/>
      <c r="U625" s="208"/>
      <c r="V625" s="208"/>
      <c r="W625" s="208"/>
      <c r="X625" s="208"/>
      <c r="Y625" s="208"/>
      <c r="Z625" s="208"/>
      <c r="AA625" s="208"/>
      <c r="AB625" s="208"/>
      <c r="AC625" s="208"/>
      <c r="AD625" s="208"/>
      <c r="AE625" s="208"/>
      <c r="AF625" s="208"/>
      <c r="AG625" s="208"/>
      <c r="AH625" s="208"/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</row>
    <row r="626" ht="15.75" hidden="1" customHeight="1">
      <c r="A626" s="208"/>
      <c r="B626" s="208"/>
      <c r="C626" s="208"/>
      <c r="D626" s="208"/>
      <c r="E626" s="208"/>
      <c r="F626" s="208"/>
      <c r="G626" s="208"/>
      <c r="H626" s="208"/>
      <c r="I626" s="208"/>
      <c r="J626" s="208"/>
      <c r="K626" s="208"/>
      <c r="L626" s="208"/>
      <c r="M626" s="208"/>
      <c r="N626" s="208"/>
      <c r="O626" s="208"/>
      <c r="P626" s="208"/>
      <c r="Q626" s="208"/>
      <c r="R626" s="208"/>
      <c r="S626" s="208"/>
      <c r="T626" s="208"/>
      <c r="U626" s="208"/>
      <c r="V626" s="208"/>
      <c r="W626" s="208"/>
      <c r="X626" s="208"/>
      <c r="Y626" s="208"/>
      <c r="Z626" s="208"/>
      <c r="AA626" s="208"/>
      <c r="AB626" s="208"/>
      <c r="AC626" s="208"/>
      <c r="AD626" s="208"/>
      <c r="AE626" s="208"/>
      <c r="AF626" s="208"/>
      <c r="AG626" s="208"/>
      <c r="AH626" s="208"/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</row>
    <row r="627" ht="15.75" hidden="1" customHeight="1">
      <c r="A627" s="208"/>
      <c r="B627" s="208"/>
      <c r="C627" s="208"/>
      <c r="D627" s="208"/>
      <c r="E627" s="208"/>
      <c r="F627" s="208"/>
      <c r="G627" s="208"/>
      <c r="H627" s="208"/>
      <c r="I627" s="208"/>
      <c r="J627" s="208"/>
      <c r="K627" s="208"/>
      <c r="L627" s="208"/>
      <c r="M627" s="208"/>
      <c r="N627" s="208"/>
      <c r="O627" s="208"/>
      <c r="P627" s="208"/>
      <c r="Q627" s="208"/>
      <c r="R627" s="208"/>
      <c r="S627" s="208"/>
      <c r="T627" s="208"/>
      <c r="U627" s="208"/>
      <c r="V627" s="208"/>
      <c r="W627" s="208"/>
      <c r="X627" s="208"/>
      <c r="Y627" s="208"/>
      <c r="Z627" s="208"/>
      <c r="AA627" s="208"/>
      <c r="AB627" s="208"/>
      <c r="AC627" s="208"/>
      <c r="AD627" s="208"/>
      <c r="AE627" s="208"/>
      <c r="AF627" s="208"/>
      <c r="AG627" s="208"/>
      <c r="AH627" s="208"/>
      <c r="AI627" s="208"/>
      <c r="AJ627" s="208"/>
      <c r="AK627" s="208"/>
      <c r="AL627" s="208"/>
      <c r="AM627" s="208"/>
      <c r="AN627" s="208"/>
      <c r="AO627" s="208"/>
      <c r="AP627" s="208"/>
      <c r="AQ627" s="208"/>
      <c r="AR627" s="208"/>
      <c r="AS627" s="208"/>
      <c r="AT627" s="208"/>
      <c r="AU627" s="208"/>
      <c r="AV627" s="208"/>
      <c r="AW627" s="208"/>
      <c r="AX627" s="208"/>
      <c r="AY627" s="208"/>
      <c r="AZ627" s="208"/>
      <c r="BA627" s="208"/>
    </row>
    <row r="628" ht="15.75" hidden="1" customHeight="1">
      <c r="A628" s="208"/>
      <c r="B628" s="208"/>
      <c r="C628" s="208"/>
      <c r="D628" s="208"/>
      <c r="E628" s="208"/>
      <c r="F628" s="208"/>
      <c r="G628" s="208"/>
      <c r="H628" s="208"/>
      <c r="I628" s="208"/>
      <c r="J628" s="208"/>
      <c r="K628" s="208"/>
      <c r="L628" s="208"/>
      <c r="M628" s="208"/>
      <c r="N628" s="208"/>
      <c r="O628" s="208"/>
      <c r="P628" s="208"/>
      <c r="Q628" s="208"/>
      <c r="R628" s="208"/>
      <c r="S628" s="208"/>
      <c r="T628" s="208"/>
      <c r="U628" s="208"/>
      <c r="V628" s="208"/>
      <c r="W628" s="208"/>
      <c r="X628" s="208"/>
      <c r="Y628" s="208"/>
      <c r="Z628" s="208"/>
      <c r="AA628" s="208"/>
      <c r="AB628" s="208"/>
      <c r="AC628" s="208"/>
      <c r="AD628" s="208"/>
      <c r="AE628" s="208"/>
      <c r="AF628" s="208"/>
      <c r="AG628" s="208"/>
      <c r="AH628" s="208"/>
      <c r="AI628" s="208"/>
      <c r="AJ628" s="208"/>
      <c r="AK628" s="208"/>
      <c r="AL628" s="208"/>
      <c r="AM628" s="208"/>
      <c r="AN628" s="208"/>
      <c r="AO628" s="208"/>
      <c r="AP628" s="208"/>
      <c r="AQ628" s="208"/>
      <c r="AR628" s="208"/>
      <c r="AS628" s="208"/>
      <c r="AT628" s="208"/>
      <c r="AU628" s="208"/>
      <c r="AV628" s="208"/>
      <c r="AW628" s="208"/>
      <c r="AX628" s="208"/>
      <c r="AY628" s="208"/>
      <c r="AZ628" s="208"/>
      <c r="BA628" s="208"/>
    </row>
    <row r="629" ht="15.75" hidden="1" customHeight="1">
      <c r="A629" s="208"/>
      <c r="B629" s="208"/>
      <c r="C629" s="208"/>
      <c r="D629" s="208"/>
      <c r="E629" s="208"/>
      <c r="F629" s="208"/>
      <c r="G629" s="208"/>
      <c r="H629" s="208"/>
      <c r="I629" s="208"/>
      <c r="J629" s="208"/>
      <c r="K629" s="208"/>
      <c r="L629" s="208"/>
      <c r="M629" s="208"/>
      <c r="N629" s="208"/>
      <c r="O629" s="208"/>
      <c r="P629" s="208"/>
      <c r="Q629" s="208"/>
      <c r="R629" s="208"/>
      <c r="S629" s="208"/>
      <c r="T629" s="208"/>
      <c r="U629" s="208"/>
      <c r="V629" s="208"/>
      <c r="W629" s="208"/>
      <c r="X629" s="208"/>
      <c r="Y629" s="208"/>
      <c r="Z629" s="208"/>
      <c r="AA629" s="208"/>
      <c r="AB629" s="208"/>
      <c r="AC629" s="208"/>
      <c r="AD629" s="208"/>
      <c r="AE629" s="208"/>
      <c r="AF629" s="208"/>
      <c r="AG629" s="208"/>
      <c r="AH629" s="208"/>
      <c r="AI629" s="208"/>
      <c r="AJ629" s="208"/>
      <c r="AK629" s="208"/>
      <c r="AL629" s="208"/>
      <c r="AM629" s="208"/>
      <c r="AN629" s="208"/>
      <c r="AO629" s="208"/>
      <c r="AP629" s="208"/>
      <c r="AQ629" s="208"/>
      <c r="AR629" s="208"/>
      <c r="AS629" s="208"/>
      <c r="AT629" s="208"/>
      <c r="AU629" s="208"/>
      <c r="AV629" s="208"/>
      <c r="AW629" s="208"/>
      <c r="AX629" s="208"/>
      <c r="AY629" s="208"/>
      <c r="AZ629" s="208"/>
      <c r="BA629" s="208"/>
    </row>
    <row r="630" ht="15.75" hidden="1" customHeight="1">
      <c r="A630" s="208"/>
      <c r="B630" s="208"/>
      <c r="C630" s="208"/>
      <c r="D630" s="208"/>
      <c r="E630" s="208"/>
      <c r="F630" s="208"/>
      <c r="G630" s="208"/>
      <c r="H630" s="208"/>
      <c r="I630" s="208"/>
      <c r="J630" s="208"/>
      <c r="K630" s="208"/>
      <c r="L630" s="208"/>
      <c r="M630" s="208"/>
      <c r="N630" s="208"/>
      <c r="O630" s="208"/>
      <c r="P630" s="208"/>
      <c r="Q630" s="208"/>
      <c r="R630" s="208"/>
      <c r="S630" s="208"/>
      <c r="T630" s="208"/>
      <c r="U630" s="208"/>
      <c r="V630" s="208"/>
      <c r="W630" s="208"/>
      <c r="X630" s="208"/>
      <c r="Y630" s="208"/>
      <c r="Z630" s="208"/>
      <c r="AA630" s="208"/>
      <c r="AB630" s="208"/>
      <c r="AC630" s="208"/>
      <c r="AD630" s="208"/>
      <c r="AE630" s="208"/>
      <c r="AF630" s="208"/>
      <c r="AG630" s="208"/>
      <c r="AH630" s="208"/>
      <c r="AI630" s="208"/>
      <c r="AJ630" s="208"/>
      <c r="AK630" s="208"/>
      <c r="AL630" s="208"/>
      <c r="AM630" s="208"/>
      <c r="AN630" s="208"/>
      <c r="AO630" s="208"/>
      <c r="AP630" s="208"/>
      <c r="AQ630" s="208"/>
      <c r="AR630" s="208"/>
      <c r="AS630" s="208"/>
      <c r="AT630" s="208"/>
      <c r="AU630" s="208"/>
      <c r="AV630" s="208"/>
      <c r="AW630" s="208"/>
      <c r="AX630" s="208"/>
      <c r="AY630" s="208"/>
      <c r="AZ630" s="208"/>
      <c r="BA630" s="208"/>
    </row>
    <row r="631" ht="15.75" hidden="1" customHeight="1">
      <c r="A631" s="208"/>
      <c r="B631" s="208"/>
      <c r="C631" s="208"/>
      <c r="D631" s="208"/>
      <c r="E631" s="208"/>
      <c r="F631" s="208"/>
      <c r="G631" s="208"/>
      <c r="H631" s="208"/>
      <c r="I631" s="208"/>
      <c r="J631" s="208"/>
      <c r="K631" s="208"/>
      <c r="L631" s="208"/>
      <c r="M631" s="208"/>
      <c r="N631" s="208"/>
      <c r="O631" s="208"/>
      <c r="P631" s="208"/>
      <c r="Q631" s="208"/>
      <c r="R631" s="208"/>
      <c r="S631" s="208"/>
      <c r="T631" s="208"/>
      <c r="U631" s="208"/>
      <c r="V631" s="208"/>
      <c r="W631" s="208"/>
      <c r="X631" s="208"/>
      <c r="Y631" s="208"/>
      <c r="Z631" s="208"/>
      <c r="AA631" s="208"/>
      <c r="AB631" s="208"/>
      <c r="AC631" s="208"/>
      <c r="AD631" s="208"/>
      <c r="AE631" s="208"/>
      <c r="AF631" s="208"/>
      <c r="AG631" s="208"/>
      <c r="AH631" s="208"/>
      <c r="AI631" s="208"/>
      <c r="AJ631" s="208"/>
      <c r="AK631" s="208"/>
      <c r="AL631" s="208"/>
      <c r="AM631" s="208"/>
      <c r="AN631" s="208"/>
      <c r="AO631" s="208"/>
      <c r="AP631" s="208"/>
      <c r="AQ631" s="208"/>
      <c r="AR631" s="208"/>
      <c r="AS631" s="208"/>
      <c r="AT631" s="208"/>
      <c r="AU631" s="208"/>
      <c r="AV631" s="208"/>
      <c r="AW631" s="208"/>
      <c r="AX631" s="208"/>
      <c r="AY631" s="208"/>
      <c r="AZ631" s="208"/>
      <c r="BA631" s="208"/>
    </row>
    <row r="632" ht="15.75" hidden="1" customHeight="1">
      <c r="A632" s="208"/>
      <c r="B632" s="208"/>
      <c r="C632" s="208"/>
      <c r="D632" s="208"/>
      <c r="E632" s="208"/>
      <c r="F632" s="208"/>
      <c r="G632" s="208"/>
      <c r="H632" s="208"/>
      <c r="I632" s="208"/>
      <c r="J632" s="208"/>
      <c r="K632" s="208"/>
      <c r="L632" s="208"/>
      <c r="M632" s="208"/>
      <c r="N632" s="208"/>
      <c r="O632" s="208"/>
      <c r="P632" s="208"/>
      <c r="Q632" s="208"/>
      <c r="R632" s="208"/>
      <c r="S632" s="208"/>
      <c r="T632" s="208"/>
      <c r="U632" s="208"/>
      <c r="V632" s="208"/>
      <c r="W632" s="208"/>
      <c r="X632" s="208"/>
      <c r="Y632" s="208"/>
      <c r="Z632" s="208"/>
      <c r="AA632" s="208"/>
      <c r="AB632" s="208"/>
      <c r="AC632" s="208"/>
      <c r="AD632" s="208"/>
      <c r="AE632" s="208"/>
      <c r="AF632" s="208"/>
      <c r="AG632" s="208"/>
      <c r="AH632" s="208"/>
      <c r="AI632" s="208"/>
      <c r="AJ632" s="208"/>
      <c r="AK632" s="208"/>
      <c r="AL632" s="208"/>
      <c r="AM632" s="208"/>
      <c r="AN632" s="208"/>
      <c r="AO632" s="208"/>
      <c r="AP632" s="208"/>
      <c r="AQ632" s="208"/>
      <c r="AR632" s="208"/>
      <c r="AS632" s="208"/>
      <c r="AT632" s="208"/>
      <c r="AU632" s="208"/>
      <c r="AV632" s="208"/>
      <c r="AW632" s="208"/>
      <c r="AX632" s="208"/>
      <c r="AY632" s="208"/>
      <c r="AZ632" s="208"/>
      <c r="BA632" s="208"/>
    </row>
    <row r="633" ht="15.75" hidden="1" customHeight="1">
      <c r="A633" s="208"/>
      <c r="B633" s="208"/>
      <c r="C633" s="208"/>
      <c r="D633" s="208"/>
      <c r="E633" s="208"/>
      <c r="F633" s="208"/>
      <c r="G633" s="208"/>
      <c r="H633" s="208"/>
      <c r="I633" s="208"/>
      <c r="J633" s="208"/>
      <c r="K633" s="208"/>
      <c r="L633" s="208"/>
      <c r="M633" s="208"/>
      <c r="N633" s="208"/>
      <c r="O633" s="208"/>
      <c r="P633" s="208"/>
      <c r="Q633" s="208"/>
      <c r="R633" s="208"/>
      <c r="S633" s="208"/>
      <c r="T633" s="208"/>
      <c r="U633" s="208"/>
      <c r="V633" s="208"/>
      <c r="W633" s="208"/>
      <c r="X633" s="208"/>
      <c r="Y633" s="208"/>
      <c r="Z633" s="208"/>
      <c r="AA633" s="208"/>
      <c r="AB633" s="208"/>
      <c r="AC633" s="208"/>
      <c r="AD633" s="208"/>
      <c r="AE633" s="208"/>
      <c r="AF633" s="208"/>
      <c r="AG633" s="208"/>
      <c r="AH633" s="208"/>
      <c r="AI633" s="208"/>
      <c r="AJ633" s="208"/>
      <c r="AK633" s="208"/>
      <c r="AL633" s="208"/>
      <c r="AM633" s="208"/>
      <c r="AN633" s="208"/>
      <c r="AO633" s="208"/>
      <c r="AP633" s="208"/>
      <c r="AQ633" s="208"/>
      <c r="AR633" s="208"/>
      <c r="AS633" s="208"/>
      <c r="AT633" s="208"/>
      <c r="AU633" s="208"/>
      <c r="AV633" s="208"/>
      <c r="AW633" s="208"/>
      <c r="AX633" s="208"/>
      <c r="AY633" s="208"/>
      <c r="AZ633" s="208"/>
      <c r="BA633" s="208"/>
    </row>
    <row r="634" ht="15.75" hidden="1" customHeight="1">
      <c r="A634" s="208"/>
      <c r="B634" s="208"/>
      <c r="C634" s="208"/>
      <c r="D634" s="208"/>
      <c r="E634" s="208"/>
      <c r="F634" s="208"/>
      <c r="G634" s="208"/>
      <c r="H634" s="208"/>
      <c r="I634" s="208"/>
      <c r="J634" s="208"/>
      <c r="K634" s="208"/>
      <c r="L634" s="208"/>
      <c r="M634" s="208"/>
      <c r="N634" s="208"/>
      <c r="O634" s="208"/>
      <c r="P634" s="208"/>
      <c r="Q634" s="208"/>
      <c r="R634" s="208"/>
      <c r="S634" s="208"/>
      <c r="T634" s="208"/>
      <c r="U634" s="208"/>
      <c r="V634" s="208"/>
      <c r="W634" s="208"/>
      <c r="X634" s="208"/>
      <c r="Y634" s="208"/>
      <c r="Z634" s="208"/>
      <c r="AA634" s="208"/>
      <c r="AB634" s="208"/>
      <c r="AC634" s="208"/>
      <c r="AD634" s="208"/>
      <c r="AE634" s="208"/>
      <c r="AF634" s="208"/>
      <c r="AG634" s="208"/>
      <c r="AH634" s="208"/>
      <c r="AI634" s="208"/>
      <c r="AJ634" s="208"/>
      <c r="AK634" s="208"/>
      <c r="AL634" s="208"/>
      <c r="AM634" s="208"/>
      <c r="AN634" s="208"/>
      <c r="AO634" s="208"/>
      <c r="AP634" s="208"/>
      <c r="AQ634" s="208"/>
      <c r="AR634" s="208"/>
      <c r="AS634" s="208"/>
      <c r="AT634" s="208"/>
      <c r="AU634" s="208"/>
      <c r="AV634" s="208"/>
      <c r="AW634" s="208"/>
      <c r="AX634" s="208"/>
      <c r="AY634" s="208"/>
      <c r="AZ634" s="208"/>
      <c r="BA634" s="208"/>
    </row>
    <row r="635" ht="15.75" hidden="1" customHeight="1">
      <c r="A635" s="208"/>
      <c r="B635" s="208"/>
      <c r="C635" s="208"/>
      <c r="D635" s="208"/>
      <c r="E635" s="208"/>
      <c r="F635" s="208"/>
      <c r="G635" s="208"/>
      <c r="H635" s="208"/>
      <c r="I635" s="208"/>
      <c r="J635" s="208"/>
      <c r="K635" s="208"/>
      <c r="L635" s="208"/>
      <c r="M635" s="208"/>
      <c r="N635" s="208"/>
      <c r="O635" s="208"/>
      <c r="P635" s="208"/>
      <c r="Q635" s="208"/>
      <c r="R635" s="208"/>
      <c r="S635" s="208"/>
      <c r="T635" s="208"/>
      <c r="U635" s="208"/>
      <c r="V635" s="208"/>
      <c r="W635" s="208"/>
      <c r="X635" s="208"/>
      <c r="Y635" s="208"/>
      <c r="Z635" s="208"/>
      <c r="AA635" s="208"/>
      <c r="AB635" s="208"/>
      <c r="AC635" s="208"/>
      <c r="AD635" s="208"/>
      <c r="AE635" s="208"/>
      <c r="AF635" s="208"/>
      <c r="AG635" s="208"/>
      <c r="AH635" s="208"/>
      <c r="AI635" s="208"/>
      <c r="AJ635" s="208"/>
      <c r="AK635" s="208"/>
      <c r="AL635" s="208"/>
      <c r="AM635" s="208"/>
      <c r="AN635" s="208"/>
      <c r="AO635" s="208"/>
      <c r="AP635" s="208"/>
      <c r="AQ635" s="208"/>
      <c r="AR635" s="208"/>
      <c r="AS635" s="208"/>
      <c r="AT635" s="208"/>
      <c r="AU635" s="208"/>
      <c r="AV635" s="208"/>
      <c r="AW635" s="208"/>
      <c r="AX635" s="208"/>
      <c r="AY635" s="208"/>
      <c r="AZ635" s="208"/>
      <c r="BA635" s="208"/>
    </row>
    <row r="636" ht="15.75" hidden="1" customHeight="1">
      <c r="A636" s="208"/>
      <c r="B636" s="208"/>
      <c r="C636" s="208"/>
      <c r="D636" s="208"/>
      <c r="E636" s="208"/>
      <c r="F636" s="208"/>
      <c r="G636" s="208"/>
      <c r="H636" s="208"/>
      <c r="I636" s="208"/>
      <c r="J636" s="208"/>
      <c r="K636" s="208"/>
      <c r="L636" s="208"/>
      <c r="M636" s="208"/>
      <c r="N636" s="208"/>
      <c r="O636" s="208"/>
      <c r="P636" s="208"/>
      <c r="Q636" s="208"/>
      <c r="R636" s="208"/>
      <c r="S636" s="208"/>
      <c r="T636" s="208"/>
      <c r="U636" s="208"/>
      <c r="V636" s="208"/>
      <c r="W636" s="208"/>
      <c r="X636" s="208"/>
      <c r="Y636" s="208"/>
      <c r="Z636" s="208"/>
      <c r="AA636" s="208"/>
      <c r="AB636" s="208"/>
      <c r="AC636" s="208"/>
      <c r="AD636" s="208"/>
      <c r="AE636" s="208"/>
      <c r="AF636" s="208"/>
      <c r="AG636" s="208"/>
      <c r="AH636" s="208"/>
      <c r="AI636" s="208"/>
      <c r="AJ636" s="208"/>
      <c r="AK636" s="208"/>
      <c r="AL636" s="208"/>
      <c r="AM636" s="208"/>
      <c r="AN636" s="208"/>
      <c r="AO636" s="208"/>
      <c r="AP636" s="208"/>
      <c r="AQ636" s="208"/>
      <c r="AR636" s="208"/>
      <c r="AS636" s="208"/>
      <c r="AT636" s="208"/>
      <c r="AU636" s="208"/>
      <c r="AV636" s="208"/>
      <c r="AW636" s="208"/>
      <c r="AX636" s="208"/>
      <c r="AY636" s="208"/>
      <c r="AZ636" s="208"/>
      <c r="BA636" s="208"/>
    </row>
    <row r="637" ht="15.75" hidden="1" customHeight="1">
      <c r="A637" s="208"/>
      <c r="B637" s="208"/>
      <c r="C637" s="208"/>
      <c r="D637" s="208"/>
      <c r="E637" s="208"/>
      <c r="F637" s="208"/>
      <c r="G637" s="208"/>
      <c r="H637" s="208"/>
      <c r="I637" s="208"/>
      <c r="J637" s="208"/>
      <c r="K637" s="208"/>
      <c r="L637" s="208"/>
      <c r="M637" s="208"/>
      <c r="N637" s="208"/>
      <c r="O637" s="208"/>
      <c r="P637" s="208"/>
      <c r="Q637" s="208"/>
      <c r="R637" s="208"/>
      <c r="S637" s="208"/>
      <c r="T637" s="208"/>
      <c r="U637" s="208"/>
      <c r="V637" s="208"/>
      <c r="W637" s="208"/>
      <c r="X637" s="208"/>
      <c r="Y637" s="208"/>
      <c r="Z637" s="208"/>
      <c r="AA637" s="208"/>
      <c r="AB637" s="208"/>
      <c r="AC637" s="208"/>
      <c r="AD637" s="208"/>
      <c r="AE637" s="208"/>
      <c r="AF637" s="208"/>
      <c r="AG637" s="208"/>
      <c r="AH637" s="208"/>
      <c r="AI637" s="208"/>
      <c r="AJ637" s="208"/>
      <c r="AK637" s="208"/>
      <c r="AL637" s="208"/>
      <c r="AM637" s="208"/>
      <c r="AN637" s="208"/>
      <c r="AO637" s="208"/>
      <c r="AP637" s="208"/>
      <c r="AQ637" s="208"/>
      <c r="AR637" s="208"/>
      <c r="AS637" s="208"/>
      <c r="AT637" s="208"/>
      <c r="AU637" s="208"/>
      <c r="AV637" s="208"/>
      <c r="AW637" s="208"/>
      <c r="AX637" s="208"/>
      <c r="AY637" s="208"/>
      <c r="AZ637" s="208"/>
      <c r="BA637" s="208"/>
    </row>
    <row r="638" ht="15.75" hidden="1" customHeight="1">
      <c r="A638" s="208"/>
      <c r="B638" s="208"/>
      <c r="C638" s="208"/>
      <c r="D638" s="208"/>
      <c r="E638" s="208"/>
      <c r="F638" s="208"/>
      <c r="G638" s="208"/>
      <c r="H638" s="208"/>
      <c r="I638" s="208"/>
      <c r="J638" s="208"/>
      <c r="K638" s="208"/>
      <c r="L638" s="208"/>
      <c r="M638" s="208"/>
      <c r="N638" s="208"/>
      <c r="O638" s="208"/>
      <c r="P638" s="208"/>
      <c r="Q638" s="208"/>
      <c r="R638" s="208"/>
      <c r="S638" s="208"/>
      <c r="T638" s="208"/>
      <c r="U638" s="208"/>
      <c r="V638" s="208"/>
      <c r="W638" s="208"/>
      <c r="X638" s="208"/>
      <c r="Y638" s="208"/>
      <c r="Z638" s="208"/>
      <c r="AA638" s="208"/>
      <c r="AB638" s="208"/>
      <c r="AC638" s="208"/>
      <c r="AD638" s="208"/>
      <c r="AE638" s="208"/>
      <c r="AF638" s="208"/>
      <c r="AG638" s="208"/>
      <c r="AH638" s="208"/>
      <c r="AI638" s="208"/>
      <c r="AJ638" s="208"/>
      <c r="AK638" s="208"/>
      <c r="AL638" s="208"/>
      <c r="AM638" s="208"/>
      <c r="AN638" s="208"/>
      <c r="AO638" s="208"/>
      <c r="AP638" s="208"/>
      <c r="AQ638" s="208"/>
      <c r="AR638" s="208"/>
      <c r="AS638" s="208"/>
      <c r="AT638" s="208"/>
      <c r="AU638" s="208"/>
      <c r="AV638" s="208"/>
      <c r="AW638" s="208"/>
      <c r="AX638" s="208"/>
      <c r="AY638" s="208"/>
      <c r="AZ638" s="208"/>
      <c r="BA638" s="208"/>
    </row>
    <row r="639" ht="15.75" hidden="1" customHeight="1">
      <c r="A639" s="208"/>
      <c r="B639" s="208"/>
      <c r="C639" s="208"/>
      <c r="D639" s="208"/>
      <c r="E639" s="208"/>
      <c r="F639" s="208"/>
      <c r="G639" s="208"/>
      <c r="H639" s="208"/>
      <c r="I639" s="208"/>
      <c r="J639" s="208"/>
      <c r="K639" s="208"/>
      <c r="L639" s="208"/>
      <c r="M639" s="208"/>
      <c r="N639" s="208"/>
      <c r="O639" s="208"/>
      <c r="P639" s="208"/>
      <c r="Q639" s="208"/>
      <c r="R639" s="208"/>
      <c r="S639" s="208"/>
      <c r="T639" s="208"/>
      <c r="U639" s="208"/>
      <c r="V639" s="208"/>
      <c r="W639" s="208"/>
      <c r="X639" s="208"/>
      <c r="Y639" s="208"/>
      <c r="Z639" s="208"/>
      <c r="AA639" s="208"/>
      <c r="AB639" s="208"/>
      <c r="AC639" s="208"/>
      <c r="AD639" s="208"/>
      <c r="AE639" s="208"/>
      <c r="AF639" s="208"/>
      <c r="AG639" s="208"/>
      <c r="AH639" s="208"/>
      <c r="AI639" s="208"/>
      <c r="AJ639" s="208"/>
      <c r="AK639" s="208"/>
      <c r="AL639" s="208"/>
      <c r="AM639" s="208"/>
      <c r="AN639" s="208"/>
      <c r="AO639" s="208"/>
      <c r="AP639" s="208"/>
      <c r="AQ639" s="208"/>
      <c r="AR639" s="208"/>
      <c r="AS639" s="208"/>
      <c r="AT639" s="208"/>
      <c r="AU639" s="208"/>
      <c r="AV639" s="208"/>
      <c r="AW639" s="208"/>
      <c r="AX639" s="208"/>
      <c r="AY639" s="208"/>
      <c r="AZ639" s="208"/>
      <c r="BA639" s="208"/>
    </row>
    <row r="640" ht="15.75" hidden="1" customHeight="1">
      <c r="A640" s="208"/>
      <c r="B640" s="208"/>
      <c r="C640" s="208"/>
      <c r="D640" s="208"/>
      <c r="E640" s="208"/>
      <c r="F640" s="208"/>
      <c r="G640" s="208"/>
      <c r="H640" s="208"/>
      <c r="I640" s="208"/>
      <c r="J640" s="208"/>
      <c r="K640" s="208"/>
      <c r="L640" s="208"/>
      <c r="M640" s="208"/>
      <c r="N640" s="208"/>
      <c r="O640" s="208"/>
      <c r="P640" s="208"/>
      <c r="Q640" s="208"/>
      <c r="R640" s="208"/>
      <c r="S640" s="208"/>
      <c r="T640" s="208"/>
      <c r="U640" s="208"/>
      <c r="V640" s="208"/>
      <c r="W640" s="208"/>
      <c r="X640" s="208"/>
      <c r="Y640" s="208"/>
      <c r="Z640" s="208"/>
      <c r="AA640" s="208"/>
      <c r="AB640" s="208"/>
      <c r="AC640" s="208"/>
      <c r="AD640" s="208"/>
      <c r="AE640" s="208"/>
      <c r="AF640" s="208"/>
      <c r="AG640" s="208"/>
      <c r="AH640" s="208"/>
      <c r="AI640" s="208"/>
      <c r="AJ640" s="208"/>
      <c r="AK640" s="208"/>
      <c r="AL640" s="208"/>
      <c r="AM640" s="208"/>
      <c r="AN640" s="208"/>
      <c r="AO640" s="208"/>
      <c r="AP640" s="208"/>
      <c r="AQ640" s="208"/>
      <c r="AR640" s="208"/>
      <c r="AS640" s="208"/>
      <c r="AT640" s="208"/>
      <c r="AU640" s="208"/>
      <c r="AV640" s="208"/>
      <c r="AW640" s="208"/>
      <c r="AX640" s="208"/>
      <c r="AY640" s="208"/>
      <c r="AZ640" s="208"/>
      <c r="BA640" s="208"/>
    </row>
    <row r="641" ht="15.75" hidden="1" customHeight="1">
      <c r="A641" s="208"/>
      <c r="B641" s="208"/>
      <c r="C641" s="208"/>
      <c r="D641" s="208"/>
      <c r="E641" s="208"/>
      <c r="F641" s="208"/>
      <c r="G641" s="208"/>
      <c r="H641" s="208"/>
      <c r="I641" s="208"/>
      <c r="J641" s="208"/>
      <c r="K641" s="208"/>
      <c r="L641" s="208"/>
      <c r="M641" s="208"/>
      <c r="N641" s="208"/>
      <c r="O641" s="208"/>
      <c r="P641" s="208"/>
      <c r="Q641" s="208"/>
      <c r="R641" s="208"/>
      <c r="S641" s="208"/>
      <c r="T641" s="208"/>
      <c r="U641" s="208"/>
      <c r="V641" s="208"/>
      <c r="W641" s="208"/>
      <c r="X641" s="208"/>
      <c r="Y641" s="208"/>
      <c r="Z641" s="208"/>
      <c r="AA641" s="208"/>
      <c r="AB641" s="208"/>
      <c r="AC641" s="208"/>
      <c r="AD641" s="208"/>
      <c r="AE641" s="208"/>
      <c r="AF641" s="208"/>
      <c r="AG641" s="208"/>
      <c r="AH641" s="208"/>
      <c r="AI641" s="208"/>
      <c r="AJ641" s="208"/>
      <c r="AK641" s="208"/>
      <c r="AL641" s="208"/>
      <c r="AM641" s="208"/>
      <c r="AN641" s="208"/>
      <c r="AO641" s="208"/>
      <c r="AP641" s="208"/>
      <c r="AQ641" s="208"/>
      <c r="AR641" s="208"/>
      <c r="AS641" s="208"/>
      <c r="AT641" s="208"/>
      <c r="AU641" s="208"/>
      <c r="AV641" s="208"/>
      <c r="AW641" s="208"/>
      <c r="AX641" s="208"/>
      <c r="AY641" s="208"/>
      <c r="AZ641" s="208"/>
      <c r="BA641" s="208"/>
    </row>
    <row r="642" ht="15.75" hidden="1" customHeight="1">
      <c r="A642" s="208"/>
      <c r="B642" s="208"/>
      <c r="C642" s="208"/>
      <c r="D642" s="208"/>
      <c r="E642" s="208"/>
      <c r="F642" s="208"/>
      <c r="G642" s="208"/>
      <c r="H642" s="208"/>
      <c r="I642" s="208"/>
      <c r="J642" s="208"/>
      <c r="K642" s="208"/>
      <c r="L642" s="208"/>
      <c r="M642" s="208"/>
      <c r="N642" s="208"/>
      <c r="O642" s="208"/>
      <c r="P642" s="208"/>
      <c r="Q642" s="208"/>
      <c r="R642" s="208"/>
      <c r="S642" s="208"/>
      <c r="T642" s="208"/>
      <c r="U642" s="208"/>
      <c r="V642" s="208"/>
      <c r="W642" s="208"/>
      <c r="X642" s="208"/>
      <c r="Y642" s="208"/>
      <c r="Z642" s="208"/>
      <c r="AA642" s="208"/>
      <c r="AB642" s="208"/>
      <c r="AC642" s="208"/>
      <c r="AD642" s="208"/>
      <c r="AE642" s="208"/>
      <c r="AF642" s="208"/>
      <c r="AG642" s="208"/>
      <c r="AH642" s="208"/>
      <c r="AI642" s="208"/>
      <c r="AJ642" s="208"/>
      <c r="AK642" s="208"/>
      <c r="AL642" s="208"/>
      <c r="AM642" s="208"/>
      <c r="AN642" s="208"/>
      <c r="AO642" s="208"/>
      <c r="AP642" s="208"/>
      <c r="AQ642" s="208"/>
      <c r="AR642" s="208"/>
      <c r="AS642" s="208"/>
      <c r="AT642" s="208"/>
      <c r="AU642" s="208"/>
      <c r="AV642" s="208"/>
      <c r="AW642" s="208"/>
      <c r="AX642" s="208"/>
      <c r="AY642" s="208"/>
      <c r="AZ642" s="208"/>
      <c r="BA642" s="208"/>
    </row>
    <row r="643" ht="15.75" hidden="1" customHeight="1">
      <c r="A643" s="208"/>
      <c r="B643" s="208"/>
      <c r="C643" s="208"/>
      <c r="D643" s="208"/>
      <c r="E643" s="208"/>
      <c r="F643" s="208"/>
      <c r="G643" s="208"/>
      <c r="H643" s="208"/>
      <c r="I643" s="208"/>
      <c r="J643" s="208"/>
      <c r="K643" s="208"/>
      <c r="L643" s="208"/>
      <c r="M643" s="208"/>
      <c r="N643" s="208"/>
      <c r="O643" s="208"/>
      <c r="P643" s="208"/>
      <c r="Q643" s="208"/>
      <c r="R643" s="208"/>
      <c r="S643" s="208"/>
      <c r="T643" s="208"/>
      <c r="U643" s="208"/>
      <c r="V643" s="208"/>
      <c r="W643" s="208"/>
      <c r="X643" s="208"/>
      <c r="Y643" s="208"/>
      <c r="Z643" s="208"/>
      <c r="AA643" s="208"/>
      <c r="AB643" s="208"/>
      <c r="AC643" s="208"/>
      <c r="AD643" s="208"/>
      <c r="AE643" s="208"/>
      <c r="AF643" s="208"/>
      <c r="AG643" s="208"/>
      <c r="AH643" s="208"/>
      <c r="AI643" s="208"/>
      <c r="AJ643" s="208"/>
      <c r="AK643" s="208"/>
      <c r="AL643" s="208"/>
      <c r="AM643" s="208"/>
      <c r="AN643" s="208"/>
      <c r="AO643" s="208"/>
      <c r="AP643" s="208"/>
      <c r="AQ643" s="208"/>
      <c r="AR643" s="208"/>
      <c r="AS643" s="208"/>
      <c r="AT643" s="208"/>
      <c r="AU643" s="208"/>
      <c r="AV643" s="208"/>
      <c r="AW643" s="208"/>
      <c r="AX643" s="208"/>
      <c r="AY643" s="208"/>
      <c r="AZ643" s="208"/>
      <c r="BA643" s="208"/>
    </row>
    <row r="644" ht="15.75" hidden="1" customHeight="1">
      <c r="A644" s="208"/>
      <c r="B644" s="208"/>
      <c r="C644" s="208"/>
      <c r="D644" s="208"/>
      <c r="E644" s="208"/>
      <c r="F644" s="208"/>
      <c r="G644" s="208"/>
      <c r="H644" s="208"/>
      <c r="I644" s="208"/>
      <c r="J644" s="208"/>
      <c r="K644" s="208"/>
      <c r="L644" s="208"/>
      <c r="M644" s="208"/>
      <c r="N644" s="208"/>
      <c r="O644" s="208"/>
      <c r="P644" s="208"/>
      <c r="Q644" s="208"/>
      <c r="R644" s="208"/>
      <c r="S644" s="208"/>
      <c r="T644" s="208"/>
      <c r="U644" s="208"/>
      <c r="V644" s="208"/>
      <c r="W644" s="208"/>
      <c r="X644" s="208"/>
      <c r="Y644" s="208"/>
      <c r="Z644" s="208"/>
      <c r="AA644" s="208"/>
      <c r="AB644" s="208"/>
      <c r="AC644" s="208"/>
      <c r="AD644" s="208"/>
      <c r="AE644" s="208"/>
      <c r="AF644" s="208"/>
      <c r="AG644" s="208"/>
      <c r="AH644" s="208"/>
      <c r="AI644" s="208"/>
      <c r="AJ644" s="208"/>
      <c r="AK644" s="208"/>
      <c r="AL644" s="208"/>
      <c r="AM644" s="208"/>
      <c r="AN644" s="208"/>
      <c r="AO644" s="208"/>
      <c r="AP644" s="208"/>
      <c r="AQ644" s="208"/>
      <c r="AR644" s="208"/>
      <c r="AS644" s="208"/>
      <c r="AT644" s="208"/>
      <c r="AU644" s="208"/>
      <c r="AV644" s="208"/>
      <c r="AW644" s="208"/>
      <c r="AX644" s="208"/>
      <c r="AY644" s="208"/>
      <c r="AZ644" s="208"/>
      <c r="BA644" s="208"/>
    </row>
    <row r="645" ht="15.75" hidden="1" customHeight="1">
      <c r="A645" s="208"/>
      <c r="B645" s="208"/>
      <c r="C645" s="208"/>
      <c r="D645" s="208"/>
      <c r="E645" s="208"/>
      <c r="F645" s="208"/>
      <c r="G645" s="208"/>
      <c r="H645" s="208"/>
      <c r="I645" s="208"/>
      <c r="J645" s="208"/>
      <c r="K645" s="208"/>
      <c r="L645" s="208"/>
      <c r="M645" s="208"/>
      <c r="N645" s="208"/>
      <c r="O645" s="208"/>
      <c r="P645" s="208"/>
      <c r="Q645" s="208"/>
      <c r="R645" s="208"/>
      <c r="S645" s="208"/>
      <c r="T645" s="208"/>
      <c r="U645" s="208"/>
      <c r="V645" s="208"/>
      <c r="W645" s="208"/>
      <c r="X645" s="208"/>
      <c r="Y645" s="208"/>
      <c r="Z645" s="208"/>
      <c r="AA645" s="208"/>
      <c r="AB645" s="208"/>
      <c r="AC645" s="208"/>
      <c r="AD645" s="208"/>
      <c r="AE645" s="208"/>
      <c r="AF645" s="208"/>
      <c r="AG645" s="208"/>
      <c r="AH645" s="208"/>
      <c r="AI645" s="208"/>
      <c r="AJ645" s="208"/>
      <c r="AK645" s="208"/>
      <c r="AL645" s="208"/>
      <c r="AM645" s="208"/>
      <c r="AN645" s="208"/>
      <c r="AO645" s="208"/>
      <c r="AP645" s="208"/>
      <c r="AQ645" s="208"/>
      <c r="AR645" s="208"/>
      <c r="AS645" s="208"/>
      <c r="AT645" s="208"/>
      <c r="AU645" s="208"/>
      <c r="AV645" s="208"/>
      <c r="AW645" s="208"/>
      <c r="AX645" s="208"/>
      <c r="AY645" s="208"/>
      <c r="AZ645" s="208"/>
      <c r="BA645" s="208"/>
    </row>
    <row r="646" ht="15.75" hidden="1" customHeight="1">
      <c r="A646" s="208"/>
      <c r="B646" s="208"/>
      <c r="C646" s="208"/>
      <c r="D646" s="208"/>
      <c r="E646" s="208"/>
      <c r="F646" s="208"/>
      <c r="G646" s="208"/>
      <c r="H646" s="208"/>
      <c r="I646" s="208"/>
      <c r="J646" s="208"/>
      <c r="K646" s="208"/>
      <c r="L646" s="208"/>
      <c r="M646" s="208"/>
      <c r="N646" s="208"/>
      <c r="O646" s="208"/>
      <c r="P646" s="208"/>
      <c r="Q646" s="208"/>
      <c r="R646" s="208"/>
      <c r="S646" s="208"/>
      <c r="T646" s="208"/>
      <c r="U646" s="208"/>
      <c r="V646" s="208"/>
      <c r="W646" s="208"/>
      <c r="X646" s="208"/>
      <c r="Y646" s="208"/>
      <c r="Z646" s="208"/>
      <c r="AA646" s="208"/>
      <c r="AB646" s="208"/>
      <c r="AC646" s="208"/>
      <c r="AD646" s="208"/>
      <c r="AE646" s="208"/>
      <c r="AF646" s="208"/>
      <c r="AG646" s="208"/>
      <c r="AH646" s="208"/>
      <c r="AI646" s="208"/>
      <c r="AJ646" s="208"/>
      <c r="AK646" s="208"/>
      <c r="AL646" s="208"/>
      <c r="AM646" s="208"/>
      <c r="AN646" s="208"/>
      <c r="AO646" s="208"/>
      <c r="AP646" s="208"/>
      <c r="AQ646" s="208"/>
      <c r="AR646" s="208"/>
      <c r="AS646" s="208"/>
      <c r="AT646" s="208"/>
      <c r="AU646" s="208"/>
      <c r="AV646" s="208"/>
      <c r="AW646" s="208"/>
      <c r="AX646" s="208"/>
      <c r="AY646" s="208"/>
      <c r="AZ646" s="208"/>
      <c r="BA646" s="208"/>
    </row>
    <row r="647" ht="15.75" hidden="1" customHeight="1">
      <c r="A647" s="208"/>
      <c r="B647" s="208"/>
      <c r="C647" s="208"/>
      <c r="D647" s="208"/>
      <c r="E647" s="208"/>
      <c r="F647" s="208"/>
      <c r="G647" s="208"/>
      <c r="H647" s="208"/>
      <c r="I647" s="208"/>
      <c r="J647" s="208"/>
      <c r="K647" s="208"/>
      <c r="L647" s="208"/>
      <c r="M647" s="208"/>
      <c r="N647" s="208"/>
      <c r="O647" s="208"/>
      <c r="P647" s="208"/>
      <c r="Q647" s="208"/>
      <c r="R647" s="208"/>
      <c r="S647" s="208"/>
      <c r="T647" s="208"/>
      <c r="U647" s="208"/>
      <c r="V647" s="208"/>
      <c r="W647" s="208"/>
      <c r="X647" s="208"/>
      <c r="Y647" s="208"/>
      <c r="Z647" s="208"/>
      <c r="AA647" s="208"/>
      <c r="AB647" s="208"/>
      <c r="AC647" s="208"/>
      <c r="AD647" s="208"/>
      <c r="AE647" s="208"/>
      <c r="AF647" s="208"/>
      <c r="AG647" s="208"/>
      <c r="AH647" s="208"/>
      <c r="AI647" s="208"/>
      <c r="AJ647" s="208"/>
      <c r="AK647" s="208"/>
      <c r="AL647" s="208"/>
      <c r="AM647" s="208"/>
      <c r="AN647" s="208"/>
      <c r="AO647" s="208"/>
      <c r="AP647" s="208"/>
      <c r="AQ647" s="208"/>
      <c r="AR647" s="208"/>
      <c r="AS647" s="208"/>
      <c r="AT647" s="208"/>
      <c r="AU647" s="208"/>
      <c r="AV647" s="208"/>
      <c r="AW647" s="208"/>
      <c r="AX647" s="208"/>
      <c r="AY647" s="208"/>
      <c r="AZ647" s="208"/>
      <c r="BA647" s="208"/>
    </row>
    <row r="648" ht="15.75" hidden="1" customHeight="1">
      <c r="A648" s="208"/>
      <c r="B648" s="208"/>
      <c r="C648" s="208"/>
      <c r="D648" s="208"/>
      <c r="E648" s="208"/>
      <c r="F648" s="208"/>
      <c r="G648" s="208"/>
      <c r="H648" s="208"/>
      <c r="I648" s="208"/>
      <c r="J648" s="208"/>
      <c r="K648" s="208"/>
      <c r="L648" s="208"/>
      <c r="M648" s="208"/>
      <c r="N648" s="208"/>
      <c r="O648" s="208"/>
      <c r="P648" s="208"/>
      <c r="Q648" s="208"/>
      <c r="R648" s="208"/>
      <c r="S648" s="208"/>
      <c r="T648" s="208"/>
      <c r="U648" s="208"/>
      <c r="V648" s="208"/>
      <c r="W648" s="208"/>
      <c r="X648" s="208"/>
      <c r="Y648" s="208"/>
      <c r="Z648" s="208"/>
      <c r="AA648" s="208"/>
      <c r="AB648" s="208"/>
      <c r="AC648" s="208"/>
      <c r="AD648" s="208"/>
      <c r="AE648" s="208"/>
      <c r="AF648" s="208"/>
      <c r="AG648" s="208"/>
      <c r="AH648" s="208"/>
      <c r="AI648" s="208"/>
      <c r="AJ648" s="208"/>
      <c r="AK648" s="208"/>
      <c r="AL648" s="208"/>
      <c r="AM648" s="208"/>
      <c r="AN648" s="208"/>
      <c r="AO648" s="208"/>
      <c r="AP648" s="208"/>
      <c r="AQ648" s="208"/>
      <c r="AR648" s="208"/>
      <c r="AS648" s="208"/>
      <c r="AT648" s="208"/>
      <c r="AU648" s="208"/>
      <c r="AV648" s="208"/>
      <c r="AW648" s="208"/>
      <c r="AX648" s="208"/>
      <c r="AY648" s="208"/>
      <c r="AZ648" s="208"/>
      <c r="BA648" s="208"/>
    </row>
    <row r="649" ht="15.75" hidden="1" customHeight="1">
      <c r="A649" s="208"/>
      <c r="B649" s="208"/>
      <c r="C649" s="208"/>
      <c r="D649" s="208"/>
      <c r="E649" s="208"/>
      <c r="F649" s="208"/>
      <c r="G649" s="208"/>
      <c r="H649" s="208"/>
      <c r="I649" s="208"/>
      <c r="J649" s="208"/>
      <c r="K649" s="208"/>
      <c r="L649" s="208"/>
      <c r="M649" s="208"/>
      <c r="N649" s="208"/>
      <c r="O649" s="208"/>
      <c r="P649" s="208"/>
      <c r="Q649" s="208"/>
      <c r="R649" s="208"/>
      <c r="S649" s="208"/>
      <c r="T649" s="208"/>
      <c r="U649" s="208"/>
      <c r="V649" s="208"/>
      <c r="W649" s="208"/>
      <c r="X649" s="208"/>
      <c r="Y649" s="208"/>
      <c r="Z649" s="208"/>
      <c r="AA649" s="208"/>
      <c r="AB649" s="208"/>
      <c r="AC649" s="208"/>
      <c r="AD649" s="208"/>
      <c r="AE649" s="208"/>
      <c r="AF649" s="208"/>
      <c r="AG649" s="208"/>
      <c r="AH649" s="208"/>
      <c r="AI649" s="208"/>
      <c r="AJ649" s="208"/>
      <c r="AK649" s="208"/>
      <c r="AL649" s="208"/>
      <c r="AM649" s="208"/>
      <c r="AN649" s="208"/>
      <c r="AO649" s="208"/>
      <c r="AP649" s="208"/>
      <c r="AQ649" s="208"/>
      <c r="AR649" s="208"/>
      <c r="AS649" s="208"/>
      <c r="AT649" s="208"/>
      <c r="AU649" s="208"/>
      <c r="AV649" s="208"/>
      <c r="AW649" s="208"/>
      <c r="AX649" s="208"/>
      <c r="AY649" s="208"/>
      <c r="AZ649" s="208"/>
      <c r="BA649" s="208"/>
    </row>
    <row r="650" ht="15.75" hidden="1" customHeight="1">
      <c r="A650" s="208"/>
      <c r="B650" s="208"/>
      <c r="C650" s="208"/>
      <c r="D650" s="208"/>
      <c r="E650" s="208"/>
      <c r="F650" s="208"/>
      <c r="G650" s="208"/>
      <c r="H650" s="208"/>
      <c r="I650" s="208"/>
      <c r="J650" s="208"/>
      <c r="K650" s="208"/>
      <c r="L650" s="208"/>
      <c r="M650" s="208"/>
      <c r="N650" s="208"/>
      <c r="O650" s="208"/>
      <c r="P650" s="208"/>
      <c r="Q650" s="208"/>
      <c r="R650" s="208"/>
      <c r="S650" s="208"/>
      <c r="T650" s="208"/>
      <c r="U650" s="208"/>
      <c r="V650" s="208"/>
      <c r="W650" s="208"/>
      <c r="X650" s="208"/>
      <c r="Y650" s="208"/>
      <c r="Z650" s="208"/>
      <c r="AA650" s="208"/>
      <c r="AB650" s="208"/>
      <c r="AC650" s="208"/>
      <c r="AD650" s="208"/>
      <c r="AE650" s="208"/>
      <c r="AF650" s="208"/>
      <c r="AG650" s="208"/>
      <c r="AH650" s="208"/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08"/>
      <c r="AT650" s="208"/>
      <c r="AU650" s="208"/>
      <c r="AV650" s="208"/>
      <c r="AW650" s="208"/>
      <c r="AX650" s="208"/>
      <c r="AY650" s="208"/>
      <c r="AZ650" s="208"/>
      <c r="BA650" s="208"/>
    </row>
    <row r="651" ht="15.75" hidden="1" customHeight="1">
      <c r="A651" s="208"/>
      <c r="B651" s="208"/>
      <c r="C651" s="208"/>
      <c r="D651" s="208"/>
      <c r="E651" s="208"/>
      <c r="F651" s="208"/>
      <c r="G651" s="208"/>
      <c r="H651" s="208"/>
      <c r="I651" s="208"/>
      <c r="J651" s="208"/>
      <c r="K651" s="208"/>
      <c r="L651" s="208"/>
      <c r="M651" s="208"/>
      <c r="N651" s="208"/>
      <c r="O651" s="208"/>
      <c r="P651" s="208"/>
      <c r="Q651" s="208"/>
      <c r="R651" s="208"/>
      <c r="S651" s="208"/>
      <c r="T651" s="208"/>
      <c r="U651" s="208"/>
      <c r="V651" s="208"/>
      <c r="W651" s="208"/>
      <c r="X651" s="208"/>
      <c r="Y651" s="208"/>
      <c r="Z651" s="208"/>
      <c r="AA651" s="208"/>
      <c r="AB651" s="208"/>
      <c r="AC651" s="208"/>
      <c r="AD651" s="208"/>
      <c r="AE651" s="208"/>
      <c r="AF651" s="208"/>
      <c r="AG651" s="208"/>
      <c r="AH651" s="208"/>
      <c r="AI651" s="208"/>
      <c r="AJ651" s="208"/>
      <c r="AK651" s="208"/>
      <c r="AL651" s="208"/>
      <c r="AM651" s="208"/>
      <c r="AN651" s="208"/>
      <c r="AO651" s="208"/>
      <c r="AP651" s="208"/>
      <c r="AQ651" s="208"/>
      <c r="AR651" s="208"/>
      <c r="AS651" s="208"/>
      <c r="AT651" s="208"/>
      <c r="AU651" s="208"/>
      <c r="AV651" s="208"/>
      <c r="AW651" s="208"/>
      <c r="AX651" s="208"/>
      <c r="AY651" s="208"/>
      <c r="AZ651" s="208"/>
      <c r="BA651" s="208"/>
    </row>
    <row r="652" ht="15.75" hidden="1" customHeight="1">
      <c r="A652" s="208"/>
      <c r="B652" s="208"/>
      <c r="C652" s="208"/>
      <c r="D652" s="208"/>
      <c r="E652" s="208"/>
      <c r="F652" s="208"/>
      <c r="G652" s="208"/>
      <c r="H652" s="208"/>
      <c r="I652" s="208"/>
      <c r="J652" s="208"/>
      <c r="K652" s="208"/>
      <c r="L652" s="208"/>
      <c r="M652" s="208"/>
      <c r="N652" s="208"/>
      <c r="O652" s="208"/>
      <c r="P652" s="208"/>
      <c r="Q652" s="208"/>
      <c r="R652" s="208"/>
      <c r="S652" s="208"/>
      <c r="T652" s="208"/>
      <c r="U652" s="208"/>
      <c r="V652" s="208"/>
      <c r="W652" s="208"/>
      <c r="X652" s="208"/>
      <c r="Y652" s="208"/>
      <c r="Z652" s="208"/>
      <c r="AA652" s="208"/>
      <c r="AB652" s="208"/>
      <c r="AC652" s="208"/>
      <c r="AD652" s="208"/>
      <c r="AE652" s="208"/>
      <c r="AF652" s="208"/>
      <c r="AG652" s="208"/>
      <c r="AH652" s="208"/>
      <c r="AI652" s="208"/>
      <c r="AJ652" s="208"/>
      <c r="AK652" s="208"/>
      <c r="AL652" s="208"/>
      <c r="AM652" s="208"/>
      <c r="AN652" s="208"/>
      <c r="AO652" s="208"/>
      <c r="AP652" s="208"/>
      <c r="AQ652" s="208"/>
      <c r="AR652" s="208"/>
      <c r="AS652" s="208"/>
      <c r="AT652" s="208"/>
      <c r="AU652" s="208"/>
      <c r="AV652" s="208"/>
      <c r="AW652" s="208"/>
      <c r="AX652" s="208"/>
      <c r="AY652" s="208"/>
      <c r="AZ652" s="208"/>
      <c r="BA652" s="208"/>
    </row>
    <row r="653" ht="15.75" hidden="1" customHeight="1">
      <c r="A653" s="208"/>
      <c r="B653" s="208"/>
      <c r="C653" s="208"/>
      <c r="D653" s="208"/>
      <c r="E653" s="208"/>
      <c r="F653" s="208"/>
      <c r="G653" s="208"/>
      <c r="H653" s="208"/>
      <c r="I653" s="208"/>
      <c r="J653" s="208"/>
      <c r="K653" s="208"/>
      <c r="L653" s="208"/>
      <c r="M653" s="208"/>
      <c r="N653" s="208"/>
      <c r="O653" s="208"/>
      <c r="P653" s="208"/>
      <c r="Q653" s="208"/>
      <c r="R653" s="208"/>
      <c r="S653" s="208"/>
      <c r="T653" s="208"/>
      <c r="U653" s="208"/>
      <c r="V653" s="208"/>
      <c r="W653" s="208"/>
      <c r="X653" s="208"/>
      <c r="Y653" s="208"/>
      <c r="Z653" s="208"/>
      <c r="AA653" s="208"/>
      <c r="AB653" s="208"/>
      <c r="AC653" s="208"/>
      <c r="AD653" s="208"/>
      <c r="AE653" s="208"/>
      <c r="AF653" s="208"/>
      <c r="AG653" s="208"/>
      <c r="AH653" s="208"/>
      <c r="AI653" s="208"/>
      <c r="AJ653" s="208"/>
      <c r="AK653" s="208"/>
      <c r="AL653" s="208"/>
      <c r="AM653" s="208"/>
      <c r="AN653" s="208"/>
      <c r="AO653" s="208"/>
      <c r="AP653" s="208"/>
      <c r="AQ653" s="208"/>
      <c r="AR653" s="208"/>
      <c r="AS653" s="208"/>
      <c r="AT653" s="208"/>
      <c r="AU653" s="208"/>
      <c r="AV653" s="208"/>
      <c r="AW653" s="208"/>
      <c r="AX653" s="208"/>
      <c r="AY653" s="208"/>
      <c r="AZ653" s="208"/>
      <c r="BA653" s="208"/>
    </row>
    <row r="654" ht="15.75" hidden="1" customHeight="1">
      <c r="A654" s="208"/>
      <c r="B654" s="208"/>
      <c r="C654" s="208"/>
      <c r="D654" s="208"/>
      <c r="E654" s="208"/>
      <c r="F654" s="208"/>
      <c r="G654" s="208"/>
      <c r="H654" s="208"/>
      <c r="I654" s="208"/>
      <c r="J654" s="208"/>
      <c r="K654" s="208"/>
      <c r="L654" s="208"/>
      <c r="M654" s="208"/>
      <c r="N654" s="208"/>
      <c r="O654" s="208"/>
      <c r="P654" s="208"/>
      <c r="Q654" s="208"/>
      <c r="R654" s="208"/>
      <c r="S654" s="208"/>
      <c r="T654" s="208"/>
      <c r="U654" s="208"/>
      <c r="V654" s="208"/>
      <c r="W654" s="208"/>
      <c r="X654" s="208"/>
      <c r="Y654" s="208"/>
      <c r="Z654" s="208"/>
      <c r="AA654" s="208"/>
      <c r="AB654" s="208"/>
      <c r="AC654" s="208"/>
      <c r="AD654" s="208"/>
      <c r="AE654" s="208"/>
      <c r="AF654" s="208"/>
      <c r="AG654" s="208"/>
      <c r="AH654" s="208"/>
      <c r="AI654" s="208"/>
      <c r="AJ654" s="208"/>
      <c r="AK654" s="208"/>
      <c r="AL654" s="208"/>
      <c r="AM654" s="208"/>
      <c r="AN654" s="208"/>
      <c r="AO654" s="208"/>
      <c r="AP654" s="208"/>
      <c r="AQ654" s="208"/>
      <c r="AR654" s="208"/>
      <c r="AS654" s="208"/>
      <c r="AT654" s="208"/>
      <c r="AU654" s="208"/>
      <c r="AV654" s="208"/>
      <c r="AW654" s="208"/>
      <c r="AX654" s="208"/>
      <c r="AY654" s="208"/>
      <c r="AZ654" s="208"/>
      <c r="BA654" s="208"/>
    </row>
    <row r="655" ht="15.75" hidden="1" customHeight="1">
      <c r="A655" s="208"/>
      <c r="B655" s="208"/>
      <c r="C655" s="208"/>
      <c r="D655" s="208"/>
      <c r="E655" s="208"/>
      <c r="F655" s="208"/>
      <c r="G655" s="208"/>
      <c r="H655" s="208"/>
      <c r="I655" s="208"/>
      <c r="J655" s="208"/>
      <c r="K655" s="208"/>
      <c r="L655" s="208"/>
      <c r="M655" s="208"/>
      <c r="N655" s="208"/>
      <c r="O655" s="208"/>
      <c r="P655" s="208"/>
      <c r="Q655" s="208"/>
      <c r="R655" s="208"/>
      <c r="S655" s="208"/>
      <c r="T655" s="208"/>
      <c r="U655" s="208"/>
      <c r="V655" s="208"/>
      <c r="W655" s="208"/>
      <c r="X655" s="208"/>
      <c r="Y655" s="208"/>
      <c r="Z655" s="208"/>
      <c r="AA655" s="208"/>
      <c r="AB655" s="208"/>
      <c r="AC655" s="208"/>
      <c r="AD655" s="208"/>
      <c r="AE655" s="208"/>
      <c r="AF655" s="208"/>
      <c r="AG655" s="208"/>
      <c r="AH655" s="208"/>
      <c r="AI655" s="208"/>
      <c r="AJ655" s="208"/>
      <c r="AK655" s="208"/>
      <c r="AL655" s="208"/>
      <c r="AM655" s="208"/>
      <c r="AN655" s="208"/>
      <c r="AO655" s="208"/>
      <c r="AP655" s="208"/>
      <c r="AQ655" s="208"/>
      <c r="AR655" s="208"/>
      <c r="AS655" s="208"/>
      <c r="AT655" s="208"/>
      <c r="AU655" s="208"/>
      <c r="AV655" s="208"/>
      <c r="AW655" s="208"/>
      <c r="AX655" s="208"/>
      <c r="AY655" s="208"/>
      <c r="AZ655" s="208"/>
      <c r="BA655" s="208"/>
    </row>
    <row r="656" ht="15.75" hidden="1" customHeight="1">
      <c r="A656" s="208"/>
      <c r="B656" s="208"/>
      <c r="C656" s="208"/>
      <c r="D656" s="208"/>
      <c r="E656" s="208"/>
      <c r="F656" s="208"/>
      <c r="G656" s="208"/>
      <c r="H656" s="208"/>
      <c r="I656" s="208"/>
      <c r="J656" s="208"/>
      <c r="K656" s="208"/>
      <c r="L656" s="208"/>
      <c r="M656" s="208"/>
      <c r="N656" s="208"/>
      <c r="O656" s="208"/>
      <c r="P656" s="208"/>
      <c r="Q656" s="208"/>
      <c r="R656" s="208"/>
      <c r="S656" s="208"/>
      <c r="T656" s="208"/>
      <c r="U656" s="208"/>
      <c r="V656" s="208"/>
      <c r="W656" s="208"/>
      <c r="X656" s="208"/>
      <c r="Y656" s="208"/>
      <c r="Z656" s="208"/>
      <c r="AA656" s="208"/>
      <c r="AB656" s="208"/>
      <c r="AC656" s="208"/>
      <c r="AD656" s="208"/>
      <c r="AE656" s="208"/>
      <c r="AF656" s="208"/>
      <c r="AG656" s="208"/>
      <c r="AH656" s="208"/>
      <c r="AI656" s="208"/>
      <c r="AJ656" s="208"/>
      <c r="AK656" s="208"/>
      <c r="AL656" s="208"/>
      <c r="AM656" s="208"/>
      <c r="AN656" s="208"/>
      <c r="AO656" s="208"/>
      <c r="AP656" s="208"/>
      <c r="AQ656" s="208"/>
      <c r="AR656" s="208"/>
      <c r="AS656" s="208"/>
      <c r="AT656" s="208"/>
      <c r="AU656" s="208"/>
      <c r="AV656" s="208"/>
      <c r="AW656" s="208"/>
      <c r="AX656" s="208"/>
      <c r="AY656" s="208"/>
      <c r="AZ656" s="208"/>
      <c r="BA656" s="208"/>
    </row>
    <row r="657" ht="15.75" hidden="1" customHeight="1">
      <c r="A657" s="208"/>
      <c r="B657" s="208"/>
      <c r="C657" s="208"/>
      <c r="D657" s="208"/>
      <c r="E657" s="208"/>
      <c r="F657" s="208"/>
      <c r="G657" s="208"/>
      <c r="H657" s="208"/>
      <c r="I657" s="208"/>
      <c r="J657" s="208"/>
      <c r="K657" s="208"/>
      <c r="L657" s="208"/>
      <c r="M657" s="208"/>
      <c r="N657" s="208"/>
      <c r="O657" s="208"/>
      <c r="P657" s="208"/>
      <c r="Q657" s="208"/>
      <c r="R657" s="208"/>
      <c r="S657" s="208"/>
      <c r="T657" s="208"/>
      <c r="U657" s="208"/>
      <c r="V657" s="208"/>
      <c r="W657" s="208"/>
      <c r="X657" s="208"/>
      <c r="Y657" s="208"/>
      <c r="Z657" s="208"/>
      <c r="AA657" s="208"/>
      <c r="AB657" s="208"/>
      <c r="AC657" s="208"/>
      <c r="AD657" s="208"/>
      <c r="AE657" s="208"/>
      <c r="AF657" s="208"/>
      <c r="AG657" s="208"/>
      <c r="AH657" s="208"/>
      <c r="AI657" s="208"/>
      <c r="AJ657" s="208"/>
      <c r="AK657" s="208"/>
      <c r="AL657" s="208"/>
      <c r="AM657" s="208"/>
      <c r="AN657" s="208"/>
      <c r="AO657" s="208"/>
      <c r="AP657" s="208"/>
      <c r="AQ657" s="208"/>
      <c r="AR657" s="208"/>
      <c r="AS657" s="208"/>
      <c r="AT657" s="208"/>
      <c r="AU657" s="208"/>
      <c r="AV657" s="208"/>
      <c r="AW657" s="208"/>
      <c r="AX657" s="208"/>
      <c r="AY657" s="208"/>
      <c r="AZ657" s="208"/>
      <c r="BA657" s="208"/>
    </row>
    <row r="658" ht="15.75" hidden="1" customHeight="1">
      <c r="A658" s="208"/>
      <c r="B658" s="208"/>
      <c r="C658" s="208"/>
      <c r="D658" s="208"/>
      <c r="E658" s="208"/>
      <c r="F658" s="208"/>
      <c r="G658" s="208"/>
      <c r="H658" s="208"/>
      <c r="I658" s="208"/>
      <c r="J658" s="208"/>
      <c r="K658" s="208"/>
      <c r="L658" s="208"/>
      <c r="M658" s="208"/>
      <c r="N658" s="208"/>
      <c r="O658" s="208"/>
      <c r="P658" s="208"/>
      <c r="Q658" s="208"/>
      <c r="R658" s="208"/>
      <c r="S658" s="208"/>
      <c r="T658" s="208"/>
      <c r="U658" s="208"/>
      <c r="V658" s="208"/>
      <c r="W658" s="208"/>
      <c r="X658" s="208"/>
      <c r="Y658" s="208"/>
      <c r="Z658" s="208"/>
      <c r="AA658" s="208"/>
      <c r="AB658" s="208"/>
      <c r="AC658" s="208"/>
      <c r="AD658" s="208"/>
      <c r="AE658" s="208"/>
      <c r="AF658" s="208"/>
      <c r="AG658" s="208"/>
      <c r="AH658" s="208"/>
      <c r="AI658" s="208"/>
      <c r="AJ658" s="208"/>
      <c r="AK658" s="208"/>
      <c r="AL658" s="208"/>
      <c r="AM658" s="208"/>
      <c r="AN658" s="208"/>
      <c r="AO658" s="208"/>
      <c r="AP658" s="208"/>
      <c r="AQ658" s="208"/>
      <c r="AR658" s="208"/>
      <c r="AS658" s="208"/>
      <c r="AT658" s="208"/>
      <c r="AU658" s="208"/>
      <c r="AV658" s="208"/>
      <c r="AW658" s="208"/>
      <c r="AX658" s="208"/>
      <c r="AY658" s="208"/>
      <c r="AZ658" s="208"/>
      <c r="BA658" s="208"/>
    </row>
    <row r="659" ht="15.75" hidden="1" customHeight="1">
      <c r="A659" s="208"/>
      <c r="B659" s="208"/>
      <c r="C659" s="208"/>
      <c r="D659" s="208"/>
      <c r="E659" s="208"/>
      <c r="F659" s="208"/>
      <c r="G659" s="208"/>
      <c r="H659" s="208"/>
      <c r="I659" s="208"/>
      <c r="J659" s="208"/>
      <c r="K659" s="208"/>
      <c r="L659" s="208"/>
      <c r="M659" s="208"/>
      <c r="N659" s="208"/>
      <c r="O659" s="208"/>
      <c r="P659" s="208"/>
      <c r="Q659" s="208"/>
      <c r="R659" s="208"/>
      <c r="S659" s="208"/>
      <c r="T659" s="208"/>
      <c r="U659" s="208"/>
      <c r="V659" s="208"/>
      <c r="W659" s="208"/>
      <c r="X659" s="208"/>
      <c r="Y659" s="208"/>
      <c r="Z659" s="208"/>
      <c r="AA659" s="208"/>
      <c r="AB659" s="208"/>
      <c r="AC659" s="208"/>
      <c r="AD659" s="208"/>
      <c r="AE659" s="208"/>
      <c r="AF659" s="208"/>
      <c r="AG659" s="208"/>
      <c r="AH659" s="208"/>
      <c r="AI659" s="208"/>
      <c r="AJ659" s="208"/>
      <c r="AK659" s="208"/>
      <c r="AL659" s="208"/>
      <c r="AM659" s="208"/>
      <c r="AN659" s="208"/>
      <c r="AO659" s="208"/>
      <c r="AP659" s="208"/>
      <c r="AQ659" s="208"/>
      <c r="AR659" s="208"/>
      <c r="AS659" s="208"/>
      <c r="AT659" s="208"/>
      <c r="AU659" s="208"/>
      <c r="AV659" s="208"/>
      <c r="AW659" s="208"/>
      <c r="AX659" s="208"/>
      <c r="AY659" s="208"/>
      <c r="AZ659" s="208"/>
      <c r="BA659" s="208"/>
    </row>
    <row r="660" ht="15.75" hidden="1" customHeight="1">
      <c r="A660" s="208"/>
      <c r="B660" s="208"/>
      <c r="C660" s="208"/>
      <c r="D660" s="208"/>
      <c r="E660" s="208"/>
      <c r="F660" s="208"/>
      <c r="G660" s="208"/>
      <c r="H660" s="208"/>
      <c r="I660" s="208"/>
      <c r="J660" s="208"/>
      <c r="K660" s="208"/>
      <c r="L660" s="208"/>
      <c r="M660" s="208"/>
      <c r="N660" s="208"/>
      <c r="O660" s="208"/>
      <c r="P660" s="208"/>
      <c r="Q660" s="208"/>
      <c r="R660" s="208"/>
      <c r="S660" s="208"/>
      <c r="T660" s="208"/>
      <c r="U660" s="208"/>
      <c r="V660" s="208"/>
      <c r="W660" s="208"/>
      <c r="X660" s="208"/>
      <c r="Y660" s="208"/>
      <c r="Z660" s="208"/>
      <c r="AA660" s="208"/>
      <c r="AB660" s="208"/>
      <c r="AC660" s="208"/>
      <c r="AD660" s="208"/>
      <c r="AE660" s="208"/>
      <c r="AF660" s="208"/>
      <c r="AG660" s="208"/>
      <c r="AH660" s="208"/>
      <c r="AI660" s="208"/>
      <c r="AJ660" s="208"/>
      <c r="AK660" s="208"/>
      <c r="AL660" s="208"/>
      <c r="AM660" s="208"/>
      <c r="AN660" s="208"/>
      <c r="AO660" s="208"/>
      <c r="AP660" s="208"/>
      <c r="AQ660" s="208"/>
      <c r="AR660" s="208"/>
      <c r="AS660" s="208"/>
      <c r="AT660" s="208"/>
      <c r="AU660" s="208"/>
      <c r="AV660" s="208"/>
      <c r="AW660" s="208"/>
      <c r="AX660" s="208"/>
      <c r="AY660" s="208"/>
      <c r="AZ660" s="208"/>
      <c r="BA660" s="208"/>
    </row>
    <row r="661" ht="15.75" hidden="1" customHeight="1">
      <c r="A661" s="208"/>
      <c r="B661" s="208"/>
      <c r="C661" s="208"/>
      <c r="D661" s="208"/>
      <c r="E661" s="208"/>
      <c r="F661" s="208"/>
      <c r="G661" s="208"/>
      <c r="H661" s="208"/>
      <c r="I661" s="208"/>
      <c r="J661" s="208"/>
      <c r="K661" s="208"/>
      <c r="L661" s="208"/>
      <c r="M661" s="208"/>
      <c r="N661" s="208"/>
      <c r="O661" s="208"/>
      <c r="P661" s="208"/>
      <c r="Q661" s="208"/>
      <c r="R661" s="208"/>
      <c r="S661" s="208"/>
      <c r="T661" s="208"/>
      <c r="U661" s="208"/>
      <c r="V661" s="208"/>
      <c r="W661" s="208"/>
      <c r="X661" s="208"/>
      <c r="Y661" s="208"/>
      <c r="Z661" s="208"/>
      <c r="AA661" s="208"/>
      <c r="AB661" s="208"/>
      <c r="AC661" s="208"/>
      <c r="AD661" s="208"/>
      <c r="AE661" s="208"/>
      <c r="AF661" s="208"/>
      <c r="AG661" s="208"/>
      <c r="AH661" s="208"/>
      <c r="AI661" s="208"/>
      <c r="AJ661" s="208"/>
      <c r="AK661" s="208"/>
      <c r="AL661" s="208"/>
      <c r="AM661" s="208"/>
      <c r="AN661" s="208"/>
      <c r="AO661" s="208"/>
      <c r="AP661" s="208"/>
      <c r="AQ661" s="208"/>
      <c r="AR661" s="208"/>
      <c r="AS661" s="208"/>
      <c r="AT661" s="208"/>
      <c r="AU661" s="208"/>
      <c r="AV661" s="208"/>
      <c r="AW661" s="208"/>
      <c r="AX661" s="208"/>
      <c r="AY661" s="208"/>
      <c r="AZ661" s="208"/>
      <c r="BA661" s="208"/>
    </row>
    <row r="662" ht="15.75" hidden="1" customHeight="1">
      <c r="A662" s="208"/>
      <c r="B662" s="208"/>
      <c r="C662" s="208"/>
      <c r="D662" s="208"/>
      <c r="E662" s="208"/>
      <c r="F662" s="208"/>
      <c r="G662" s="208"/>
      <c r="H662" s="208"/>
      <c r="I662" s="208"/>
      <c r="J662" s="208"/>
      <c r="K662" s="208"/>
      <c r="L662" s="208"/>
      <c r="M662" s="208"/>
      <c r="N662" s="208"/>
      <c r="O662" s="208"/>
      <c r="P662" s="208"/>
      <c r="Q662" s="208"/>
      <c r="R662" s="208"/>
      <c r="S662" s="208"/>
      <c r="T662" s="208"/>
      <c r="U662" s="208"/>
      <c r="V662" s="208"/>
      <c r="W662" s="208"/>
      <c r="X662" s="208"/>
      <c r="Y662" s="208"/>
      <c r="Z662" s="208"/>
      <c r="AA662" s="208"/>
      <c r="AB662" s="208"/>
      <c r="AC662" s="208"/>
      <c r="AD662" s="208"/>
      <c r="AE662" s="208"/>
      <c r="AF662" s="208"/>
      <c r="AG662" s="208"/>
      <c r="AH662" s="208"/>
      <c r="AI662" s="208"/>
      <c r="AJ662" s="208"/>
      <c r="AK662" s="208"/>
      <c r="AL662" s="208"/>
      <c r="AM662" s="208"/>
      <c r="AN662" s="208"/>
      <c r="AO662" s="208"/>
      <c r="AP662" s="208"/>
      <c r="AQ662" s="208"/>
      <c r="AR662" s="208"/>
      <c r="AS662" s="208"/>
      <c r="AT662" s="208"/>
      <c r="AU662" s="208"/>
      <c r="AV662" s="208"/>
      <c r="AW662" s="208"/>
      <c r="AX662" s="208"/>
      <c r="AY662" s="208"/>
      <c r="AZ662" s="208"/>
      <c r="BA662" s="208"/>
    </row>
    <row r="663" ht="15.75" hidden="1" customHeight="1">
      <c r="A663" s="208"/>
      <c r="B663" s="208"/>
      <c r="C663" s="208"/>
      <c r="D663" s="208"/>
      <c r="E663" s="208"/>
      <c r="F663" s="208"/>
      <c r="G663" s="208"/>
      <c r="H663" s="208"/>
      <c r="I663" s="208"/>
      <c r="J663" s="208"/>
      <c r="K663" s="208"/>
      <c r="L663" s="208"/>
      <c r="M663" s="208"/>
      <c r="N663" s="208"/>
      <c r="O663" s="208"/>
      <c r="P663" s="208"/>
      <c r="Q663" s="208"/>
      <c r="R663" s="208"/>
      <c r="S663" s="208"/>
      <c r="T663" s="208"/>
      <c r="U663" s="208"/>
      <c r="V663" s="208"/>
      <c r="W663" s="208"/>
      <c r="X663" s="208"/>
      <c r="Y663" s="208"/>
      <c r="Z663" s="208"/>
      <c r="AA663" s="208"/>
      <c r="AB663" s="208"/>
      <c r="AC663" s="208"/>
      <c r="AD663" s="208"/>
      <c r="AE663" s="208"/>
      <c r="AF663" s="208"/>
      <c r="AG663" s="208"/>
      <c r="AH663" s="208"/>
      <c r="AI663" s="208"/>
      <c r="AJ663" s="208"/>
      <c r="AK663" s="208"/>
      <c r="AL663" s="208"/>
      <c r="AM663" s="208"/>
      <c r="AN663" s="208"/>
      <c r="AO663" s="208"/>
      <c r="AP663" s="208"/>
      <c r="AQ663" s="208"/>
      <c r="AR663" s="208"/>
      <c r="AS663" s="208"/>
      <c r="AT663" s="208"/>
      <c r="AU663" s="208"/>
      <c r="AV663" s="208"/>
      <c r="AW663" s="208"/>
      <c r="AX663" s="208"/>
      <c r="AY663" s="208"/>
      <c r="AZ663" s="208"/>
      <c r="BA663" s="208"/>
    </row>
    <row r="664" ht="15.75" hidden="1" customHeight="1">
      <c r="A664" s="208"/>
      <c r="B664" s="208"/>
      <c r="C664" s="208"/>
      <c r="D664" s="208"/>
      <c r="E664" s="208"/>
      <c r="F664" s="208"/>
      <c r="G664" s="208"/>
      <c r="H664" s="208"/>
      <c r="I664" s="208"/>
      <c r="J664" s="208"/>
      <c r="K664" s="208"/>
      <c r="L664" s="208"/>
      <c r="M664" s="208"/>
      <c r="N664" s="208"/>
      <c r="O664" s="208"/>
      <c r="P664" s="208"/>
      <c r="Q664" s="208"/>
      <c r="R664" s="208"/>
      <c r="S664" s="208"/>
      <c r="T664" s="208"/>
      <c r="U664" s="208"/>
      <c r="V664" s="208"/>
      <c r="W664" s="208"/>
      <c r="X664" s="208"/>
      <c r="Y664" s="208"/>
      <c r="Z664" s="208"/>
      <c r="AA664" s="208"/>
      <c r="AB664" s="208"/>
      <c r="AC664" s="208"/>
      <c r="AD664" s="208"/>
      <c r="AE664" s="208"/>
      <c r="AF664" s="208"/>
      <c r="AG664" s="208"/>
      <c r="AH664" s="208"/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8"/>
      <c r="AT664" s="208"/>
      <c r="AU664" s="208"/>
      <c r="AV664" s="208"/>
      <c r="AW664" s="208"/>
      <c r="AX664" s="208"/>
      <c r="AY664" s="208"/>
      <c r="AZ664" s="208"/>
      <c r="BA664" s="208"/>
    </row>
    <row r="665" ht="15.75" hidden="1" customHeight="1">
      <c r="A665" s="208"/>
      <c r="B665" s="208"/>
      <c r="C665" s="208"/>
      <c r="D665" s="208"/>
      <c r="E665" s="208"/>
      <c r="F665" s="208"/>
      <c r="G665" s="208"/>
      <c r="H665" s="208"/>
      <c r="I665" s="208"/>
      <c r="J665" s="208"/>
      <c r="K665" s="208"/>
      <c r="L665" s="208"/>
      <c r="M665" s="208"/>
      <c r="N665" s="208"/>
      <c r="O665" s="208"/>
      <c r="P665" s="208"/>
      <c r="Q665" s="208"/>
      <c r="R665" s="208"/>
      <c r="S665" s="208"/>
      <c r="T665" s="208"/>
      <c r="U665" s="208"/>
      <c r="V665" s="208"/>
      <c r="W665" s="208"/>
      <c r="X665" s="208"/>
      <c r="Y665" s="208"/>
      <c r="Z665" s="208"/>
      <c r="AA665" s="208"/>
      <c r="AB665" s="208"/>
      <c r="AC665" s="208"/>
      <c r="AD665" s="208"/>
      <c r="AE665" s="208"/>
      <c r="AF665" s="208"/>
      <c r="AG665" s="208"/>
      <c r="AH665" s="208"/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8"/>
      <c r="AT665" s="208"/>
      <c r="AU665" s="208"/>
      <c r="AV665" s="208"/>
      <c r="AW665" s="208"/>
      <c r="AX665" s="208"/>
      <c r="AY665" s="208"/>
      <c r="AZ665" s="208"/>
      <c r="BA665" s="208"/>
    </row>
    <row r="666" ht="15.75" hidden="1" customHeight="1">
      <c r="A666" s="208"/>
      <c r="B666" s="208"/>
      <c r="C666" s="208"/>
      <c r="D666" s="208"/>
      <c r="E666" s="208"/>
      <c r="F666" s="208"/>
      <c r="G666" s="208"/>
      <c r="H666" s="208"/>
      <c r="I666" s="208"/>
      <c r="J666" s="208"/>
      <c r="K666" s="208"/>
      <c r="L666" s="208"/>
      <c r="M666" s="208"/>
      <c r="N666" s="208"/>
      <c r="O666" s="208"/>
      <c r="P666" s="208"/>
      <c r="Q666" s="208"/>
      <c r="R666" s="208"/>
      <c r="S666" s="208"/>
      <c r="T666" s="208"/>
      <c r="U666" s="208"/>
      <c r="V666" s="208"/>
      <c r="W666" s="208"/>
      <c r="X666" s="208"/>
      <c r="Y666" s="208"/>
      <c r="Z666" s="208"/>
      <c r="AA666" s="208"/>
      <c r="AB666" s="208"/>
      <c r="AC666" s="208"/>
      <c r="AD666" s="208"/>
      <c r="AE666" s="208"/>
      <c r="AF666" s="208"/>
      <c r="AG666" s="208"/>
      <c r="AH666" s="208"/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8"/>
      <c r="AT666" s="208"/>
      <c r="AU666" s="208"/>
      <c r="AV666" s="208"/>
      <c r="AW666" s="208"/>
      <c r="AX666" s="208"/>
      <c r="AY666" s="208"/>
      <c r="AZ666" s="208"/>
      <c r="BA666" s="208"/>
    </row>
    <row r="667" ht="15.75" hidden="1" customHeight="1">
      <c r="A667" s="208"/>
      <c r="B667" s="208"/>
      <c r="C667" s="208"/>
      <c r="D667" s="208"/>
      <c r="E667" s="208"/>
      <c r="F667" s="208"/>
      <c r="G667" s="208"/>
      <c r="H667" s="208"/>
      <c r="I667" s="208"/>
      <c r="J667" s="208"/>
      <c r="K667" s="208"/>
      <c r="L667" s="208"/>
      <c r="M667" s="208"/>
      <c r="N667" s="208"/>
      <c r="O667" s="208"/>
      <c r="P667" s="208"/>
      <c r="Q667" s="208"/>
      <c r="R667" s="208"/>
      <c r="S667" s="208"/>
      <c r="T667" s="208"/>
      <c r="U667" s="208"/>
      <c r="V667" s="208"/>
      <c r="W667" s="208"/>
      <c r="X667" s="208"/>
      <c r="Y667" s="208"/>
      <c r="Z667" s="208"/>
      <c r="AA667" s="208"/>
      <c r="AB667" s="208"/>
      <c r="AC667" s="208"/>
      <c r="AD667" s="208"/>
      <c r="AE667" s="208"/>
      <c r="AF667" s="208"/>
      <c r="AG667" s="208"/>
      <c r="AH667" s="208"/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8"/>
      <c r="AT667" s="208"/>
      <c r="AU667" s="208"/>
      <c r="AV667" s="208"/>
      <c r="AW667" s="208"/>
      <c r="AX667" s="208"/>
      <c r="AY667" s="208"/>
      <c r="AZ667" s="208"/>
      <c r="BA667" s="208"/>
    </row>
    <row r="668" ht="15.75" hidden="1" customHeight="1">
      <c r="A668" s="208"/>
      <c r="B668" s="208"/>
      <c r="C668" s="208"/>
      <c r="D668" s="208"/>
      <c r="E668" s="208"/>
      <c r="F668" s="208"/>
      <c r="G668" s="208"/>
      <c r="H668" s="208"/>
      <c r="I668" s="208"/>
      <c r="J668" s="208"/>
      <c r="K668" s="208"/>
      <c r="L668" s="208"/>
      <c r="M668" s="208"/>
      <c r="N668" s="208"/>
      <c r="O668" s="208"/>
      <c r="P668" s="208"/>
      <c r="Q668" s="208"/>
      <c r="R668" s="208"/>
      <c r="S668" s="208"/>
      <c r="T668" s="208"/>
      <c r="U668" s="208"/>
      <c r="V668" s="208"/>
      <c r="W668" s="208"/>
      <c r="X668" s="208"/>
      <c r="Y668" s="208"/>
      <c r="Z668" s="208"/>
      <c r="AA668" s="208"/>
      <c r="AB668" s="208"/>
      <c r="AC668" s="208"/>
      <c r="AD668" s="208"/>
      <c r="AE668" s="208"/>
      <c r="AF668" s="208"/>
      <c r="AG668" s="208"/>
      <c r="AH668" s="208"/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8"/>
      <c r="AT668" s="208"/>
      <c r="AU668" s="208"/>
      <c r="AV668" s="208"/>
      <c r="AW668" s="208"/>
      <c r="AX668" s="208"/>
      <c r="AY668" s="208"/>
      <c r="AZ668" s="208"/>
      <c r="BA668" s="208"/>
    </row>
    <row r="669" ht="15.75" hidden="1" customHeight="1">
      <c r="A669" s="208"/>
      <c r="B669" s="208"/>
      <c r="C669" s="208"/>
      <c r="D669" s="208"/>
      <c r="E669" s="208"/>
      <c r="F669" s="208"/>
      <c r="G669" s="208"/>
      <c r="H669" s="208"/>
      <c r="I669" s="208"/>
      <c r="J669" s="208"/>
      <c r="K669" s="208"/>
      <c r="L669" s="208"/>
      <c r="M669" s="208"/>
      <c r="N669" s="208"/>
      <c r="O669" s="208"/>
      <c r="P669" s="208"/>
      <c r="Q669" s="208"/>
      <c r="R669" s="208"/>
      <c r="S669" s="208"/>
      <c r="T669" s="208"/>
      <c r="U669" s="208"/>
      <c r="V669" s="208"/>
      <c r="W669" s="208"/>
      <c r="X669" s="208"/>
      <c r="Y669" s="208"/>
      <c r="Z669" s="208"/>
      <c r="AA669" s="208"/>
      <c r="AB669" s="208"/>
      <c r="AC669" s="208"/>
      <c r="AD669" s="208"/>
      <c r="AE669" s="208"/>
      <c r="AF669" s="208"/>
      <c r="AG669" s="208"/>
      <c r="AH669" s="208"/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08"/>
      <c r="AT669" s="208"/>
      <c r="AU669" s="208"/>
      <c r="AV669" s="208"/>
      <c r="AW669" s="208"/>
      <c r="AX669" s="208"/>
      <c r="AY669" s="208"/>
      <c r="AZ669" s="208"/>
      <c r="BA669" s="208"/>
    </row>
    <row r="670" ht="15.75" hidden="1" customHeight="1">
      <c r="A670" s="208"/>
      <c r="B670" s="208"/>
      <c r="C670" s="208"/>
      <c r="D670" s="208"/>
      <c r="E670" s="208"/>
      <c r="F670" s="208"/>
      <c r="G670" s="208"/>
      <c r="H670" s="208"/>
      <c r="I670" s="208"/>
      <c r="J670" s="208"/>
      <c r="K670" s="208"/>
      <c r="L670" s="208"/>
      <c r="M670" s="208"/>
      <c r="N670" s="208"/>
      <c r="O670" s="208"/>
      <c r="P670" s="208"/>
      <c r="Q670" s="208"/>
      <c r="R670" s="208"/>
      <c r="S670" s="208"/>
      <c r="T670" s="208"/>
      <c r="U670" s="208"/>
      <c r="V670" s="208"/>
      <c r="W670" s="208"/>
      <c r="X670" s="208"/>
      <c r="Y670" s="208"/>
      <c r="Z670" s="208"/>
      <c r="AA670" s="208"/>
      <c r="AB670" s="208"/>
      <c r="AC670" s="208"/>
      <c r="AD670" s="208"/>
      <c r="AE670" s="208"/>
      <c r="AF670" s="208"/>
      <c r="AG670" s="208"/>
      <c r="AH670" s="208"/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08"/>
      <c r="AT670" s="208"/>
      <c r="AU670" s="208"/>
      <c r="AV670" s="208"/>
      <c r="AW670" s="208"/>
      <c r="AX670" s="208"/>
      <c r="AY670" s="208"/>
      <c r="AZ670" s="208"/>
      <c r="BA670" s="208"/>
    </row>
    <row r="671" ht="15.75" hidden="1" customHeight="1">
      <c r="A671" s="208"/>
      <c r="B671" s="208"/>
      <c r="C671" s="208"/>
      <c r="D671" s="208"/>
      <c r="E671" s="208"/>
      <c r="F671" s="208"/>
      <c r="G671" s="208"/>
      <c r="H671" s="208"/>
      <c r="I671" s="208"/>
      <c r="J671" s="208"/>
      <c r="K671" s="208"/>
      <c r="L671" s="208"/>
      <c r="M671" s="208"/>
      <c r="N671" s="208"/>
      <c r="O671" s="208"/>
      <c r="P671" s="208"/>
      <c r="Q671" s="208"/>
      <c r="R671" s="208"/>
      <c r="S671" s="208"/>
      <c r="T671" s="208"/>
      <c r="U671" s="208"/>
      <c r="V671" s="208"/>
      <c r="W671" s="208"/>
      <c r="X671" s="208"/>
      <c r="Y671" s="208"/>
      <c r="Z671" s="208"/>
      <c r="AA671" s="208"/>
      <c r="AB671" s="208"/>
      <c r="AC671" s="208"/>
      <c r="AD671" s="208"/>
      <c r="AE671" s="208"/>
      <c r="AF671" s="208"/>
      <c r="AG671" s="208"/>
      <c r="AH671" s="208"/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/>
    </row>
    <row r="672" ht="15.75" hidden="1" customHeight="1">
      <c r="A672" s="208"/>
      <c r="B672" s="208"/>
      <c r="C672" s="208"/>
      <c r="D672" s="208"/>
      <c r="E672" s="208"/>
      <c r="F672" s="208"/>
      <c r="G672" s="208"/>
      <c r="H672" s="208"/>
      <c r="I672" s="208"/>
      <c r="J672" s="208"/>
      <c r="K672" s="208"/>
      <c r="L672" s="208"/>
      <c r="M672" s="208"/>
      <c r="N672" s="208"/>
      <c r="O672" s="208"/>
      <c r="P672" s="208"/>
      <c r="Q672" s="208"/>
      <c r="R672" s="208"/>
      <c r="S672" s="208"/>
      <c r="T672" s="208"/>
      <c r="U672" s="208"/>
      <c r="V672" s="208"/>
      <c r="W672" s="208"/>
      <c r="X672" s="208"/>
      <c r="Y672" s="208"/>
      <c r="Z672" s="208"/>
      <c r="AA672" s="208"/>
      <c r="AB672" s="208"/>
      <c r="AC672" s="208"/>
      <c r="AD672" s="208"/>
      <c r="AE672" s="208"/>
      <c r="AF672" s="208"/>
      <c r="AG672" s="208"/>
      <c r="AH672" s="208"/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</row>
    <row r="673" ht="15.75" hidden="1" customHeight="1">
      <c r="A673" s="208"/>
      <c r="B673" s="208"/>
      <c r="C673" s="208"/>
      <c r="D673" s="208"/>
      <c r="E673" s="208"/>
      <c r="F673" s="208"/>
      <c r="G673" s="208"/>
      <c r="H673" s="208"/>
      <c r="I673" s="208"/>
      <c r="J673" s="208"/>
      <c r="K673" s="208"/>
      <c r="L673" s="208"/>
      <c r="M673" s="208"/>
      <c r="N673" s="208"/>
      <c r="O673" s="208"/>
      <c r="P673" s="208"/>
      <c r="Q673" s="208"/>
      <c r="R673" s="208"/>
      <c r="S673" s="208"/>
      <c r="T673" s="208"/>
      <c r="U673" s="208"/>
      <c r="V673" s="208"/>
      <c r="W673" s="208"/>
      <c r="X673" s="208"/>
      <c r="Y673" s="208"/>
      <c r="Z673" s="208"/>
      <c r="AA673" s="208"/>
      <c r="AB673" s="208"/>
      <c r="AC673" s="208"/>
      <c r="AD673" s="208"/>
      <c r="AE673" s="208"/>
      <c r="AF673" s="208"/>
      <c r="AG673" s="208"/>
      <c r="AH673" s="208"/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</row>
    <row r="674" ht="15.75" hidden="1" customHeight="1">
      <c r="A674" s="208"/>
      <c r="B674" s="208"/>
      <c r="C674" s="208"/>
      <c r="D674" s="208"/>
      <c r="E674" s="208"/>
      <c r="F674" s="208"/>
      <c r="G674" s="208"/>
      <c r="H674" s="208"/>
      <c r="I674" s="208"/>
      <c r="J674" s="208"/>
      <c r="K674" s="208"/>
      <c r="L674" s="208"/>
      <c r="M674" s="208"/>
      <c r="N674" s="208"/>
      <c r="O674" s="208"/>
      <c r="P674" s="208"/>
      <c r="Q674" s="208"/>
      <c r="R674" s="208"/>
      <c r="S674" s="208"/>
      <c r="T674" s="208"/>
      <c r="U674" s="208"/>
      <c r="V674" s="208"/>
      <c r="W674" s="208"/>
      <c r="X674" s="208"/>
      <c r="Y674" s="208"/>
      <c r="Z674" s="208"/>
      <c r="AA674" s="208"/>
      <c r="AB674" s="208"/>
      <c r="AC674" s="208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</row>
    <row r="675" ht="15.75" hidden="1" customHeight="1">
      <c r="A675" s="208"/>
      <c r="B675" s="208"/>
      <c r="C675" s="208"/>
      <c r="D675" s="208"/>
      <c r="E675" s="208"/>
      <c r="F675" s="208"/>
      <c r="G675" s="208"/>
      <c r="H675" s="208"/>
      <c r="I675" s="208"/>
      <c r="J675" s="208"/>
      <c r="K675" s="208"/>
      <c r="L675" s="208"/>
      <c r="M675" s="208"/>
      <c r="N675" s="208"/>
      <c r="O675" s="208"/>
      <c r="P675" s="208"/>
      <c r="Q675" s="208"/>
      <c r="R675" s="208"/>
      <c r="S675" s="208"/>
      <c r="T675" s="208"/>
      <c r="U675" s="208"/>
      <c r="V675" s="208"/>
      <c r="W675" s="208"/>
      <c r="X675" s="208"/>
      <c r="Y675" s="208"/>
      <c r="Z675" s="208"/>
      <c r="AA675" s="208"/>
      <c r="AB675" s="208"/>
      <c r="AC675" s="208"/>
      <c r="AD675" s="208"/>
      <c r="AE675" s="208"/>
      <c r="AF675" s="208"/>
      <c r="AG675" s="208"/>
      <c r="AH675" s="208"/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</row>
    <row r="676" ht="15.75" hidden="1" customHeight="1">
      <c r="A676" s="208"/>
      <c r="B676" s="208"/>
      <c r="C676" s="208"/>
      <c r="D676" s="208"/>
      <c r="E676" s="208"/>
      <c r="F676" s="208"/>
      <c r="G676" s="208"/>
      <c r="H676" s="208"/>
      <c r="I676" s="208"/>
      <c r="J676" s="208"/>
      <c r="K676" s="208"/>
      <c r="L676" s="208"/>
      <c r="M676" s="208"/>
      <c r="N676" s="208"/>
      <c r="O676" s="208"/>
      <c r="P676" s="208"/>
      <c r="Q676" s="208"/>
      <c r="R676" s="208"/>
      <c r="S676" s="208"/>
      <c r="T676" s="208"/>
      <c r="U676" s="208"/>
      <c r="V676" s="208"/>
      <c r="W676" s="208"/>
      <c r="X676" s="208"/>
      <c r="Y676" s="208"/>
      <c r="Z676" s="208"/>
      <c r="AA676" s="208"/>
      <c r="AB676" s="208"/>
      <c r="AC676" s="208"/>
      <c r="AD676" s="208"/>
      <c r="AE676" s="208"/>
      <c r="AF676" s="208"/>
      <c r="AG676" s="208"/>
      <c r="AH676" s="208"/>
      <c r="AI676" s="208"/>
      <c r="AJ676" s="208"/>
      <c r="AK676" s="208"/>
      <c r="AL676" s="208"/>
      <c r="AM676" s="208"/>
      <c r="AN676" s="208"/>
      <c r="AO676" s="208"/>
      <c r="AP676" s="208"/>
      <c r="AQ676" s="208"/>
      <c r="AR676" s="208"/>
      <c r="AS676" s="208"/>
      <c r="AT676" s="208"/>
      <c r="AU676" s="208"/>
      <c r="AV676" s="208"/>
      <c r="AW676" s="208"/>
      <c r="AX676" s="208"/>
      <c r="AY676" s="208"/>
      <c r="AZ676" s="208"/>
      <c r="BA676" s="208"/>
    </row>
    <row r="677" ht="15.75" hidden="1" customHeight="1">
      <c r="A677" s="208"/>
      <c r="B677" s="208"/>
      <c r="C677" s="208"/>
      <c r="D677" s="208"/>
      <c r="E677" s="208"/>
      <c r="F677" s="208"/>
      <c r="G677" s="208"/>
      <c r="H677" s="208"/>
      <c r="I677" s="208"/>
      <c r="J677" s="208"/>
      <c r="K677" s="208"/>
      <c r="L677" s="208"/>
      <c r="M677" s="208"/>
      <c r="N677" s="208"/>
      <c r="O677" s="208"/>
      <c r="P677" s="208"/>
      <c r="Q677" s="208"/>
      <c r="R677" s="208"/>
      <c r="S677" s="208"/>
      <c r="T677" s="208"/>
      <c r="U677" s="208"/>
      <c r="V677" s="208"/>
      <c r="W677" s="208"/>
      <c r="X677" s="208"/>
      <c r="Y677" s="208"/>
      <c r="Z677" s="208"/>
      <c r="AA677" s="208"/>
      <c r="AB677" s="208"/>
      <c r="AC677" s="208"/>
      <c r="AD677" s="208"/>
      <c r="AE677" s="208"/>
      <c r="AF677" s="208"/>
      <c r="AG677" s="208"/>
      <c r="AH677" s="208"/>
      <c r="AI677" s="208"/>
      <c r="AJ677" s="208"/>
      <c r="AK677" s="208"/>
      <c r="AL677" s="208"/>
      <c r="AM677" s="208"/>
      <c r="AN677" s="208"/>
      <c r="AO677" s="208"/>
      <c r="AP677" s="208"/>
      <c r="AQ677" s="208"/>
      <c r="AR677" s="208"/>
      <c r="AS677" s="208"/>
      <c r="AT677" s="208"/>
      <c r="AU677" s="208"/>
      <c r="AV677" s="208"/>
      <c r="AW677" s="208"/>
      <c r="AX677" s="208"/>
      <c r="AY677" s="208"/>
      <c r="AZ677" s="208"/>
      <c r="BA677" s="208"/>
    </row>
    <row r="678" ht="15.75" hidden="1" customHeight="1">
      <c r="A678" s="208"/>
      <c r="B678" s="208"/>
      <c r="C678" s="208"/>
      <c r="D678" s="208"/>
      <c r="E678" s="208"/>
      <c r="F678" s="208"/>
      <c r="G678" s="208"/>
      <c r="H678" s="208"/>
      <c r="I678" s="208"/>
      <c r="J678" s="208"/>
      <c r="K678" s="208"/>
      <c r="L678" s="208"/>
      <c r="M678" s="208"/>
      <c r="N678" s="208"/>
      <c r="O678" s="208"/>
      <c r="P678" s="208"/>
      <c r="Q678" s="208"/>
      <c r="R678" s="208"/>
      <c r="S678" s="208"/>
      <c r="T678" s="208"/>
      <c r="U678" s="208"/>
      <c r="V678" s="208"/>
      <c r="W678" s="208"/>
      <c r="X678" s="208"/>
      <c r="Y678" s="208"/>
      <c r="Z678" s="208"/>
      <c r="AA678" s="208"/>
      <c r="AB678" s="208"/>
      <c r="AC678" s="208"/>
      <c r="AD678" s="208"/>
      <c r="AE678" s="208"/>
      <c r="AF678" s="208"/>
      <c r="AG678" s="208"/>
      <c r="AH678" s="208"/>
      <c r="AI678" s="208"/>
      <c r="AJ678" s="208"/>
      <c r="AK678" s="208"/>
      <c r="AL678" s="208"/>
      <c r="AM678" s="208"/>
      <c r="AN678" s="208"/>
      <c r="AO678" s="208"/>
      <c r="AP678" s="208"/>
      <c r="AQ678" s="208"/>
      <c r="AR678" s="208"/>
      <c r="AS678" s="208"/>
      <c r="AT678" s="208"/>
      <c r="AU678" s="208"/>
      <c r="AV678" s="208"/>
      <c r="AW678" s="208"/>
      <c r="AX678" s="208"/>
      <c r="AY678" s="208"/>
      <c r="AZ678" s="208"/>
      <c r="BA678" s="208"/>
    </row>
    <row r="679" ht="15.75" hidden="1" customHeight="1">
      <c r="A679" s="208"/>
      <c r="B679" s="208"/>
      <c r="C679" s="208"/>
      <c r="D679" s="208"/>
      <c r="E679" s="208"/>
      <c r="F679" s="208"/>
      <c r="G679" s="208"/>
      <c r="H679" s="208"/>
      <c r="I679" s="208"/>
      <c r="J679" s="208"/>
      <c r="K679" s="208"/>
      <c r="L679" s="208"/>
      <c r="M679" s="208"/>
      <c r="N679" s="208"/>
      <c r="O679" s="208"/>
      <c r="P679" s="208"/>
      <c r="Q679" s="208"/>
      <c r="R679" s="208"/>
      <c r="S679" s="208"/>
      <c r="T679" s="208"/>
      <c r="U679" s="208"/>
      <c r="V679" s="208"/>
      <c r="W679" s="208"/>
      <c r="X679" s="208"/>
      <c r="Y679" s="208"/>
      <c r="Z679" s="208"/>
      <c r="AA679" s="208"/>
      <c r="AB679" s="208"/>
      <c r="AC679" s="208"/>
      <c r="AD679" s="208"/>
      <c r="AE679" s="208"/>
      <c r="AF679" s="208"/>
      <c r="AG679" s="208"/>
      <c r="AH679" s="208"/>
      <c r="AI679" s="208"/>
      <c r="AJ679" s="208"/>
      <c r="AK679" s="208"/>
      <c r="AL679" s="208"/>
      <c r="AM679" s="208"/>
      <c r="AN679" s="208"/>
      <c r="AO679" s="208"/>
      <c r="AP679" s="208"/>
      <c r="AQ679" s="208"/>
      <c r="AR679" s="208"/>
      <c r="AS679" s="208"/>
      <c r="AT679" s="208"/>
      <c r="AU679" s="208"/>
      <c r="AV679" s="208"/>
      <c r="AW679" s="208"/>
      <c r="AX679" s="208"/>
      <c r="AY679" s="208"/>
      <c r="AZ679" s="208"/>
      <c r="BA679" s="208"/>
    </row>
    <row r="680" ht="15.75" hidden="1" customHeight="1">
      <c r="A680" s="208"/>
      <c r="B680" s="208"/>
      <c r="C680" s="208"/>
      <c r="D680" s="208"/>
      <c r="E680" s="208"/>
      <c r="F680" s="208"/>
      <c r="G680" s="208"/>
      <c r="H680" s="208"/>
      <c r="I680" s="208"/>
      <c r="J680" s="208"/>
      <c r="K680" s="208"/>
      <c r="L680" s="208"/>
      <c r="M680" s="208"/>
      <c r="N680" s="208"/>
      <c r="O680" s="208"/>
      <c r="P680" s="208"/>
      <c r="Q680" s="208"/>
      <c r="R680" s="208"/>
      <c r="S680" s="208"/>
      <c r="T680" s="208"/>
      <c r="U680" s="208"/>
      <c r="V680" s="208"/>
      <c r="W680" s="208"/>
      <c r="X680" s="208"/>
      <c r="Y680" s="208"/>
      <c r="Z680" s="208"/>
      <c r="AA680" s="208"/>
      <c r="AB680" s="208"/>
      <c r="AC680" s="208"/>
      <c r="AD680" s="208"/>
      <c r="AE680" s="208"/>
      <c r="AF680" s="208"/>
      <c r="AG680" s="208"/>
      <c r="AH680" s="208"/>
      <c r="AI680" s="208"/>
      <c r="AJ680" s="208"/>
      <c r="AK680" s="208"/>
      <c r="AL680" s="208"/>
      <c r="AM680" s="208"/>
      <c r="AN680" s="208"/>
      <c r="AO680" s="208"/>
      <c r="AP680" s="208"/>
      <c r="AQ680" s="208"/>
      <c r="AR680" s="208"/>
      <c r="AS680" s="208"/>
      <c r="AT680" s="208"/>
      <c r="AU680" s="208"/>
      <c r="AV680" s="208"/>
      <c r="AW680" s="208"/>
      <c r="AX680" s="208"/>
      <c r="AY680" s="208"/>
      <c r="AZ680" s="208"/>
      <c r="BA680" s="208"/>
    </row>
    <row r="681" ht="15.75" hidden="1" customHeight="1">
      <c r="A681" s="208"/>
      <c r="B681" s="208"/>
      <c r="C681" s="208"/>
      <c r="D681" s="208"/>
      <c r="E681" s="208"/>
      <c r="F681" s="208"/>
      <c r="G681" s="208"/>
      <c r="H681" s="208"/>
      <c r="I681" s="208"/>
      <c r="J681" s="208"/>
      <c r="K681" s="208"/>
      <c r="L681" s="208"/>
      <c r="M681" s="208"/>
      <c r="N681" s="208"/>
      <c r="O681" s="208"/>
      <c r="P681" s="208"/>
      <c r="Q681" s="208"/>
      <c r="R681" s="208"/>
      <c r="S681" s="208"/>
      <c r="T681" s="208"/>
      <c r="U681" s="208"/>
      <c r="V681" s="208"/>
      <c r="W681" s="208"/>
      <c r="X681" s="208"/>
      <c r="Y681" s="208"/>
      <c r="Z681" s="208"/>
      <c r="AA681" s="208"/>
      <c r="AB681" s="208"/>
      <c r="AC681" s="208"/>
      <c r="AD681" s="208"/>
      <c r="AE681" s="208"/>
      <c r="AF681" s="208"/>
      <c r="AG681" s="208"/>
      <c r="AH681" s="208"/>
      <c r="AI681" s="208"/>
      <c r="AJ681" s="208"/>
      <c r="AK681" s="208"/>
      <c r="AL681" s="208"/>
      <c r="AM681" s="208"/>
      <c r="AN681" s="208"/>
      <c r="AO681" s="208"/>
      <c r="AP681" s="208"/>
      <c r="AQ681" s="208"/>
      <c r="AR681" s="208"/>
      <c r="AS681" s="208"/>
      <c r="AT681" s="208"/>
      <c r="AU681" s="208"/>
      <c r="AV681" s="208"/>
      <c r="AW681" s="208"/>
      <c r="AX681" s="208"/>
      <c r="AY681" s="208"/>
      <c r="AZ681" s="208"/>
      <c r="BA681" s="208"/>
    </row>
    <row r="682" ht="15.75" hidden="1" customHeight="1">
      <c r="A682" s="208"/>
      <c r="B682" s="208"/>
      <c r="C682" s="208"/>
      <c r="D682" s="208"/>
      <c r="E682" s="208"/>
      <c r="F682" s="208"/>
      <c r="G682" s="208"/>
      <c r="H682" s="208"/>
      <c r="I682" s="208"/>
      <c r="J682" s="208"/>
      <c r="K682" s="208"/>
      <c r="L682" s="208"/>
      <c r="M682" s="208"/>
      <c r="N682" s="208"/>
      <c r="O682" s="208"/>
      <c r="P682" s="208"/>
      <c r="Q682" s="208"/>
      <c r="R682" s="208"/>
      <c r="S682" s="208"/>
      <c r="T682" s="208"/>
      <c r="U682" s="208"/>
      <c r="V682" s="208"/>
      <c r="W682" s="208"/>
      <c r="X682" s="208"/>
      <c r="Y682" s="208"/>
      <c r="Z682" s="208"/>
      <c r="AA682" s="208"/>
      <c r="AB682" s="208"/>
      <c r="AC682" s="208"/>
      <c r="AD682" s="208"/>
      <c r="AE682" s="208"/>
      <c r="AF682" s="208"/>
      <c r="AG682" s="208"/>
      <c r="AH682" s="208"/>
      <c r="AI682" s="208"/>
      <c r="AJ682" s="208"/>
      <c r="AK682" s="208"/>
      <c r="AL682" s="208"/>
      <c r="AM682" s="208"/>
      <c r="AN682" s="208"/>
      <c r="AO682" s="208"/>
      <c r="AP682" s="208"/>
      <c r="AQ682" s="208"/>
      <c r="AR682" s="208"/>
      <c r="AS682" s="208"/>
      <c r="AT682" s="208"/>
      <c r="AU682" s="208"/>
      <c r="AV682" s="208"/>
      <c r="AW682" s="208"/>
      <c r="AX682" s="208"/>
      <c r="AY682" s="208"/>
      <c r="AZ682" s="208"/>
      <c r="BA682" s="208"/>
    </row>
    <row r="683" ht="15.75" hidden="1" customHeight="1">
      <c r="A683" s="208"/>
      <c r="B683" s="208"/>
      <c r="C683" s="208"/>
      <c r="D683" s="208"/>
      <c r="E683" s="208"/>
      <c r="F683" s="208"/>
      <c r="G683" s="208"/>
      <c r="H683" s="208"/>
      <c r="I683" s="208"/>
      <c r="J683" s="208"/>
      <c r="K683" s="208"/>
      <c r="L683" s="208"/>
      <c r="M683" s="208"/>
      <c r="N683" s="208"/>
      <c r="O683" s="208"/>
      <c r="P683" s="208"/>
      <c r="Q683" s="208"/>
      <c r="R683" s="208"/>
      <c r="S683" s="208"/>
      <c r="T683" s="208"/>
      <c r="U683" s="208"/>
      <c r="V683" s="208"/>
      <c r="W683" s="208"/>
      <c r="X683" s="208"/>
      <c r="Y683" s="208"/>
      <c r="Z683" s="208"/>
      <c r="AA683" s="208"/>
      <c r="AB683" s="208"/>
      <c r="AC683" s="208"/>
      <c r="AD683" s="208"/>
      <c r="AE683" s="208"/>
      <c r="AF683" s="208"/>
      <c r="AG683" s="208"/>
      <c r="AH683" s="208"/>
      <c r="AI683" s="208"/>
      <c r="AJ683" s="208"/>
      <c r="AK683" s="208"/>
      <c r="AL683" s="208"/>
      <c r="AM683" s="208"/>
      <c r="AN683" s="208"/>
      <c r="AO683" s="208"/>
      <c r="AP683" s="208"/>
      <c r="AQ683" s="208"/>
      <c r="AR683" s="208"/>
      <c r="AS683" s="208"/>
      <c r="AT683" s="208"/>
      <c r="AU683" s="208"/>
      <c r="AV683" s="208"/>
      <c r="AW683" s="208"/>
      <c r="AX683" s="208"/>
      <c r="AY683" s="208"/>
      <c r="AZ683" s="208"/>
      <c r="BA683" s="208"/>
    </row>
    <row r="684" ht="15.75" hidden="1" customHeight="1">
      <c r="A684" s="208"/>
      <c r="B684" s="208"/>
      <c r="C684" s="208"/>
      <c r="D684" s="208"/>
      <c r="E684" s="208"/>
      <c r="F684" s="208"/>
      <c r="G684" s="208"/>
      <c r="H684" s="208"/>
      <c r="I684" s="208"/>
      <c r="J684" s="208"/>
      <c r="K684" s="208"/>
      <c r="L684" s="208"/>
      <c r="M684" s="208"/>
      <c r="N684" s="208"/>
      <c r="O684" s="208"/>
      <c r="P684" s="208"/>
      <c r="Q684" s="208"/>
      <c r="R684" s="208"/>
      <c r="S684" s="208"/>
      <c r="T684" s="208"/>
      <c r="U684" s="208"/>
      <c r="V684" s="208"/>
      <c r="W684" s="208"/>
      <c r="X684" s="208"/>
      <c r="Y684" s="208"/>
      <c r="Z684" s="208"/>
      <c r="AA684" s="208"/>
      <c r="AB684" s="208"/>
      <c r="AC684" s="208"/>
      <c r="AD684" s="208"/>
      <c r="AE684" s="208"/>
      <c r="AF684" s="208"/>
      <c r="AG684" s="208"/>
      <c r="AH684" s="208"/>
      <c r="AI684" s="208"/>
      <c r="AJ684" s="208"/>
      <c r="AK684" s="208"/>
      <c r="AL684" s="208"/>
      <c r="AM684" s="208"/>
      <c r="AN684" s="208"/>
      <c r="AO684" s="208"/>
      <c r="AP684" s="208"/>
      <c r="AQ684" s="208"/>
      <c r="AR684" s="208"/>
      <c r="AS684" s="208"/>
      <c r="AT684" s="208"/>
      <c r="AU684" s="208"/>
      <c r="AV684" s="208"/>
      <c r="AW684" s="208"/>
      <c r="AX684" s="208"/>
      <c r="AY684" s="208"/>
      <c r="AZ684" s="208"/>
      <c r="BA684" s="208"/>
    </row>
    <row r="685" ht="15.75" hidden="1" customHeight="1">
      <c r="A685" s="208"/>
      <c r="B685" s="208"/>
      <c r="C685" s="208"/>
      <c r="D685" s="208"/>
      <c r="E685" s="208"/>
      <c r="F685" s="208"/>
      <c r="G685" s="208"/>
      <c r="H685" s="208"/>
      <c r="I685" s="208"/>
      <c r="J685" s="208"/>
      <c r="K685" s="208"/>
      <c r="L685" s="208"/>
      <c r="M685" s="208"/>
      <c r="N685" s="208"/>
      <c r="O685" s="208"/>
      <c r="P685" s="208"/>
      <c r="Q685" s="208"/>
      <c r="R685" s="208"/>
      <c r="S685" s="208"/>
      <c r="T685" s="208"/>
      <c r="U685" s="208"/>
      <c r="V685" s="208"/>
      <c r="W685" s="208"/>
      <c r="X685" s="208"/>
      <c r="Y685" s="208"/>
      <c r="Z685" s="208"/>
      <c r="AA685" s="208"/>
      <c r="AB685" s="208"/>
      <c r="AC685" s="208"/>
      <c r="AD685" s="208"/>
      <c r="AE685" s="208"/>
      <c r="AF685" s="208"/>
      <c r="AG685" s="208"/>
      <c r="AH685" s="208"/>
      <c r="AI685" s="208"/>
      <c r="AJ685" s="208"/>
      <c r="AK685" s="208"/>
      <c r="AL685" s="208"/>
      <c r="AM685" s="208"/>
      <c r="AN685" s="208"/>
      <c r="AO685" s="208"/>
      <c r="AP685" s="208"/>
      <c r="AQ685" s="208"/>
      <c r="AR685" s="208"/>
      <c r="AS685" s="208"/>
      <c r="AT685" s="208"/>
      <c r="AU685" s="208"/>
      <c r="AV685" s="208"/>
      <c r="AW685" s="208"/>
      <c r="AX685" s="208"/>
      <c r="AY685" s="208"/>
      <c r="AZ685" s="208"/>
      <c r="BA685" s="208"/>
    </row>
    <row r="686" ht="15.75" hidden="1" customHeight="1">
      <c r="A686" s="208"/>
      <c r="B686" s="208"/>
      <c r="C686" s="208"/>
      <c r="D686" s="208"/>
      <c r="E686" s="208"/>
      <c r="F686" s="208"/>
      <c r="G686" s="208"/>
      <c r="H686" s="208"/>
      <c r="I686" s="208"/>
      <c r="J686" s="208"/>
      <c r="K686" s="208"/>
      <c r="L686" s="208"/>
      <c r="M686" s="208"/>
      <c r="N686" s="208"/>
      <c r="O686" s="208"/>
      <c r="P686" s="208"/>
      <c r="Q686" s="208"/>
      <c r="R686" s="208"/>
      <c r="S686" s="208"/>
      <c r="T686" s="208"/>
      <c r="U686" s="208"/>
      <c r="V686" s="208"/>
      <c r="W686" s="208"/>
      <c r="X686" s="208"/>
      <c r="Y686" s="208"/>
      <c r="Z686" s="208"/>
      <c r="AA686" s="208"/>
      <c r="AB686" s="208"/>
      <c r="AC686" s="208"/>
      <c r="AD686" s="208"/>
      <c r="AE686" s="208"/>
      <c r="AF686" s="208"/>
      <c r="AG686" s="208"/>
      <c r="AH686" s="208"/>
      <c r="AI686" s="208"/>
      <c r="AJ686" s="208"/>
      <c r="AK686" s="208"/>
      <c r="AL686" s="208"/>
      <c r="AM686" s="208"/>
      <c r="AN686" s="208"/>
      <c r="AO686" s="208"/>
      <c r="AP686" s="208"/>
      <c r="AQ686" s="208"/>
      <c r="AR686" s="208"/>
      <c r="AS686" s="208"/>
      <c r="AT686" s="208"/>
      <c r="AU686" s="208"/>
      <c r="AV686" s="208"/>
      <c r="AW686" s="208"/>
      <c r="AX686" s="208"/>
      <c r="AY686" s="208"/>
      <c r="AZ686" s="208"/>
      <c r="BA686" s="208"/>
    </row>
    <row r="687" ht="15.75" hidden="1" customHeight="1">
      <c r="A687" s="208"/>
      <c r="B687" s="208"/>
      <c r="C687" s="208"/>
      <c r="D687" s="208"/>
      <c r="E687" s="208"/>
      <c r="F687" s="208"/>
      <c r="G687" s="208"/>
      <c r="H687" s="208"/>
      <c r="I687" s="208"/>
      <c r="J687" s="208"/>
      <c r="K687" s="208"/>
      <c r="L687" s="208"/>
      <c r="M687" s="208"/>
      <c r="N687" s="208"/>
      <c r="O687" s="208"/>
      <c r="P687" s="208"/>
      <c r="Q687" s="208"/>
      <c r="R687" s="208"/>
      <c r="S687" s="208"/>
      <c r="T687" s="208"/>
      <c r="U687" s="208"/>
      <c r="V687" s="208"/>
      <c r="W687" s="208"/>
      <c r="X687" s="208"/>
      <c r="Y687" s="208"/>
      <c r="Z687" s="208"/>
      <c r="AA687" s="208"/>
      <c r="AB687" s="208"/>
      <c r="AC687" s="208"/>
      <c r="AD687" s="208"/>
      <c r="AE687" s="208"/>
      <c r="AF687" s="208"/>
      <c r="AG687" s="208"/>
      <c r="AH687" s="208"/>
      <c r="AI687" s="208"/>
      <c r="AJ687" s="208"/>
      <c r="AK687" s="208"/>
      <c r="AL687" s="208"/>
      <c r="AM687" s="208"/>
      <c r="AN687" s="208"/>
      <c r="AO687" s="208"/>
      <c r="AP687" s="208"/>
      <c r="AQ687" s="208"/>
      <c r="AR687" s="208"/>
      <c r="AS687" s="208"/>
      <c r="AT687" s="208"/>
      <c r="AU687" s="208"/>
      <c r="AV687" s="208"/>
      <c r="AW687" s="208"/>
      <c r="AX687" s="208"/>
      <c r="AY687" s="208"/>
      <c r="AZ687" s="208"/>
      <c r="BA687" s="208"/>
    </row>
    <row r="688" ht="15.75" hidden="1" customHeight="1">
      <c r="A688" s="208"/>
      <c r="B688" s="208"/>
      <c r="C688" s="208"/>
      <c r="D688" s="208"/>
      <c r="E688" s="208"/>
      <c r="F688" s="208"/>
      <c r="G688" s="208"/>
      <c r="H688" s="208"/>
      <c r="I688" s="208"/>
      <c r="J688" s="208"/>
      <c r="K688" s="208"/>
      <c r="L688" s="208"/>
      <c r="M688" s="208"/>
      <c r="N688" s="208"/>
      <c r="O688" s="208"/>
      <c r="P688" s="208"/>
      <c r="Q688" s="208"/>
      <c r="R688" s="208"/>
      <c r="S688" s="208"/>
      <c r="T688" s="208"/>
      <c r="U688" s="208"/>
      <c r="V688" s="208"/>
      <c r="W688" s="208"/>
      <c r="X688" s="208"/>
      <c r="Y688" s="208"/>
      <c r="Z688" s="208"/>
      <c r="AA688" s="208"/>
      <c r="AB688" s="208"/>
      <c r="AC688" s="208"/>
      <c r="AD688" s="208"/>
      <c r="AE688" s="208"/>
      <c r="AF688" s="208"/>
      <c r="AG688" s="208"/>
      <c r="AH688" s="208"/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8"/>
      <c r="AT688" s="208"/>
      <c r="AU688" s="208"/>
      <c r="AV688" s="208"/>
      <c r="AW688" s="208"/>
      <c r="AX688" s="208"/>
      <c r="AY688" s="208"/>
      <c r="AZ688" s="208"/>
      <c r="BA688" s="208"/>
    </row>
    <row r="689" ht="15.75" hidden="1" customHeight="1">
      <c r="A689" s="208"/>
      <c r="B689" s="208"/>
      <c r="C689" s="208"/>
      <c r="D689" s="208"/>
      <c r="E689" s="208"/>
      <c r="F689" s="208"/>
      <c r="G689" s="208"/>
      <c r="H689" s="208"/>
      <c r="I689" s="208"/>
      <c r="J689" s="208"/>
      <c r="K689" s="208"/>
      <c r="L689" s="208"/>
      <c r="M689" s="208"/>
      <c r="N689" s="208"/>
      <c r="O689" s="208"/>
      <c r="P689" s="208"/>
      <c r="Q689" s="208"/>
      <c r="R689" s="208"/>
      <c r="S689" s="208"/>
      <c r="T689" s="208"/>
      <c r="U689" s="208"/>
      <c r="V689" s="208"/>
      <c r="W689" s="208"/>
      <c r="X689" s="208"/>
      <c r="Y689" s="208"/>
      <c r="Z689" s="208"/>
      <c r="AA689" s="208"/>
      <c r="AB689" s="208"/>
      <c r="AC689" s="208"/>
      <c r="AD689" s="208"/>
      <c r="AE689" s="208"/>
      <c r="AF689" s="208"/>
      <c r="AG689" s="208"/>
      <c r="AH689" s="208"/>
      <c r="AI689" s="208"/>
      <c r="AJ689" s="208"/>
      <c r="AK689" s="208"/>
      <c r="AL689" s="208"/>
      <c r="AM689" s="208"/>
      <c r="AN689" s="208"/>
      <c r="AO689" s="208"/>
      <c r="AP689" s="208"/>
      <c r="AQ689" s="208"/>
      <c r="AR689" s="208"/>
      <c r="AS689" s="208"/>
      <c r="AT689" s="208"/>
      <c r="AU689" s="208"/>
      <c r="AV689" s="208"/>
      <c r="AW689" s="208"/>
      <c r="AX689" s="208"/>
      <c r="AY689" s="208"/>
      <c r="AZ689" s="208"/>
      <c r="BA689" s="208"/>
    </row>
    <row r="690" ht="15.75" hidden="1" customHeight="1">
      <c r="A690" s="208"/>
      <c r="B690" s="208"/>
      <c r="C690" s="208"/>
      <c r="D690" s="208"/>
      <c r="E690" s="208"/>
      <c r="F690" s="208"/>
      <c r="G690" s="208"/>
      <c r="H690" s="208"/>
      <c r="I690" s="208"/>
      <c r="J690" s="208"/>
      <c r="K690" s="208"/>
      <c r="L690" s="208"/>
      <c r="M690" s="208"/>
      <c r="N690" s="208"/>
      <c r="O690" s="208"/>
      <c r="P690" s="208"/>
      <c r="Q690" s="208"/>
      <c r="R690" s="208"/>
      <c r="S690" s="208"/>
      <c r="T690" s="208"/>
      <c r="U690" s="208"/>
      <c r="V690" s="208"/>
      <c r="W690" s="208"/>
      <c r="X690" s="208"/>
      <c r="Y690" s="208"/>
      <c r="Z690" s="208"/>
      <c r="AA690" s="208"/>
      <c r="AB690" s="208"/>
      <c r="AC690" s="208"/>
      <c r="AD690" s="208"/>
      <c r="AE690" s="208"/>
      <c r="AF690" s="208"/>
      <c r="AG690" s="208"/>
      <c r="AH690" s="208"/>
      <c r="AI690" s="208"/>
      <c r="AJ690" s="208"/>
      <c r="AK690" s="208"/>
      <c r="AL690" s="208"/>
      <c r="AM690" s="208"/>
      <c r="AN690" s="208"/>
      <c r="AO690" s="208"/>
      <c r="AP690" s="208"/>
      <c r="AQ690" s="208"/>
      <c r="AR690" s="208"/>
      <c r="AS690" s="208"/>
      <c r="AT690" s="208"/>
      <c r="AU690" s="208"/>
      <c r="AV690" s="208"/>
      <c r="AW690" s="208"/>
      <c r="AX690" s="208"/>
      <c r="AY690" s="208"/>
      <c r="AZ690" s="208"/>
      <c r="BA690" s="208"/>
    </row>
    <row r="691" ht="15.75" hidden="1" customHeight="1">
      <c r="A691" s="208"/>
      <c r="B691" s="208"/>
      <c r="C691" s="208"/>
      <c r="D691" s="208"/>
      <c r="E691" s="208"/>
      <c r="F691" s="208"/>
      <c r="G691" s="208"/>
      <c r="H691" s="208"/>
      <c r="I691" s="208"/>
      <c r="J691" s="208"/>
      <c r="K691" s="208"/>
      <c r="L691" s="208"/>
      <c r="M691" s="208"/>
      <c r="N691" s="208"/>
      <c r="O691" s="208"/>
      <c r="P691" s="208"/>
      <c r="Q691" s="208"/>
      <c r="R691" s="208"/>
      <c r="S691" s="208"/>
      <c r="T691" s="208"/>
      <c r="U691" s="208"/>
      <c r="V691" s="208"/>
      <c r="W691" s="208"/>
      <c r="X691" s="208"/>
      <c r="Y691" s="208"/>
      <c r="Z691" s="208"/>
      <c r="AA691" s="208"/>
      <c r="AB691" s="208"/>
      <c r="AC691" s="208"/>
      <c r="AD691" s="208"/>
      <c r="AE691" s="208"/>
      <c r="AF691" s="208"/>
      <c r="AG691" s="208"/>
      <c r="AH691" s="208"/>
      <c r="AI691" s="208"/>
      <c r="AJ691" s="208"/>
      <c r="AK691" s="208"/>
      <c r="AL691" s="208"/>
      <c r="AM691" s="208"/>
      <c r="AN691" s="208"/>
      <c r="AO691" s="208"/>
      <c r="AP691" s="208"/>
      <c r="AQ691" s="208"/>
      <c r="AR691" s="208"/>
      <c r="AS691" s="208"/>
      <c r="AT691" s="208"/>
      <c r="AU691" s="208"/>
      <c r="AV691" s="208"/>
      <c r="AW691" s="208"/>
      <c r="AX691" s="208"/>
      <c r="AY691" s="208"/>
      <c r="AZ691" s="208"/>
      <c r="BA691" s="208"/>
    </row>
    <row r="692" ht="15.75" hidden="1" customHeight="1">
      <c r="A692" s="208"/>
      <c r="B692" s="208"/>
      <c r="C692" s="208"/>
      <c r="D692" s="208"/>
      <c r="E692" s="208"/>
      <c r="F692" s="208"/>
      <c r="G692" s="208"/>
      <c r="H692" s="208"/>
      <c r="I692" s="208"/>
      <c r="J692" s="208"/>
      <c r="K692" s="208"/>
      <c r="L692" s="208"/>
      <c r="M692" s="208"/>
      <c r="N692" s="208"/>
      <c r="O692" s="208"/>
      <c r="P692" s="208"/>
      <c r="Q692" s="208"/>
      <c r="R692" s="208"/>
      <c r="S692" s="208"/>
      <c r="T692" s="208"/>
      <c r="U692" s="208"/>
      <c r="V692" s="208"/>
      <c r="W692" s="208"/>
      <c r="X692" s="208"/>
      <c r="Y692" s="208"/>
      <c r="Z692" s="208"/>
      <c r="AA692" s="208"/>
      <c r="AB692" s="208"/>
      <c r="AC692" s="208"/>
      <c r="AD692" s="208"/>
      <c r="AE692" s="208"/>
      <c r="AF692" s="208"/>
      <c r="AG692" s="208"/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8"/>
      <c r="AT692" s="208"/>
      <c r="AU692" s="208"/>
      <c r="AV692" s="208"/>
      <c r="AW692" s="208"/>
      <c r="AX692" s="208"/>
      <c r="AY692" s="208"/>
      <c r="AZ692" s="208"/>
      <c r="BA692" s="208"/>
    </row>
    <row r="693" ht="15.75" hidden="1" customHeight="1">
      <c r="A693" s="208"/>
      <c r="B693" s="208"/>
      <c r="C693" s="208"/>
      <c r="D693" s="208"/>
      <c r="E693" s="208"/>
      <c r="F693" s="208"/>
      <c r="G693" s="208"/>
      <c r="H693" s="208"/>
      <c r="I693" s="208"/>
      <c r="J693" s="208"/>
      <c r="K693" s="208"/>
      <c r="L693" s="208"/>
      <c r="M693" s="208"/>
      <c r="N693" s="208"/>
      <c r="O693" s="208"/>
      <c r="P693" s="208"/>
      <c r="Q693" s="208"/>
      <c r="R693" s="208"/>
      <c r="S693" s="208"/>
      <c r="T693" s="208"/>
      <c r="U693" s="208"/>
      <c r="V693" s="208"/>
      <c r="W693" s="208"/>
      <c r="X693" s="208"/>
      <c r="Y693" s="208"/>
      <c r="Z693" s="208"/>
      <c r="AA693" s="208"/>
      <c r="AB693" s="208"/>
      <c r="AC693" s="208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  <c r="AT693" s="208"/>
      <c r="AU693" s="208"/>
      <c r="AV693" s="208"/>
      <c r="AW693" s="208"/>
      <c r="AX693" s="208"/>
      <c r="AY693" s="208"/>
      <c r="AZ693" s="208"/>
      <c r="BA693" s="208"/>
    </row>
    <row r="694" ht="15.75" hidden="1" customHeight="1">
      <c r="A694" s="208"/>
      <c r="B694" s="208"/>
      <c r="C694" s="208"/>
      <c r="D694" s="208"/>
      <c r="E694" s="208"/>
      <c r="F694" s="208"/>
      <c r="G694" s="208"/>
      <c r="H694" s="208"/>
      <c r="I694" s="208"/>
      <c r="J694" s="208"/>
      <c r="K694" s="208"/>
      <c r="L694" s="208"/>
      <c r="M694" s="208"/>
      <c r="N694" s="208"/>
      <c r="O694" s="208"/>
      <c r="P694" s="208"/>
      <c r="Q694" s="208"/>
      <c r="R694" s="208"/>
      <c r="S694" s="208"/>
      <c r="T694" s="208"/>
      <c r="U694" s="208"/>
      <c r="V694" s="208"/>
      <c r="W694" s="208"/>
      <c r="X694" s="208"/>
      <c r="Y694" s="208"/>
      <c r="Z694" s="208"/>
      <c r="AA694" s="208"/>
      <c r="AB694" s="208"/>
      <c r="AC694" s="208"/>
      <c r="AD694" s="208"/>
      <c r="AE694" s="208"/>
      <c r="AF694" s="208"/>
      <c r="AG694" s="208"/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8"/>
      <c r="AT694" s="208"/>
      <c r="AU694" s="208"/>
      <c r="AV694" s="208"/>
      <c r="AW694" s="208"/>
      <c r="AX694" s="208"/>
      <c r="AY694" s="208"/>
      <c r="AZ694" s="208"/>
      <c r="BA694" s="208"/>
    </row>
    <row r="695" ht="15.75" hidden="1" customHeight="1">
      <c r="A695" s="208"/>
      <c r="B695" s="208"/>
      <c r="C695" s="208"/>
      <c r="D695" s="208"/>
      <c r="E695" s="208"/>
      <c r="F695" s="208"/>
      <c r="G695" s="208"/>
      <c r="H695" s="208"/>
      <c r="I695" s="208"/>
      <c r="J695" s="208"/>
      <c r="K695" s="208"/>
      <c r="L695" s="208"/>
      <c r="M695" s="208"/>
      <c r="N695" s="208"/>
      <c r="O695" s="208"/>
      <c r="P695" s="208"/>
      <c r="Q695" s="208"/>
      <c r="R695" s="208"/>
      <c r="S695" s="208"/>
      <c r="T695" s="208"/>
      <c r="U695" s="208"/>
      <c r="V695" s="208"/>
      <c r="W695" s="208"/>
      <c r="X695" s="208"/>
      <c r="Y695" s="208"/>
      <c r="Z695" s="208"/>
      <c r="AA695" s="208"/>
      <c r="AB695" s="208"/>
      <c r="AC695" s="208"/>
      <c r="AD695" s="208"/>
      <c r="AE695" s="208"/>
      <c r="AF695" s="208"/>
      <c r="AG695" s="208"/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08"/>
      <c r="AU695" s="208"/>
      <c r="AV695" s="208"/>
      <c r="AW695" s="208"/>
      <c r="AX695" s="208"/>
      <c r="AY695" s="208"/>
      <c r="AZ695" s="208"/>
      <c r="BA695" s="208"/>
    </row>
    <row r="696" ht="15.75" hidden="1" customHeight="1">
      <c r="A696" s="208"/>
      <c r="B696" s="208"/>
      <c r="C696" s="208"/>
      <c r="D696" s="208"/>
      <c r="E696" s="208"/>
      <c r="F696" s="208"/>
      <c r="G696" s="208"/>
      <c r="H696" s="208"/>
      <c r="I696" s="208"/>
      <c r="J696" s="208"/>
      <c r="K696" s="208"/>
      <c r="L696" s="208"/>
      <c r="M696" s="208"/>
      <c r="N696" s="208"/>
      <c r="O696" s="208"/>
      <c r="P696" s="208"/>
      <c r="Q696" s="208"/>
      <c r="R696" s="208"/>
      <c r="S696" s="208"/>
      <c r="T696" s="208"/>
      <c r="U696" s="208"/>
      <c r="V696" s="208"/>
      <c r="W696" s="208"/>
      <c r="X696" s="208"/>
      <c r="Y696" s="208"/>
      <c r="Z696" s="208"/>
      <c r="AA696" s="208"/>
      <c r="AB696" s="208"/>
      <c r="AC696" s="208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08"/>
      <c r="AU696" s="208"/>
      <c r="AV696" s="208"/>
      <c r="AW696" s="208"/>
      <c r="AX696" s="208"/>
      <c r="AY696" s="208"/>
      <c r="AZ696" s="208"/>
      <c r="BA696" s="208"/>
    </row>
    <row r="697" ht="15.75" hidden="1" customHeight="1">
      <c r="A697" s="208"/>
      <c r="B697" s="208"/>
      <c r="C697" s="208"/>
      <c r="D697" s="208"/>
      <c r="E697" s="208"/>
      <c r="F697" s="208"/>
      <c r="G697" s="208"/>
      <c r="H697" s="208"/>
      <c r="I697" s="208"/>
      <c r="J697" s="208"/>
      <c r="K697" s="208"/>
      <c r="L697" s="208"/>
      <c r="M697" s="208"/>
      <c r="N697" s="208"/>
      <c r="O697" s="208"/>
      <c r="P697" s="208"/>
      <c r="Q697" s="208"/>
      <c r="R697" s="208"/>
      <c r="S697" s="208"/>
      <c r="T697" s="208"/>
      <c r="U697" s="208"/>
      <c r="V697" s="208"/>
      <c r="W697" s="208"/>
      <c r="X697" s="208"/>
      <c r="Y697" s="208"/>
      <c r="Z697" s="208"/>
      <c r="AA697" s="208"/>
      <c r="AB697" s="208"/>
      <c r="AC697" s="208"/>
      <c r="AD697" s="208"/>
      <c r="AE697" s="208"/>
      <c r="AF697" s="208"/>
      <c r="AG697" s="208"/>
      <c r="AH697" s="208"/>
      <c r="AI697" s="208"/>
      <c r="AJ697" s="208"/>
      <c r="AK697" s="208"/>
      <c r="AL697" s="208"/>
      <c r="AM697" s="208"/>
      <c r="AN697" s="208"/>
      <c r="AO697" s="208"/>
      <c r="AP697" s="208"/>
      <c r="AQ697" s="208"/>
      <c r="AR697" s="208"/>
      <c r="AS697" s="208"/>
      <c r="AT697" s="208"/>
      <c r="AU697" s="208"/>
      <c r="AV697" s="208"/>
      <c r="AW697" s="208"/>
      <c r="AX697" s="208"/>
      <c r="AY697" s="208"/>
      <c r="AZ697" s="208"/>
      <c r="BA697" s="208"/>
    </row>
    <row r="698" ht="15.75" hidden="1" customHeight="1">
      <c r="A698" s="208"/>
      <c r="B698" s="208"/>
      <c r="C698" s="208"/>
      <c r="D698" s="208"/>
      <c r="E698" s="208"/>
      <c r="F698" s="208"/>
      <c r="G698" s="208"/>
      <c r="H698" s="208"/>
      <c r="I698" s="208"/>
      <c r="J698" s="208"/>
      <c r="K698" s="208"/>
      <c r="L698" s="208"/>
      <c r="M698" s="208"/>
      <c r="N698" s="208"/>
      <c r="O698" s="208"/>
      <c r="P698" s="208"/>
      <c r="Q698" s="208"/>
      <c r="R698" s="208"/>
      <c r="S698" s="208"/>
      <c r="T698" s="208"/>
      <c r="U698" s="208"/>
      <c r="V698" s="208"/>
      <c r="W698" s="208"/>
      <c r="X698" s="208"/>
      <c r="Y698" s="208"/>
      <c r="Z698" s="208"/>
      <c r="AA698" s="208"/>
      <c r="AB698" s="208"/>
      <c r="AC698" s="208"/>
      <c r="AD698" s="208"/>
      <c r="AE698" s="208"/>
      <c r="AF698" s="208"/>
      <c r="AG698" s="208"/>
      <c r="AH698" s="208"/>
      <c r="AI698" s="208"/>
      <c r="AJ698" s="208"/>
      <c r="AK698" s="208"/>
      <c r="AL698" s="208"/>
      <c r="AM698" s="208"/>
      <c r="AN698" s="208"/>
      <c r="AO698" s="208"/>
      <c r="AP698" s="208"/>
      <c r="AQ698" s="208"/>
      <c r="AR698" s="208"/>
      <c r="AS698" s="208"/>
      <c r="AT698" s="208"/>
      <c r="AU698" s="208"/>
      <c r="AV698" s="208"/>
      <c r="AW698" s="208"/>
      <c r="AX698" s="208"/>
      <c r="AY698" s="208"/>
      <c r="AZ698" s="208"/>
      <c r="BA698" s="208"/>
    </row>
    <row r="699" ht="15.75" hidden="1" customHeight="1">
      <c r="A699" s="208"/>
      <c r="B699" s="208"/>
      <c r="C699" s="208"/>
      <c r="D699" s="208"/>
      <c r="E699" s="208"/>
      <c r="F699" s="208"/>
      <c r="G699" s="208"/>
      <c r="H699" s="208"/>
      <c r="I699" s="208"/>
      <c r="J699" s="208"/>
      <c r="K699" s="208"/>
      <c r="L699" s="208"/>
      <c r="M699" s="208"/>
      <c r="N699" s="208"/>
      <c r="O699" s="208"/>
      <c r="P699" s="208"/>
      <c r="Q699" s="208"/>
      <c r="R699" s="208"/>
      <c r="S699" s="208"/>
      <c r="T699" s="208"/>
      <c r="U699" s="208"/>
      <c r="V699" s="208"/>
      <c r="W699" s="208"/>
      <c r="X699" s="208"/>
      <c r="Y699" s="208"/>
      <c r="Z699" s="208"/>
      <c r="AA699" s="208"/>
      <c r="AB699" s="208"/>
      <c r="AC699" s="208"/>
      <c r="AD699" s="208"/>
      <c r="AE699" s="208"/>
      <c r="AF699" s="208"/>
      <c r="AG699" s="208"/>
      <c r="AH699" s="208"/>
      <c r="AI699" s="208"/>
      <c r="AJ699" s="208"/>
      <c r="AK699" s="208"/>
      <c r="AL699" s="208"/>
      <c r="AM699" s="208"/>
      <c r="AN699" s="208"/>
      <c r="AO699" s="208"/>
      <c r="AP699" s="208"/>
      <c r="AQ699" s="208"/>
      <c r="AR699" s="208"/>
      <c r="AS699" s="208"/>
      <c r="AT699" s="208"/>
      <c r="AU699" s="208"/>
      <c r="AV699" s="208"/>
      <c r="AW699" s="208"/>
      <c r="AX699" s="208"/>
      <c r="AY699" s="208"/>
      <c r="AZ699" s="208"/>
      <c r="BA699" s="208"/>
    </row>
    <row r="700" ht="15.75" hidden="1" customHeight="1">
      <c r="A700" s="208"/>
      <c r="B700" s="208"/>
      <c r="C700" s="208"/>
      <c r="D700" s="208"/>
      <c r="E700" s="208"/>
      <c r="F700" s="208"/>
      <c r="G700" s="208"/>
      <c r="H700" s="208"/>
      <c r="I700" s="208"/>
      <c r="J700" s="208"/>
      <c r="K700" s="208"/>
      <c r="L700" s="208"/>
      <c r="M700" s="208"/>
      <c r="N700" s="208"/>
      <c r="O700" s="208"/>
      <c r="P700" s="208"/>
      <c r="Q700" s="208"/>
      <c r="R700" s="208"/>
      <c r="S700" s="208"/>
      <c r="T700" s="208"/>
      <c r="U700" s="208"/>
      <c r="V700" s="208"/>
      <c r="W700" s="208"/>
      <c r="X700" s="208"/>
      <c r="Y700" s="208"/>
      <c r="Z700" s="208"/>
      <c r="AA700" s="208"/>
      <c r="AB700" s="208"/>
      <c r="AC700" s="208"/>
      <c r="AD700" s="208"/>
      <c r="AE700" s="208"/>
      <c r="AF700" s="208"/>
      <c r="AG700" s="208"/>
      <c r="AH700" s="208"/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08"/>
      <c r="AT700" s="208"/>
      <c r="AU700" s="208"/>
      <c r="AV700" s="208"/>
      <c r="AW700" s="208"/>
      <c r="AX700" s="208"/>
      <c r="AY700" s="208"/>
      <c r="AZ700" s="208"/>
      <c r="BA700" s="208"/>
    </row>
    <row r="701" ht="15.75" hidden="1" customHeight="1">
      <c r="A701" s="208"/>
      <c r="B701" s="208"/>
      <c r="C701" s="208"/>
      <c r="D701" s="208"/>
      <c r="E701" s="208"/>
      <c r="F701" s="208"/>
      <c r="G701" s="208"/>
      <c r="H701" s="208"/>
      <c r="I701" s="208"/>
      <c r="J701" s="208"/>
      <c r="K701" s="208"/>
      <c r="L701" s="208"/>
      <c r="M701" s="208"/>
      <c r="N701" s="208"/>
      <c r="O701" s="208"/>
      <c r="P701" s="208"/>
      <c r="Q701" s="208"/>
      <c r="R701" s="208"/>
      <c r="S701" s="208"/>
      <c r="T701" s="208"/>
      <c r="U701" s="208"/>
      <c r="V701" s="208"/>
      <c r="W701" s="208"/>
      <c r="X701" s="208"/>
      <c r="Y701" s="208"/>
      <c r="Z701" s="208"/>
      <c r="AA701" s="208"/>
      <c r="AB701" s="208"/>
      <c r="AC701" s="208"/>
      <c r="AD701" s="208"/>
      <c r="AE701" s="208"/>
      <c r="AF701" s="208"/>
      <c r="AG701" s="208"/>
      <c r="AH701" s="208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8"/>
      <c r="AT701" s="208"/>
      <c r="AU701" s="208"/>
      <c r="AV701" s="208"/>
      <c r="AW701" s="208"/>
      <c r="AX701" s="208"/>
      <c r="AY701" s="208"/>
      <c r="AZ701" s="208"/>
      <c r="BA701" s="208"/>
    </row>
    <row r="702" ht="15.75" hidden="1" customHeight="1">
      <c r="A702" s="208"/>
      <c r="B702" s="208"/>
      <c r="C702" s="208"/>
      <c r="D702" s="208"/>
      <c r="E702" s="208"/>
      <c r="F702" s="208"/>
      <c r="G702" s="208"/>
      <c r="H702" s="208"/>
      <c r="I702" s="208"/>
      <c r="J702" s="208"/>
      <c r="K702" s="208"/>
      <c r="L702" s="208"/>
      <c r="M702" s="208"/>
      <c r="N702" s="208"/>
      <c r="O702" s="208"/>
      <c r="P702" s="208"/>
      <c r="Q702" s="208"/>
      <c r="R702" s="208"/>
      <c r="S702" s="208"/>
      <c r="T702" s="208"/>
      <c r="U702" s="208"/>
      <c r="V702" s="208"/>
      <c r="W702" s="208"/>
      <c r="X702" s="208"/>
      <c r="Y702" s="208"/>
      <c r="Z702" s="208"/>
      <c r="AA702" s="208"/>
      <c r="AB702" s="208"/>
      <c r="AC702" s="208"/>
      <c r="AD702" s="208"/>
      <c r="AE702" s="208"/>
      <c r="AF702" s="208"/>
      <c r="AG702" s="208"/>
      <c r="AH702" s="208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8"/>
      <c r="AT702" s="208"/>
      <c r="AU702" s="208"/>
      <c r="AV702" s="208"/>
      <c r="AW702" s="208"/>
      <c r="AX702" s="208"/>
      <c r="AY702" s="208"/>
      <c r="AZ702" s="208"/>
      <c r="BA702" s="208"/>
    </row>
    <row r="703" ht="15.75" hidden="1" customHeight="1">
      <c r="A703" s="208"/>
      <c r="B703" s="208"/>
      <c r="C703" s="208"/>
      <c r="D703" s="208"/>
      <c r="E703" s="208"/>
      <c r="F703" s="208"/>
      <c r="G703" s="208"/>
      <c r="H703" s="208"/>
      <c r="I703" s="208"/>
      <c r="J703" s="208"/>
      <c r="K703" s="208"/>
      <c r="L703" s="208"/>
      <c r="M703" s="208"/>
      <c r="N703" s="208"/>
      <c r="O703" s="208"/>
      <c r="P703" s="208"/>
      <c r="Q703" s="208"/>
      <c r="R703" s="208"/>
      <c r="S703" s="208"/>
      <c r="T703" s="208"/>
      <c r="U703" s="208"/>
      <c r="V703" s="208"/>
      <c r="W703" s="208"/>
      <c r="X703" s="208"/>
      <c r="Y703" s="208"/>
      <c r="Z703" s="208"/>
      <c r="AA703" s="208"/>
      <c r="AB703" s="208"/>
      <c r="AC703" s="208"/>
      <c r="AD703" s="208"/>
      <c r="AE703" s="208"/>
      <c r="AF703" s="208"/>
      <c r="AG703" s="208"/>
      <c r="AH703" s="208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8"/>
      <c r="AT703" s="208"/>
      <c r="AU703" s="208"/>
      <c r="AV703" s="208"/>
      <c r="AW703" s="208"/>
      <c r="AX703" s="208"/>
      <c r="AY703" s="208"/>
      <c r="AZ703" s="208"/>
      <c r="BA703" s="208"/>
    </row>
    <row r="704" ht="15.75" hidden="1" customHeight="1">
      <c r="A704" s="208"/>
      <c r="B704" s="208"/>
      <c r="C704" s="208"/>
      <c r="D704" s="208"/>
      <c r="E704" s="208"/>
      <c r="F704" s="208"/>
      <c r="G704" s="208"/>
      <c r="H704" s="208"/>
      <c r="I704" s="208"/>
      <c r="J704" s="208"/>
      <c r="K704" s="208"/>
      <c r="L704" s="208"/>
      <c r="M704" s="208"/>
      <c r="N704" s="208"/>
      <c r="O704" s="208"/>
      <c r="P704" s="208"/>
      <c r="Q704" s="208"/>
      <c r="R704" s="208"/>
      <c r="S704" s="208"/>
      <c r="T704" s="208"/>
      <c r="U704" s="208"/>
      <c r="V704" s="208"/>
      <c r="W704" s="208"/>
      <c r="X704" s="208"/>
      <c r="Y704" s="208"/>
      <c r="Z704" s="208"/>
      <c r="AA704" s="208"/>
      <c r="AB704" s="208"/>
      <c r="AC704" s="208"/>
      <c r="AD704" s="208"/>
      <c r="AE704" s="208"/>
      <c r="AF704" s="208"/>
      <c r="AG704" s="208"/>
      <c r="AH704" s="208"/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8"/>
      <c r="AT704" s="208"/>
      <c r="AU704" s="208"/>
      <c r="AV704" s="208"/>
      <c r="AW704" s="208"/>
      <c r="AX704" s="208"/>
      <c r="AY704" s="208"/>
      <c r="AZ704" s="208"/>
      <c r="BA704" s="208"/>
    </row>
    <row r="705" ht="15.75" hidden="1" customHeight="1">
      <c r="A705" s="208"/>
      <c r="B705" s="208"/>
      <c r="C705" s="208"/>
      <c r="D705" s="208"/>
      <c r="E705" s="208"/>
      <c r="F705" s="208"/>
      <c r="G705" s="208"/>
      <c r="H705" s="208"/>
      <c r="I705" s="208"/>
      <c r="J705" s="208"/>
      <c r="K705" s="208"/>
      <c r="L705" s="208"/>
      <c r="M705" s="208"/>
      <c r="N705" s="208"/>
      <c r="O705" s="208"/>
      <c r="P705" s="208"/>
      <c r="Q705" s="208"/>
      <c r="R705" s="208"/>
      <c r="S705" s="208"/>
      <c r="T705" s="208"/>
      <c r="U705" s="208"/>
      <c r="V705" s="208"/>
      <c r="W705" s="208"/>
      <c r="X705" s="208"/>
      <c r="Y705" s="208"/>
      <c r="Z705" s="208"/>
      <c r="AA705" s="208"/>
      <c r="AB705" s="208"/>
      <c r="AC705" s="208"/>
      <c r="AD705" s="208"/>
      <c r="AE705" s="208"/>
      <c r="AF705" s="208"/>
      <c r="AG705" s="208"/>
      <c r="AH705" s="208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08"/>
      <c r="AT705" s="208"/>
      <c r="AU705" s="208"/>
      <c r="AV705" s="208"/>
      <c r="AW705" s="208"/>
      <c r="AX705" s="208"/>
      <c r="AY705" s="208"/>
      <c r="AZ705" s="208"/>
      <c r="BA705" s="208"/>
    </row>
    <row r="706" ht="15.75" hidden="1" customHeight="1">
      <c r="A706" s="208"/>
      <c r="B706" s="208"/>
      <c r="C706" s="208"/>
      <c r="D706" s="208"/>
      <c r="E706" s="208"/>
      <c r="F706" s="208"/>
      <c r="G706" s="208"/>
      <c r="H706" s="208"/>
      <c r="I706" s="208"/>
      <c r="J706" s="208"/>
      <c r="K706" s="208"/>
      <c r="L706" s="208"/>
      <c r="M706" s="208"/>
      <c r="N706" s="208"/>
      <c r="O706" s="208"/>
      <c r="P706" s="208"/>
      <c r="Q706" s="208"/>
      <c r="R706" s="208"/>
      <c r="S706" s="208"/>
      <c r="T706" s="208"/>
      <c r="U706" s="208"/>
      <c r="V706" s="208"/>
      <c r="W706" s="208"/>
      <c r="X706" s="208"/>
      <c r="Y706" s="208"/>
      <c r="Z706" s="208"/>
      <c r="AA706" s="208"/>
      <c r="AB706" s="208"/>
      <c r="AC706" s="208"/>
      <c r="AD706" s="208"/>
      <c r="AE706" s="208"/>
      <c r="AF706" s="208"/>
      <c r="AG706" s="208"/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8"/>
      <c r="AT706" s="208"/>
      <c r="AU706" s="208"/>
      <c r="AV706" s="208"/>
      <c r="AW706" s="208"/>
      <c r="AX706" s="208"/>
      <c r="AY706" s="208"/>
      <c r="AZ706" s="208"/>
      <c r="BA706" s="208"/>
    </row>
    <row r="707" ht="15.75" hidden="1" customHeight="1">
      <c r="A707" s="208"/>
      <c r="B707" s="208"/>
      <c r="C707" s="208"/>
      <c r="D707" s="208"/>
      <c r="E707" s="208"/>
      <c r="F707" s="208"/>
      <c r="G707" s="208"/>
      <c r="H707" s="208"/>
      <c r="I707" s="208"/>
      <c r="J707" s="208"/>
      <c r="K707" s="208"/>
      <c r="L707" s="208"/>
      <c r="M707" s="208"/>
      <c r="N707" s="208"/>
      <c r="O707" s="208"/>
      <c r="P707" s="208"/>
      <c r="Q707" s="208"/>
      <c r="R707" s="208"/>
      <c r="S707" s="208"/>
      <c r="T707" s="208"/>
      <c r="U707" s="208"/>
      <c r="V707" s="208"/>
      <c r="W707" s="208"/>
      <c r="X707" s="208"/>
      <c r="Y707" s="208"/>
      <c r="Z707" s="208"/>
      <c r="AA707" s="208"/>
      <c r="AB707" s="208"/>
      <c r="AC707" s="208"/>
      <c r="AD707" s="208"/>
      <c r="AE707" s="208"/>
      <c r="AF707" s="208"/>
      <c r="AG707" s="208"/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8"/>
      <c r="AT707" s="208"/>
      <c r="AU707" s="208"/>
      <c r="AV707" s="208"/>
      <c r="AW707" s="208"/>
      <c r="AX707" s="208"/>
      <c r="AY707" s="208"/>
      <c r="AZ707" s="208"/>
      <c r="BA707" s="208"/>
    </row>
    <row r="708" ht="15.75" hidden="1" customHeight="1">
      <c r="A708" s="208"/>
      <c r="B708" s="208"/>
      <c r="C708" s="208"/>
      <c r="D708" s="208"/>
      <c r="E708" s="208"/>
      <c r="F708" s="208"/>
      <c r="G708" s="208"/>
      <c r="H708" s="208"/>
      <c r="I708" s="208"/>
      <c r="J708" s="208"/>
      <c r="K708" s="208"/>
      <c r="L708" s="208"/>
      <c r="M708" s="208"/>
      <c r="N708" s="208"/>
      <c r="O708" s="208"/>
      <c r="P708" s="208"/>
      <c r="Q708" s="208"/>
      <c r="R708" s="208"/>
      <c r="S708" s="208"/>
      <c r="T708" s="208"/>
      <c r="U708" s="208"/>
      <c r="V708" s="208"/>
      <c r="W708" s="208"/>
      <c r="X708" s="208"/>
      <c r="Y708" s="208"/>
      <c r="Z708" s="208"/>
      <c r="AA708" s="208"/>
      <c r="AB708" s="208"/>
      <c r="AC708" s="208"/>
      <c r="AD708" s="208"/>
      <c r="AE708" s="208"/>
      <c r="AF708" s="208"/>
      <c r="AG708" s="208"/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08"/>
      <c r="AU708" s="208"/>
      <c r="AV708" s="208"/>
      <c r="AW708" s="208"/>
      <c r="AX708" s="208"/>
      <c r="AY708" s="208"/>
      <c r="AZ708" s="208"/>
      <c r="BA708" s="208"/>
    </row>
    <row r="709" ht="15.75" hidden="1" customHeight="1">
      <c r="A709" s="208"/>
      <c r="B709" s="208"/>
      <c r="C709" s="208"/>
      <c r="D709" s="208"/>
      <c r="E709" s="208"/>
      <c r="F709" s="208"/>
      <c r="G709" s="208"/>
      <c r="H709" s="208"/>
      <c r="I709" s="208"/>
      <c r="J709" s="208"/>
      <c r="K709" s="208"/>
      <c r="L709" s="208"/>
      <c r="M709" s="208"/>
      <c r="N709" s="208"/>
      <c r="O709" s="208"/>
      <c r="P709" s="208"/>
      <c r="Q709" s="208"/>
      <c r="R709" s="208"/>
      <c r="S709" s="208"/>
      <c r="T709" s="208"/>
      <c r="U709" s="208"/>
      <c r="V709" s="208"/>
      <c r="W709" s="208"/>
      <c r="X709" s="208"/>
      <c r="Y709" s="208"/>
      <c r="Z709" s="208"/>
      <c r="AA709" s="208"/>
      <c r="AB709" s="208"/>
      <c r="AC709" s="208"/>
      <c r="AD709" s="208"/>
      <c r="AE709" s="208"/>
      <c r="AF709" s="208"/>
      <c r="AG709" s="208"/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  <c r="AT709" s="208"/>
      <c r="AU709" s="208"/>
      <c r="AV709" s="208"/>
      <c r="AW709" s="208"/>
      <c r="AX709" s="208"/>
      <c r="AY709" s="208"/>
      <c r="AZ709" s="208"/>
      <c r="BA709" s="208"/>
    </row>
    <row r="710" ht="15.75" hidden="1" customHeight="1">
      <c r="A710" s="208"/>
      <c r="B710" s="208"/>
      <c r="C710" s="208"/>
      <c r="D710" s="208"/>
      <c r="E710" s="208"/>
      <c r="F710" s="208"/>
      <c r="G710" s="208"/>
      <c r="H710" s="208"/>
      <c r="I710" s="208"/>
      <c r="J710" s="208"/>
      <c r="K710" s="208"/>
      <c r="L710" s="208"/>
      <c r="M710" s="208"/>
      <c r="N710" s="208"/>
      <c r="O710" s="208"/>
      <c r="P710" s="208"/>
      <c r="Q710" s="208"/>
      <c r="R710" s="208"/>
      <c r="S710" s="208"/>
      <c r="T710" s="208"/>
      <c r="U710" s="208"/>
      <c r="V710" s="208"/>
      <c r="W710" s="208"/>
      <c r="X710" s="208"/>
      <c r="Y710" s="208"/>
      <c r="Z710" s="208"/>
      <c r="AA710" s="208"/>
      <c r="AB710" s="208"/>
      <c r="AC710" s="208"/>
      <c r="AD710" s="208"/>
      <c r="AE710" s="208"/>
      <c r="AF710" s="208"/>
      <c r="AG710" s="208"/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8"/>
      <c r="AT710" s="208"/>
      <c r="AU710" s="208"/>
      <c r="AV710" s="208"/>
      <c r="AW710" s="208"/>
      <c r="AX710" s="208"/>
      <c r="AY710" s="208"/>
      <c r="AZ710" s="208"/>
      <c r="BA710" s="208"/>
    </row>
    <row r="711" ht="15.75" hidden="1" customHeight="1">
      <c r="A711" s="208"/>
      <c r="B711" s="208"/>
      <c r="C711" s="208"/>
      <c r="D711" s="208"/>
      <c r="E711" s="208"/>
      <c r="F711" s="208"/>
      <c r="G711" s="208"/>
      <c r="H711" s="208"/>
      <c r="I711" s="208"/>
      <c r="J711" s="208"/>
      <c r="K711" s="208"/>
      <c r="L711" s="208"/>
      <c r="M711" s="208"/>
      <c r="N711" s="208"/>
      <c r="O711" s="208"/>
      <c r="P711" s="208"/>
      <c r="Q711" s="208"/>
      <c r="R711" s="208"/>
      <c r="S711" s="208"/>
      <c r="T711" s="208"/>
      <c r="U711" s="208"/>
      <c r="V711" s="208"/>
      <c r="W711" s="208"/>
      <c r="X711" s="208"/>
      <c r="Y711" s="208"/>
      <c r="Z711" s="208"/>
      <c r="AA711" s="208"/>
      <c r="AB711" s="208"/>
      <c r="AC711" s="208"/>
      <c r="AD711" s="208"/>
      <c r="AE711" s="208"/>
      <c r="AF711" s="208"/>
      <c r="AG711" s="208"/>
      <c r="AH711" s="208"/>
      <c r="AI711" s="208"/>
      <c r="AJ711" s="208"/>
      <c r="AK711" s="208"/>
      <c r="AL711" s="208"/>
      <c r="AM711" s="208"/>
      <c r="AN711" s="208"/>
      <c r="AO711" s="208"/>
      <c r="AP711" s="208"/>
      <c r="AQ711" s="208"/>
      <c r="AR711" s="208"/>
      <c r="AS711" s="208"/>
      <c r="AT711" s="208"/>
      <c r="AU711" s="208"/>
      <c r="AV711" s="208"/>
      <c r="AW711" s="208"/>
      <c r="AX711" s="208"/>
      <c r="AY711" s="208"/>
      <c r="AZ711" s="208"/>
      <c r="BA711" s="208"/>
    </row>
    <row r="712" ht="15.75" hidden="1" customHeight="1">
      <c r="A712" s="208"/>
      <c r="B712" s="208"/>
      <c r="C712" s="208"/>
      <c r="D712" s="208"/>
      <c r="E712" s="208"/>
      <c r="F712" s="208"/>
      <c r="G712" s="208"/>
      <c r="H712" s="208"/>
      <c r="I712" s="208"/>
      <c r="J712" s="208"/>
      <c r="K712" s="208"/>
      <c r="L712" s="208"/>
      <c r="M712" s="208"/>
      <c r="N712" s="208"/>
      <c r="O712" s="208"/>
      <c r="P712" s="208"/>
      <c r="Q712" s="208"/>
      <c r="R712" s="208"/>
      <c r="S712" s="208"/>
      <c r="T712" s="208"/>
      <c r="U712" s="208"/>
      <c r="V712" s="208"/>
      <c r="W712" s="208"/>
      <c r="X712" s="208"/>
      <c r="Y712" s="208"/>
      <c r="Z712" s="208"/>
      <c r="AA712" s="208"/>
      <c r="AB712" s="208"/>
      <c r="AC712" s="208"/>
      <c r="AD712" s="208"/>
      <c r="AE712" s="208"/>
      <c r="AF712" s="208"/>
      <c r="AG712" s="208"/>
      <c r="AH712" s="208"/>
      <c r="AI712" s="208"/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08"/>
      <c r="AT712" s="208"/>
      <c r="AU712" s="208"/>
      <c r="AV712" s="208"/>
      <c r="AW712" s="208"/>
      <c r="AX712" s="208"/>
      <c r="AY712" s="208"/>
      <c r="AZ712" s="208"/>
      <c r="BA712" s="208"/>
    </row>
    <row r="713" ht="15.75" hidden="1" customHeight="1">
      <c r="A713" s="208"/>
      <c r="B713" s="208"/>
      <c r="C713" s="208"/>
      <c r="D713" s="208"/>
      <c r="E713" s="208"/>
      <c r="F713" s="208"/>
      <c r="G713" s="208"/>
      <c r="H713" s="208"/>
      <c r="I713" s="208"/>
      <c r="J713" s="208"/>
      <c r="K713" s="208"/>
      <c r="L713" s="208"/>
      <c r="M713" s="208"/>
      <c r="N713" s="208"/>
      <c r="O713" s="208"/>
      <c r="P713" s="208"/>
      <c r="Q713" s="208"/>
      <c r="R713" s="208"/>
      <c r="S713" s="208"/>
      <c r="T713" s="208"/>
      <c r="U713" s="208"/>
      <c r="V713" s="208"/>
      <c r="W713" s="208"/>
      <c r="X713" s="208"/>
      <c r="Y713" s="208"/>
      <c r="Z713" s="208"/>
      <c r="AA713" s="208"/>
      <c r="AB713" s="208"/>
      <c r="AC713" s="208"/>
      <c r="AD713" s="208"/>
      <c r="AE713" s="208"/>
      <c r="AF713" s="208"/>
      <c r="AG713" s="208"/>
      <c r="AH713" s="208"/>
      <c r="AI713" s="208"/>
      <c r="AJ713" s="208"/>
      <c r="AK713" s="208"/>
      <c r="AL713" s="208"/>
      <c r="AM713" s="208"/>
      <c r="AN713" s="208"/>
      <c r="AO713" s="208"/>
      <c r="AP713" s="208"/>
      <c r="AQ713" s="208"/>
      <c r="AR713" s="208"/>
      <c r="AS713" s="208"/>
      <c r="AT713" s="208"/>
      <c r="AU713" s="208"/>
      <c r="AV713" s="208"/>
      <c r="AW713" s="208"/>
      <c r="AX713" s="208"/>
      <c r="AY713" s="208"/>
      <c r="AZ713" s="208"/>
      <c r="BA713" s="208"/>
    </row>
    <row r="714" ht="15.75" hidden="1" customHeight="1">
      <c r="A714" s="208"/>
      <c r="B714" s="208"/>
      <c r="C714" s="208"/>
      <c r="D714" s="208"/>
      <c r="E714" s="208"/>
      <c r="F714" s="208"/>
      <c r="G714" s="208"/>
      <c r="H714" s="208"/>
      <c r="I714" s="208"/>
      <c r="J714" s="208"/>
      <c r="K714" s="208"/>
      <c r="L714" s="208"/>
      <c r="M714" s="208"/>
      <c r="N714" s="208"/>
      <c r="O714" s="208"/>
      <c r="P714" s="208"/>
      <c r="Q714" s="208"/>
      <c r="R714" s="208"/>
      <c r="S714" s="208"/>
      <c r="T714" s="208"/>
      <c r="U714" s="208"/>
      <c r="V714" s="208"/>
      <c r="W714" s="208"/>
      <c r="X714" s="208"/>
      <c r="Y714" s="208"/>
      <c r="Z714" s="208"/>
      <c r="AA714" s="208"/>
      <c r="AB714" s="208"/>
      <c r="AC714" s="208"/>
      <c r="AD714" s="208"/>
      <c r="AE714" s="208"/>
      <c r="AF714" s="208"/>
      <c r="AG714" s="208"/>
      <c r="AH714" s="208"/>
      <c r="AI714" s="208"/>
      <c r="AJ714" s="208"/>
      <c r="AK714" s="208"/>
      <c r="AL714" s="208"/>
      <c r="AM714" s="208"/>
      <c r="AN714" s="208"/>
      <c r="AO714" s="208"/>
      <c r="AP714" s="208"/>
      <c r="AQ714" s="208"/>
      <c r="AR714" s="208"/>
      <c r="AS714" s="208"/>
      <c r="AT714" s="208"/>
      <c r="AU714" s="208"/>
      <c r="AV714" s="208"/>
      <c r="AW714" s="208"/>
      <c r="AX714" s="208"/>
      <c r="AY714" s="208"/>
      <c r="AZ714" s="208"/>
      <c r="BA714" s="208"/>
    </row>
    <row r="715" ht="15.75" hidden="1" customHeight="1">
      <c r="A715" s="208"/>
      <c r="B715" s="208"/>
      <c r="C715" s="208"/>
      <c r="D715" s="208"/>
      <c r="E715" s="208"/>
      <c r="F715" s="208"/>
      <c r="G715" s="208"/>
      <c r="H715" s="208"/>
      <c r="I715" s="208"/>
      <c r="J715" s="208"/>
      <c r="K715" s="208"/>
      <c r="L715" s="208"/>
      <c r="M715" s="208"/>
      <c r="N715" s="208"/>
      <c r="O715" s="208"/>
      <c r="P715" s="208"/>
      <c r="Q715" s="208"/>
      <c r="R715" s="208"/>
      <c r="S715" s="208"/>
      <c r="T715" s="208"/>
      <c r="U715" s="208"/>
      <c r="V715" s="208"/>
      <c r="W715" s="208"/>
      <c r="X715" s="208"/>
      <c r="Y715" s="208"/>
      <c r="Z715" s="208"/>
      <c r="AA715" s="208"/>
      <c r="AB715" s="208"/>
      <c r="AC715" s="208"/>
      <c r="AD715" s="208"/>
      <c r="AE715" s="208"/>
      <c r="AF715" s="208"/>
      <c r="AG715" s="208"/>
      <c r="AH715" s="208"/>
      <c r="AI715" s="208"/>
      <c r="AJ715" s="208"/>
      <c r="AK715" s="208"/>
      <c r="AL715" s="208"/>
      <c r="AM715" s="208"/>
      <c r="AN715" s="208"/>
      <c r="AO715" s="208"/>
      <c r="AP715" s="208"/>
      <c r="AQ715" s="208"/>
      <c r="AR715" s="208"/>
      <c r="AS715" s="208"/>
      <c r="AT715" s="208"/>
      <c r="AU715" s="208"/>
      <c r="AV715" s="208"/>
      <c r="AW715" s="208"/>
      <c r="AX715" s="208"/>
      <c r="AY715" s="208"/>
      <c r="AZ715" s="208"/>
      <c r="BA715" s="208"/>
    </row>
    <row r="716" ht="15.75" hidden="1" customHeight="1">
      <c r="A716" s="208"/>
      <c r="B716" s="208"/>
      <c r="C716" s="208"/>
      <c r="D716" s="208"/>
      <c r="E716" s="208"/>
      <c r="F716" s="208"/>
      <c r="G716" s="208"/>
      <c r="H716" s="208"/>
      <c r="I716" s="208"/>
      <c r="J716" s="208"/>
      <c r="K716" s="208"/>
      <c r="L716" s="208"/>
      <c r="M716" s="208"/>
      <c r="N716" s="208"/>
      <c r="O716" s="208"/>
      <c r="P716" s="208"/>
      <c r="Q716" s="208"/>
      <c r="R716" s="208"/>
      <c r="S716" s="208"/>
      <c r="T716" s="208"/>
      <c r="U716" s="208"/>
      <c r="V716" s="208"/>
      <c r="W716" s="208"/>
      <c r="X716" s="208"/>
      <c r="Y716" s="208"/>
      <c r="Z716" s="208"/>
      <c r="AA716" s="208"/>
      <c r="AB716" s="208"/>
      <c r="AC716" s="208"/>
      <c r="AD716" s="208"/>
      <c r="AE716" s="208"/>
      <c r="AF716" s="208"/>
      <c r="AG716" s="208"/>
      <c r="AH716" s="208"/>
      <c r="AI716" s="208"/>
      <c r="AJ716" s="208"/>
      <c r="AK716" s="208"/>
      <c r="AL716" s="208"/>
      <c r="AM716" s="208"/>
      <c r="AN716" s="208"/>
      <c r="AO716" s="208"/>
      <c r="AP716" s="208"/>
      <c r="AQ716" s="208"/>
      <c r="AR716" s="208"/>
      <c r="AS716" s="208"/>
      <c r="AT716" s="208"/>
      <c r="AU716" s="208"/>
      <c r="AV716" s="208"/>
      <c r="AW716" s="208"/>
      <c r="AX716" s="208"/>
      <c r="AY716" s="208"/>
      <c r="AZ716" s="208"/>
      <c r="BA716" s="208"/>
    </row>
    <row r="717" ht="15.75" hidden="1" customHeight="1">
      <c r="A717" s="208"/>
      <c r="B717" s="208"/>
      <c r="C717" s="208"/>
      <c r="D717" s="208"/>
      <c r="E717" s="208"/>
      <c r="F717" s="208"/>
      <c r="G717" s="208"/>
      <c r="H717" s="208"/>
      <c r="I717" s="208"/>
      <c r="J717" s="208"/>
      <c r="K717" s="208"/>
      <c r="L717" s="208"/>
      <c r="M717" s="208"/>
      <c r="N717" s="208"/>
      <c r="O717" s="208"/>
      <c r="P717" s="208"/>
      <c r="Q717" s="208"/>
      <c r="R717" s="208"/>
      <c r="S717" s="208"/>
      <c r="T717" s="208"/>
      <c r="U717" s="208"/>
      <c r="V717" s="208"/>
      <c r="W717" s="208"/>
      <c r="X717" s="208"/>
      <c r="Y717" s="208"/>
      <c r="Z717" s="208"/>
      <c r="AA717" s="208"/>
      <c r="AB717" s="208"/>
      <c r="AC717" s="208"/>
      <c r="AD717" s="208"/>
      <c r="AE717" s="208"/>
      <c r="AF717" s="208"/>
      <c r="AG717" s="208"/>
      <c r="AH717" s="208"/>
      <c r="AI717" s="208"/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08"/>
      <c r="AU717" s="208"/>
      <c r="AV717" s="208"/>
      <c r="AW717" s="208"/>
      <c r="AX717" s="208"/>
      <c r="AY717" s="208"/>
      <c r="AZ717" s="208"/>
      <c r="BA717" s="208"/>
    </row>
    <row r="718" ht="15.75" hidden="1" customHeight="1">
      <c r="A718" s="208"/>
      <c r="B718" s="208"/>
      <c r="C718" s="208"/>
      <c r="D718" s="208"/>
      <c r="E718" s="208"/>
      <c r="F718" s="208"/>
      <c r="G718" s="208"/>
      <c r="H718" s="208"/>
      <c r="I718" s="208"/>
      <c r="J718" s="208"/>
      <c r="K718" s="208"/>
      <c r="L718" s="208"/>
      <c r="M718" s="208"/>
      <c r="N718" s="208"/>
      <c r="O718" s="208"/>
      <c r="P718" s="208"/>
      <c r="Q718" s="208"/>
      <c r="R718" s="208"/>
      <c r="S718" s="208"/>
      <c r="T718" s="208"/>
      <c r="U718" s="208"/>
      <c r="V718" s="208"/>
      <c r="W718" s="208"/>
      <c r="X718" s="208"/>
      <c r="Y718" s="208"/>
      <c r="Z718" s="208"/>
      <c r="AA718" s="208"/>
      <c r="AB718" s="208"/>
      <c r="AC718" s="208"/>
      <c r="AD718" s="208"/>
      <c r="AE718" s="208"/>
      <c r="AF718" s="208"/>
      <c r="AG718" s="208"/>
      <c r="AH718" s="208"/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08"/>
      <c r="AU718" s="208"/>
      <c r="AV718" s="208"/>
      <c r="AW718" s="208"/>
      <c r="AX718" s="208"/>
      <c r="AY718" s="208"/>
      <c r="AZ718" s="208"/>
      <c r="BA718" s="208"/>
    </row>
    <row r="719" ht="15.75" hidden="1" customHeight="1">
      <c r="A719" s="208"/>
      <c r="B719" s="208"/>
      <c r="C719" s="208"/>
      <c r="D719" s="208"/>
      <c r="E719" s="208"/>
      <c r="F719" s="208"/>
      <c r="G719" s="208"/>
      <c r="H719" s="208"/>
      <c r="I719" s="208"/>
      <c r="J719" s="208"/>
      <c r="K719" s="208"/>
      <c r="L719" s="208"/>
      <c r="M719" s="208"/>
      <c r="N719" s="208"/>
      <c r="O719" s="208"/>
      <c r="P719" s="208"/>
      <c r="Q719" s="208"/>
      <c r="R719" s="208"/>
      <c r="S719" s="208"/>
      <c r="T719" s="208"/>
      <c r="U719" s="208"/>
      <c r="V719" s="208"/>
      <c r="W719" s="208"/>
      <c r="X719" s="208"/>
      <c r="Y719" s="208"/>
      <c r="Z719" s="208"/>
      <c r="AA719" s="208"/>
      <c r="AB719" s="208"/>
      <c r="AC719" s="208"/>
      <c r="AD719" s="208"/>
      <c r="AE719" s="208"/>
      <c r="AF719" s="208"/>
      <c r="AG719" s="208"/>
      <c r="AH719" s="208"/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/>
      <c r="AV719" s="208"/>
      <c r="AW719" s="208"/>
      <c r="AX719" s="208"/>
      <c r="AY719" s="208"/>
      <c r="AZ719" s="208"/>
      <c r="BA719" s="208"/>
    </row>
    <row r="720" ht="15.75" hidden="1" customHeight="1">
      <c r="A720" s="208"/>
      <c r="B720" s="208"/>
      <c r="C720" s="208"/>
      <c r="D720" s="208"/>
      <c r="E720" s="208"/>
      <c r="F720" s="208"/>
      <c r="G720" s="208"/>
      <c r="H720" s="208"/>
      <c r="I720" s="208"/>
      <c r="J720" s="208"/>
      <c r="K720" s="208"/>
      <c r="L720" s="208"/>
      <c r="M720" s="208"/>
      <c r="N720" s="208"/>
      <c r="O720" s="208"/>
      <c r="P720" s="208"/>
      <c r="Q720" s="208"/>
      <c r="R720" s="208"/>
      <c r="S720" s="208"/>
      <c r="T720" s="208"/>
      <c r="U720" s="208"/>
      <c r="V720" s="208"/>
      <c r="W720" s="208"/>
      <c r="X720" s="208"/>
      <c r="Y720" s="208"/>
      <c r="Z720" s="208"/>
      <c r="AA720" s="208"/>
      <c r="AB720" s="208"/>
      <c r="AC720" s="208"/>
      <c r="AD720" s="208"/>
      <c r="AE720" s="208"/>
      <c r="AF720" s="208"/>
      <c r="AG720" s="208"/>
      <c r="AH720" s="208"/>
      <c r="AI720" s="208"/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  <c r="AT720" s="208"/>
      <c r="AU720" s="208"/>
      <c r="AV720" s="208"/>
      <c r="AW720" s="208"/>
      <c r="AX720" s="208"/>
      <c r="AY720" s="208"/>
      <c r="AZ720" s="208"/>
      <c r="BA720" s="208"/>
    </row>
    <row r="721" ht="15.75" hidden="1" customHeight="1">
      <c r="A721" s="208"/>
      <c r="B721" s="208"/>
      <c r="C721" s="208"/>
      <c r="D721" s="208"/>
      <c r="E721" s="208"/>
      <c r="F721" s="208"/>
      <c r="G721" s="208"/>
      <c r="H721" s="208"/>
      <c r="I721" s="208"/>
      <c r="J721" s="208"/>
      <c r="K721" s="208"/>
      <c r="L721" s="208"/>
      <c r="M721" s="208"/>
      <c r="N721" s="208"/>
      <c r="O721" s="208"/>
      <c r="P721" s="208"/>
      <c r="Q721" s="208"/>
      <c r="R721" s="208"/>
      <c r="S721" s="208"/>
      <c r="T721" s="208"/>
      <c r="U721" s="208"/>
      <c r="V721" s="208"/>
      <c r="W721" s="208"/>
      <c r="X721" s="208"/>
      <c r="Y721" s="208"/>
      <c r="Z721" s="208"/>
      <c r="AA721" s="208"/>
      <c r="AB721" s="208"/>
      <c r="AC721" s="208"/>
      <c r="AD721" s="208"/>
      <c r="AE721" s="208"/>
      <c r="AF721" s="208"/>
      <c r="AG721" s="208"/>
      <c r="AH721" s="208"/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</row>
    <row r="722" ht="15.75" hidden="1" customHeight="1">
      <c r="A722" s="208"/>
      <c r="B722" s="208"/>
      <c r="C722" s="208"/>
      <c r="D722" s="208"/>
      <c r="E722" s="208"/>
      <c r="F722" s="208"/>
      <c r="G722" s="208"/>
      <c r="H722" s="208"/>
      <c r="I722" s="208"/>
      <c r="J722" s="208"/>
      <c r="K722" s="208"/>
      <c r="L722" s="208"/>
      <c r="M722" s="208"/>
      <c r="N722" s="208"/>
      <c r="O722" s="208"/>
      <c r="P722" s="208"/>
      <c r="Q722" s="208"/>
      <c r="R722" s="208"/>
      <c r="S722" s="208"/>
      <c r="T722" s="208"/>
      <c r="U722" s="208"/>
      <c r="V722" s="208"/>
      <c r="W722" s="208"/>
      <c r="X722" s="208"/>
      <c r="Y722" s="208"/>
      <c r="Z722" s="208"/>
      <c r="AA722" s="208"/>
      <c r="AB722" s="208"/>
      <c r="AC722" s="208"/>
      <c r="AD722" s="208"/>
      <c r="AE722" s="208"/>
      <c r="AF722" s="208"/>
      <c r="AG722" s="208"/>
      <c r="AH722" s="208"/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</row>
    <row r="723" ht="15.75" hidden="1" customHeight="1">
      <c r="A723" s="208"/>
      <c r="B723" s="208"/>
      <c r="C723" s="208"/>
      <c r="D723" s="208"/>
      <c r="E723" s="208"/>
      <c r="F723" s="208"/>
      <c r="G723" s="208"/>
      <c r="H723" s="208"/>
      <c r="I723" s="208"/>
      <c r="J723" s="208"/>
      <c r="K723" s="208"/>
      <c r="L723" s="208"/>
      <c r="M723" s="208"/>
      <c r="N723" s="208"/>
      <c r="O723" s="208"/>
      <c r="P723" s="208"/>
      <c r="Q723" s="208"/>
      <c r="R723" s="208"/>
      <c r="S723" s="208"/>
      <c r="T723" s="208"/>
      <c r="U723" s="208"/>
      <c r="V723" s="208"/>
      <c r="W723" s="208"/>
      <c r="X723" s="208"/>
      <c r="Y723" s="208"/>
      <c r="Z723" s="208"/>
      <c r="AA723" s="208"/>
      <c r="AB723" s="208"/>
      <c r="AC723" s="208"/>
      <c r="AD723" s="208"/>
      <c r="AE723" s="208"/>
      <c r="AF723" s="208"/>
      <c r="AG723" s="208"/>
      <c r="AH723" s="208"/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  <c r="AT723" s="208"/>
      <c r="AU723" s="208"/>
      <c r="AV723" s="208"/>
      <c r="AW723" s="208"/>
      <c r="AX723" s="208"/>
      <c r="AY723" s="208"/>
      <c r="AZ723" s="208"/>
      <c r="BA723" s="208"/>
    </row>
    <row r="724" ht="15.75" hidden="1" customHeight="1">
      <c r="A724" s="208"/>
      <c r="B724" s="208"/>
      <c r="C724" s="208"/>
      <c r="D724" s="208"/>
      <c r="E724" s="208"/>
      <c r="F724" s="208"/>
      <c r="G724" s="208"/>
      <c r="H724" s="208"/>
      <c r="I724" s="208"/>
      <c r="J724" s="208"/>
      <c r="K724" s="208"/>
      <c r="L724" s="208"/>
      <c r="M724" s="208"/>
      <c r="N724" s="208"/>
      <c r="O724" s="208"/>
      <c r="P724" s="208"/>
      <c r="Q724" s="208"/>
      <c r="R724" s="208"/>
      <c r="S724" s="208"/>
      <c r="T724" s="208"/>
      <c r="U724" s="208"/>
      <c r="V724" s="208"/>
      <c r="W724" s="208"/>
      <c r="X724" s="208"/>
      <c r="Y724" s="208"/>
      <c r="Z724" s="208"/>
      <c r="AA724" s="208"/>
      <c r="AB724" s="208"/>
      <c r="AC724" s="208"/>
      <c r="AD724" s="208"/>
      <c r="AE724" s="208"/>
      <c r="AF724" s="208"/>
      <c r="AG724" s="208"/>
      <c r="AH724" s="208"/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</row>
    <row r="725" ht="15.75" hidden="1" customHeight="1">
      <c r="A725" s="208"/>
      <c r="B725" s="208"/>
      <c r="C725" s="208"/>
      <c r="D725" s="208"/>
      <c r="E725" s="208"/>
      <c r="F725" s="208"/>
      <c r="G725" s="208"/>
      <c r="H725" s="208"/>
      <c r="I725" s="208"/>
      <c r="J725" s="208"/>
      <c r="K725" s="208"/>
      <c r="L725" s="208"/>
      <c r="M725" s="208"/>
      <c r="N725" s="208"/>
      <c r="O725" s="208"/>
      <c r="P725" s="208"/>
      <c r="Q725" s="208"/>
      <c r="R725" s="208"/>
      <c r="S725" s="208"/>
      <c r="T725" s="208"/>
      <c r="U725" s="208"/>
      <c r="V725" s="208"/>
      <c r="W725" s="208"/>
      <c r="X725" s="208"/>
      <c r="Y725" s="208"/>
      <c r="Z725" s="208"/>
      <c r="AA725" s="208"/>
      <c r="AB725" s="208"/>
      <c r="AC725" s="208"/>
      <c r="AD725" s="208"/>
      <c r="AE725" s="208"/>
      <c r="AF725" s="208"/>
      <c r="AG725" s="208"/>
      <c r="AH725" s="208"/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08"/>
      <c r="AT725" s="208"/>
      <c r="AU725" s="208"/>
      <c r="AV725" s="208"/>
      <c r="AW725" s="208"/>
      <c r="AX725" s="208"/>
      <c r="AY725" s="208"/>
      <c r="AZ725" s="208"/>
      <c r="BA725" s="208"/>
    </row>
    <row r="726" ht="15.75" hidden="1" customHeight="1">
      <c r="A726" s="208"/>
      <c r="B726" s="208"/>
      <c r="C726" s="208"/>
      <c r="D726" s="208"/>
      <c r="E726" s="208"/>
      <c r="F726" s="208"/>
      <c r="G726" s="208"/>
      <c r="H726" s="208"/>
      <c r="I726" s="208"/>
      <c r="J726" s="208"/>
      <c r="K726" s="208"/>
      <c r="L726" s="208"/>
      <c r="M726" s="208"/>
      <c r="N726" s="208"/>
      <c r="O726" s="208"/>
      <c r="P726" s="208"/>
      <c r="Q726" s="208"/>
      <c r="R726" s="208"/>
      <c r="S726" s="208"/>
      <c r="T726" s="208"/>
      <c r="U726" s="208"/>
      <c r="V726" s="208"/>
      <c r="W726" s="208"/>
      <c r="X726" s="208"/>
      <c r="Y726" s="208"/>
      <c r="Z726" s="208"/>
      <c r="AA726" s="208"/>
      <c r="AB726" s="208"/>
      <c r="AC726" s="208"/>
      <c r="AD726" s="208"/>
      <c r="AE726" s="208"/>
      <c r="AF726" s="208"/>
      <c r="AG726" s="208"/>
      <c r="AH726" s="208"/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08"/>
      <c r="AT726" s="208"/>
      <c r="AU726" s="208"/>
      <c r="AV726" s="208"/>
      <c r="AW726" s="208"/>
      <c r="AX726" s="208"/>
      <c r="AY726" s="208"/>
      <c r="AZ726" s="208"/>
      <c r="BA726" s="208"/>
    </row>
    <row r="727" ht="15.75" hidden="1" customHeight="1">
      <c r="A727" s="208"/>
      <c r="B727" s="208"/>
      <c r="C727" s="208"/>
      <c r="D727" s="208"/>
      <c r="E727" s="208"/>
      <c r="F727" s="208"/>
      <c r="G727" s="208"/>
      <c r="H727" s="208"/>
      <c r="I727" s="208"/>
      <c r="J727" s="208"/>
      <c r="K727" s="208"/>
      <c r="L727" s="208"/>
      <c r="M727" s="208"/>
      <c r="N727" s="208"/>
      <c r="O727" s="208"/>
      <c r="P727" s="208"/>
      <c r="Q727" s="208"/>
      <c r="R727" s="208"/>
      <c r="S727" s="208"/>
      <c r="T727" s="208"/>
      <c r="U727" s="208"/>
      <c r="V727" s="208"/>
      <c r="W727" s="208"/>
      <c r="X727" s="208"/>
      <c r="Y727" s="208"/>
      <c r="Z727" s="208"/>
      <c r="AA727" s="208"/>
      <c r="AB727" s="208"/>
      <c r="AC727" s="208"/>
      <c r="AD727" s="208"/>
      <c r="AE727" s="208"/>
      <c r="AF727" s="208"/>
      <c r="AG727" s="208"/>
      <c r="AH727" s="208"/>
      <c r="AI727" s="208"/>
      <c r="AJ727" s="208"/>
      <c r="AK727" s="208"/>
      <c r="AL727" s="208"/>
      <c r="AM727" s="208"/>
      <c r="AN727" s="208"/>
      <c r="AO727" s="208"/>
      <c r="AP727" s="208"/>
      <c r="AQ727" s="208"/>
      <c r="AR727" s="208"/>
      <c r="AS727" s="208"/>
      <c r="AT727" s="208"/>
      <c r="AU727" s="208"/>
      <c r="AV727" s="208"/>
      <c r="AW727" s="208"/>
      <c r="AX727" s="208"/>
      <c r="AY727" s="208"/>
      <c r="AZ727" s="208"/>
      <c r="BA727" s="208"/>
    </row>
    <row r="728" ht="15.75" hidden="1" customHeight="1">
      <c r="A728" s="208"/>
      <c r="B728" s="208"/>
      <c r="C728" s="208"/>
      <c r="D728" s="208"/>
      <c r="E728" s="208"/>
      <c r="F728" s="208"/>
      <c r="G728" s="208"/>
      <c r="H728" s="208"/>
      <c r="I728" s="208"/>
      <c r="J728" s="208"/>
      <c r="K728" s="208"/>
      <c r="L728" s="208"/>
      <c r="M728" s="208"/>
      <c r="N728" s="208"/>
      <c r="O728" s="208"/>
      <c r="P728" s="208"/>
      <c r="Q728" s="208"/>
      <c r="R728" s="208"/>
      <c r="S728" s="208"/>
      <c r="T728" s="208"/>
      <c r="U728" s="208"/>
      <c r="V728" s="208"/>
      <c r="W728" s="208"/>
      <c r="X728" s="208"/>
      <c r="Y728" s="208"/>
      <c r="Z728" s="208"/>
      <c r="AA728" s="208"/>
      <c r="AB728" s="208"/>
      <c r="AC728" s="208"/>
      <c r="AD728" s="208"/>
      <c r="AE728" s="208"/>
      <c r="AF728" s="208"/>
      <c r="AG728" s="208"/>
      <c r="AH728" s="208"/>
      <c r="AI728" s="208"/>
      <c r="AJ728" s="208"/>
      <c r="AK728" s="208"/>
      <c r="AL728" s="208"/>
      <c r="AM728" s="208"/>
      <c r="AN728" s="208"/>
      <c r="AO728" s="208"/>
      <c r="AP728" s="208"/>
      <c r="AQ728" s="208"/>
      <c r="AR728" s="208"/>
      <c r="AS728" s="208"/>
      <c r="AT728" s="208"/>
      <c r="AU728" s="208"/>
      <c r="AV728" s="208"/>
      <c r="AW728" s="208"/>
      <c r="AX728" s="208"/>
      <c r="AY728" s="208"/>
      <c r="AZ728" s="208"/>
      <c r="BA728" s="208"/>
    </row>
    <row r="729" ht="15.75" hidden="1" customHeight="1">
      <c r="A729" s="208"/>
      <c r="B729" s="208"/>
      <c r="C729" s="208"/>
      <c r="D729" s="208"/>
      <c r="E729" s="208"/>
      <c r="F729" s="208"/>
      <c r="G729" s="208"/>
      <c r="H729" s="208"/>
      <c r="I729" s="208"/>
      <c r="J729" s="208"/>
      <c r="K729" s="208"/>
      <c r="L729" s="208"/>
      <c r="M729" s="208"/>
      <c r="N729" s="208"/>
      <c r="O729" s="208"/>
      <c r="P729" s="208"/>
      <c r="Q729" s="208"/>
      <c r="R729" s="208"/>
      <c r="S729" s="208"/>
      <c r="T729" s="208"/>
      <c r="U729" s="208"/>
      <c r="V729" s="208"/>
      <c r="W729" s="208"/>
      <c r="X729" s="208"/>
      <c r="Y729" s="208"/>
      <c r="Z729" s="208"/>
      <c r="AA729" s="208"/>
      <c r="AB729" s="208"/>
      <c r="AC729" s="208"/>
      <c r="AD729" s="208"/>
      <c r="AE729" s="208"/>
      <c r="AF729" s="208"/>
      <c r="AG729" s="208"/>
      <c r="AH729" s="208"/>
      <c r="AI729" s="208"/>
      <c r="AJ729" s="208"/>
      <c r="AK729" s="208"/>
      <c r="AL729" s="208"/>
      <c r="AM729" s="208"/>
      <c r="AN729" s="208"/>
      <c r="AO729" s="208"/>
      <c r="AP729" s="208"/>
      <c r="AQ729" s="208"/>
      <c r="AR729" s="208"/>
      <c r="AS729" s="208"/>
      <c r="AT729" s="208"/>
      <c r="AU729" s="208"/>
      <c r="AV729" s="208"/>
      <c r="AW729" s="208"/>
      <c r="AX729" s="208"/>
      <c r="AY729" s="208"/>
      <c r="AZ729" s="208"/>
      <c r="BA729" s="208"/>
    </row>
    <row r="730" ht="15.75" hidden="1" customHeight="1">
      <c r="A730" s="208"/>
      <c r="B730" s="208"/>
      <c r="C730" s="208"/>
      <c r="D730" s="208"/>
      <c r="E730" s="208"/>
      <c r="F730" s="208"/>
      <c r="G730" s="208"/>
      <c r="H730" s="208"/>
      <c r="I730" s="208"/>
      <c r="J730" s="208"/>
      <c r="K730" s="208"/>
      <c r="L730" s="208"/>
      <c r="M730" s="208"/>
      <c r="N730" s="208"/>
      <c r="O730" s="208"/>
      <c r="P730" s="208"/>
      <c r="Q730" s="208"/>
      <c r="R730" s="208"/>
      <c r="S730" s="208"/>
      <c r="T730" s="208"/>
      <c r="U730" s="208"/>
      <c r="V730" s="208"/>
      <c r="W730" s="208"/>
      <c r="X730" s="208"/>
      <c r="Y730" s="208"/>
      <c r="Z730" s="208"/>
      <c r="AA730" s="208"/>
      <c r="AB730" s="208"/>
      <c r="AC730" s="208"/>
      <c r="AD730" s="208"/>
      <c r="AE730" s="208"/>
      <c r="AF730" s="208"/>
      <c r="AG730" s="208"/>
      <c r="AH730" s="208"/>
      <c r="AI730" s="208"/>
      <c r="AJ730" s="208"/>
      <c r="AK730" s="208"/>
      <c r="AL730" s="208"/>
      <c r="AM730" s="208"/>
      <c r="AN730" s="208"/>
      <c r="AO730" s="208"/>
      <c r="AP730" s="208"/>
      <c r="AQ730" s="208"/>
      <c r="AR730" s="208"/>
      <c r="AS730" s="208"/>
      <c r="AT730" s="208"/>
      <c r="AU730" s="208"/>
      <c r="AV730" s="208"/>
      <c r="AW730" s="208"/>
      <c r="AX730" s="208"/>
      <c r="AY730" s="208"/>
      <c r="AZ730" s="208"/>
      <c r="BA730" s="208"/>
    </row>
    <row r="731" ht="15.75" hidden="1" customHeight="1">
      <c r="A731" s="208"/>
      <c r="B731" s="208"/>
      <c r="C731" s="208"/>
      <c r="D731" s="208"/>
      <c r="E731" s="208"/>
      <c r="F731" s="208"/>
      <c r="G731" s="208"/>
      <c r="H731" s="208"/>
      <c r="I731" s="208"/>
      <c r="J731" s="208"/>
      <c r="K731" s="208"/>
      <c r="L731" s="208"/>
      <c r="M731" s="208"/>
      <c r="N731" s="208"/>
      <c r="O731" s="208"/>
      <c r="P731" s="208"/>
      <c r="Q731" s="208"/>
      <c r="R731" s="208"/>
      <c r="S731" s="208"/>
      <c r="T731" s="208"/>
      <c r="U731" s="208"/>
      <c r="V731" s="208"/>
      <c r="W731" s="208"/>
      <c r="X731" s="208"/>
      <c r="Y731" s="208"/>
      <c r="Z731" s="208"/>
      <c r="AA731" s="208"/>
      <c r="AB731" s="208"/>
      <c r="AC731" s="208"/>
      <c r="AD731" s="208"/>
      <c r="AE731" s="208"/>
      <c r="AF731" s="208"/>
      <c r="AG731" s="208"/>
      <c r="AH731" s="208"/>
      <c r="AI731" s="208"/>
      <c r="AJ731" s="208"/>
      <c r="AK731" s="208"/>
      <c r="AL731" s="208"/>
      <c r="AM731" s="208"/>
      <c r="AN731" s="208"/>
      <c r="AO731" s="208"/>
      <c r="AP731" s="208"/>
      <c r="AQ731" s="208"/>
      <c r="AR731" s="208"/>
      <c r="AS731" s="208"/>
      <c r="AT731" s="208"/>
      <c r="AU731" s="208"/>
      <c r="AV731" s="208"/>
      <c r="AW731" s="208"/>
      <c r="AX731" s="208"/>
      <c r="AY731" s="208"/>
      <c r="AZ731" s="208"/>
      <c r="BA731" s="208"/>
    </row>
    <row r="732" ht="15.75" hidden="1" customHeight="1">
      <c r="A732" s="208"/>
      <c r="B732" s="208"/>
      <c r="C732" s="208"/>
      <c r="D732" s="208"/>
      <c r="E732" s="208"/>
      <c r="F732" s="208"/>
      <c r="G732" s="208"/>
      <c r="H732" s="208"/>
      <c r="I732" s="208"/>
      <c r="J732" s="208"/>
      <c r="K732" s="208"/>
      <c r="L732" s="208"/>
      <c r="M732" s="208"/>
      <c r="N732" s="208"/>
      <c r="O732" s="208"/>
      <c r="P732" s="208"/>
      <c r="Q732" s="208"/>
      <c r="R732" s="208"/>
      <c r="S732" s="208"/>
      <c r="T732" s="208"/>
      <c r="U732" s="208"/>
      <c r="V732" s="208"/>
      <c r="W732" s="208"/>
      <c r="X732" s="208"/>
      <c r="Y732" s="208"/>
      <c r="Z732" s="208"/>
      <c r="AA732" s="208"/>
      <c r="AB732" s="208"/>
      <c r="AC732" s="208"/>
      <c r="AD732" s="208"/>
      <c r="AE732" s="208"/>
      <c r="AF732" s="208"/>
      <c r="AG732" s="208"/>
      <c r="AH732" s="208"/>
      <c r="AI732" s="208"/>
      <c r="AJ732" s="208"/>
      <c r="AK732" s="208"/>
      <c r="AL732" s="208"/>
      <c r="AM732" s="208"/>
      <c r="AN732" s="208"/>
      <c r="AO732" s="208"/>
      <c r="AP732" s="208"/>
      <c r="AQ732" s="208"/>
      <c r="AR732" s="208"/>
      <c r="AS732" s="208"/>
      <c r="AT732" s="208"/>
      <c r="AU732" s="208"/>
      <c r="AV732" s="208"/>
      <c r="AW732" s="208"/>
      <c r="AX732" s="208"/>
      <c r="AY732" s="208"/>
      <c r="AZ732" s="208"/>
      <c r="BA732" s="208"/>
    </row>
    <row r="733" ht="15.75" hidden="1" customHeight="1">
      <c r="A733" s="208"/>
      <c r="B733" s="208"/>
      <c r="C733" s="208"/>
      <c r="D733" s="208"/>
      <c r="E733" s="208"/>
      <c r="F733" s="208"/>
      <c r="G733" s="208"/>
      <c r="H733" s="208"/>
      <c r="I733" s="208"/>
      <c r="J733" s="208"/>
      <c r="K733" s="208"/>
      <c r="L733" s="208"/>
      <c r="M733" s="208"/>
      <c r="N733" s="208"/>
      <c r="O733" s="208"/>
      <c r="P733" s="208"/>
      <c r="Q733" s="208"/>
      <c r="R733" s="208"/>
      <c r="S733" s="208"/>
      <c r="T733" s="208"/>
      <c r="U733" s="208"/>
      <c r="V733" s="208"/>
      <c r="W733" s="208"/>
      <c r="X733" s="208"/>
      <c r="Y733" s="208"/>
      <c r="Z733" s="208"/>
      <c r="AA733" s="208"/>
      <c r="AB733" s="208"/>
      <c r="AC733" s="208"/>
      <c r="AD733" s="208"/>
      <c r="AE733" s="208"/>
      <c r="AF733" s="208"/>
      <c r="AG733" s="208"/>
      <c r="AH733" s="208"/>
      <c r="AI733" s="208"/>
      <c r="AJ733" s="208"/>
      <c r="AK733" s="208"/>
      <c r="AL733" s="208"/>
      <c r="AM733" s="208"/>
      <c r="AN733" s="208"/>
      <c r="AO733" s="208"/>
      <c r="AP733" s="208"/>
      <c r="AQ733" s="208"/>
      <c r="AR733" s="208"/>
      <c r="AS733" s="208"/>
      <c r="AT733" s="208"/>
      <c r="AU733" s="208"/>
      <c r="AV733" s="208"/>
      <c r="AW733" s="208"/>
      <c r="AX733" s="208"/>
      <c r="AY733" s="208"/>
      <c r="AZ733" s="208"/>
      <c r="BA733" s="208"/>
    </row>
    <row r="734" ht="15.75" hidden="1" customHeight="1">
      <c r="A734" s="208"/>
      <c r="B734" s="208"/>
      <c r="C734" s="208"/>
      <c r="D734" s="208"/>
      <c r="E734" s="208"/>
      <c r="F734" s="208"/>
      <c r="G734" s="208"/>
      <c r="H734" s="208"/>
      <c r="I734" s="208"/>
      <c r="J734" s="208"/>
      <c r="K734" s="208"/>
      <c r="L734" s="208"/>
      <c r="M734" s="208"/>
      <c r="N734" s="208"/>
      <c r="O734" s="208"/>
      <c r="P734" s="208"/>
      <c r="Q734" s="208"/>
      <c r="R734" s="208"/>
      <c r="S734" s="208"/>
      <c r="T734" s="208"/>
      <c r="U734" s="208"/>
      <c r="V734" s="208"/>
      <c r="W734" s="208"/>
      <c r="X734" s="208"/>
      <c r="Y734" s="208"/>
      <c r="Z734" s="208"/>
      <c r="AA734" s="208"/>
      <c r="AB734" s="208"/>
      <c r="AC734" s="208"/>
      <c r="AD734" s="208"/>
      <c r="AE734" s="208"/>
      <c r="AF734" s="208"/>
      <c r="AG734" s="208"/>
      <c r="AH734" s="208"/>
      <c r="AI734" s="208"/>
      <c r="AJ734" s="208"/>
      <c r="AK734" s="208"/>
      <c r="AL734" s="208"/>
      <c r="AM734" s="208"/>
      <c r="AN734" s="208"/>
      <c r="AO734" s="208"/>
      <c r="AP734" s="208"/>
      <c r="AQ734" s="208"/>
      <c r="AR734" s="208"/>
      <c r="AS734" s="208"/>
      <c r="AT734" s="208"/>
      <c r="AU734" s="208"/>
      <c r="AV734" s="208"/>
      <c r="AW734" s="208"/>
      <c r="AX734" s="208"/>
      <c r="AY734" s="208"/>
      <c r="AZ734" s="208"/>
      <c r="BA734" s="208"/>
    </row>
    <row r="735" ht="15.75" hidden="1" customHeight="1">
      <c r="A735" s="208"/>
      <c r="B735" s="208"/>
      <c r="C735" s="208"/>
      <c r="D735" s="208"/>
      <c r="E735" s="208"/>
      <c r="F735" s="208"/>
      <c r="G735" s="208"/>
      <c r="H735" s="208"/>
      <c r="I735" s="208"/>
      <c r="J735" s="208"/>
      <c r="K735" s="208"/>
      <c r="L735" s="208"/>
      <c r="M735" s="208"/>
      <c r="N735" s="208"/>
      <c r="O735" s="208"/>
      <c r="P735" s="208"/>
      <c r="Q735" s="208"/>
      <c r="R735" s="208"/>
      <c r="S735" s="208"/>
      <c r="T735" s="208"/>
      <c r="U735" s="208"/>
      <c r="V735" s="208"/>
      <c r="W735" s="208"/>
      <c r="X735" s="208"/>
      <c r="Y735" s="208"/>
      <c r="Z735" s="208"/>
      <c r="AA735" s="208"/>
      <c r="AB735" s="208"/>
      <c r="AC735" s="208"/>
      <c r="AD735" s="208"/>
      <c r="AE735" s="208"/>
      <c r="AF735" s="208"/>
      <c r="AG735" s="208"/>
      <c r="AH735" s="208"/>
      <c r="AI735" s="208"/>
      <c r="AJ735" s="208"/>
      <c r="AK735" s="208"/>
      <c r="AL735" s="208"/>
      <c r="AM735" s="208"/>
      <c r="AN735" s="208"/>
      <c r="AO735" s="208"/>
      <c r="AP735" s="208"/>
      <c r="AQ735" s="208"/>
      <c r="AR735" s="208"/>
      <c r="AS735" s="208"/>
      <c r="AT735" s="208"/>
      <c r="AU735" s="208"/>
      <c r="AV735" s="208"/>
      <c r="AW735" s="208"/>
      <c r="AX735" s="208"/>
      <c r="AY735" s="208"/>
      <c r="AZ735" s="208"/>
      <c r="BA735" s="208"/>
    </row>
    <row r="736" ht="15.75" hidden="1" customHeight="1">
      <c r="A736" s="208"/>
      <c r="B736" s="208"/>
      <c r="C736" s="208"/>
      <c r="D736" s="208"/>
      <c r="E736" s="208"/>
      <c r="F736" s="208"/>
      <c r="G736" s="208"/>
      <c r="H736" s="208"/>
      <c r="I736" s="208"/>
      <c r="J736" s="208"/>
      <c r="K736" s="208"/>
      <c r="L736" s="208"/>
      <c r="M736" s="208"/>
      <c r="N736" s="208"/>
      <c r="O736" s="208"/>
      <c r="P736" s="208"/>
      <c r="Q736" s="208"/>
      <c r="R736" s="208"/>
      <c r="S736" s="208"/>
      <c r="T736" s="208"/>
      <c r="U736" s="208"/>
      <c r="V736" s="208"/>
      <c r="W736" s="208"/>
      <c r="X736" s="208"/>
      <c r="Y736" s="208"/>
      <c r="Z736" s="208"/>
      <c r="AA736" s="208"/>
      <c r="AB736" s="208"/>
      <c r="AC736" s="208"/>
      <c r="AD736" s="208"/>
      <c r="AE736" s="208"/>
      <c r="AF736" s="208"/>
      <c r="AG736" s="208"/>
      <c r="AH736" s="208"/>
      <c r="AI736" s="208"/>
      <c r="AJ736" s="208"/>
      <c r="AK736" s="208"/>
      <c r="AL736" s="208"/>
      <c r="AM736" s="208"/>
      <c r="AN736" s="208"/>
      <c r="AO736" s="208"/>
      <c r="AP736" s="208"/>
      <c r="AQ736" s="208"/>
      <c r="AR736" s="208"/>
      <c r="AS736" s="208"/>
      <c r="AT736" s="208"/>
      <c r="AU736" s="208"/>
      <c r="AV736" s="208"/>
      <c r="AW736" s="208"/>
      <c r="AX736" s="208"/>
      <c r="AY736" s="208"/>
      <c r="AZ736" s="208"/>
      <c r="BA736" s="208"/>
    </row>
    <row r="737" ht="15.75" hidden="1" customHeight="1">
      <c r="A737" s="208"/>
      <c r="B737" s="208"/>
      <c r="C737" s="208"/>
      <c r="D737" s="208"/>
      <c r="E737" s="208"/>
      <c r="F737" s="208"/>
      <c r="G737" s="208"/>
      <c r="H737" s="208"/>
      <c r="I737" s="208"/>
      <c r="J737" s="208"/>
      <c r="K737" s="208"/>
      <c r="L737" s="208"/>
      <c r="M737" s="208"/>
      <c r="N737" s="208"/>
      <c r="O737" s="208"/>
      <c r="P737" s="208"/>
      <c r="Q737" s="208"/>
      <c r="R737" s="208"/>
      <c r="S737" s="208"/>
      <c r="T737" s="208"/>
      <c r="U737" s="208"/>
      <c r="V737" s="208"/>
      <c r="W737" s="208"/>
      <c r="X737" s="208"/>
      <c r="Y737" s="208"/>
      <c r="Z737" s="208"/>
      <c r="AA737" s="208"/>
      <c r="AB737" s="208"/>
      <c r="AC737" s="208"/>
      <c r="AD737" s="208"/>
      <c r="AE737" s="208"/>
      <c r="AF737" s="208"/>
      <c r="AG737" s="208"/>
      <c r="AH737" s="208"/>
      <c r="AI737" s="208"/>
      <c r="AJ737" s="208"/>
      <c r="AK737" s="208"/>
      <c r="AL737" s="208"/>
      <c r="AM737" s="208"/>
      <c r="AN737" s="208"/>
      <c r="AO737" s="208"/>
      <c r="AP737" s="208"/>
      <c r="AQ737" s="208"/>
      <c r="AR737" s="208"/>
      <c r="AS737" s="208"/>
      <c r="AT737" s="208"/>
      <c r="AU737" s="208"/>
      <c r="AV737" s="208"/>
      <c r="AW737" s="208"/>
      <c r="AX737" s="208"/>
      <c r="AY737" s="208"/>
      <c r="AZ737" s="208"/>
      <c r="BA737" s="208"/>
    </row>
    <row r="738" ht="15.75" hidden="1" customHeight="1">
      <c r="A738" s="208"/>
      <c r="B738" s="208"/>
      <c r="C738" s="208"/>
      <c r="D738" s="208"/>
      <c r="E738" s="208"/>
      <c r="F738" s="208"/>
      <c r="G738" s="208"/>
      <c r="H738" s="208"/>
      <c r="I738" s="208"/>
      <c r="J738" s="208"/>
      <c r="K738" s="208"/>
      <c r="L738" s="208"/>
      <c r="M738" s="208"/>
      <c r="N738" s="208"/>
      <c r="O738" s="208"/>
      <c r="P738" s="208"/>
      <c r="Q738" s="208"/>
      <c r="R738" s="208"/>
      <c r="S738" s="208"/>
      <c r="T738" s="208"/>
      <c r="U738" s="208"/>
      <c r="V738" s="208"/>
      <c r="W738" s="208"/>
      <c r="X738" s="208"/>
      <c r="Y738" s="208"/>
      <c r="Z738" s="208"/>
      <c r="AA738" s="208"/>
      <c r="AB738" s="208"/>
      <c r="AC738" s="208"/>
      <c r="AD738" s="208"/>
      <c r="AE738" s="208"/>
      <c r="AF738" s="208"/>
      <c r="AG738" s="208"/>
      <c r="AH738" s="208"/>
      <c r="AI738" s="208"/>
      <c r="AJ738" s="208"/>
      <c r="AK738" s="208"/>
      <c r="AL738" s="208"/>
      <c r="AM738" s="208"/>
      <c r="AN738" s="208"/>
      <c r="AO738" s="208"/>
      <c r="AP738" s="208"/>
      <c r="AQ738" s="208"/>
      <c r="AR738" s="208"/>
      <c r="AS738" s="208"/>
      <c r="AT738" s="208"/>
      <c r="AU738" s="208"/>
      <c r="AV738" s="208"/>
      <c r="AW738" s="208"/>
      <c r="AX738" s="208"/>
      <c r="AY738" s="208"/>
      <c r="AZ738" s="208"/>
      <c r="BA738" s="208"/>
    </row>
    <row r="739" ht="15.75" hidden="1" customHeight="1">
      <c r="A739" s="208"/>
      <c r="B739" s="208"/>
      <c r="C739" s="208"/>
      <c r="D739" s="208"/>
      <c r="E739" s="208"/>
      <c r="F739" s="208"/>
      <c r="G739" s="208"/>
      <c r="H739" s="208"/>
      <c r="I739" s="208"/>
      <c r="J739" s="208"/>
      <c r="K739" s="208"/>
      <c r="L739" s="208"/>
      <c r="M739" s="208"/>
      <c r="N739" s="208"/>
      <c r="O739" s="208"/>
      <c r="P739" s="208"/>
      <c r="Q739" s="208"/>
      <c r="R739" s="208"/>
      <c r="S739" s="208"/>
      <c r="T739" s="208"/>
      <c r="U739" s="208"/>
      <c r="V739" s="208"/>
      <c r="W739" s="208"/>
      <c r="X739" s="208"/>
      <c r="Y739" s="208"/>
      <c r="Z739" s="208"/>
      <c r="AA739" s="208"/>
      <c r="AB739" s="208"/>
      <c r="AC739" s="208"/>
      <c r="AD739" s="208"/>
      <c r="AE739" s="208"/>
      <c r="AF739" s="208"/>
      <c r="AG739" s="208"/>
      <c r="AH739" s="208"/>
      <c r="AI739" s="208"/>
      <c r="AJ739" s="208"/>
      <c r="AK739" s="208"/>
      <c r="AL739" s="208"/>
      <c r="AM739" s="208"/>
      <c r="AN739" s="208"/>
      <c r="AO739" s="208"/>
      <c r="AP739" s="208"/>
      <c r="AQ739" s="208"/>
      <c r="AR739" s="208"/>
      <c r="AS739" s="208"/>
      <c r="AT739" s="208"/>
      <c r="AU739" s="208"/>
      <c r="AV739" s="208"/>
      <c r="AW739" s="208"/>
      <c r="AX739" s="208"/>
      <c r="AY739" s="208"/>
      <c r="AZ739" s="208"/>
      <c r="BA739" s="208"/>
    </row>
    <row r="740" ht="15.75" hidden="1" customHeight="1">
      <c r="A740" s="208"/>
      <c r="B740" s="208"/>
      <c r="C740" s="208"/>
      <c r="D740" s="208"/>
      <c r="E740" s="208"/>
      <c r="F740" s="208"/>
      <c r="G740" s="208"/>
      <c r="H740" s="208"/>
      <c r="I740" s="208"/>
      <c r="J740" s="208"/>
      <c r="K740" s="208"/>
      <c r="L740" s="208"/>
      <c r="M740" s="208"/>
      <c r="N740" s="208"/>
      <c r="O740" s="208"/>
      <c r="P740" s="208"/>
      <c r="Q740" s="208"/>
      <c r="R740" s="208"/>
      <c r="S740" s="208"/>
      <c r="T740" s="208"/>
      <c r="U740" s="208"/>
      <c r="V740" s="208"/>
      <c r="W740" s="208"/>
      <c r="X740" s="208"/>
      <c r="Y740" s="208"/>
      <c r="Z740" s="208"/>
      <c r="AA740" s="208"/>
      <c r="AB740" s="208"/>
      <c r="AC740" s="208"/>
      <c r="AD740" s="208"/>
      <c r="AE740" s="208"/>
      <c r="AF740" s="208"/>
      <c r="AG740" s="208"/>
      <c r="AH740" s="208"/>
      <c r="AI740" s="208"/>
      <c r="AJ740" s="208"/>
      <c r="AK740" s="208"/>
      <c r="AL740" s="208"/>
      <c r="AM740" s="208"/>
      <c r="AN740" s="208"/>
      <c r="AO740" s="208"/>
      <c r="AP740" s="208"/>
      <c r="AQ740" s="208"/>
      <c r="AR740" s="208"/>
      <c r="AS740" s="208"/>
      <c r="AT740" s="208"/>
      <c r="AU740" s="208"/>
      <c r="AV740" s="208"/>
      <c r="AW740" s="208"/>
      <c r="AX740" s="208"/>
      <c r="AY740" s="208"/>
      <c r="AZ740" s="208"/>
      <c r="BA740" s="208"/>
    </row>
    <row r="741" ht="15.75" hidden="1" customHeight="1">
      <c r="A741" s="208"/>
      <c r="B741" s="208"/>
      <c r="C741" s="208"/>
      <c r="D741" s="208"/>
      <c r="E741" s="208"/>
      <c r="F741" s="208"/>
      <c r="G741" s="208"/>
      <c r="H741" s="208"/>
      <c r="I741" s="208"/>
      <c r="J741" s="208"/>
      <c r="K741" s="208"/>
      <c r="L741" s="208"/>
      <c r="M741" s="208"/>
      <c r="N741" s="208"/>
      <c r="O741" s="208"/>
      <c r="P741" s="208"/>
      <c r="Q741" s="208"/>
      <c r="R741" s="208"/>
      <c r="S741" s="208"/>
      <c r="T741" s="208"/>
      <c r="U741" s="208"/>
      <c r="V741" s="208"/>
      <c r="W741" s="208"/>
      <c r="X741" s="208"/>
      <c r="Y741" s="208"/>
      <c r="Z741" s="208"/>
      <c r="AA741" s="208"/>
      <c r="AB741" s="208"/>
      <c r="AC741" s="208"/>
      <c r="AD741" s="208"/>
      <c r="AE741" s="208"/>
      <c r="AF741" s="208"/>
      <c r="AG741" s="208"/>
      <c r="AH741" s="208"/>
      <c r="AI741" s="208"/>
      <c r="AJ741" s="208"/>
      <c r="AK741" s="208"/>
      <c r="AL741" s="208"/>
      <c r="AM741" s="208"/>
      <c r="AN741" s="208"/>
      <c r="AO741" s="208"/>
      <c r="AP741" s="208"/>
      <c r="AQ741" s="208"/>
      <c r="AR741" s="208"/>
      <c r="AS741" s="208"/>
      <c r="AT741" s="208"/>
      <c r="AU741" s="208"/>
      <c r="AV741" s="208"/>
      <c r="AW741" s="208"/>
      <c r="AX741" s="208"/>
      <c r="AY741" s="208"/>
      <c r="AZ741" s="208"/>
      <c r="BA741" s="208"/>
    </row>
    <row r="742" ht="15.75" hidden="1" customHeight="1">
      <c r="A742" s="208"/>
      <c r="B742" s="208"/>
      <c r="C742" s="208"/>
      <c r="D742" s="208"/>
      <c r="E742" s="208"/>
      <c r="F742" s="208"/>
      <c r="G742" s="208"/>
      <c r="H742" s="208"/>
      <c r="I742" s="208"/>
      <c r="J742" s="208"/>
      <c r="K742" s="208"/>
      <c r="L742" s="208"/>
      <c r="M742" s="208"/>
      <c r="N742" s="208"/>
      <c r="O742" s="208"/>
      <c r="P742" s="208"/>
      <c r="Q742" s="208"/>
      <c r="R742" s="208"/>
      <c r="S742" s="208"/>
      <c r="T742" s="208"/>
      <c r="U742" s="208"/>
      <c r="V742" s="208"/>
      <c r="W742" s="208"/>
      <c r="X742" s="208"/>
      <c r="Y742" s="208"/>
      <c r="Z742" s="208"/>
      <c r="AA742" s="208"/>
      <c r="AB742" s="208"/>
      <c r="AC742" s="208"/>
      <c r="AD742" s="208"/>
      <c r="AE742" s="208"/>
      <c r="AF742" s="208"/>
      <c r="AG742" s="208"/>
      <c r="AH742" s="208"/>
      <c r="AI742" s="208"/>
      <c r="AJ742" s="208"/>
      <c r="AK742" s="208"/>
      <c r="AL742" s="208"/>
      <c r="AM742" s="208"/>
      <c r="AN742" s="208"/>
      <c r="AO742" s="208"/>
      <c r="AP742" s="208"/>
      <c r="AQ742" s="208"/>
      <c r="AR742" s="208"/>
      <c r="AS742" s="208"/>
      <c r="AT742" s="208"/>
      <c r="AU742" s="208"/>
      <c r="AV742" s="208"/>
      <c r="AW742" s="208"/>
      <c r="AX742" s="208"/>
      <c r="AY742" s="208"/>
      <c r="AZ742" s="208"/>
      <c r="BA742" s="208"/>
    </row>
    <row r="743" ht="15.75" hidden="1" customHeight="1">
      <c r="A743" s="208"/>
      <c r="B743" s="208"/>
      <c r="C743" s="208"/>
      <c r="D743" s="208"/>
      <c r="E743" s="208"/>
      <c r="F743" s="208"/>
      <c r="G743" s="208"/>
      <c r="H743" s="208"/>
      <c r="I743" s="208"/>
      <c r="J743" s="208"/>
      <c r="K743" s="208"/>
      <c r="L743" s="208"/>
      <c r="M743" s="208"/>
      <c r="N743" s="208"/>
      <c r="O743" s="208"/>
      <c r="P743" s="208"/>
      <c r="Q743" s="208"/>
      <c r="R743" s="208"/>
      <c r="S743" s="208"/>
      <c r="T743" s="208"/>
      <c r="U743" s="208"/>
      <c r="V743" s="208"/>
      <c r="W743" s="208"/>
      <c r="X743" s="208"/>
      <c r="Y743" s="208"/>
      <c r="Z743" s="208"/>
      <c r="AA743" s="208"/>
      <c r="AB743" s="208"/>
      <c r="AC743" s="208"/>
      <c r="AD743" s="208"/>
      <c r="AE743" s="208"/>
      <c r="AF743" s="208"/>
      <c r="AG743" s="208"/>
      <c r="AH743" s="208"/>
      <c r="AI743" s="208"/>
      <c r="AJ743" s="208"/>
      <c r="AK743" s="208"/>
      <c r="AL743" s="208"/>
      <c r="AM743" s="208"/>
      <c r="AN743" s="208"/>
      <c r="AO743" s="208"/>
      <c r="AP743" s="208"/>
      <c r="AQ743" s="208"/>
      <c r="AR743" s="208"/>
      <c r="AS743" s="208"/>
      <c r="AT743" s="208"/>
      <c r="AU743" s="208"/>
      <c r="AV743" s="208"/>
      <c r="AW743" s="208"/>
      <c r="AX743" s="208"/>
      <c r="AY743" s="208"/>
      <c r="AZ743" s="208"/>
      <c r="BA743" s="208"/>
    </row>
    <row r="744" ht="15.75" hidden="1" customHeight="1">
      <c r="A744" s="208"/>
      <c r="B744" s="208"/>
      <c r="C744" s="208"/>
      <c r="D744" s="208"/>
      <c r="E744" s="208"/>
      <c r="F744" s="208"/>
      <c r="G744" s="208"/>
      <c r="H744" s="208"/>
      <c r="I744" s="208"/>
      <c r="J744" s="208"/>
      <c r="K744" s="208"/>
      <c r="L744" s="208"/>
      <c r="M744" s="208"/>
      <c r="N744" s="208"/>
      <c r="O744" s="208"/>
      <c r="P744" s="208"/>
      <c r="Q744" s="208"/>
      <c r="R744" s="208"/>
      <c r="S744" s="208"/>
      <c r="T744" s="208"/>
      <c r="U744" s="208"/>
      <c r="V744" s="208"/>
      <c r="W744" s="208"/>
      <c r="X744" s="208"/>
      <c r="Y744" s="208"/>
      <c r="Z744" s="208"/>
      <c r="AA744" s="208"/>
      <c r="AB744" s="208"/>
      <c r="AC744" s="208"/>
      <c r="AD744" s="208"/>
      <c r="AE744" s="208"/>
      <c r="AF744" s="208"/>
      <c r="AG744" s="208"/>
      <c r="AH744" s="208"/>
      <c r="AI744" s="208"/>
      <c r="AJ744" s="208"/>
      <c r="AK744" s="208"/>
      <c r="AL744" s="208"/>
      <c r="AM744" s="208"/>
      <c r="AN744" s="208"/>
      <c r="AO744" s="208"/>
      <c r="AP744" s="208"/>
      <c r="AQ744" s="208"/>
      <c r="AR744" s="208"/>
      <c r="AS744" s="208"/>
      <c r="AT744" s="208"/>
      <c r="AU744" s="208"/>
      <c r="AV744" s="208"/>
      <c r="AW744" s="208"/>
      <c r="AX744" s="208"/>
      <c r="AY744" s="208"/>
      <c r="AZ744" s="208"/>
      <c r="BA744" s="208"/>
    </row>
    <row r="745" ht="15.75" hidden="1" customHeight="1">
      <c r="A745" s="208"/>
      <c r="B745" s="208"/>
      <c r="C745" s="208"/>
      <c r="D745" s="208"/>
      <c r="E745" s="208"/>
      <c r="F745" s="208"/>
      <c r="G745" s="208"/>
      <c r="H745" s="208"/>
      <c r="I745" s="208"/>
      <c r="J745" s="208"/>
      <c r="K745" s="208"/>
      <c r="L745" s="208"/>
      <c r="M745" s="208"/>
      <c r="N745" s="208"/>
      <c r="O745" s="208"/>
      <c r="P745" s="208"/>
      <c r="Q745" s="208"/>
      <c r="R745" s="208"/>
      <c r="S745" s="208"/>
      <c r="T745" s="208"/>
      <c r="U745" s="208"/>
      <c r="V745" s="208"/>
      <c r="W745" s="208"/>
      <c r="X745" s="208"/>
      <c r="Y745" s="208"/>
      <c r="Z745" s="208"/>
      <c r="AA745" s="208"/>
      <c r="AB745" s="208"/>
      <c r="AC745" s="208"/>
      <c r="AD745" s="208"/>
      <c r="AE745" s="208"/>
      <c r="AF745" s="208"/>
      <c r="AG745" s="208"/>
      <c r="AH745" s="208"/>
      <c r="AI745" s="208"/>
      <c r="AJ745" s="208"/>
      <c r="AK745" s="208"/>
      <c r="AL745" s="208"/>
      <c r="AM745" s="208"/>
      <c r="AN745" s="208"/>
      <c r="AO745" s="208"/>
      <c r="AP745" s="208"/>
      <c r="AQ745" s="208"/>
      <c r="AR745" s="208"/>
      <c r="AS745" s="208"/>
      <c r="AT745" s="208"/>
      <c r="AU745" s="208"/>
      <c r="AV745" s="208"/>
      <c r="AW745" s="208"/>
      <c r="AX745" s="208"/>
      <c r="AY745" s="208"/>
      <c r="AZ745" s="208"/>
      <c r="BA745" s="208"/>
    </row>
    <row r="746" ht="15.75" hidden="1" customHeight="1">
      <c r="A746" s="208"/>
      <c r="B746" s="208"/>
      <c r="C746" s="208"/>
      <c r="D746" s="208"/>
      <c r="E746" s="208"/>
      <c r="F746" s="208"/>
      <c r="G746" s="208"/>
      <c r="H746" s="208"/>
      <c r="I746" s="208"/>
      <c r="J746" s="208"/>
      <c r="K746" s="208"/>
      <c r="L746" s="208"/>
      <c r="M746" s="208"/>
      <c r="N746" s="208"/>
      <c r="O746" s="208"/>
      <c r="P746" s="208"/>
      <c r="Q746" s="208"/>
      <c r="R746" s="208"/>
      <c r="S746" s="208"/>
      <c r="T746" s="208"/>
      <c r="U746" s="208"/>
      <c r="V746" s="208"/>
      <c r="W746" s="208"/>
      <c r="X746" s="208"/>
      <c r="Y746" s="208"/>
      <c r="Z746" s="208"/>
      <c r="AA746" s="208"/>
      <c r="AB746" s="208"/>
      <c r="AC746" s="208"/>
      <c r="AD746" s="208"/>
      <c r="AE746" s="208"/>
      <c r="AF746" s="208"/>
      <c r="AG746" s="208"/>
      <c r="AH746" s="208"/>
      <c r="AI746" s="208"/>
      <c r="AJ746" s="208"/>
      <c r="AK746" s="208"/>
      <c r="AL746" s="208"/>
      <c r="AM746" s="208"/>
      <c r="AN746" s="208"/>
      <c r="AO746" s="208"/>
      <c r="AP746" s="208"/>
      <c r="AQ746" s="208"/>
      <c r="AR746" s="208"/>
      <c r="AS746" s="208"/>
      <c r="AT746" s="208"/>
      <c r="AU746" s="208"/>
      <c r="AV746" s="208"/>
      <c r="AW746" s="208"/>
      <c r="AX746" s="208"/>
      <c r="AY746" s="208"/>
      <c r="AZ746" s="208"/>
      <c r="BA746" s="208"/>
    </row>
    <row r="747" ht="15.75" hidden="1" customHeight="1">
      <c r="A747" s="208"/>
      <c r="B747" s="208"/>
      <c r="C747" s="208"/>
      <c r="D747" s="208"/>
      <c r="E747" s="208"/>
      <c r="F747" s="208"/>
      <c r="G747" s="208"/>
      <c r="H747" s="208"/>
      <c r="I747" s="208"/>
      <c r="J747" s="208"/>
      <c r="K747" s="208"/>
      <c r="L747" s="208"/>
      <c r="M747" s="208"/>
      <c r="N747" s="208"/>
      <c r="O747" s="208"/>
      <c r="P747" s="208"/>
      <c r="Q747" s="208"/>
      <c r="R747" s="208"/>
      <c r="S747" s="208"/>
      <c r="T747" s="208"/>
      <c r="U747" s="208"/>
      <c r="V747" s="208"/>
      <c r="W747" s="208"/>
      <c r="X747" s="208"/>
      <c r="Y747" s="208"/>
      <c r="Z747" s="208"/>
      <c r="AA747" s="208"/>
      <c r="AB747" s="208"/>
      <c r="AC747" s="208"/>
      <c r="AD747" s="208"/>
      <c r="AE747" s="208"/>
      <c r="AF747" s="208"/>
      <c r="AG747" s="208"/>
      <c r="AH747" s="208"/>
      <c r="AI747" s="208"/>
      <c r="AJ747" s="208"/>
      <c r="AK747" s="208"/>
      <c r="AL747" s="208"/>
      <c r="AM747" s="208"/>
      <c r="AN747" s="208"/>
      <c r="AO747" s="208"/>
      <c r="AP747" s="208"/>
      <c r="AQ747" s="208"/>
      <c r="AR747" s="208"/>
      <c r="AS747" s="208"/>
      <c r="AT747" s="208"/>
      <c r="AU747" s="208"/>
      <c r="AV747" s="208"/>
      <c r="AW747" s="208"/>
      <c r="AX747" s="208"/>
      <c r="AY747" s="208"/>
      <c r="AZ747" s="208"/>
      <c r="BA747" s="208"/>
    </row>
    <row r="748" ht="15.75" hidden="1" customHeight="1">
      <c r="A748" s="208"/>
      <c r="B748" s="208"/>
      <c r="C748" s="208"/>
      <c r="D748" s="208"/>
      <c r="E748" s="208"/>
      <c r="F748" s="208"/>
      <c r="G748" s="208"/>
      <c r="H748" s="208"/>
      <c r="I748" s="208"/>
      <c r="J748" s="208"/>
      <c r="K748" s="208"/>
      <c r="L748" s="208"/>
      <c r="M748" s="208"/>
      <c r="N748" s="208"/>
      <c r="O748" s="208"/>
      <c r="P748" s="208"/>
      <c r="Q748" s="208"/>
      <c r="R748" s="208"/>
      <c r="S748" s="208"/>
      <c r="T748" s="208"/>
      <c r="U748" s="208"/>
      <c r="V748" s="208"/>
      <c r="W748" s="208"/>
      <c r="X748" s="208"/>
      <c r="Y748" s="208"/>
      <c r="Z748" s="208"/>
      <c r="AA748" s="208"/>
      <c r="AB748" s="208"/>
      <c r="AC748" s="208"/>
      <c r="AD748" s="208"/>
      <c r="AE748" s="208"/>
      <c r="AF748" s="208"/>
      <c r="AG748" s="208"/>
      <c r="AH748" s="208"/>
      <c r="AI748" s="208"/>
      <c r="AJ748" s="208"/>
      <c r="AK748" s="208"/>
      <c r="AL748" s="208"/>
      <c r="AM748" s="208"/>
      <c r="AN748" s="208"/>
      <c r="AO748" s="208"/>
      <c r="AP748" s="208"/>
      <c r="AQ748" s="208"/>
      <c r="AR748" s="208"/>
      <c r="AS748" s="208"/>
      <c r="AT748" s="208"/>
      <c r="AU748" s="208"/>
      <c r="AV748" s="208"/>
      <c r="AW748" s="208"/>
      <c r="AX748" s="208"/>
      <c r="AY748" s="208"/>
      <c r="AZ748" s="208"/>
      <c r="BA748" s="208"/>
    </row>
    <row r="749" ht="15.75" hidden="1" customHeight="1">
      <c r="A749" s="208"/>
      <c r="B749" s="208"/>
      <c r="C749" s="208"/>
      <c r="D749" s="208"/>
      <c r="E749" s="208"/>
      <c r="F749" s="208"/>
      <c r="G749" s="208"/>
      <c r="H749" s="208"/>
      <c r="I749" s="208"/>
      <c r="J749" s="208"/>
      <c r="K749" s="208"/>
      <c r="L749" s="208"/>
      <c r="M749" s="208"/>
      <c r="N749" s="208"/>
      <c r="O749" s="208"/>
      <c r="P749" s="208"/>
      <c r="Q749" s="208"/>
      <c r="R749" s="208"/>
      <c r="S749" s="208"/>
      <c r="T749" s="208"/>
      <c r="U749" s="208"/>
      <c r="V749" s="208"/>
      <c r="W749" s="208"/>
      <c r="X749" s="208"/>
      <c r="Y749" s="208"/>
      <c r="Z749" s="208"/>
      <c r="AA749" s="208"/>
      <c r="AB749" s="208"/>
      <c r="AC749" s="208"/>
      <c r="AD749" s="208"/>
      <c r="AE749" s="208"/>
      <c r="AF749" s="208"/>
      <c r="AG749" s="208"/>
      <c r="AH749" s="208"/>
      <c r="AI749" s="208"/>
      <c r="AJ749" s="208"/>
      <c r="AK749" s="208"/>
      <c r="AL749" s="208"/>
      <c r="AM749" s="208"/>
      <c r="AN749" s="208"/>
      <c r="AO749" s="208"/>
      <c r="AP749" s="208"/>
      <c r="AQ749" s="208"/>
      <c r="AR749" s="208"/>
      <c r="AS749" s="208"/>
      <c r="AT749" s="208"/>
      <c r="AU749" s="208"/>
      <c r="AV749" s="208"/>
      <c r="AW749" s="208"/>
      <c r="AX749" s="208"/>
      <c r="AY749" s="208"/>
      <c r="AZ749" s="208"/>
      <c r="BA749" s="208"/>
    </row>
    <row r="750" ht="15.75" hidden="1" customHeight="1">
      <c r="A750" s="208"/>
      <c r="B750" s="208"/>
      <c r="C750" s="208"/>
      <c r="D750" s="208"/>
      <c r="E750" s="208"/>
      <c r="F750" s="208"/>
      <c r="G750" s="208"/>
      <c r="H750" s="208"/>
      <c r="I750" s="208"/>
      <c r="J750" s="208"/>
      <c r="K750" s="208"/>
      <c r="L750" s="208"/>
      <c r="M750" s="208"/>
      <c r="N750" s="208"/>
      <c r="O750" s="208"/>
      <c r="P750" s="208"/>
      <c r="Q750" s="208"/>
      <c r="R750" s="208"/>
      <c r="S750" s="208"/>
      <c r="T750" s="208"/>
      <c r="U750" s="208"/>
      <c r="V750" s="208"/>
      <c r="W750" s="208"/>
      <c r="X750" s="208"/>
      <c r="Y750" s="208"/>
      <c r="Z750" s="208"/>
      <c r="AA750" s="208"/>
      <c r="AB750" s="208"/>
      <c r="AC750" s="208"/>
      <c r="AD750" s="208"/>
      <c r="AE750" s="208"/>
      <c r="AF750" s="208"/>
      <c r="AG750" s="208"/>
      <c r="AH750" s="208"/>
      <c r="AI750" s="208"/>
      <c r="AJ750" s="208"/>
      <c r="AK750" s="208"/>
      <c r="AL750" s="208"/>
      <c r="AM750" s="208"/>
      <c r="AN750" s="208"/>
      <c r="AO750" s="208"/>
      <c r="AP750" s="208"/>
      <c r="AQ750" s="208"/>
      <c r="AR750" s="208"/>
      <c r="AS750" s="208"/>
      <c r="AT750" s="208"/>
      <c r="AU750" s="208"/>
      <c r="AV750" s="208"/>
      <c r="AW750" s="208"/>
      <c r="AX750" s="208"/>
      <c r="AY750" s="208"/>
      <c r="AZ750" s="208"/>
      <c r="BA750" s="208"/>
    </row>
    <row r="751" ht="15.75" hidden="1" customHeight="1">
      <c r="A751" s="208"/>
      <c r="B751" s="208"/>
      <c r="C751" s="208"/>
      <c r="D751" s="208"/>
      <c r="E751" s="208"/>
      <c r="F751" s="208"/>
      <c r="G751" s="208"/>
      <c r="H751" s="208"/>
      <c r="I751" s="208"/>
      <c r="J751" s="208"/>
      <c r="K751" s="208"/>
      <c r="L751" s="208"/>
      <c r="M751" s="208"/>
      <c r="N751" s="208"/>
      <c r="O751" s="208"/>
      <c r="P751" s="208"/>
      <c r="Q751" s="208"/>
      <c r="R751" s="208"/>
      <c r="S751" s="208"/>
      <c r="T751" s="208"/>
      <c r="U751" s="208"/>
      <c r="V751" s="208"/>
      <c r="W751" s="208"/>
      <c r="X751" s="208"/>
      <c r="Y751" s="208"/>
      <c r="Z751" s="208"/>
      <c r="AA751" s="208"/>
      <c r="AB751" s="208"/>
      <c r="AC751" s="208"/>
      <c r="AD751" s="208"/>
      <c r="AE751" s="208"/>
      <c r="AF751" s="208"/>
      <c r="AG751" s="208"/>
      <c r="AH751" s="208"/>
      <c r="AI751" s="208"/>
      <c r="AJ751" s="208"/>
      <c r="AK751" s="208"/>
      <c r="AL751" s="208"/>
      <c r="AM751" s="208"/>
      <c r="AN751" s="208"/>
      <c r="AO751" s="208"/>
      <c r="AP751" s="208"/>
      <c r="AQ751" s="208"/>
      <c r="AR751" s="208"/>
      <c r="AS751" s="208"/>
      <c r="AT751" s="208"/>
      <c r="AU751" s="208"/>
      <c r="AV751" s="208"/>
      <c r="AW751" s="208"/>
      <c r="AX751" s="208"/>
      <c r="AY751" s="208"/>
      <c r="AZ751" s="208"/>
      <c r="BA751" s="208"/>
    </row>
    <row r="752" ht="15.75" hidden="1" customHeight="1">
      <c r="A752" s="208"/>
      <c r="B752" s="208"/>
      <c r="C752" s="208"/>
      <c r="D752" s="208"/>
      <c r="E752" s="208"/>
      <c r="F752" s="208"/>
      <c r="G752" s="208"/>
      <c r="H752" s="208"/>
      <c r="I752" s="208"/>
      <c r="J752" s="208"/>
      <c r="K752" s="208"/>
      <c r="L752" s="208"/>
      <c r="M752" s="208"/>
      <c r="N752" s="208"/>
      <c r="O752" s="208"/>
      <c r="P752" s="208"/>
      <c r="Q752" s="208"/>
      <c r="R752" s="208"/>
      <c r="S752" s="208"/>
      <c r="T752" s="208"/>
      <c r="U752" s="208"/>
      <c r="V752" s="208"/>
      <c r="W752" s="208"/>
      <c r="X752" s="208"/>
      <c r="Y752" s="208"/>
      <c r="Z752" s="208"/>
      <c r="AA752" s="208"/>
      <c r="AB752" s="208"/>
      <c r="AC752" s="208"/>
      <c r="AD752" s="208"/>
      <c r="AE752" s="208"/>
      <c r="AF752" s="208"/>
      <c r="AG752" s="208"/>
      <c r="AH752" s="208"/>
      <c r="AI752" s="208"/>
      <c r="AJ752" s="208"/>
      <c r="AK752" s="208"/>
      <c r="AL752" s="208"/>
      <c r="AM752" s="208"/>
      <c r="AN752" s="208"/>
      <c r="AO752" s="208"/>
      <c r="AP752" s="208"/>
      <c r="AQ752" s="208"/>
      <c r="AR752" s="208"/>
      <c r="AS752" s="208"/>
      <c r="AT752" s="208"/>
      <c r="AU752" s="208"/>
      <c r="AV752" s="208"/>
      <c r="AW752" s="208"/>
      <c r="AX752" s="208"/>
      <c r="AY752" s="208"/>
      <c r="AZ752" s="208"/>
      <c r="BA752" s="208"/>
    </row>
    <row r="753" ht="15.75" hidden="1" customHeight="1">
      <c r="A753" s="208"/>
      <c r="B753" s="208"/>
      <c r="C753" s="208"/>
      <c r="D753" s="208"/>
      <c r="E753" s="208"/>
      <c r="F753" s="208"/>
      <c r="G753" s="208"/>
      <c r="H753" s="208"/>
      <c r="I753" s="208"/>
      <c r="J753" s="208"/>
      <c r="K753" s="208"/>
      <c r="L753" s="208"/>
      <c r="M753" s="208"/>
      <c r="N753" s="208"/>
      <c r="O753" s="208"/>
      <c r="P753" s="208"/>
      <c r="Q753" s="208"/>
      <c r="R753" s="208"/>
      <c r="S753" s="208"/>
      <c r="T753" s="208"/>
      <c r="U753" s="208"/>
      <c r="V753" s="208"/>
      <c r="W753" s="208"/>
      <c r="X753" s="208"/>
      <c r="Y753" s="208"/>
      <c r="Z753" s="208"/>
      <c r="AA753" s="208"/>
      <c r="AB753" s="208"/>
      <c r="AC753" s="208"/>
      <c r="AD753" s="208"/>
      <c r="AE753" s="208"/>
      <c r="AF753" s="208"/>
      <c r="AG753" s="208"/>
      <c r="AH753" s="208"/>
      <c r="AI753" s="208"/>
      <c r="AJ753" s="208"/>
      <c r="AK753" s="208"/>
      <c r="AL753" s="208"/>
      <c r="AM753" s="208"/>
      <c r="AN753" s="208"/>
      <c r="AO753" s="208"/>
      <c r="AP753" s="208"/>
      <c r="AQ753" s="208"/>
      <c r="AR753" s="208"/>
      <c r="AS753" s="208"/>
      <c r="AT753" s="208"/>
      <c r="AU753" s="208"/>
      <c r="AV753" s="208"/>
      <c r="AW753" s="208"/>
      <c r="AX753" s="208"/>
      <c r="AY753" s="208"/>
      <c r="AZ753" s="208"/>
      <c r="BA753" s="208"/>
    </row>
    <row r="754" ht="15.75" hidden="1" customHeight="1">
      <c r="A754" s="208"/>
      <c r="B754" s="208"/>
      <c r="C754" s="208"/>
      <c r="D754" s="208"/>
      <c r="E754" s="208"/>
      <c r="F754" s="208"/>
      <c r="G754" s="208"/>
      <c r="H754" s="208"/>
      <c r="I754" s="208"/>
      <c r="J754" s="208"/>
      <c r="K754" s="208"/>
      <c r="L754" s="208"/>
      <c r="M754" s="208"/>
      <c r="N754" s="208"/>
      <c r="O754" s="208"/>
      <c r="P754" s="208"/>
      <c r="Q754" s="208"/>
      <c r="R754" s="208"/>
      <c r="S754" s="208"/>
      <c r="T754" s="208"/>
      <c r="U754" s="208"/>
      <c r="V754" s="208"/>
      <c r="W754" s="208"/>
      <c r="X754" s="208"/>
      <c r="Y754" s="208"/>
      <c r="Z754" s="208"/>
      <c r="AA754" s="208"/>
      <c r="AB754" s="208"/>
      <c r="AC754" s="208"/>
      <c r="AD754" s="208"/>
      <c r="AE754" s="208"/>
      <c r="AF754" s="208"/>
      <c r="AG754" s="208"/>
      <c r="AH754" s="208"/>
      <c r="AI754" s="208"/>
      <c r="AJ754" s="208"/>
      <c r="AK754" s="208"/>
      <c r="AL754" s="208"/>
      <c r="AM754" s="208"/>
      <c r="AN754" s="208"/>
      <c r="AO754" s="208"/>
      <c r="AP754" s="208"/>
      <c r="AQ754" s="208"/>
      <c r="AR754" s="208"/>
      <c r="AS754" s="208"/>
      <c r="AT754" s="208"/>
      <c r="AU754" s="208"/>
      <c r="AV754" s="208"/>
      <c r="AW754" s="208"/>
      <c r="AX754" s="208"/>
      <c r="AY754" s="208"/>
      <c r="AZ754" s="208"/>
      <c r="BA754" s="208"/>
    </row>
    <row r="755" ht="15.75" hidden="1" customHeight="1">
      <c r="A755" s="208"/>
      <c r="B755" s="208"/>
      <c r="C755" s="208"/>
      <c r="D755" s="208"/>
      <c r="E755" s="208"/>
      <c r="F755" s="208"/>
      <c r="G755" s="208"/>
      <c r="H755" s="208"/>
      <c r="I755" s="208"/>
      <c r="J755" s="208"/>
      <c r="K755" s="208"/>
      <c r="L755" s="208"/>
      <c r="M755" s="208"/>
      <c r="N755" s="208"/>
      <c r="O755" s="208"/>
      <c r="P755" s="208"/>
      <c r="Q755" s="208"/>
      <c r="R755" s="208"/>
      <c r="S755" s="208"/>
      <c r="T755" s="208"/>
      <c r="U755" s="208"/>
      <c r="V755" s="208"/>
      <c r="W755" s="208"/>
      <c r="X755" s="208"/>
      <c r="Y755" s="208"/>
      <c r="Z755" s="208"/>
      <c r="AA755" s="208"/>
      <c r="AB755" s="208"/>
      <c r="AC755" s="208"/>
      <c r="AD755" s="208"/>
      <c r="AE755" s="208"/>
      <c r="AF755" s="208"/>
      <c r="AG755" s="208"/>
      <c r="AH755" s="208"/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8"/>
      <c r="AT755" s="208"/>
      <c r="AU755" s="208"/>
      <c r="AV755" s="208"/>
      <c r="AW755" s="208"/>
      <c r="AX755" s="208"/>
      <c r="AY755" s="208"/>
      <c r="AZ755" s="208"/>
      <c r="BA755" s="208"/>
    </row>
    <row r="756" ht="15.75" hidden="1" customHeight="1">
      <c r="A756" s="208"/>
      <c r="B756" s="208"/>
      <c r="C756" s="208"/>
      <c r="D756" s="208"/>
      <c r="E756" s="208"/>
      <c r="F756" s="208"/>
      <c r="G756" s="208"/>
      <c r="H756" s="208"/>
      <c r="I756" s="208"/>
      <c r="J756" s="208"/>
      <c r="K756" s="208"/>
      <c r="L756" s="208"/>
      <c r="M756" s="208"/>
      <c r="N756" s="208"/>
      <c r="O756" s="208"/>
      <c r="P756" s="208"/>
      <c r="Q756" s="208"/>
      <c r="R756" s="208"/>
      <c r="S756" s="208"/>
      <c r="T756" s="208"/>
      <c r="U756" s="208"/>
      <c r="V756" s="208"/>
      <c r="W756" s="208"/>
      <c r="X756" s="208"/>
      <c r="Y756" s="208"/>
      <c r="Z756" s="208"/>
      <c r="AA756" s="208"/>
      <c r="AB756" s="208"/>
      <c r="AC756" s="208"/>
      <c r="AD756" s="208"/>
      <c r="AE756" s="208"/>
      <c r="AF756" s="208"/>
      <c r="AG756" s="208"/>
      <c r="AH756" s="208"/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8"/>
      <c r="AT756" s="208"/>
      <c r="AU756" s="208"/>
      <c r="AV756" s="208"/>
      <c r="AW756" s="208"/>
      <c r="AX756" s="208"/>
      <c r="AY756" s="208"/>
      <c r="AZ756" s="208"/>
      <c r="BA756" s="208"/>
    </row>
    <row r="757" ht="15.75" hidden="1" customHeight="1">
      <c r="A757" s="208"/>
      <c r="B757" s="208"/>
      <c r="C757" s="208"/>
      <c r="D757" s="208"/>
      <c r="E757" s="208"/>
      <c r="F757" s="208"/>
      <c r="G757" s="208"/>
      <c r="H757" s="208"/>
      <c r="I757" s="208"/>
      <c r="J757" s="208"/>
      <c r="K757" s="208"/>
      <c r="L757" s="208"/>
      <c r="M757" s="208"/>
      <c r="N757" s="208"/>
      <c r="O757" s="208"/>
      <c r="P757" s="208"/>
      <c r="Q757" s="208"/>
      <c r="R757" s="208"/>
      <c r="S757" s="208"/>
      <c r="T757" s="208"/>
      <c r="U757" s="208"/>
      <c r="V757" s="208"/>
      <c r="W757" s="208"/>
      <c r="X757" s="208"/>
      <c r="Y757" s="208"/>
      <c r="Z757" s="208"/>
      <c r="AA757" s="208"/>
      <c r="AB757" s="208"/>
      <c r="AC757" s="208"/>
      <c r="AD757" s="208"/>
      <c r="AE757" s="208"/>
      <c r="AF757" s="208"/>
      <c r="AG757" s="208"/>
      <c r="AH757" s="208"/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  <c r="AT757" s="208"/>
      <c r="AU757" s="208"/>
      <c r="AV757" s="208"/>
      <c r="AW757" s="208"/>
      <c r="AX757" s="208"/>
      <c r="AY757" s="208"/>
      <c r="AZ757" s="208"/>
      <c r="BA757" s="208"/>
    </row>
    <row r="758" ht="15.75" hidden="1" customHeight="1">
      <c r="A758" s="208"/>
      <c r="B758" s="208"/>
      <c r="C758" s="208"/>
      <c r="D758" s="208"/>
      <c r="E758" s="208"/>
      <c r="F758" s="208"/>
      <c r="G758" s="208"/>
      <c r="H758" s="208"/>
      <c r="I758" s="208"/>
      <c r="J758" s="208"/>
      <c r="K758" s="208"/>
      <c r="L758" s="208"/>
      <c r="M758" s="208"/>
      <c r="N758" s="208"/>
      <c r="O758" s="208"/>
      <c r="P758" s="208"/>
      <c r="Q758" s="208"/>
      <c r="R758" s="208"/>
      <c r="S758" s="208"/>
      <c r="T758" s="208"/>
      <c r="U758" s="208"/>
      <c r="V758" s="208"/>
      <c r="W758" s="208"/>
      <c r="X758" s="208"/>
      <c r="Y758" s="208"/>
      <c r="Z758" s="208"/>
      <c r="AA758" s="208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08"/>
      <c r="AU758" s="208"/>
      <c r="AV758" s="208"/>
      <c r="AW758" s="208"/>
      <c r="AX758" s="208"/>
      <c r="AY758" s="208"/>
      <c r="AZ758" s="208"/>
      <c r="BA758" s="208"/>
    </row>
    <row r="759" ht="15.75" hidden="1" customHeight="1">
      <c r="A759" s="208"/>
      <c r="B759" s="208"/>
      <c r="C759" s="208"/>
      <c r="D759" s="208"/>
      <c r="E759" s="208"/>
      <c r="F759" s="208"/>
      <c r="G759" s="208"/>
      <c r="H759" s="208"/>
      <c r="I759" s="208"/>
      <c r="J759" s="208"/>
      <c r="K759" s="208"/>
      <c r="L759" s="208"/>
      <c r="M759" s="208"/>
      <c r="N759" s="208"/>
      <c r="O759" s="208"/>
      <c r="P759" s="208"/>
      <c r="Q759" s="208"/>
      <c r="R759" s="208"/>
      <c r="S759" s="208"/>
      <c r="T759" s="208"/>
      <c r="U759" s="208"/>
      <c r="V759" s="208"/>
      <c r="W759" s="208"/>
      <c r="X759" s="208"/>
      <c r="Y759" s="208"/>
      <c r="Z759" s="208"/>
      <c r="AA759" s="208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08"/>
      <c r="AU759" s="208"/>
      <c r="AV759" s="208"/>
      <c r="AW759" s="208"/>
      <c r="AX759" s="208"/>
      <c r="AY759" s="208"/>
      <c r="AZ759" s="208"/>
      <c r="BA759" s="208"/>
    </row>
    <row r="760" ht="15.75" hidden="1" customHeight="1">
      <c r="A760" s="208"/>
      <c r="B760" s="208"/>
      <c r="C760" s="208"/>
      <c r="D760" s="208"/>
      <c r="E760" s="208"/>
      <c r="F760" s="208"/>
      <c r="G760" s="208"/>
      <c r="H760" s="208"/>
      <c r="I760" s="208"/>
      <c r="J760" s="208"/>
      <c r="K760" s="208"/>
      <c r="L760" s="208"/>
      <c r="M760" s="208"/>
      <c r="N760" s="208"/>
      <c r="O760" s="208"/>
      <c r="P760" s="208"/>
      <c r="Q760" s="208"/>
      <c r="R760" s="208"/>
      <c r="S760" s="208"/>
      <c r="T760" s="208"/>
      <c r="U760" s="208"/>
      <c r="V760" s="208"/>
      <c r="W760" s="208"/>
      <c r="X760" s="208"/>
      <c r="Y760" s="208"/>
      <c r="Z760" s="208"/>
      <c r="AA760" s="208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8"/>
      <c r="AT760" s="208"/>
      <c r="AU760" s="208"/>
      <c r="AV760" s="208"/>
      <c r="AW760" s="208"/>
      <c r="AX760" s="208"/>
      <c r="AY760" s="208"/>
      <c r="AZ760" s="208"/>
      <c r="BA760" s="208"/>
    </row>
    <row r="761" ht="15.75" hidden="1" customHeight="1">
      <c r="A761" s="208"/>
      <c r="B761" s="208"/>
      <c r="C761" s="208"/>
      <c r="D761" s="208"/>
      <c r="E761" s="208"/>
      <c r="F761" s="208"/>
      <c r="G761" s="208"/>
      <c r="H761" s="208"/>
      <c r="I761" s="208"/>
      <c r="J761" s="208"/>
      <c r="K761" s="208"/>
      <c r="L761" s="208"/>
      <c r="M761" s="208"/>
      <c r="N761" s="208"/>
      <c r="O761" s="208"/>
      <c r="P761" s="208"/>
      <c r="Q761" s="208"/>
      <c r="R761" s="208"/>
      <c r="S761" s="208"/>
      <c r="T761" s="208"/>
      <c r="U761" s="208"/>
      <c r="V761" s="208"/>
      <c r="W761" s="208"/>
      <c r="X761" s="208"/>
      <c r="Y761" s="208"/>
      <c r="Z761" s="208"/>
      <c r="AA761" s="208"/>
      <c r="AB761" s="208"/>
      <c r="AC761" s="208"/>
      <c r="AD761" s="208"/>
      <c r="AE761" s="208"/>
      <c r="AF761" s="208"/>
      <c r="AG761" s="208"/>
      <c r="AH761" s="208"/>
      <c r="AI761" s="208"/>
      <c r="AJ761" s="208"/>
      <c r="AK761" s="208"/>
      <c r="AL761" s="208"/>
      <c r="AM761" s="208"/>
      <c r="AN761" s="208"/>
      <c r="AO761" s="208"/>
      <c r="AP761" s="208"/>
      <c r="AQ761" s="208"/>
      <c r="AR761" s="208"/>
      <c r="AS761" s="208"/>
      <c r="AT761" s="208"/>
      <c r="AU761" s="208"/>
      <c r="AV761" s="208"/>
      <c r="AW761" s="208"/>
      <c r="AX761" s="208"/>
      <c r="AY761" s="208"/>
      <c r="AZ761" s="208"/>
      <c r="BA761" s="208"/>
    </row>
    <row r="762" ht="15.75" hidden="1" customHeight="1">
      <c r="A762" s="208"/>
      <c r="B762" s="208"/>
      <c r="C762" s="208"/>
      <c r="D762" s="208"/>
      <c r="E762" s="208"/>
      <c r="F762" s="208"/>
      <c r="G762" s="208"/>
      <c r="H762" s="208"/>
      <c r="I762" s="208"/>
      <c r="J762" s="208"/>
      <c r="K762" s="208"/>
      <c r="L762" s="208"/>
      <c r="M762" s="208"/>
      <c r="N762" s="208"/>
      <c r="O762" s="208"/>
      <c r="P762" s="208"/>
      <c r="Q762" s="208"/>
      <c r="R762" s="208"/>
      <c r="S762" s="208"/>
      <c r="T762" s="208"/>
      <c r="U762" s="208"/>
      <c r="V762" s="208"/>
      <c r="W762" s="208"/>
      <c r="X762" s="208"/>
      <c r="Y762" s="208"/>
      <c r="Z762" s="208"/>
      <c r="AA762" s="208"/>
      <c r="AB762" s="208"/>
      <c r="AC762" s="208"/>
      <c r="AD762" s="208"/>
      <c r="AE762" s="208"/>
      <c r="AF762" s="208"/>
      <c r="AG762" s="208"/>
      <c r="AH762" s="208"/>
      <c r="AI762" s="208"/>
      <c r="AJ762" s="208"/>
      <c r="AK762" s="208"/>
      <c r="AL762" s="208"/>
      <c r="AM762" s="208"/>
      <c r="AN762" s="208"/>
      <c r="AO762" s="208"/>
      <c r="AP762" s="208"/>
      <c r="AQ762" s="208"/>
      <c r="AR762" s="208"/>
      <c r="AS762" s="208"/>
      <c r="AT762" s="208"/>
      <c r="AU762" s="208"/>
      <c r="AV762" s="208"/>
      <c r="AW762" s="208"/>
      <c r="AX762" s="208"/>
      <c r="AY762" s="208"/>
      <c r="AZ762" s="208"/>
      <c r="BA762" s="208"/>
    </row>
    <row r="763" ht="15.75" hidden="1" customHeight="1">
      <c r="A763" s="208"/>
      <c r="B763" s="208"/>
      <c r="C763" s="208"/>
      <c r="D763" s="208"/>
      <c r="E763" s="208"/>
      <c r="F763" s="208"/>
      <c r="G763" s="208"/>
      <c r="H763" s="208"/>
      <c r="I763" s="208"/>
      <c r="J763" s="208"/>
      <c r="K763" s="208"/>
      <c r="L763" s="208"/>
      <c r="M763" s="208"/>
      <c r="N763" s="208"/>
      <c r="O763" s="208"/>
      <c r="P763" s="208"/>
      <c r="Q763" s="208"/>
      <c r="R763" s="208"/>
      <c r="S763" s="208"/>
      <c r="T763" s="208"/>
      <c r="U763" s="208"/>
      <c r="V763" s="208"/>
      <c r="W763" s="208"/>
      <c r="X763" s="208"/>
      <c r="Y763" s="208"/>
      <c r="Z763" s="208"/>
      <c r="AA763" s="208"/>
      <c r="AB763" s="208"/>
      <c r="AC763" s="208"/>
      <c r="AD763" s="208"/>
      <c r="AE763" s="208"/>
      <c r="AF763" s="208"/>
      <c r="AG763" s="208"/>
      <c r="AH763" s="208"/>
      <c r="AI763" s="208"/>
      <c r="AJ763" s="208"/>
      <c r="AK763" s="208"/>
      <c r="AL763" s="208"/>
      <c r="AM763" s="208"/>
      <c r="AN763" s="208"/>
      <c r="AO763" s="208"/>
      <c r="AP763" s="208"/>
      <c r="AQ763" s="208"/>
      <c r="AR763" s="208"/>
      <c r="AS763" s="208"/>
      <c r="AT763" s="208"/>
      <c r="AU763" s="208"/>
      <c r="AV763" s="208"/>
      <c r="AW763" s="208"/>
      <c r="AX763" s="208"/>
      <c r="AY763" s="208"/>
      <c r="AZ763" s="208"/>
      <c r="BA763" s="208"/>
    </row>
    <row r="764" ht="15.75" hidden="1" customHeight="1">
      <c r="A764" s="208"/>
      <c r="B764" s="208"/>
      <c r="C764" s="208"/>
      <c r="D764" s="208"/>
      <c r="E764" s="208"/>
      <c r="F764" s="208"/>
      <c r="G764" s="208"/>
      <c r="H764" s="208"/>
      <c r="I764" s="208"/>
      <c r="J764" s="208"/>
      <c r="K764" s="208"/>
      <c r="L764" s="208"/>
      <c r="M764" s="208"/>
      <c r="N764" s="208"/>
      <c r="O764" s="208"/>
      <c r="P764" s="208"/>
      <c r="Q764" s="208"/>
      <c r="R764" s="208"/>
      <c r="S764" s="208"/>
      <c r="T764" s="208"/>
      <c r="U764" s="208"/>
      <c r="V764" s="208"/>
      <c r="W764" s="208"/>
      <c r="X764" s="208"/>
      <c r="Y764" s="208"/>
      <c r="Z764" s="208"/>
      <c r="AA764" s="208"/>
      <c r="AB764" s="208"/>
      <c r="AC764" s="208"/>
      <c r="AD764" s="208"/>
      <c r="AE764" s="208"/>
      <c r="AF764" s="208"/>
      <c r="AG764" s="208"/>
      <c r="AH764" s="208"/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08"/>
      <c r="AT764" s="208"/>
      <c r="AU764" s="208"/>
      <c r="AV764" s="208"/>
      <c r="AW764" s="208"/>
      <c r="AX764" s="208"/>
      <c r="AY764" s="208"/>
      <c r="AZ764" s="208"/>
      <c r="BA764" s="208"/>
    </row>
    <row r="765" ht="15.75" hidden="1" customHeight="1">
      <c r="A765" s="208"/>
      <c r="B765" s="208"/>
      <c r="C765" s="208"/>
      <c r="D765" s="208"/>
      <c r="E765" s="208"/>
      <c r="F765" s="208"/>
      <c r="G765" s="208"/>
      <c r="H765" s="208"/>
      <c r="I765" s="208"/>
      <c r="J765" s="208"/>
      <c r="K765" s="208"/>
      <c r="L765" s="208"/>
      <c r="M765" s="208"/>
      <c r="N765" s="208"/>
      <c r="O765" s="208"/>
      <c r="P765" s="208"/>
      <c r="Q765" s="208"/>
      <c r="R765" s="208"/>
      <c r="S765" s="208"/>
      <c r="T765" s="208"/>
      <c r="U765" s="208"/>
      <c r="V765" s="208"/>
      <c r="W765" s="208"/>
      <c r="X765" s="208"/>
      <c r="Y765" s="208"/>
      <c r="Z765" s="208"/>
      <c r="AA765" s="208"/>
      <c r="AB765" s="208"/>
      <c r="AC765" s="208"/>
      <c r="AD765" s="208"/>
      <c r="AE765" s="208"/>
      <c r="AF765" s="208"/>
      <c r="AG765" s="208"/>
      <c r="AH765" s="208"/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08"/>
      <c r="AT765" s="208"/>
      <c r="AU765" s="208"/>
      <c r="AV765" s="208"/>
      <c r="AW765" s="208"/>
      <c r="AX765" s="208"/>
      <c r="AY765" s="208"/>
      <c r="AZ765" s="208"/>
      <c r="BA765" s="208"/>
    </row>
    <row r="766" ht="15.75" hidden="1" customHeight="1">
      <c r="A766" s="208"/>
      <c r="B766" s="208"/>
      <c r="C766" s="208"/>
      <c r="D766" s="208"/>
      <c r="E766" s="208"/>
      <c r="F766" s="208"/>
      <c r="G766" s="208"/>
      <c r="H766" s="208"/>
      <c r="I766" s="208"/>
      <c r="J766" s="208"/>
      <c r="K766" s="208"/>
      <c r="L766" s="208"/>
      <c r="M766" s="208"/>
      <c r="N766" s="208"/>
      <c r="O766" s="208"/>
      <c r="P766" s="208"/>
      <c r="Q766" s="208"/>
      <c r="R766" s="208"/>
      <c r="S766" s="208"/>
      <c r="T766" s="208"/>
      <c r="U766" s="208"/>
      <c r="V766" s="208"/>
      <c r="W766" s="208"/>
      <c r="X766" s="208"/>
      <c r="Y766" s="208"/>
      <c r="Z766" s="208"/>
      <c r="AA766" s="208"/>
      <c r="AB766" s="208"/>
      <c r="AC766" s="208"/>
      <c r="AD766" s="208"/>
      <c r="AE766" s="208"/>
      <c r="AF766" s="208"/>
      <c r="AG766" s="208"/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  <c r="AT766" s="208"/>
      <c r="AU766" s="208"/>
      <c r="AV766" s="208"/>
      <c r="AW766" s="208"/>
      <c r="AX766" s="208"/>
      <c r="AY766" s="208"/>
      <c r="AZ766" s="208"/>
      <c r="BA766" s="208"/>
    </row>
    <row r="767" ht="15.75" hidden="1" customHeight="1">
      <c r="A767" s="208"/>
      <c r="B767" s="208"/>
      <c r="C767" s="208"/>
      <c r="D767" s="208"/>
      <c r="E767" s="208"/>
      <c r="F767" s="208"/>
      <c r="G767" s="208"/>
      <c r="H767" s="208"/>
      <c r="I767" s="208"/>
      <c r="J767" s="208"/>
      <c r="K767" s="208"/>
      <c r="L767" s="208"/>
      <c r="M767" s="208"/>
      <c r="N767" s="208"/>
      <c r="O767" s="208"/>
      <c r="P767" s="208"/>
      <c r="Q767" s="208"/>
      <c r="R767" s="208"/>
      <c r="S767" s="208"/>
      <c r="T767" s="208"/>
      <c r="U767" s="208"/>
      <c r="V767" s="208"/>
      <c r="W767" s="208"/>
      <c r="X767" s="208"/>
      <c r="Y767" s="208"/>
      <c r="Z767" s="208"/>
      <c r="AA767" s="208"/>
      <c r="AB767" s="208"/>
      <c r="AC767" s="208"/>
      <c r="AD767" s="208"/>
      <c r="AE767" s="208"/>
      <c r="AF767" s="208"/>
      <c r="AG767" s="208"/>
      <c r="AH767" s="208"/>
      <c r="AI767" s="208"/>
      <c r="AJ767" s="208"/>
      <c r="AK767" s="208"/>
      <c r="AL767" s="208"/>
      <c r="AM767" s="208"/>
      <c r="AN767" s="208"/>
      <c r="AO767" s="208"/>
      <c r="AP767" s="208"/>
      <c r="AQ767" s="208"/>
      <c r="AR767" s="208"/>
      <c r="AS767" s="208"/>
      <c r="AT767" s="208"/>
      <c r="AU767" s="208"/>
      <c r="AV767" s="208"/>
      <c r="AW767" s="208"/>
      <c r="AX767" s="208"/>
      <c r="AY767" s="208"/>
      <c r="AZ767" s="208"/>
      <c r="BA767" s="208"/>
    </row>
    <row r="768" ht="15.75" hidden="1" customHeight="1">
      <c r="A768" s="208"/>
      <c r="B768" s="208"/>
      <c r="C768" s="208"/>
      <c r="D768" s="208"/>
      <c r="E768" s="208"/>
      <c r="F768" s="208"/>
      <c r="G768" s="208"/>
      <c r="H768" s="208"/>
      <c r="I768" s="208"/>
      <c r="J768" s="208"/>
      <c r="K768" s="208"/>
      <c r="L768" s="208"/>
      <c r="M768" s="208"/>
      <c r="N768" s="208"/>
      <c r="O768" s="208"/>
      <c r="P768" s="208"/>
      <c r="Q768" s="208"/>
      <c r="R768" s="208"/>
      <c r="S768" s="208"/>
      <c r="T768" s="208"/>
      <c r="U768" s="208"/>
      <c r="V768" s="208"/>
      <c r="W768" s="208"/>
      <c r="X768" s="208"/>
      <c r="Y768" s="208"/>
      <c r="Z768" s="208"/>
      <c r="AA768" s="208"/>
      <c r="AB768" s="208"/>
      <c r="AC768" s="208"/>
      <c r="AD768" s="208"/>
      <c r="AE768" s="208"/>
      <c r="AF768" s="208"/>
      <c r="AG768" s="208"/>
      <c r="AH768" s="208"/>
      <c r="AI768" s="208"/>
      <c r="AJ768" s="208"/>
      <c r="AK768" s="208"/>
      <c r="AL768" s="208"/>
      <c r="AM768" s="208"/>
      <c r="AN768" s="208"/>
      <c r="AO768" s="208"/>
      <c r="AP768" s="208"/>
      <c r="AQ768" s="208"/>
      <c r="AR768" s="208"/>
      <c r="AS768" s="208"/>
      <c r="AT768" s="208"/>
      <c r="AU768" s="208"/>
      <c r="AV768" s="208"/>
      <c r="AW768" s="208"/>
      <c r="AX768" s="208"/>
      <c r="AY768" s="208"/>
      <c r="AZ768" s="208"/>
      <c r="BA768" s="208"/>
    </row>
    <row r="769" ht="15.75" hidden="1" customHeight="1">
      <c r="A769" s="208"/>
      <c r="B769" s="208"/>
      <c r="C769" s="208"/>
      <c r="D769" s="208"/>
      <c r="E769" s="208"/>
      <c r="F769" s="208"/>
      <c r="G769" s="208"/>
      <c r="H769" s="208"/>
      <c r="I769" s="208"/>
      <c r="J769" s="208"/>
      <c r="K769" s="208"/>
      <c r="L769" s="208"/>
      <c r="M769" s="208"/>
      <c r="N769" s="208"/>
      <c r="O769" s="208"/>
      <c r="P769" s="208"/>
      <c r="Q769" s="208"/>
      <c r="R769" s="208"/>
      <c r="S769" s="208"/>
      <c r="T769" s="208"/>
      <c r="U769" s="208"/>
      <c r="V769" s="208"/>
      <c r="W769" s="208"/>
      <c r="X769" s="208"/>
      <c r="Y769" s="208"/>
      <c r="Z769" s="208"/>
      <c r="AA769" s="208"/>
      <c r="AB769" s="208"/>
      <c r="AC769" s="208"/>
      <c r="AD769" s="208"/>
      <c r="AE769" s="208"/>
      <c r="AF769" s="208"/>
      <c r="AG769" s="208"/>
      <c r="AH769" s="208"/>
      <c r="AI769" s="208"/>
      <c r="AJ769" s="208"/>
      <c r="AK769" s="208"/>
      <c r="AL769" s="208"/>
      <c r="AM769" s="208"/>
      <c r="AN769" s="208"/>
      <c r="AO769" s="208"/>
      <c r="AP769" s="208"/>
      <c r="AQ769" s="208"/>
      <c r="AR769" s="208"/>
      <c r="AS769" s="208"/>
      <c r="AT769" s="208"/>
      <c r="AU769" s="208"/>
      <c r="AV769" s="208"/>
      <c r="AW769" s="208"/>
      <c r="AX769" s="208"/>
      <c r="AY769" s="208"/>
      <c r="AZ769" s="208"/>
      <c r="BA769" s="208"/>
    </row>
    <row r="770" ht="15.75" hidden="1" customHeight="1">
      <c r="A770" s="208"/>
      <c r="B770" s="208"/>
      <c r="C770" s="208"/>
      <c r="D770" s="208"/>
      <c r="E770" s="208"/>
      <c r="F770" s="208"/>
      <c r="G770" s="208"/>
      <c r="H770" s="208"/>
      <c r="I770" s="208"/>
      <c r="J770" s="208"/>
      <c r="K770" s="208"/>
      <c r="L770" s="208"/>
      <c r="M770" s="208"/>
      <c r="N770" s="208"/>
      <c r="O770" s="208"/>
      <c r="P770" s="208"/>
      <c r="Q770" s="208"/>
      <c r="R770" s="208"/>
      <c r="S770" s="208"/>
      <c r="T770" s="208"/>
      <c r="U770" s="208"/>
      <c r="V770" s="208"/>
      <c r="W770" s="208"/>
      <c r="X770" s="208"/>
      <c r="Y770" s="208"/>
      <c r="Z770" s="208"/>
      <c r="AA770" s="208"/>
      <c r="AB770" s="208"/>
      <c r="AC770" s="208"/>
      <c r="AD770" s="208"/>
      <c r="AE770" s="208"/>
      <c r="AF770" s="208"/>
      <c r="AG770" s="208"/>
      <c r="AH770" s="208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  <c r="AT770" s="208"/>
      <c r="AU770" s="208"/>
      <c r="AV770" s="208"/>
      <c r="AW770" s="208"/>
      <c r="AX770" s="208"/>
      <c r="AY770" s="208"/>
      <c r="AZ770" s="208"/>
      <c r="BA770" s="208"/>
    </row>
    <row r="771" ht="15.75" hidden="1" customHeight="1">
      <c r="A771" s="208"/>
      <c r="B771" s="208"/>
      <c r="C771" s="208"/>
      <c r="D771" s="208"/>
      <c r="E771" s="208"/>
      <c r="F771" s="208"/>
      <c r="G771" s="208"/>
      <c r="H771" s="208"/>
      <c r="I771" s="208"/>
      <c r="J771" s="208"/>
      <c r="K771" s="208"/>
      <c r="L771" s="208"/>
      <c r="M771" s="208"/>
      <c r="N771" s="208"/>
      <c r="O771" s="208"/>
      <c r="P771" s="208"/>
      <c r="Q771" s="208"/>
      <c r="R771" s="208"/>
      <c r="S771" s="208"/>
      <c r="T771" s="208"/>
      <c r="U771" s="208"/>
      <c r="V771" s="208"/>
      <c r="W771" s="208"/>
      <c r="X771" s="208"/>
      <c r="Y771" s="208"/>
      <c r="Z771" s="208"/>
      <c r="AA771" s="208"/>
      <c r="AB771" s="208"/>
      <c r="AC771" s="208"/>
      <c r="AD771" s="208"/>
      <c r="AE771" s="208"/>
      <c r="AF771" s="208"/>
      <c r="AG771" s="208"/>
      <c r="AH771" s="208"/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  <c r="AT771" s="208"/>
      <c r="AU771" s="208"/>
      <c r="AV771" s="208"/>
      <c r="AW771" s="208"/>
      <c r="AX771" s="208"/>
      <c r="AY771" s="208"/>
      <c r="AZ771" s="208"/>
      <c r="BA771" s="208"/>
    </row>
    <row r="772" ht="15.75" hidden="1" customHeight="1">
      <c r="A772" s="208"/>
      <c r="B772" s="208"/>
      <c r="C772" s="208"/>
      <c r="D772" s="208"/>
      <c r="E772" s="208"/>
      <c r="F772" s="208"/>
      <c r="G772" s="208"/>
      <c r="H772" s="208"/>
      <c r="I772" s="208"/>
      <c r="J772" s="208"/>
      <c r="K772" s="208"/>
      <c r="L772" s="208"/>
      <c r="M772" s="208"/>
      <c r="N772" s="208"/>
      <c r="O772" s="208"/>
      <c r="P772" s="208"/>
      <c r="Q772" s="208"/>
      <c r="R772" s="208"/>
      <c r="S772" s="208"/>
      <c r="T772" s="208"/>
      <c r="U772" s="208"/>
      <c r="V772" s="208"/>
      <c r="W772" s="208"/>
      <c r="X772" s="208"/>
      <c r="Y772" s="208"/>
      <c r="Z772" s="208"/>
      <c r="AA772" s="208"/>
      <c r="AB772" s="208"/>
      <c r="AC772" s="208"/>
      <c r="AD772" s="208"/>
      <c r="AE772" s="208"/>
      <c r="AF772" s="208"/>
      <c r="AG772" s="208"/>
      <c r="AH772" s="208"/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  <c r="AT772" s="208"/>
      <c r="AU772" s="208"/>
      <c r="AV772" s="208"/>
      <c r="AW772" s="208"/>
      <c r="AX772" s="208"/>
      <c r="AY772" s="208"/>
      <c r="AZ772" s="208"/>
      <c r="BA772" s="208"/>
    </row>
    <row r="773" ht="15.75" hidden="1" customHeight="1">
      <c r="A773" s="208"/>
      <c r="B773" s="208"/>
      <c r="C773" s="208"/>
      <c r="D773" s="208"/>
      <c r="E773" s="208"/>
      <c r="F773" s="208"/>
      <c r="G773" s="208"/>
      <c r="H773" s="208"/>
      <c r="I773" s="208"/>
      <c r="J773" s="208"/>
      <c r="K773" s="208"/>
      <c r="L773" s="208"/>
      <c r="M773" s="208"/>
      <c r="N773" s="208"/>
      <c r="O773" s="208"/>
      <c r="P773" s="208"/>
      <c r="Q773" s="208"/>
      <c r="R773" s="208"/>
      <c r="S773" s="208"/>
      <c r="T773" s="208"/>
      <c r="U773" s="208"/>
      <c r="V773" s="208"/>
      <c r="W773" s="208"/>
      <c r="X773" s="208"/>
      <c r="Y773" s="208"/>
      <c r="Z773" s="208"/>
      <c r="AA773" s="208"/>
      <c r="AB773" s="208"/>
      <c r="AC773" s="208"/>
      <c r="AD773" s="208"/>
      <c r="AE773" s="208"/>
      <c r="AF773" s="208"/>
      <c r="AG773" s="208"/>
      <c r="AH773" s="208"/>
      <c r="AI773" s="208"/>
      <c r="AJ773" s="208"/>
      <c r="AK773" s="208"/>
      <c r="AL773" s="208"/>
      <c r="AM773" s="208"/>
      <c r="AN773" s="208"/>
      <c r="AO773" s="208"/>
      <c r="AP773" s="208"/>
      <c r="AQ773" s="208"/>
      <c r="AR773" s="208"/>
      <c r="AS773" s="208"/>
      <c r="AT773" s="208"/>
      <c r="AU773" s="208"/>
      <c r="AV773" s="208"/>
      <c r="AW773" s="208"/>
      <c r="AX773" s="208"/>
      <c r="AY773" s="208"/>
      <c r="AZ773" s="208"/>
      <c r="BA773" s="208"/>
    </row>
    <row r="774" ht="15.75" hidden="1" customHeight="1">
      <c r="A774" s="208"/>
      <c r="B774" s="208"/>
      <c r="C774" s="208"/>
      <c r="D774" s="208"/>
      <c r="E774" s="208"/>
      <c r="F774" s="208"/>
      <c r="G774" s="208"/>
      <c r="H774" s="208"/>
      <c r="I774" s="208"/>
      <c r="J774" s="208"/>
      <c r="K774" s="208"/>
      <c r="L774" s="208"/>
      <c r="M774" s="208"/>
      <c r="N774" s="208"/>
      <c r="O774" s="208"/>
      <c r="P774" s="208"/>
      <c r="Q774" s="208"/>
      <c r="R774" s="208"/>
      <c r="S774" s="208"/>
      <c r="T774" s="208"/>
      <c r="U774" s="208"/>
      <c r="V774" s="208"/>
      <c r="W774" s="208"/>
      <c r="X774" s="208"/>
      <c r="Y774" s="208"/>
      <c r="Z774" s="208"/>
      <c r="AA774" s="208"/>
      <c r="AB774" s="208"/>
      <c r="AC774" s="208"/>
      <c r="AD774" s="208"/>
      <c r="AE774" s="208"/>
      <c r="AF774" s="208"/>
      <c r="AG774" s="208"/>
      <c r="AH774" s="208"/>
      <c r="AI774" s="208"/>
      <c r="AJ774" s="208"/>
      <c r="AK774" s="208"/>
      <c r="AL774" s="208"/>
      <c r="AM774" s="208"/>
      <c r="AN774" s="208"/>
      <c r="AO774" s="208"/>
      <c r="AP774" s="208"/>
      <c r="AQ774" s="208"/>
      <c r="AR774" s="208"/>
      <c r="AS774" s="208"/>
      <c r="AT774" s="208"/>
      <c r="AU774" s="208"/>
      <c r="AV774" s="208"/>
      <c r="AW774" s="208"/>
      <c r="AX774" s="208"/>
      <c r="AY774" s="208"/>
      <c r="AZ774" s="208"/>
      <c r="BA774" s="208"/>
    </row>
    <row r="775" ht="15.75" hidden="1" customHeight="1">
      <c r="A775" s="208"/>
      <c r="B775" s="208"/>
      <c r="C775" s="208"/>
      <c r="D775" s="208"/>
      <c r="E775" s="208"/>
      <c r="F775" s="208"/>
      <c r="G775" s="208"/>
      <c r="H775" s="208"/>
      <c r="I775" s="208"/>
      <c r="J775" s="208"/>
      <c r="K775" s="208"/>
      <c r="L775" s="208"/>
      <c r="M775" s="208"/>
      <c r="N775" s="208"/>
      <c r="O775" s="208"/>
      <c r="P775" s="208"/>
      <c r="Q775" s="208"/>
      <c r="R775" s="208"/>
      <c r="S775" s="208"/>
      <c r="T775" s="208"/>
      <c r="U775" s="208"/>
      <c r="V775" s="208"/>
      <c r="W775" s="208"/>
      <c r="X775" s="208"/>
      <c r="Y775" s="208"/>
      <c r="Z775" s="208"/>
      <c r="AA775" s="208"/>
      <c r="AB775" s="208"/>
      <c r="AC775" s="208"/>
      <c r="AD775" s="208"/>
      <c r="AE775" s="208"/>
      <c r="AF775" s="208"/>
      <c r="AG775" s="208"/>
      <c r="AH775" s="208"/>
      <c r="AI775" s="208"/>
      <c r="AJ775" s="208"/>
      <c r="AK775" s="208"/>
      <c r="AL775" s="208"/>
      <c r="AM775" s="208"/>
      <c r="AN775" s="208"/>
      <c r="AO775" s="208"/>
      <c r="AP775" s="208"/>
      <c r="AQ775" s="208"/>
      <c r="AR775" s="208"/>
      <c r="AS775" s="208"/>
      <c r="AT775" s="208"/>
      <c r="AU775" s="208"/>
      <c r="AV775" s="208"/>
      <c r="AW775" s="208"/>
      <c r="AX775" s="208"/>
      <c r="AY775" s="208"/>
      <c r="AZ775" s="208"/>
      <c r="BA775" s="208"/>
    </row>
    <row r="776" ht="15.75" hidden="1" customHeight="1">
      <c r="A776" s="208"/>
      <c r="B776" s="208"/>
      <c r="C776" s="208"/>
      <c r="D776" s="208"/>
      <c r="E776" s="208"/>
      <c r="F776" s="208"/>
      <c r="G776" s="208"/>
      <c r="H776" s="208"/>
      <c r="I776" s="208"/>
      <c r="J776" s="208"/>
      <c r="K776" s="208"/>
      <c r="L776" s="208"/>
      <c r="M776" s="208"/>
      <c r="N776" s="208"/>
      <c r="O776" s="208"/>
      <c r="P776" s="208"/>
      <c r="Q776" s="208"/>
      <c r="R776" s="208"/>
      <c r="S776" s="208"/>
      <c r="T776" s="208"/>
      <c r="U776" s="208"/>
      <c r="V776" s="208"/>
      <c r="W776" s="208"/>
      <c r="X776" s="208"/>
      <c r="Y776" s="208"/>
      <c r="Z776" s="208"/>
      <c r="AA776" s="208"/>
      <c r="AB776" s="208"/>
      <c r="AC776" s="208"/>
      <c r="AD776" s="208"/>
      <c r="AE776" s="208"/>
      <c r="AF776" s="208"/>
      <c r="AG776" s="208"/>
      <c r="AH776" s="208"/>
      <c r="AI776" s="208"/>
      <c r="AJ776" s="208"/>
      <c r="AK776" s="208"/>
      <c r="AL776" s="208"/>
      <c r="AM776" s="208"/>
      <c r="AN776" s="208"/>
      <c r="AO776" s="208"/>
      <c r="AP776" s="208"/>
      <c r="AQ776" s="208"/>
      <c r="AR776" s="208"/>
      <c r="AS776" s="208"/>
      <c r="AT776" s="208"/>
      <c r="AU776" s="208"/>
      <c r="AV776" s="208"/>
      <c r="AW776" s="208"/>
      <c r="AX776" s="208"/>
      <c r="AY776" s="208"/>
      <c r="AZ776" s="208"/>
      <c r="BA776" s="208"/>
    </row>
    <row r="777" ht="15.75" hidden="1" customHeight="1">
      <c r="A777" s="208"/>
      <c r="B777" s="208"/>
      <c r="C777" s="208"/>
      <c r="D777" s="208"/>
      <c r="E777" s="208"/>
      <c r="F777" s="208"/>
      <c r="G777" s="208"/>
      <c r="H777" s="208"/>
      <c r="I777" s="208"/>
      <c r="J777" s="208"/>
      <c r="K777" s="208"/>
      <c r="L777" s="208"/>
      <c r="M777" s="208"/>
      <c r="N777" s="208"/>
      <c r="O777" s="208"/>
      <c r="P777" s="208"/>
      <c r="Q777" s="208"/>
      <c r="R777" s="208"/>
      <c r="S777" s="208"/>
      <c r="T777" s="208"/>
      <c r="U777" s="208"/>
      <c r="V777" s="208"/>
      <c r="W777" s="208"/>
      <c r="X777" s="208"/>
      <c r="Y777" s="208"/>
      <c r="Z777" s="208"/>
      <c r="AA777" s="208"/>
      <c r="AB777" s="208"/>
      <c r="AC777" s="208"/>
      <c r="AD777" s="208"/>
      <c r="AE777" s="208"/>
      <c r="AF777" s="208"/>
      <c r="AG777" s="208"/>
      <c r="AH777" s="208"/>
      <c r="AI777" s="208"/>
      <c r="AJ777" s="208"/>
      <c r="AK777" s="208"/>
      <c r="AL777" s="208"/>
      <c r="AM777" s="208"/>
      <c r="AN777" s="208"/>
      <c r="AO777" s="208"/>
      <c r="AP777" s="208"/>
      <c r="AQ777" s="208"/>
      <c r="AR777" s="208"/>
      <c r="AS777" s="208"/>
      <c r="AT777" s="208"/>
      <c r="AU777" s="208"/>
      <c r="AV777" s="208"/>
      <c r="AW777" s="208"/>
      <c r="AX777" s="208"/>
      <c r="AY777" s="208"/>
      <c r="AZ777" s="208"/>
      <c r="BA777" s="208"/>
    </row>
    <row r="778" ht="15.75" hidden="1" customHeight="1">
      <c r="A778" s="208"/>
      <c r="B778" s="208"/>
      <c r="C778" s="208"/>
      <c r="D778" s="208"/>
      <c r="E778" s="208"/>
      <c r="F778" s="208"/>
      <c r="G778" s="208"/>
      <c r="H778" s="208"/>
      <c r="I778" s="208"/>
      <c r="J778" s="208"/>
      <c r="K778" s="208"/>
      <c r="L778" s="208"/>
      <c r="M778" s="208"/>
      <c r="N778" s="208"/>
      <c r="O778" s="208"/>
      <c r="P778" s="208"/>
      <c r="Q778" s="208"/>
      <c r="R778" s="208"/>
      <c r="S778" s="208"/>
      <c r="T778" s="208"/>
      <c r="U778" s="208"/>
      <c r="V778" s="208"/>
      <c r="W778" s="208"/>
      <c r="X778" s="208"/>
      <c r="Y778" s="208"/>
      <c r="Z778" s="208"/>
      <c r="AA778" s="208"/>
      <c r="AB778" s="208"/>
      <c r="AC778" s="208"/>
      <c r="AD778" s="208"/>
      <c r="AE778" s="208"/>
      <c r="AF778" s="208"/>
      <c r="AG778" s="208"/>
      <c r="AH778" s="208"/>
      <c r="AI778" s="208"/>
      <c r="AJ778" s="208"/>
      <c r="AK778" s="208"/>
      <c r="AL778" s="208"/>
      <c r="AM778" s="208"/>
      <c r="AN778" s="208"/>
      <c r="AO778" s="208"/>
      <c r="AP778" s="208"/>
      <c r="AQ778" s="208"/>
      <c r="AR778" s="208"/>
      <c r="AS778" s="208"/>
      <c r="AT778" s="208"/>
      <c r="AU778" s="208"/>
      <c r="AV778" s="208"/>
      <c r="AW778" s="208"/>
      <c r="AX778" s="208"/>
      <c r="AY778" s="208"/>
      <c r="AZ778" s="208"/>
      <c r="BA778" s="208"/>
    </row>
    <row r="779" ht="15.75" hidden="1" customHeight="1">
      <c r="A779" s="208"/>
      <c r="B779" s="208"/>
      <c r="C779" s="208"/>
      <c r="D779" s="208"/>
      <c r="E779" s="208"/>
      <c r="F779" s="208"/>
      <c r="G779" s="208"/>
      <c r="H779" s="208"/>
      <c r="I779" s="208"/>
      <c r="J779" s="208"/>
      <c r="K779" s="208"/>
      <c r="L779" s="208"/>
      <c r="M779" s="208"/>
      <c r="N779" s="208"/>
      <c r="O779" s="208"/>
      <c r="P779" s="208"/>
      <c r="Q779" s="208"/>
      <c r="R779" s="208"/>
      <c r="S779" s="208"/>
      <c r="T779" s="208"/>
      <c r="U779" s="208"/>
      <c r="V779" s="208"/>
      <c r="W779" s="208"/>
      <c r="X779" s="208"/>
      <c r="Y779" s="208"/>
      <c r="Z779" s="208"/>
      <c r="AA779" s="208"/>
      <c r="AB779" s="208"/>
      <c r="AC779" s="208"/>
      <c r="AD779" s="208"/>
      <c r="AE779" s="208"/>
      <c r="AF779" s="208"/>
      <c r="AG779" s="208"/>
      <c r="AH779" s="208"/>
      <c r="AI779" s="208"/>
      <c r="AJ779" s="208"/>
      <c r="AK779" s="208"/>
      <c r="AL779" s="208"/>
      <c r="AM779" s="208"/>
      <c r="AN779" s="208"/>
      <c r="AO779" s="208"/>
      <c r="AP779" s="208"/>
      <c r="AQ779" s="208"/>
      <c r="AR779" s="208"/>
      <c r="AS779" s="208"/>
      <c r="AT779" s="208"/>
      <c r="AU779" s="208"/>
      <c r="AV779" s="208"/>
      <c r="AW779" s="208"/>
      <c r="AX779" s="208"/>
      <c r="AY779" s="208"/>
      <c r="AZ779" s="208"/>
      <c r="BA779" s="208"/>
    </row>
    <row r="780" ht="15.75" hidden="1" customHeight="1">
      <c r="A780" s="208"/>
      <c r="B780" s="208"/>
      <c r="C780" s="208"/>
      <c r="D780" s="208"/>
      <c r="E780" s="208"/>
      <c r="F780" s="208"/>
      <c r="G780" s="208"/>
      <c r="H780" s="208"/>
      <c r="I780" s="208"/>
      <c r="J780" s="208"/>
      <c r="K780" s="208"/>
      <c r="L780" s="208"/>
      <c r="M780" s="208"/>
      <c r="N780" s="208"/>
      <c r="O780" s="208"/>
      <c r="P780" s="208"/>
      <c r="Q780" s="208"/>
      <c r="R780" s="208"/>
      <c r="S780" s="208"/>
      <c r="T780" s="208"/>
      <c r="U780" s="208"/>
      <c r="V780" s="208"/>
      <c r="W780" s="208"/>
      <c r="X780" s="208"/>
      <c r="Y780" s="208"/>
      <c r="Z780" s="208"/>
      <c r="AA780" s="208"/>
      <c r="AB780" s="208"/>
      <c r="AC780" s="208"/>
      <c r="AD780" s="208"/>
      <c r="AE780" s="208"/>
      <c r="AF780" s="208"/>
      <c r="AG780" s="208"/>
      <c r="AH780" s="208"/>
      <c r="AI780" s="208"/>
      <c r="AJ780" s="208"/>
      <c r="AK780" s="208"/>
      <c r="AL780" s="208"/>
      <c r="AM780" s="208"/>
      <c r="AN780" s="208"/>
      <c r="AO780" s="208"/>
      <c r="AP780" s="208"/>
      <c r="AQ780" s="208"/>
      <c r="AR780" s="208"/>
      <c r="AS780" s="208"/>
      <c r="AT780" s="208"/>
      <c r="AU780" s="208"/>
      <c r="AV780" s="208"/>
      <c r="AW780" s="208"/>
      <c r="AX780" s="208"/>
      <c r="AY780" s="208"/>
      <c r="AZ780" s="208"/>
      <c r="BA780" s="208"/>
    </row>
    <row r="781" ht="15.75" hidden="1" customHeight="1">
      <c r="A781" s="208"/>
      <c r="B781" s="208"/>
      <c r="C781" s="208"/>
      <c r="D781" s="208"/>
      <c r="E781" s="208"/>
      <c r="F781" s="208"/>
      <c r="G781" s="208"/>
      <c r="H781" s="208"/>
      <c r="I781" s="208"/>
      <c r="J781" s="208"/>
      <c r="K781" s="208"/>
      <c r="L781" s="208"/>
      <c r="M781" s="208"/>
      <c r="N781" s="208"/>
      <c r="O781" s="208"/>
      <c r="P781" s="208"/>
      <c r="Q781" s="208"/>
      <c r="R781" s="208"/>
      <c r="S781" s="208"/>
      <c r="T781" s="208"/>
      <c r="U781" s="208"/>
      <c r="V781" s="208"/>
      <c r="W781" s="208"/>
      <c r="X781" s="208"/>
      <c r="Y781" s="208"/>
      <c r="Z781" s="208"/>
      <c r="AA781" s="208"/>
      <c r="AB781" s="208"/>
      <c r="AC781" s="208"/>
      <c r="AD781" s="208"/>
      <c r="AE781" s="208"/>
      <c r="AF781" s="208"/>
      <c r="AG781" s="208"/>
      <c r="AH781" s="208"/>
      <c r="AI781" s="208"/>
      <c r="AJ781" s="208"/>
      <c r="AK781" s="208"/>
      <c r="AL781" s="208"/>
      <c r="AM781" s="208"/>
      <c r="AN781" s="208"/>
      <c r="AO781" s="208"/>
      <c r="AP781" s="208"/>
      <c r="AQ781" s="208"/>
      <c r="AR781" s="208"/>
      <c r="AS781" s="208"/>
      <c r="AT781" s="208"/>
      <c r="AU781" s="208"/>
      <c r="AV781" s="208"/>
      <c r="AW781" s="208"/>
      <c r="AX781" s="208"/>
      <c r="AY781" s="208"/>
      <c r="AZ781" s="208"/>
      <c r="BA781" s="208"/>
    </row>
    <row r="782" ht="15.75" hidden="1" customHeight="1">
      <c r="A782" s="208"/>
      <c r="B782" s="208"/>
      <c r="C782" s="208"/>
      <c r="D782" s="208"/>
      <c r="E782" s="208"/>
      <c r="F782" s="208"/>
      <c r="G782" s="208"/>
      <c r="H782" s="208"/>
      <c r="I782" s="208"/>
      <c r="J782" s="208"/>
      <c r="K782" s="208"/>
      <c r="L782" s="208"/>
      <c r="M782" s="208"/>
      <c r="N782" s="208"/>
      <c r="O782" s="208"/>
      <c r="P782" s="208"/>
      <c r="Q782" s="208"/>
      <c r="R782" s="208"/>
      <c r="S782" s="208"/>
      <c r="T782" s="208"/>
      <c r="U782" s="208"/>
      <c r="V782" s="208"/>
      <c r="W782" s="208"/>
      <c r="X782" s="208"/>
      <c r="Y782" s="208"/>
      <c r="Z782" s="208"/>
      <c r="AA782" s="208"/>
      <c r="AB782" s="208"/>
      <c r="AC782" s="208"/>
      <c r="AD782" s="208"/>
      <c r="AE782" s="208"/>
      <c r="AF782" s="208"/>
      <c r="AG782" s="208"/>
      <c r="AH782" s="208"/>
      <c r="AI782" s="208"/>
      <c r="AJ782" s="208"/>
      <c r="AK782" s="208"/>
      <c r="AL782" s="208"/>
      <c r="AM782" s="208"/>
      <c r="AN782" s="208"/>
      <c r="AO782" s="208"/>
      <c r="AP782" s="208"/>
      <c r="AQ782" s="208"/>
      <c r="AR782" s="208"/>
      <c r="AS782" s="208"/>
      <c r="AT782" s="208"/>
      <c r="AU782" s="208"/>
      <c r="AV782" s="208"/>
      <c r="AW782" s="208"/>
      <c r="AX782" s="208"/>
      <c r="AY782" s="208"/>
      <c r="AZ782" s="208"/>
      <c r="BA782" s="208"/>
    </row>
    <row r="783" ht="15.75" hidden="1" customHeight="1">
      <c r="A783" s="208"/>
      <c r="B783" s="208"/>
      <c r="C783" s="208"/>
      <c r="D783" s="208"/>
      <c r="E783" s="208"/>
      <c r="F783" s="208"/>
      <c r="G783" s="208"/>
      <c r="H783" s="208"/>
      <c r="I783" s="208"/>
      <c r="J783" s="208"/>
      <c r="K783" s="208"/>
      <c r="L783" s="208"/>
      <c r="M783" s="208"/>
      <c r="N783" s="208"/>
      <c r="O783" s="208"/>
      <c r="P783" s="208"/>
      <c r="Q783" s="208"/>
      <c r="R783" s="208"/>
      <c r="S783" s="208"/>
      <c r="T783" s="208"/>
      <c r="U783" s="208"/>
      <c r="V783" s="208"/>
      <c r="W783" s="208"/>
      <c r="X783" s="208"/>
      <c r="Y783" s="208"/>
      <c r="Z783" s="208"/>
      <c r="AA783" s="208"/>
      <c r="AB783" s="208"/>
      <c r="AC783" s="208"/>
      <c r="AD783" s="208"/>
      <c r="AE783" s="208"/>
      <c r="AF783" s="208"/>
      <c r="AG783" s="208"/>
      <c r="AH783" s="208"/>
      <c r="AI783" s="208"/>
      <c r="AJ783" s="208"/>
      <c r="AK783" s="208"/>
      <c r="AL783" s="208"/>
      <c r="AM783" s="208"/>
      <c r="AN783" s="208"/>
      <c r="AO783" s="208"/>
      <c r="AP783" s="208"/>
      <c r="AQ783" s="208"/>
      <c r="AR783" s="208"/>
      <c r="AS783" s="208"/>
      <c r="AT783" s="208"/>
      <c r="AU783" s="208"/>
      <c r="AV783" s="208"/>
      <c r="AW783" s="208"/>
      <c r="AX783" s="208"/>
      <c r="AY783" s="208"/>
      <c r="AZ783" s="208"/>
      <c r="BA783" s="208"/>
    </row>
    <row r="784" ht="15.75" hidden="1" customHeight="1">
      <c r="A784" s="208"/>
      <c r="B784" s="208"/>
      <c r="C784" s="208"/>
      <c r="D784" s="208"/>
      <c r="E784" s="208"/>
      <c r="F784" s="208"/>
      <c r="G784" s="208"/>
      <c r="H784" s="208"/>
      <c r="I784" s="208"/>
      <c r="J784" s="208"/>
      <c r="K784" s="208"/>
      <c r="L784" s="208"/>
      <c r="M784" s="208"/>
      <c r="N784" s="208"/>
      <c r="O784" s="208"/>
      <c r="P784" s="208"/>
      <c r="Q784" s="208"/>
      <c r="R784" s="208"/>
      <c r="S784" s="208"/>
      <c r="T784" s="208"/>
      <c r="U784" s="208"/>
      <c r="V784" s="208"/>
      <c r="W784" s="208"/>
      <c r="X784" s="208"/>
      <c r="Y784" s="208"/>
      <c r="Z784" s="208"/>
      <c r="AA784" s="208"/>
      <c r="AB784" s="208"/>
      <c r="AC784" s="208"/>
      <c r="AD784" s="208"/>
      <c r="AE784" s="208"/>
      <c r="AF784" s="208"/>
      <c r="AG784" s="208"/>
      <c r="AH784" s="208"/>
      <c r="AI784" s="208"/>
      <c r="AJ784" s="208"/>
      <c r="AK784" s="208"/>
      <c r="AL784" s="208"/>
      <c r="AM784" s="208"/>
      <c r="AN784" s="208"/>
      <c r="AO784" s="208"/>
      <c r="AP784" s="208"/>
      <c r="AQ784" s="208"/>
      <c r="AR784" s="208"/>
      <c r="AS784" s="208"/>
      <c r="AT784" s="208"/>
      <c r="AU784" s="208"/>
      <c r="AV784" s="208"/>
      <c r="AW784" s="208"/>
      <c r="AX784" s="208"/>
      <c r="AY784" s="208"/>
      <c r="AZ784" s="208"/>
      <c r="BA784" s="208"/>
    </row>
    <row r="785" ht="15.75" hidden="1" customHeight="1">
      <c r="A785" s="208"/>
      <c r="B785" s="208"/>
      <c r="C785" s="208"/>
      <c r="D785" s="208"/>
      <c r="E785" s="208"/>
      <c r="F785" s="208"/>
      <c r="G785" s="208"/>
      <c r="H785" s="208"/>
      <c r="I785" s="208"/>
      <c r="J785" s="208"/>
      <c r="K785" s="208"/>
      <c r="L785" s="208"/>
      <c r="M785" s="208"/>
      <c r="N785" s="208"/>
      <c r="O785" s="208"/>
      <c r="P785" s="208"/>
      <c r="Q785" s="208"/>
      <c r="R785" s="208"/>
      <c r="S785" s="208"/>
      <c r="T785" s="208"/>
      <c r="U785" s="208"/>
      <c r="V785" s="208"/>
      <c r="W785" s="208"/>
      <c r="X785" s="208"/>
      <c r="Y785" s="208"/>
      <c r="Z785" s="208"/>
      <c r="AA785" s="208"/>
      <c r="AB785" s="208"/>
      <c r="AC785" s="208"/>
      <c r="AD785" s="208"/>
      <c r="AE785" s="208"/>
      <c r="AF785" s="208"/>
      <c r="AG785" s="208"/>
      <c r="AH785" s="208"/>
      <c r="AI785" s="208"/>
      <c r="AJ785" s="208"/>
      <c r="AK785" s="208"/>
      <c r="AL785" s="208"/>
      <c r="AM785" s="208"/>
      <c r="AN785" s="208"/>
      <c r="AO785" s="208"/>
      <c r="AP785" s="208"/>
      <c r="AQ785" s="208"/>
      <c r="AR785" s="208"/>
      <c r="AS785" s="208"/>
      <c r="AT785" s="208"/>
      <c r="AU785" s="208"/>
      <c r="AV785" s="208"/>
      <c r="AW785" s="208"/>
      <c r="AX785" s="208"/>
      <c r="AY785" s="208"/>
      <c r="AZ785" s="208"/>
      <c r="BA785" s="208"/>
    </row>
    <row r="786" ht="15.75" hidden="1" customHeight="1">
      <c r="A786" s="208"/>
      <c r="B786" s="208"/>
      <c r="C786" s="208"/>
      <c r="D786" s="208"/>
      <c r="E786" s="208"/>
      <c r="F786" s="208"/>
      <c r="G786" s="208"/>
      <c r="H786" s="208"/>
      <c r="I786" s="208"/>
      <c r="J786" s="208"/>
      <c r="K786" s="208"/>
      <c r="L786" s="208"/>
      <c r="M786" s="208"/>
      <c r="N786" s="208"/>
      <c r="O786" s="208"/>
      <c r="P786" s="208"/>
      <c r="Q786" s="208"/>
      <c r="R786" s="208"/>
      <c r="S786" s="208"/>
      <c r="T786" s="208"/>
      <c r="U786" s="208"/>
      <c r="V786" s="208"/>
      <c r="W786" s="208"/>
      <c r="X786" s="208"/>
      <c r="Y786" s="208"/>
      <c r="Z786" s="208"/>
      <c r="AA786" s="208"/>
      <c r="AB786" s="208"/>
      <c r="AC786" s="208"/>
      <c r="AD786" s="208"/>
      <c r="AE786" s="208"/>
      <c r="AF786" s="208"/>
      <c r="AG786" s="208"/>
      <c r="AH786" s="208"/>
      <c r="AI786" s="208"/>
      <c r="AJ786" s="208"/>
      <c r="AK786" s="208"/>
      <c r="AL786" s="208"/>
      <c r="AM786" s="208"/>
      <c r="AN786" s="208"/>
      <c r="AO786" s="208"/>
      <c r="AP786" s="208"/>
      <c r="AQ786" s="208"/>
      <c r="AR786" s="208"/>
      <c r="AS786" s="208"/>
      <c r="AT786" s="208"/>
      <c r="AU786" s="208"/>
      <c r="AV786" s="208"/>
      <c r="AW786" s="208"/>
      <c r="AX786" s="208"/>
      <c r="AY786" s="208"/>
      <c r="AZ786" s="208"/>
      <c r="BA786" s="208"/>
    </row>
    <row r="787" ht="15.75" hidden="1" customHeight="1">
      <c r="A787" s="208"/>
      <c r="B787" s="208"/>
      <c r="C787" s="208"/>
      <c r="D787" s="208"/>
      <c r="E787" s="208"/>
      <c r="F787" s="208"/>
      <c r="G787" s="208"/>
      <c r="H787" s="208"/>
      <c r="I787" s="208"/>
      <c r="J787" s="208"/>
      <c r="K787" s="208"/>
      <c r="L787" s="208"/>
      <c r="M787" s="208"/>
      <c r="N787" s="208"/>
      <c r="O787" s="208"/>
      <c r="P787" s="208"/>
      <c r="Q787" s="208"/>
      <c r="R787" s="208"/>
      <c r="S787" s="208"/>
      <c r="T787" s="208"/>
      <c r="U787" s="208"/>
      <c r="V787" s="208"/>
      <c r="W787" s="208"/>
      <c r="X787" s="208"/>
      <c r="Y787" s="208"/>
      <c r="Z787" s="208"/>
      <c r="AA787" s="208"/>
      <c r="AB787" s="208"/>
      <c r="AC787" s="208"/>
      <c r="AD787" s="208"/>
      <c r="AE787" s="208"/>
      <c r="AF787" s="208"/>
      <c r="AG787" s="208"/>
      <c r="AH787" s="208"/>
      <c r="AI787" s="208"/>
      <c r="AJ787" s="208"/>
      <c r="AK787" s="208"/>
      <c r="AL787" s="208"/>
      <c r="AM787" s="208"/>
      <c r="AN787" s="208"/>
      <c r="AO787" s="208"/>
      <c r="AP787" s="208"/>
      <c r="AQ787" s="208"/>
      <c r="AR787" s="208"/>
      <c r="AS787" s="208"/>
      <c r="AT787" s="208"/>
      <c r="AU787" s="208"/>
      <c r="AV787" s="208"/>
      <c r="AW787" s="208"/>
      <c r="AX787" s="208"/>
      <c r="AY787" s="208"/>
      <c r="AZ787" s="208"/>
      <c r="BA787" s="208"/>
    </row>
    <row r="788" ht="15.75" hidden="1" customHeight="1">
      <c r="A788" s="208"/>
      <c r="B788" s="208"/>
      <c r="C788" s="208"/>
      <c r="D788" s="208"/>
      <c r="E788" s="208"/>
      <c r="F788" s="208"/>
      <c r="G788" s="208"/>
      <c r="H788" s="208"/>
      <c r="I788" s="208"/>
      <c r="J788" s="208"/>
      <c r="K788" s="208"/>
      <c r="L788" s="208"/>
      <c r="M788" s="208"/>
      <c r="N788" s="208"/>
      <c r="O788" s="208"/>
      <c r="P788" s="208"/>
      <c r="Q788" s="208"/>
      <c r="R788" s="208"/>
      <c r="S788" s="208"/>
      <c r="T788" s="208"/>
      <c r="U788" s="208"/>
      <c r="V788" s="208"/>
      <c r="W788" s="208"/>
      <c r="X788" s="208"/>
      <c r="Y788" s="208"/>
      <c r="Z788" s="208"/>
      <c r="AA788" s="208"/>
      <c r="AB788" s="208"/>
      <c r="AC788" s="208"/>
      <c r="AD788" s="208"/>
      <c r="AE788" s="208"/>
      <c r="AF788" s="208"/>
      <c r="AG788" s="208"/>
      <c r="AH788" s="208"/>
      <c r="AI788" s="208"/>
      <c r="AJ788" s="208"/>
      <c r="AK788" s="208"/>
      <c r="AL788" s="208"/>
      <c r="AM788" s="208"/>
      <c r="AN788" s="208"/>
      <c r="AO788" s="208"/>
      <c r="AP788" s="208"/>
      <c r="AQ788" s="208"/>
      <c r="AR788" s="208"/>
      <c r="AS788" s="208"/>
      <c r="AT788" s="208"/>
      <c r="AU788" s="208"/>
      <c r="AV788" s="208"/>
      <c r="AW788" s="208"/>
      <c r="AX788" s="208"/>
      <c r="AY788" s="208"/>
      <c r="AZ788" s="208"/>
      <c r="BA788" s="208"/>
    </row>
    <row r="789" ht="15.75" hidden="1" customHeight="1">
      <c r="A789" s="208"/>
      <c r="B789" s="208"/>
      <c r="C789" s="208"/>
      <c r="D789" s="208"/>
      <c r="E789" s="208"/>
      <c r="F789" s="208"/>
      <c r="G789" s="208"/>
      <c r="H789" s="208"/>
      <c r="I789" s="208"/>
      <c r="J789" s="208"/>
      <c r="K789" s="208"/>
      <c r="L789" s="208"/>
      <c r="M789" s="208"/>
      <c r="N789" s="208"/>
      <c r="O789" s="208"/>
      <c r="P789" s="208"/>
      <c r="Q789" s="208"/>
      <c r="R789" s="208"/>
      <c r="S789" s="208"/>
      <c r="T789" s="208"/>
      <c r="U789" s="208"/>
      <c r="V789" s="208"/>
      <c r="W789" s="208"/>
      <c r="X789" s="208"/>
      <c r="Y789" s="208"/>
      <c r="Z789" s="208"/>
      <c r="AA789" s="208"/>
      <c r="AB789" s="208"/>
      <c r="AC789" s="208"/>
      <c r="AD789" s="208"/>
      <c r="AE789" s="208"/>
      <c r="AF789" s="208"/>
      <c r="AG789" s="208"/>
      <c r="AH789" s="208"/>
      <c r="AI789" s="208"/>
      <c r="AJ789" s="208"/>
      <c r="AK789" s="208"/>
      <c r="AL789" s="208"/>
      <c r="AM789" s="208"/>
      <c r="AN789" s="208"/>
      <c r="AO789" s="208"/>
      <c r="AP789" s="208"/>
      <c r="AQ789" s="208"/>
      <c r="AR789" s="208"/>
      <c r="AS789" s="208"/>
      <c r="AT789" s="208"/>
      <c r="AU789" s="208"/>
      <c r="AV789" s="208"/>
      <c r="AW789" s="208"/>
      <c r="AX789" s="208"/>
      <c r="AY789" s="208"/>
      <c r="AZ789" s="208"/>
      <c r="BA789" s="208"/>
    </row>
    <row r="790" ht="15.75" hidden="1" customHeight="1">
      <c r="A790" s="208"/>
      <c r="B790" s="208"/>
      <c r="C790" s="208"/>
      <c r="D790" s="208"/>
      <c r="E790" s="208"/>
      <c r="F790" s="208"/>
      <c r="G790" s="208"/>
      <c r="H790" s="208"/>
      <c r="I790" s="208"/>
      <c r="J790" s="208"/>
      <c r="K790" s="208"/>
      <c r="L790" s="208"/>
      <c r="M790" s="208"/>
      <c r="N790" s="208"/>
      <c r="O790" s="208"/>
      <c r="P790" s="208"/>
      <c r="Q790" s="208"/>
      <c r="R790" s="208"/>
      <c r="S790" s="208"/>
      <c r="T790" s="208"/>
      <c r="U790" s="208"/>
      <c r="V790" s="208"/>
      <c r="W790" s="208"/>
      <c r="X790" s="208"/>
      <c r="Y790" s="208"/>
      <c r="Z790" s="208"/>
      <c r="AA790" s="208"/>
      <c r="AB790" s="208"/>
      <c r="AC790" s="208"/>
      <c r="AD790" s="208"/>
      <c r="AE790" s="208"/>
      <c r="AF790" s="208"/>
      <c r="AG790" s="208"/>
      <c r="AH790" s="208"/>
      <c r="AI790" s="208"/>
      <c r="AJ790" s="208"/>
      <c r="AK790" s="208"/>
      <c r="AL790" s="208"/>
      <c r="AM790" s="208"/>
      <c r="AN790" s="208"/>
      <c r="AO790" s="208"/>
      <c r="AP790" s="208"/>
      <c r="AQ790" s="208"/>
      <c r="AR790" s="208"/>
      <c r="AS790" s="208"/>
      <c r="AT790" s="208"/>
      <c r="AU790" s="208"/>
      <c r="AV790" s="208"/>
      <c r="AW790" s="208"/>
      <c r="AX790" s="208"/>
      <c r="AY790" s="208"/>
      <c r="AZ790" s="208"/>
      <c r="BA790" s="208"/>
    </row>
    <row r="791" ht="15.75" hidden="1" customHeight="1">
      <c r="A791" s="208"/>
      <c r="B791" s="208"/>
      <c r="C791" s="208"/>
      <c r="D791" s="208"/>
      <c r="E791" s="208"/>
      <c r="F791" s="208"/>
      <c r="G791" s="208"/>
      <c r="H791" s="208"/>
      <c r="I791" s="208"/>
      <c r="J791" s="208"/>
      <c r="K791" s="208"/>
      <c r="L791" s="208"/>
      <c r="M791" s="208"/>
      <c r="N791" s="208"/>
      <c r="O791" s="208"/>
      <c r="P791" s="208"/>
      <c r="Q791" s="208"/>
      <c r="R791" s="208"/>
      <c r="S791" s="208"/>
      <c r="T791" s="208"/>
      <c r="U791" s="208"/>
      <c r="V791" s="208"/>
      <c r="W791" s="208"/>
      <c r="X791" s="208"/>
      <c r="Y791" s="208"/>
      <c r="Z791" s="208"/>
      <c r="AA791" s="208"/>
      <c r="AB791" s="208"/>
      <c r="AC791" s="208"/>
      <c r="AD791" s="208"/>
      <c r="AE791" s="208"/>
      <c r="AF791" s="208"/>
      <c r="AG791" s="208"/>
      <c r="AH791" s="208"/>
      <c r="AI791" s="208"/>
      <c r="AJ791" s="208"/>
      <c r="AK791" s="208"/>
      <c r="AL791" s="208"/>
      <c r="AM791" s="208"/>
      <c r="AN791" s="208"/>
      <c r="AO791" s="208"/>
      <c r="AP791" s="208"/>
      <c r="AQ791" s="208"/>
      <c r="AR791" s="208"/>
      <c r="AS791" s="208"/>
      <c r="AT791" s="208"/>
      <c r="AU791" s="208"/>
      <c r="AV791" s="208"/>
      <c r="AW791" s="208"/>
      <c r="AX791" s="208"/>
      <c r="AY791" s="208"/>
      <c r="AZ791" s="208"/>
      <c r="BA791" s="208"/>
    </row>
    <row r="792" ht="15.75" hidden="1" customHeight="1">
      <c r="A792" s="208"/>
      <c r="B792" s="208"/>
      <c r="C792" s="208"/>
      <c r="D792" s="208"/>
      <c r="E792" s="208"/>
      <c r="F792" s="208"/>
      <c r="G792" s="208"/>
      <c r="H792" s="208"/>
      <c r="I792" s="208"/>
      <c r="J792" s="208"/>
      <c r="K792" s="208"/>
      <c r="L792" s="208"/>
      <c r="M792" s="208"/>
      <c r="N792" s="208"/>
      <c r="O792" s="208"/>
      <c r="P792" s="208"/>
      <c r="Q792" s="208"/>
      <c r="R792" s="208"/>
      <c r="S792" s="208"/>
      <c r="T792" s="208"/>
      <c r="U792" s="208"/>
      <c r="V792" s="208"/>
      <c r="W792" s="208"/>
      <c r="X792" s="208"/>
      <c r="Y792" s="208"/>
      <c r="Z792" s="208"/>
      <c r="AA792" s="208"/>
      <c r="AB792" s="208"/>
      <c r="AC792" s="208"/>
      <c r="AD792" s="208"/>
      <c r="AE792" s="208"/>
      <c r="AF792" s="208"/>
      <c r="AG792" s="208"/>
      <c r="AH792" s="208"/>
      <c r="AI792" s="208"/>
      <c r="AJ792" s="208"/>
      <c r="AK792" s="208"/>
      <c r="AL792" s="208"/>
      <c r="AM792" s="208"/>
      <c r="AN792" s="208"/>
      <c r="AO792" s="208"/>
      <c r="AP792" s="208"/>
      <c r="AQ792" s="208"/>
      <c r="AR792" s="208"/>
      <c r="AS792" s="208"/>
      <c r="AT792" s="208"/>
      <c r="AU792" s="208"/>
      <c r="AV792" s="208"/>
      <c r="AW792" s="208"/>
      <c r="AX792" s="208"/>
      <c r="AY792" s="208"/>
      <c r="AZ792" s="208"/>
      <c r="BA792" s="208"/>
    </row>
    <row r="793" ht="15.75" hidden="1" customHeight="1">
      <c r="A793" s="208"/>
      <c r="B793" s="208"/>
      <c r="C793" s="208"/>
      <c r="D793" s="208"/>
      <c r="E793" s="208"/>
      <c r="F793" s="208"/>
      <c r="G793" s="208"/>
      <c r="H793" s="208"/>
      <c r="I793" s="208"/>
      <c r="J793" s="208"/>
      <c r="K793" s="208"/>
      <c r="L793" s="208"/>
      <c r="M793" s="208"/>
      <c r="N793" s="208"/>
      <c r="O793" s="208"/>
      <c r="P793" s="208"/>
      <c r="Q793" s="208"/>
      <c r="R793" s="208"/>
      <c r="S793" s="208"/>
      <c r="T793" s="208"/>
      <c r="U793" s="208"/>
      <c r="V793" s="208"/>
      <c r="W793" s="208"/>
      <c r="X793" s="208"/>
      <c r="Y793" s="208"/>
      <c r="Z793" s="208"/>
      <c r="AA793" s="208"/>
      <c r="AB793" s="208"/>
      <c r="AC793" s="208"/>
      <c r="AD793" s="208"/>
      <c r="AE793" s="208"/>
      <c r="AF793" s="208"/>
      <c r="AG793" s="208"/>
      <c r="AH793" s="208"/>
      <c r="AI793" s="208"/>
      <c r="AJ793" s="208"/>
      <c r="AK793" s="208"/>
      <c r="AL793" s="208"/>
      <c r="AM793" s="208"/>
      <c r="AN793" s="208"/>
      <c r="AO793" s="208"/>
      <c r="AP793" s="208"/>
      <c r="AQ793" s="208"/>
      <c r="AR793" s="208"/>
      <c r="AS793" s="208"/>
      <c r="AT793" s="208"/>
      <c r="AU793" s="208"/>
      <c r="AV793" s="208"/>
      <c r="AW793" s="208"/>
      <c r="AX793" s="208"/>
      <c r="AY793" s="208"/>
      <c r="AZ793" s="208"/>
      <c r="BA793" s="208"/>
    </row>
    <row r="794" ht="15.75" hidden="1" customHeight="1">
      <c r="A794" s="208"/>
      <c r="B794" s="208"/>
      <c r="C794" s="208"/>
      <c r="D794" s="208"/>
      <c r="E794" s="208"/>
      <c r="F794" s="208"/>
      <c r="G794" s="208"/>
      <c r="H794" s="208"/>
      <c r="I794" s="208"/>
      <c r="J794" s="208"/>
      <c r="K794" s="208"/>
      <c r="L794" s="208"/>
      <c r="M794" s="208"/>
      <c r="N794" s="208"/>
      <c r="O794" s="208"/>
      <c r="P794" s="208"/>
      <c r="Q794" s="208"/>
      <c r="R794" s="208"/>
      <c r="S794" s="208"/>
      <c r="T794" s="208"/>
      <c r="U794" s="208"/>
      <c r="V794" s="208"/>
      <c r="W794" s="208"/>
      <c r="X794" s="208"/>
      <c r="Y794" s="208"/>
      <c r="Z794" s="208"/>
      <c r="AA794" s="208"/>
      <c r="AB794" s="208"/>
      <c r="AC794" s="208"/>
      <c r="AD794" s="208"/>
      <c r="AE794" s="208"/>
      <c r="AF794" s="208"/>
      <c r="AG794" s="208"/>
      <c r="AH794" s="208"/>
      <c r="AI794" s="208"/>
      <c r="AJ794" s="208"/>
      <c r="AK794" s="208"/>
      <c r="AL794" s="208"/>
      <c r="AM794" s="208"/>
      <c r="AN794" s="208"/>
      <c r="AO794" s="208"/>
      <c r="AP794" s="208"/>
      <c r="AQ794" s="208"/>
      <c r="AR794" s="208"/>
      <c r="AS794" s="208"/>
      <c r="AT794" s="208"/>
      <c r="AU794" s="208"/>
      <c r="AV794" s="208"/>
      <c r="AW794" s="208"/>
      <c r="AX794" s="208"/>
      <c r="AY794" s="208"/>
      <c r="AZ794" s="208"/>
      <c r="BA794" s="208"/>
    </row>
    <row r="795" ht="15.75" hidden="1" customHeight="1">
      <c r="A795" s="208"/>
      <c r="B795" s="208"/>
      <c r="C795" s="208"/>
      <c r="D795" s="208"/>
      <c r="E795" s="208"/>
      <c r="F795" s="208"/>
      <c r="G795" s="208"/>
      <c r="H795" s="208"/>
      <c r="I795" s="208"/>
      <c r="J795" s="208"/>
      <c r="K795" s="208"/>
      <c r="L795" s="208"/>
      <c r="M795" s="208"/>
      <c r="N795" s="208"/>
      <c r="O795" s="208"/>
      <c r="P795" s="208"/>
      <c r="Q795" s="208"/>
      <c r="R795" s="208"/>
      <c r="S795" s="208"/>
      <c r="T795" s="208"/>
      <c r="U795" s="208"/>
      <c r="V795" s="208"/>
      <c r="W795" s="208"/>
      <c r="X795" s="208"/>
      <c r="Y795" s="208"/>
      <c r="Z795" s="208"/>
      <c r="AA795" s="208"/>
      <c r="AB795" s="208"/>
      <c r="AC795" s="208"/>
      <c r="AD795" s="208"/>
      <c r="AE795" s="208"/>
      <c r="AF795" s="208"/>
      <c r="AG795" s="208"/>
      <c r="AH795" s="208"/>
      <c r="AI795" s="208"/>
      <c r="AJ795" s="208"/>
      <c r="AK795" s="208"/>
      <c r="AL795" s="208"/>
      <c r="AM795" s="208"/>
      <c r="AN795" s="208"/>
      <c r="AO795" s="208"/>
      <c r="AP795" s="208"/>
      <c r="AQ795" s="208"/>
      <c r="AR795" s="208"/>
      <c r="AS795" s="208"/>
      <c r="AT795" s="208"/>
      <c r="AU795" s="208"/>
      <c r="AV795" s="208"/>
      <c r="AW795" s="208"/>
      <c r="AX795" s="208"/>
      <c r="AY795" s="208"/>
      <c r="AZ795" s="208"/>
      <c r="BA795" s="208"/>
    </row>
    <row r="796" ht="15.75" hidden="1" customHeight="1">
      <c r="A796" s="208"/>
      <c r="B796" s="208"/>
      <c r="C796" s="208"/>
      <c r="D796" s="208"/>
      <c r="E796" s="208"/>
      <c r="F796" s="208"/>
      <c r="G796" s="208"/>
      <c r="H796" s="208"/>
      <c r="I796" s="208"/>
      <c r="J796" s="208"/>
      <c r="K796" s="208"/>
      <c r="L796" s="208"/>
      <c r="M796" s="208"/>
      <c r="N796" s="208"/>
      <c r="O796" s="208"/>
      <c r="P796" s="208"/>
      <c r="Q796" s="208"/>
      <c r="R796" s="208"/>
      <c r="S796" s="208"/>
      <c r="T796" s="208"/>
      <c r="U796" s="208"/>
      <c r="V796" s="208"/>
      <c r="W796" s="208"/>
      <c r="X796" s="208"/>
      <c r="Y796" s="208"/>
      <c r="Z796" s="208"/>
      <c r="AA796" s="208"/>
      <c r="AB796" s="208"/>
      <c r="AC796" s="208"/>
      <c r="AD796" s="208"/>
      <c r="AE796" s="208"/>
      <c r="AF796" s="208"/>
      <c r="AG796" s="208"/>
      <c r="AH796" s="208"/>
      <c r="AI796" s="208"/>
      <c r="AJ796" s="208"/>
      <c r="AK796" s="208"/>
      <c r="AL796" s="208"/>
      <c r="AM796" s="208"/>
      <c r="AN796" s="208"/>
      <c r="AO796" s="208"/>
      <c r="AP796" s="208"/>
      <c r="AQ796" s="208"/>
      <c r="AR796" s="208"/>
      <c r="AS796" s="208"/>
      <c r="AT796" s="208"/>
      <c r="AU796" s="208"/>
      <c r="AV796" s="208"/>
      <c r="AW796" s="208"/>
      <c r="AX796" s="208"/>
      <c r="AY796" s="208"/>
      <c r="AZ796" s="208"/>
      <c r="BA796" s="208"/>
    </row>
    <row r="797" ht="15.75" hidden="1" customHeight="1">
      <c r="A797" s="208"/>
      <c r="B797" s="208"/>
      <c r="C797" s="208"/>
      <c r="D797" s="208"/>
      <c r="E797" s="208"/>
      <c r="F797" s="208"/>
      <c r="G797" s="208"/>
      <c r="H797" s="208"/>
      <c r="I797" s="208"/>
      <c r="J797" s="208"/>
      <c r="K797" s="208"/>
      <c r="L797" s="208"/>
      <c r="M797" s="208"/>
      <c r="N797" s="208"/>
      <c r="O797" s="208"/>
      <c r="P797" s="208"/>
      <c r="Q797" s="208"/>
      <c r="R797" s="208"/>
      <c r="S797" s="208"/>
      <c r="T797" s="208"/>
      <c r="U797" s="208"/>
      <c r="V797" s="208"/>
      <c r="W797" s="208"/>
      <c r="X797" s="208"/>
      <c r="Y797" s="208"/>
      <c r="Z797" s="208"/>
      <c r="AA797" s="208"/>
      <c r="AB797" s="208"/>
      <c r="AC797" s="208"/>
      <c r="AD797" s="208"/>
      <c r="AE797" s="208"/>
      <c r="AF797" s="208"/>
      <c r="AG797" s="208"/>
      <c r="AH797" s="208"/>
      <c r="AI797" s="208"/>
      <c r="AJ797" s="208"/>
      <c r="AK797" s="208"/>
      <c r="AL797" s="208"/>
      <c r="AM797" s="208"/>
      <c r="AN797" s="208"/>
      <c r="AO797" s="208"/>
      <c r="AP797" s="208"/>
      <c r="AQ797" s="208"/>
      <c r="AR797" s="208"/>
      <c r="AS797" s="208"/>
      <c r="AT797" s="208"/>
      <c r="AU797" s="208"/>
      <c r="AV797" s="208"/>
      <c r="AW797" s="208"/>
      <c r="AX797" s="208"/>
      <c r="AY797" s="208"/>
      <c r="AZ797" s="208"/>
      <c r="BA797" s="208"/>
    </row>
    <row r="798" ht="15.75" hidden="1" customHeight="1">
      <c r="A798" s="208"/>
      <c r="B798" s="208"/>
      <c r="C798" s="208"/>
      <c r="D798" s="208"/>
      <c r="E798" s="208"/>
      <c r="F798" s="208"/>
      <c r="G798" s="208"/>
      <c r="H798" s="208"/>
      <c r="I798" s="208"/>
      <c r="J798" s="208"/>
      <c r="K798" s="208"/>
      <c r="L798" s="208"/>
      <c r="M798" s="208"/>
      <c r="N798" s="208"/>
      <c r="O798" s="208"/>
      <c r="P798" s="208"/>
      <c r="Q798" s="208"/>
      <c r="R798" s="208"/>
      <c r="S798" s="208"/>
      <c r="T798" s="208"/>
      <c r="U798" s="208"/>
      <c r="V798" s="208"/>
      <c r="W798" s="208"/>
      <c r="X798" s="208"/>
      <c r="Y798" s="208"/>
      <c r="Z798" s="208"/>
      <c r="AA798" s="208"/>
      <c r="AB798" s="208"/>
      <c r="AC798" s="208"/>
      <c r="AD798" s="208"/>
      <c r="AE798" s="208"/>
      <c r="AF798" s="208"/>
      <c r="AG798" s="208"/>
      <c r="AH798" s="208"/>
      <c r="AI798" s="208"/>
      <c r="AJ798" s="208"/>
      <c r="AK798" s="208"/>
      <c r="AL798" s="208"/>
      <c r="AM798" s="208"/>
      <c r="AN798" s="208"/>
      <c r="AO798" s="208"/>
      <c r="AP798" s="208"/>
      <c r="AQ798" s="208"/>
      <c r="AR798" s="208"/>
      <c r="AS798" s="208"/>
      <c r="AT798" s="208"/>
      <c r="AU798" s="208"/>
      <c r="AV798" s="208"/>
      <c r="AW798" s="208"/>
      <c r="AX798" s="208"/>
      <c r="AY798" s="208"/>
      <c r="AZ798" s="208"/>
      <c r="BA798" s="208"/>
    </row>
    <row r="799" ht="15.75" hidden="1" customHeight="1">
      <c r="A799" s="208"/>
      <c r="B799" s="208"/>
      <c r="C799" s="208"/>
      <c r="D799" s="208"/>
      <c r="E799" s="208"/>
      <c r="F799" s="208"/>
      <c r="G799" s="208"/>
      <c r="H799" s="208"/>
      <c r="I799" s="208"/>
      <c r="J799" s="208"/>
      <c r="K799" s="208"/>
      <c r="L799" s="208"/>
      <c r="M799" s="208"/>
      <c r="N799" s="208"/>
      <c r="O799" s="208"/>
      <c r="P799" s="208"/>
      <c r="Q799" s="208"/>
      <c r="R799" s="208"/>
      <c r="S799" s="208"/>
      <c r="T799" s="208"/>
      <c r="U799" s="208"/>
      <c r="V799" s="208"/>
      <c r="W799" s="208"/>
      <c r="X799" s="208"/>
      <c r="Y799" s="208"/>
      <c r="Z799" s="208"/>
      <c r="AA799" s="208"/>
      <c r="AB799" s="208"/>
      <c r="AC799" s="208"/>
      <c r="AD799" s="208"/>
      <c r="AE799" s="208"/>
      <c r="AF799" s="208"/>
      <c r="AG799" s="208"/>
      <c r="AH799" s="208"/>
      <c r="AI799" s="208"/>
      <c r="AJ799" s="208"/>
      <c r="AK799" s="208"/>
      <c r="AL799" s="208"/>
      <c r="AM799" s="208"/>
      <c r="AN799" s="208"/>
      <c r="AO799" s="208"/>
      <c r="AP799" s="208"/>
      <c r="AQ799" s="208"/>
      <c r="AR799" s="208"/>
      <c r="AS799" s="208"/>
      <c r="AT799" s="208"/>
      <c r="AU799" s="208"/>
      <c r="AV799" s="208"/>
      <c r="AW799" s="208"/>
      <c r="AX799" s="208"/>
      <c r="AY799" s="208"/>
      <c r="AZ799" s="208"/>
      <c r="BA799" s="208"/>
    </row>
    <row r="800" ht="15.75" hidden="1" customHeight="1">
      <c r="A800" s="208"/>
      <c r="B800" s="208"/>
      <c r="C800" s="208"/>
      <c r="D800" s="208"/>
      <c r="E800" s="208"/>
      <c r="F800" s="208"/>
      <c r="G800" s="208"/>
      <c r="H800" s="208"/>
      <c r="I800" s="208"/>
      <c r="J800" s="208"/>
      <c r="K800" s="208"/>
      <c r="L800" s="208"/>
      <c r="M800" s="208"/>
      <c r="N800" s="208"/>
      <c r="O800" s="208"/>
      <c r="P800" s="208"/>
      <c r="Q800" s="208"/>
      <c r="R800" s="208"/>
      <c r="S800" s="208"/>
      <c r="T800" s="208"/>
      <c r="U800" s="208"/>
      <c r="V800" s="208"/>
      <c r="W800" s="208"/>
      <c r="X800" s="208"/>
      <c r="Y800" s="208"/>
      <c r="Z800" s="208"/>
      <c r="AA800" s="208"/>
      <c r="AB800" s="208"/>
      <c r="AC800" s="208"/>
      <c r="AD800" s="208"/>
      <c r="AE800" s="208"/>
      <c r="AF800" s="208"/>
      <c r="AG800" s="208"/>
      <c r="AH800" s="208"/>
      <c r="AI800" s="208"/>
      <c r="AJ800" s="208"/>
      <c r="AK800" s="208"/>
      <c r="AL800" s="208"/>
      <c r="AM800" s="208"/>
      <c r="AN800" s="208"/>
      <c r="AO800" s="208"/>
      <c r="AP800" s="208"/>
      <c r="AQ800" s="208"/>
      <c r="AR800" s="208"/>
      <c r="AS800" s="208"/>
      <c r="AT800" s="208"/>
      <c r="AU800" s="208"/>
      <c r="AV800" s="208"/>
      <c r="AW800" s="208"/>
      <c r="AX800" s="208"/>
      <c r="AY800" s="208"/>
      <c r="AZ800" s="208"/>
      <c r="BA800" s="208"/>
    </row>
    <row r="801" ht="15.75" hidden="1" customHeight="1">
      <c r="A801" s="208"/>
      <c r="B801" s="208"/>
      <c r="C801" s="208"/>
      <c r="D801" s="208"/>
      <c r="E801" s="208"/>
      <c r="F801" s="208"/>
      <c r="G801" s="208"/>
      <c r="H801" s="208"/>
      <c r="I801" s="208"/>
      <c r="J801" s="208"/>
      <c r="K801" s="208"/>
      <c r="L801" s="208"/>
      <c r="M801" s="208"/>
      <c r="N801" s="208"/>
      <c r="O801" s="208"/>
      <c r="P801" s="208"/>
      <c r="Q801" s="208"/>
      <c r="R801" s="208"/>
      <c r="S801" s="208"/>
      <c r="T801" s="208"/>
      <c r="U801" s="208"/>
      <c r="V801" s="208"/>
      <c r="W801" s="208"/>
      <c r="X801" s="208"/>
      <c r="Y801" s="208"/>
      <c r="Z801" s="208"/>
      <c r="AA801" s="208"/>
      <c r="AB801" s="208"/>
      <c r="AC801" s="208"/>
      <c r="AD801" s="208"/>
      <c r="AE801" s="208"/>
      <c r="AF801" s="208"/>
      <c r="AG801" s="208"/>
      <c r="AH801" s="208"/>
      <c r="AI801" s="208"/>
      <c r="AJ801" s="208"/>
      <c r="AK801" s="208"/>
      <c r="AL801" s="208"/>
      <c r="AM801" s="208"/>
      <c r="AN801" s="208"/>
      <c r="AO801" s="208"/>
      <c r="AP801" s="208"/>
      <c r="AQ801" s="208"/>
      <c r="AR801" s="208"/>
      <c r="AS801" s="208"/>
      <c r="AT801" s="208"/>
      <c r="AU801" s="208"/>
      <c r="AV801" s="208"/>
      <c r="AW801" s="208"/>
      <c r="AX801" s="208"/>
      <c r="AY801" s="208"/>
      <c r="AZ801" s="208"/>
      <c r="BA801" s="208"/>
    </row>
    <row r="802" ht="15.75" hidden="1" customHeight="1">
      <c r="A802" s="208"/>
      <c r="B802" s="208"/>
      <c r="C802" s="208"/>
      <c r="D802" s="208"/>
      <c r="E802" s="208"/>
      <c r="F802" s="208"/>
      <c r="G802" s="208"/>
      <c r="H802" s="208"/>
      <c r="I802" s="208"/>
      <c r="J802" s="208"/>
      <c r="K802" s="208"/>
      <c r="L802" s="208"/>
      <c r="M802" s="208"/>
      <c r="N802" s="208"/>
      <c r="O802" s="208"/>
      <c r="P802" s="208"/>
      <c r="Q802" s="208"/>
      <c r="R802" s="208"/>
      <c r="S802" s="208"/>
      <c r="T802" s="208"/>
      <c r="U802" s="208"/>
      <c r="V802" s="208"/>
      <c r="W802" s="208"/>
      <c r="X802" s="208"/>
      <c r="Y802" s="208"/>
      <c r="Z802" s="208"/>
      <c r="AA802" s="208"/>
      <c r="AB802" s="208"/>
      <c r="AC802" s="208"/>
      <c r="AD802" s="208"/>
      <c r="AE802" s="208"/>
      <c r="AF802" s="208"/>
      <c r="AG802" s="208"/>
      <c r="AH802" s="208"/>
      <c r="AI802" s="208"/>
      <c r="AJ802" s="208"/>
      <c r="AK802" s="208"/>
      <c r="AL802" s="208"/>
      <c r="AM802" s="208"/>
      <c r="AN802" s="208"/>
      <c r="AO802" s="208"/>
      <c r="AP802" s="208"/>
      <c r="AQ802" s="208"/>
      <c r="AR802" s="208"/>
      <c r="AS802" s="208"/>
      <c r="AT802" s="208"/>
      <c r="AU802" s="208"/>
      <c r="AV802" s="208"/>
      <c r="AW802" s="208"/>
      <c r="AX802" s="208"/>
      <c r="AY802" s="208"/>
      <c r="AZ802" s="208"/>
      <c r="BA802" s="208"/>
    </row>
    <row r="803" ht="15.75" hidden="1" customHeight="1">
      <c r="A803" s="208"/>
      <c r="B803" s="208"/>
      <c r="C803" s="208"/>
      <c r="D803" s="208"/>
      <c r="E803" s="208"/>
      <c r="F803" s="208"/>
      <c r="G803" s="208"/>
      <c r="H803" s="208"/>
      <c r="I803" s="208"/>
      <c r="J803" s="208"/>
      <c r="K803" s="208"/>
      <c r="L803" s="208"/>
      <c r="M803" s="208"/>
      <c r="N803" s="208"/>
      <c r="O803" s="208"/>
      <c r="P803" s="208"/>
      <c r="Q803" s="208"/>
      <c r="R803" s="208"/>
      <c r="S803" s="208"/>
      <c r="T803" s="208"/>
      <c r="U803" s="208"/>
      <c r="V803" s="208"/>
      <c r="W803" s="208"/>
      <c r="X803" s="208"/>
      <c r="Y803" s="208"/>
      <c r="Z803" s="208"/>
      <c r="AA803" s="208"/>
      <c r="AB803" s="208"/>
      <c r="AC803" s="208"/>
      <c r="AD803" s="208"/>
      <c r="AE803" s="208"/>
      <c r="AF803" s="208"/>
      <c r="AG803" s="208"/>
      <c r="AH803" s="208"/>
      <c r="AI803" s="208"/>
      <c r="AJ803" s="208"/>
      <c r="AK803" s="208"/>
      <c r="AL803" s="208"/>
      <c r="AM803" s="208"/>
      <c r="AN803" s="208"/>
      <c r="AO803" s="208"/>
      <c r="AP803" s="208"/>
      <c r="AQ803" s="208"/>
      <c r="AR803" s="208"/>
      <c r="AS803" s="208"/>
      <c r="AT803" s="208"/>
      <c r="AU803" s="208"/>
      <c r="AV803" s="208"/>
      <c r="AW803" s="208"/>
      <c r="AX803" s="208"/>
      <c r="AY803" s="208"/>
      <c r="AZ803" s="208"/>
      <c r="BA803" s="208"/>
    </row>
    <row r="804" ht="15.75" hidden="1" customHeight="1">
      <c r="A804" s="208"/>
      <c r="B804" s="208"/>
      <c r="C804" s="208"/>
      <c r="D804" s="208"/>
      <c r="E804" s="208"/>
      <c r="F804" s="208"/>
      <c r="G804" s="208"/>
      <c r="H804" s="208"/>
      <c r="I804" s="208"/>
      <c r="J804" s="208"/>
      <c r="K804" s="208"/>
      <c r="L804" s="208"/>
      <c r="M804" s="208"/>
      <c r="N804" s="208"/>
      <c r="O804" s="208"/>
      <c r="P804" s="208"/>
      <c r="Q804" s="208"/>
      <c r="R804" s="208"/>
      <c r="S804" s="208"/>
      <c r="T804" s="208"/>
      <c r="U804" s="208"/>
      <c r="V804" s="208"/>
      <c r="W804" s="208"/>
      <c r="X804" s="208"/>
      <c r="Y804" s="208"/>
      <c r="Z804" s="208"/>
      <c r="AA804" s="208"/>
      <c r="AB804" s="208"/>
      <c r="AC804" s="208"/>
      <c r="AD804" s="208"/>
      <c r="AE804" s="208"/>
      <c r="AF804" s="208"/>
      <c r="AG804" s="208"/>
      <c r="AH804" s="208"/>
      <c r="AI804" s="208"/>
      <c r="AJ804" s="208"/>
      <c r="AK804" s="208"/>
      <c r="AL804" s="208"/>
      <c r="AM804" s="208"/>
      <c r="AN804" s="208"/>
      <c r="AO804" s="208"/>
      <c r="AP804" s="208"/>
      <c r="AQ804" s="208"/>
      <c r="AR804" s="208"/>
      <c r="AS804" s="208"/>
      <c r="AT804" s="208"/>
      <c r="AU804" s="208"/>
      <c r="AV804" s="208"/>
      <c r="AW804" s="208"/>
      <c r="AX804" s="208"/>
      <c r="AY804" s="208"/>
      <c r="AZ804" s="208"/>
      <c r="BA804" s="208"/>
    </row>
    <row r="805" ht="15.75" hidden="1" customHeight="1">
      <c r="A805" s="208"/>
      <c r="B805" s="208"/>
      <c r="C805" s="208"/>
      <c r="D805" s="208"/>
      <c r="E805" s="208"/>
      <c r="F805" s="208"/>
      <c r="G805" s="208"/>
      <c r="H805" s="208"/>
      <c r="I805" s="208"/>
      <c r="J805" s="208"/>
      <c r="K805" s="208"/>
      <c r="L805" s="208"/>
      <c r="M805" s="208"/>
      <c r="N805" s="208"/>
      <c r="O805" s="208"/>
      <c r="P805" s="208"/>
      <c r="Q805" s="208"/>
      <c r="R805" s="208"/>
      <c r="S805" s="208"/>
      <c r="T805" s="208"/>
      <c r="U805" s="208"/>
      <c r="V805" s="208"/>
      <c r="W805" s="208"/>
      <c r="X805" s="208"/>
      <c r="Y805" s="208"/>
      <c r="Z805" s="208"/>
      <c r="AA805" s="208"/>
      <c r="AB805" s="208"/>
      <c r="AC805" s="208"/>
      <c r="AD805" s="208"/>
      <c r="AE805" s="208"/>
      <c r="AF805" s="208"/>
      <c r="AG805" s="208"/>
      <c r="AH805" s="208"/>
      <c r="AI805" s="208"/>
      <c r="AJ805" s="208"/>
      <c r="AK805" s="208"/>
      <c r="AL805" s="208"/>
      <c r="AM805" s="208"/>
      <c r="AN805" s="208"/>
      <c r="AO805" s="208"/>
      <c r="AP805" s="208"/>
      <c r="AQ805" s="208"/>
      <c r="AR805" s="208"/>
      <c r="AS805" s="208"/>
      <c r="AT805" s="208"/>
      <c r="AU805" s="208"/>
      <c r="AV805" s="208"/>
      <c r="AW805" s="208"/>
      <c r="AX805" s="208"/>
      <c r="AY805" s="208"/>
      <c r="AZ805" s="208"/>
      <c r="BA805" s="208"/>
    </row>
    <row r="806" ht="15.75" hidden="1" customHeight="1">
      <c r="A806" s="208"/>
      <c r="B806" s="208"/>
      <c r="C806" s="208"/>
      <c r="D806" s="208"/>
      <c r="E806" s="208"/>
      <c r="F806" s="208"/>
      <c r="G806" s="208"/>
      <c r="H806" s="208"/>
      <c r="I806" s="208"/>
      <c r="J806" s="208"/>
      <c r="K806" s="208"/>
      <c r="L806" s="208"/>
      <c r="M806" s="208"/>
      <c r="N806" s="208"/>
      <c r="O806" s="208"/>
      <c r="P806" s="208"/>
      <c r="Q806" s="208"/>
      <c r="R806" s="208"/>
      <c r="S806" s="208"/>
      <c r="T806" s="208"/>
      <c r="U806" s="208"/>
      <c r="V806" s="208"/>
      <c r="W806" s="208"/>
      <c r="X806" s="208"/>
      <c r="Y806" s="208"/>
      <c r="Z806" s="208"/>
      <c r="AA806" s="208"/>
      <c r="AB806" s="208"/>
      <c r="AC806" s="208"/>
      <c r="AD806" s="208"/>
      <c r="AE806" s="208"/>
      <c r="AF806" s="208"/>
      <c r="AG806" s="208"/>
      <c r="AH806" s="208"/>
      <c r="AI806" s="208"/>
      <c r="AJ806" s="208"/>
      <c r="AK806" s="208"/>
      <c r="AL806" s="208"/>
      <c r="AM806" s="208"/>
      <c r="AN806" s="208"/>
      <c r="AO806" s="208"/>
      <c r="AP806" s="208"/>
      <c r="AQ806" s="208"/>
      <c r="AR806" s="208"/>
      <c r="AS806" s="208"/>
      <c r="AT806" s="208"/>
      <c r="AU806" s="208"/>
      <c r="AV806" s="208"/>
      <c r="AW806" s="208"/>
      <c r="AX806" s="208"/>
      <c r="AY806" s="208"/>
      <c r="AZ806" s="208"/>
      <c r="BA806" s="208"/>
    </row>
    <row r="807" ht="15.75" hidden="1" customHeight="1">
      <c r="A807" s="208"/>
      <c r="B807" s="208"/>
      <c r="C807" s="208"/>
      <c r="D807" s="208"/>
      <c r="E807" s="208"/>
      <c r="F807" s="208"/>
      <c r="G807" s="208"/>
      <c r="H807" s="208"/>
      <c r="I807" s="208"/>
      <c r="J807" s="208"/>
      <c r="K807" s="208"/>
      <c r="L807" s="208"/>
      <c r="M807" s="208"/>
      <c r="N807" s="208"/>
      <c r="O807" s="208"/>
      <c r="P807" s="208"/>
      <c r="Q807" s="208"/>
      <c r="R807" s="208"/>
      <c r="S807" s="208"/>
      <c r="T807" s="208"/>
      <c r="U807" s="208"/>
      <c r="V807" s="208"/>
      <c r="W807" s="208"/>
      <c r="X807" s="208"/>
      <c r="Y807" s="208"/>
      <c r="Z807" s="208"/>
      <c r="AA807" s="208"/>
      <c r="AB807" s="208"/>
      <c r="AC807" s="208"/>
      <c r="AD807" s="208"/>
      <c r="AE807" s="208"/>
      <c r="AF807" s="208"/>
      <c r="AG807" s="208"/>
      <c r="AH807" s="208"/>
      <c r="AI807" s="208"/>
      <c r="AJ807" s="208"/>
      <c r="AK807" s="208"/>
      <c r="AL807" s="208"/>
      <c r="AM807" s="208"/>
      <c r="AN807" s="208"/>
      <c r="AO807" s="208"/>
      <c r="AP807" s="208"/>
      <c r="AQ807" s="208"/>
      <c r="AR807" s="208"/>
      <c r="AS807" s="208"/>
      <c r="AT807" s="208"/>
      <c r="AU807" s="208"/>
      <c r="AV807" s="208"/>
      <c r="AW807" s="208"/>
      <c r="AX807" s="208"/>
      <c r="AY807" s="208"/>
      <c r="AZ807" s="208"/>
      <c r="BA807" s="208"/>
    </row>
    <row r="808" ht="15.75" hidden="1" customHeight="1">
      <c r="A808" s="208"/>
      <c r="B808" s="208"/>
      <c r="C808" s="208"/>
      <c r="D808" s="208"/>
      <c r="E808" s="208"/>
      <c r="F808" s="208"/>
      <c r="G808" s="208"/>
      <c r="H808" s="208"/>
      <c r="I808" s="208"/>
      <c r="J808" s="208"/>
      <c r="K808" s="208"/>
      <c r="L808" s="208"/>
      <c r="M808" s="208"/>
      <c r="N808" s="208"/>
      <c r="O808" s="208"/>
      <c r="P808" s="208"/>
      <c r="Q808" s="208"/>
      <c r="R808" s="208"/>
      <c r="S808" s="208"/>
      <c r="T808" s="208"/>
      <c r="U808" s="208"/>
      <c r="V808" s="208"/>
      <c r="W808" s="208"/>
      <c r="X808" s="208"/>
      <c r="Y808" s="208"/>
      <c r="Z808" s="208"/>
      <c r="AA808" s="208"/>
      <c r="AB808" s="208"/>
      <c r="AC808" s="208"/>
      <c r="AD808" s="208"/>
      <c r="AE808" s="208"/>
      <c r="AF808" s="208"/>
      <c r="AG808" s="208"/>
      <c r="AH808" s="208"/>
      <c r="AI808" s="208"/>
      <c r="AJ808" s="208"/>
      <c r="AK808" s="208"/>
      <c r="AL808" s="208"/>
      <c r="AM808" s="208"/>
      <c r="AN808" s="208"/>
      <c r="AO808" s="208"/>
      <c r="AP808" s="208"/>
      <c r="AQ808" s="208"/>
      <c r="AR808" s="208"/>
      <c r="AS808" s="208"/>
      <c r="AT808" s="208"/>
      <c r="AU808" s="208"/>
      <c r="AV808" s="208"/>
      <c r="AW808" s="208"/>
      <c r="AX808" s="208"/>
      <c r="AY808" s="208"/>
      <c r="AZ808" s="208"/>
      <c r="BA808" s="208"/>
    </row>
    <row r="809" ht="15.75" hidden="1" customHeight="1">
      <c r="A809" s="208"/>
      <c r="B809" s="208"/>
      <c r="C809" s="208"/>
      <c r="D809" s="208"/>
      <c r="E809" s="208"/>
      <c r="F809" s="208"/>
      <c r="G809" s="208"/>
      <c r="H809" s="208"/>
      <c r="I809" s="208"/>
      <c r="J809" s="208"/>
      <c r="K809" s="208"/>
      <c r="L809" s="208"/>
      <c r="M809" s="208"/>
      <c r="N809" s="208"/>
      <c r="O809" s="208"/>
      <c r="P809" s="208"/>
      <c r="Q809" s="208"/>
      <c r="R809" s="208"/>
      <c r="S809" s="208"/>
      <c r="T809" s="208"/>
      <c r="U809" s="208"/>
      <c r="V809" s="208"/>
      <c r="W809" s="208"/>
      <c r="X809" s="208"/>
      <c r="Y809" s="208"/>
      <c r="Z809" s="208"/>
      <c r="AA809" s="208"/>
      <c r="AB809" s="208"/>
      <c r="AC809" s="208"/>
      <c r="AD809" s="208"/>
      <c r="AE809" s="208"/>
      <c r="AF809" s="208"/>
      <c r="AG809" s="208"/>
      <c r="AH809" s="208"/>
      <c r="AI809" s="208"/>
      <c r="AJ809" s="208"/>
      <c r="AK809" s="208"/>
      <c r="AL809" s="208"/>
      <c r="AM809" s="208"/>
      <c r="AN809" s="208"/>
      <c r="AO809" s="208"/>
      <c r="AP809" s="208"/>
      <c r="AQ809" s="208"/>
      <c r="AR809" s="208"/>
      <c r="AS809" s="208"/>
      <c r="AT809" s="208"/>
      <c r="AU809" s="208"/>
      <c r="AV809" s="208"/>
      <c r="AW809" s="208"/>
      <c r="AX809" s="208"/>
      <c r="AY809" s="208"/>
      <c r="AZ809" s="208"/>
      <c r="BA809" s="208"/>
    </row>
    <row r="810" ht="15.75" hidden="1" customHeight="1">
      <c r="A810" s="208"/>
      <c r="B810" s="208"/>
      <c r="C810" s="208"/>
      <c r="D810" s="208"/>
      <c r="E810" s="208"/>
      <c r="F810" s="208"/>
      <c r="G810" s="208"/>
      <c r="H810" s="208"/>
      <c r="I810" s="208"/>
      <c r="J810" s="208"/>
      <c r="K810" s="208"/>
      <c r="L810" s="208"/>
      <c r="M810" s="208"/>
      <c r="N810" s="208"/>
      <c r="O810" s="208"/>
      <c r="P810" s="208"/>
      <c r="Q810" s="208"/>
      <c r="R810" s="208"/>
      <c r="S810" s="208"/>
      <c r="T810" s="208"/>
      <c r="U810" s="208"/>
      <c r="V810" s="208"/>
      <c r="W810" s="208"/>
      <c r="X810" s="208"/>
      <c r="Y810" s="208"/>
      <c r="Z810" s="208"/>
      <c r="AA810" s="208"/>
      <c r="AB810" s="208"/>
      <c r="AC810" s="208"/>
      <c r="AD810" s="208"/>
      <c r="AE810" s="208"/>
      <c r="AF810" s="208"/>
      <c r="AG810" s="208"/>
      <c r="AH810" s="208"/>
      <c r="AI810" s="208"/>
      <c r="AJ810" s="208"/>
      <c r="AK810" s="208"/>
      <c r="AL810" s="208"/>
      <c r="AM810" s="208"/>
      <c r="AN810" s="208"/>
      <c r="AO810" s="208"/>
      <c r="AP810" s="208"/>
      <c r="AQ810" s="208"/>
      <c r="AR810" s="208"/>
      <c r="AS810" s="208"/>
      <c r="AT810" s="208"/>
      <c r="AU810" s="208"/>
      <c r="AV810" s="208"/>
      <c r="AW810" s="208"/>
      <c r="AX810" s="208"/>
      <c r="AY810" s="208"/>
      <c r="AZ810" s="208"/>
      <c r="BA810" s="208"/>
    </row>
    <row r="811" ht="15.75" hidden="1" customHeight="1">
      <c r="A811" s="208"/>
      <c r="B811" s="208"/>
      <c r="C811" s="208"/>
      <c r="D811" s="208"/>
      <c r="E811" s="208"/>
      <c r="F811" s="208"/>
      <c r="G811" s="208"/>
      <c r="H811" s="208"/>
      <c r="I811" s="208"/>
      <c r="J811" s="208"/>
      <c r="K811" s="208"/>
      <c r="L811" s="208"/>
      <c r="M811" s="208"/>
      <c r="N811" s="208"/>
      <c r="O811" s="208"/>
      <c r="P811" s="208"/>
      <c r="Q811" s="208"/>
      <c r="R811" s="208"/>
      <c r="S811" s="208"/>
      <c r="T811" s="208"/>
      <c r="U811" s="208"/>
      <c r="V811" s="208"/>
      <c r="W811" s="208"/>
      <c r="X811" s="208"/>
      <c r="Y811" s="208"/>
      <c r="Z811" s="208"/>
      <c r="AA811" s="208"/>
      <c r="AB811" s="208"/>
      <c r="AC811" s="208"/>
      <c r="AD811" s="208"/>
      <c r="AE811" s="208"/>
      <c r="AF811" s="208"/>
      <c r="AG811" s="208"/>
      <c r="AH811" s="208"/>
      <c r="AI811" s="208"/>
      <c r="AJ811" s="208"/>
      <c r="AK811" s="208"/>
      <c r="AL811" s="208"/>
      <c r="AM811" s="208"/>
      <c r="AN811" s="208"/>
      <c r="AO811" s="208"/>
      <c r="AP811" s="208"/>
      <c r="AQ811" s="208"/>
      <c r="AR811" s="208"/>
      <c r="AS811" s="208"/>
      <c r="AT811" s="208"/>
      <c r="AU811" s="208"/>
      <c r="AV811" s="208"/>
      <c r="AW811" s="208"/>
      <c r="AX811" s="208"/>
      <c r="AY811" s="208"/>
      <c r="AZ811" s="208"/>
      <c r="BA811" s="208"/>
    </row>
    <row r="812" ht="15.75" hidden="1" customHeight="1">
      <c r="A812" s="208"/>
      <c r="B812" s="208"/>
      <c r="C812" s="208"/>
      <c r="D812" s="208"/>
      <c r="E812" s="208"/>
      <c r="F812" s="208"/>
      <c r="G812" s="208"/>
      <c r="H812" s="208"/>
      <c r="I812" s="208"/>
      <c r="J812" s="208"/>
      <c r="K812" s="208"/>
      <c r="L812" s="208"/>
      <c r="M812" s="208"/>
      <c r="N812" s="208"/>
      <c r="O812" s="208"/>
      <c r="P812" s="208"/>
      <c r="Q812" s="208"/>
      <c r="R812" s="208"/>
      <c r="S812" s="208"/>
      <c r="T812" s="208"/>
      <c r="U812" s="208"/>
      <c r="V812" s="208"/>
      <c r="W812" s="208"/>
      <c r="X812" s="208"/>
      <c r="Y812" s="208"/>
      <c r="Z812" s="208"/>
      <c r="AA812" s="208"/>
      <c r="AB812" s="208"/>
      <c r="AC812" s="208"/>
      <c r="AD812" s="208"/>
      <c r="AE812" s="208"/>
      <c r="AF812" s="208"/>
      <c r="AG812" s="208"/>
      <c r="AH812" s="208"/>
      <c r="AI812" s="208"/>
      <c r="AJ812" s="208"/>
      <c r="AK812" s="208"/>
      <c r="AL812" s="208"/>
      <c r="AM812" s="208"/>
      <c r="AN812" s="208"/>
      <c r="AO812" s="208"/>
      <c r="AP812" s="208"/>
      <c r="AQ812" s="208"/>
      <c r="AR812" s="208"/>
      <c r="AS812" s="208"/>
      <c r="AT812" s="208"/>
      <c r="AU812" s="208"/>
      <c r="AV812" s="208"/>
      <c r="AW812" s="208"/>
      <c r="AX812" s="208"/>
      <c r="AY812" s="208"/>
      <c r="AZ812" s="208"/>
      <c r="BA812" s="208"/>
    </row>
    <row r="813" ht="15.75" hidden="1" customHeight="1">
      <c r="A813" s="208"/>
      <c r="B813" s="208"/>
      <c r="C813" s="208"/>
      <c r="D813" s="208"/>
      <c r="E813" s="208"/>
      <c r="F813" s="208"/>
      <c r="G813" s="208"/>
      <c r="H813" s="208"/>
      <c r="I813" s="208"/>
      <c r="J813" s="208"/>
      <c r="K813" s="208"/>
      <c r="L813" s="208"/>
      <c r="M813" s="208"/>
      <c r="N813" s="208"/>
      <c r="O813" s="208"/>
      <c r="P813" s="208"/>
      <c r="Q813" s="208"/>
      <c r="R813" s="208"/>
      <c r="S813" s="208"/>
      <c r="T813" s="208"/>
      <c r="U813" s="208"/>
      <c r="V813" s="208"/>
      <c r="W813" s="208"/>
      <c r="X813" s="208"/>
      <c r="Y813" s="208"/>
      <c r="Z813" s="208"/>
      <c r="AA813" s="208"/>
      <c r="AB813" s="208"/>
      <c r="AC813" s="208"/>
      <c r="AD813" s="208"/>
      <c r="AE813" s="208"/>
      <c r="AF813" s="208"/>
      <c r="AG813" s="208"/>
      <c r="AH813" s="208"/>
      <c r="AI813" s="208"/>
      <c r="AJ813" s="208"/>
      <c r="AK813" s="208"/>
      <c r="AL813" s="208"/>
      <c r="AM813" s="208"/>
      <c r="AN813" s="208"/>
      <c r="AO813" s="208"/>
      <c r="AP813" s="208"/>
      <c r="AQ813" s="208"/>
      <c r="AR813" s="208"/>
      <c r="AS813" s="208"/>
      <c r="AT813" s="208"/>
      <c r="AU813" s="208"/>
      <c r="AV813" s="208"/>
      <c r="AW813" s="208"/>
      <c r="AX813" s="208"/>
      <c r="AY813" s="208"/>
      <c r="AZ813" s="208"/>
      <c r="BA813" s="208"/>
    </row>
    <row r="814" ht="15.75" hidden="1" customHeight="1">
      <c r="A814" s="208"/>
      <c r="B814" s="208"/>
      <c r="C814" s="208"/>
      <c r="D814" s="208"/>
      <c r="E814" s="208"/>
      <c r="F814" s="208"/>
      <c r="G814" s="208"/>
      <c r="H814" s="208"/>
      <c r="I814" s="208"/>
      <c r="J814" s="208"/>
      <c r="K814" s="208"/>
      <c r="L814" s="208"/>
      <c r="M814" s="208"/>
      <c r="N814" s="208"/>
      <c r="O814" s="208"/>
      <c r="P814" s="208"/>
      <c r="Q814" s="208"/>
      <c r="R814" s="208"/>
      <c r="S814" s="208"/>
      <c r="T814" s="208"/>
      <c r="U814" s="208"/>
      <c r="V814" s="208"/>
      <c r="W814" s="208"/>
      <c r="X814" s="208"/>
      <c r="Y814" s="208"/>
      <c r="Z814" s="208"/>
      <c r="AA814" s="208"/>
      <c r="AB814" s="208"/>
      <c r="AC814" s="208"/>
      <c r="AD814" s="208"/>
      <c r="AE814" s="208"/>
      <c r="AF814" s="208"/>
      <c r="AG814" s="208"/>
      <c r="AH814" s="208"/>
      <c r="AI814" s="208"/>
      <c r="AJ814" s="208"/>
      <c r="AK814" s="208"/>
      <c r="AL814" s="208"/>
      <c r="AM814" s="208"/>
      <c r="AN814" s="208"/>
      <c r="AO814" s="208"/>
      <c r="AP814" s="208"/>
      <c r="AQ814" s="208"/>
      <c r="AR814" s="208"/>
      <c r="AS814" s="208"/>
      <c r="AT814" s="208"/>
      <c r="AU814" s="208"/>
      <c r="AV814" s="208"/>
      <c r="AW814" s="208"/>
      <c r="AX814" s="208"/>
      <c r="AY814" s="208"/>
      <c r="AZ814" s="208"/>
      <c r="BA814" s="208"/>
    </row>
    <row r="815" ht="15.75" hidden="1" customHeight="1">
      <c r="A815" s="208"/>
      <c r="B815" s="208"/>
      <c r="C815" s="208"/>
      <c r="D815" s="208"/>
      <c r="E815" s="208"/>
      <c r="F815" s="208"/>
      <c r="G815" s="208"/>
      <c r="H815" s="208"/>
      <c r="I815" s="208"/>
      <c r="J815" s="208"/>
      <c r="K815" s="208"/>
      <c r="L815" s="208"/>
      <c r="M815" s="208"/>
      <c r="N815" s="208"/>
      <c r="O815" s="208"/>
      <c r="P815" s="208"/>
      <c r="Q815" s="208"/>
      <c r="R815" s="208"/>
      <c r="S815" s="208"/>
      <c r="T815" s="208"/>
      <c r="U815" s="208"/>
      <c r="V815" s="208"/>
      <c r="W815" s="208"/>
      <c r="X815" s="208"/>
      <c r="Y815" s="208"/>
      <c r="Z815" s="208"/>
      <c r="AA815" s="208"/>
      <c r="AB815" s="208"/>
      <c r="AC815" s="208"/>
      <c r="AD815" s="208"/>
      <c r="AE815" s="208"/>
      <c r="AF815" s="208"/>
      <c r="AG815" s="208"/>
      <c r="AH815" s="208"/>
      <c r="AI815" s="208"/>
      <c r="AJ815" s="208"/>
      <c r="AK815" s="208"/>
      <c r="AL815" s="208"/>
      <c r="AM815" s="208"/>
      <c r="AN815" s="208"/>
      <c r="AO815" s="208"/>
      <c r="AP815" s="208"/>
      <c r="AQ815" s="208"/>
      <c r="AR815" s="208"/>
      <c r="AS815" s="208"/>
      <c r="AT815" s="208"/>
      <c r="AU815" s="208"/>
      <c r="AV815" s="208"/>
      <c r="AW815" s="208"/>
      <c r="AX815" s="208"/>
      <c r="AY815" s="208"/>
      <c r="AZ815" s="208"/>
      <c r="BA815" s="208"/>
    </row>
    <row r="816" ht="15.75" hidden="1" customHeight="1">
      <c r="A816" s="208"/>
      <c r="B816" s="208"/>
      <c r="C816" s="208"/>
      <c r="D816" s="208"/>
      <c r="E816" s="208"/>
      <c r="F816" s="208"/>
      <c r="G816" s="208"/>
      <c r="H816" s="208"/>
      <c r="I816" s="208"/>
      <c r="J816" s="208"/>
      <c r="K816" s="208"/>
      <c r="L816" s="208"/>
      <c r="M816" s="208"/>
      <c r="N816" s="208"/>
      <c r="O816" s="208"/>
      <c r="P816" s="208"/>
      <c r="Q816" s="208"/>
      <c r="R816" s="208"/>
      <c r="S816" s="208"/>
      <c r="T816" s="208"/>
      <c r="U816" s="208"/>
      <c r="V816" s="208"/>
      <c r="W816" s="208"/>
      <c r="X816" s="208"/>
      <c r="Y816" s="208"/>
      <c r="Z816" s="208"/>
      <c r="AA816" s="208"/>
      <c r="AB816" s="208"/>
      <c r="AC816" s="208"/>
      <c r="AD816" s="208"/>
      <c r="AE816" s="208"/>
      <c r="AF816" s="208"/>
      <c r="AG816" s="208"/>
      <c r="AH816" s="208"/>
      <c r="AI816" s="208"/>
      <c r="AJ816" s="208"/>
      <c r="AK816" s="208"/>
      <c r="AL816" s="208"/>
      <c r="AM816" s="208"/>
      <c r="AN816" s="208"/>
      <c r="AO816" s="208"/>
      <c r="AP816" s="208"/>
      <c r="AQ816" s="208"/>
      <c r="AR816" s="208"/>
      <c r="AS816" s="208"/>
      <c r="AT816" s="208"/>
      <c r="AU816" s="208"/>
      <c r="AV816" s="208"/>
      <c r="AW816" s="208"/>
      <c r="AX816" s="208"/>
      <c r="AY816" s="208"/>
      <c r="AZ816" s="208"/>
      <c r="BA816" s="208"/>
    </row>
    <row r="817" ht="15.75" hidden="1" customHeight="1">
      <c r="A817" s="208"/>
      <c r="B817" s="208"/>
      <c r="C817" s="208"/>
      <c r="D817" s="208"/>
      <c r="E817" s="208"/>
      <c r="F817" s="208"/>
      <c r="G817" s="208"/>
      <c r="H817" s="208"/>
      <c r="I817" s="208"/>
      <c r="J817" s="208"/>
      <c r="K817" s="208"/>
      <c r="L817" s="208"/>
      <c r="M817" s="208"/>
      <c r="N817" s="208"/>
      <c r="O817" s="208"/>
      <c r="P817" s="208"/>
      <c r="Q817" s="208"/>
      <c r="R817" s="208"/>
      <c r="S817" s="208"/>
      <c r="T817" s="208"/>
      <c r="U817" s="208"/>
      <c r="V817" s="208"/>
      <c r="W817" s="208"/>
      <c r="X817" s="208"/>
      <c r="Y817" s="208"/>
      <c r="Z817" s="208"/>
      <c r="AA817" s="208"/>
      <c r="AB817" s="208"/>
      <c r="AC817" s="208"/>
      <c r="AD817" s="208"/>
      <c r="AE817" s="208"/>
      <c r="AF817" s="208"/>
      <c r="AG817" s="208"/>
      <c r="AH817" s="208"/>
      <c r="AI817" s="208"/>
      <c r="AJ817" s="208"/>
      <c r="AK817" s="208"/>
      <c r="AL817" s="208"/>
      <c r="AM817" s="208"/>
      <c r="AN817" s="208"/>
      <c r="AO817" s="208"/>
      <c r="AP817" s="208"/>
      <c r="AQ817" s="208"/>
      <c r="AR817" s="208"/>
      <c r="AS817" s="208"/>
      <c r="AT817" s="208"/>
      <c r="AU817" s="208"/>
      <c r="AV817" s="208"/>
      <c r="AW817" s="208"/>
      <c r="AX817" s="208"/>
      <c r="AY817" s="208"/>
      <c r="AZ817" s="208"/>
      <c r="BA817" s="208"/>
    </row>
    <row r="818" ht="15.75" hidden="1" customHeight="1">
      <c r="A818" s="208"/>
      <c r="B818" s="208"/>
      <c r="C818" s="208"/>
      <c r="D818" s="208"/>
      <c r="E818" s="208"/>
      <c r="F818" s="208"/>
      <c r="G818" s="208"/>
      <c r="H818" s="208"/>
      <c r="I818" s="208"/>
      <c r="J818" s="208"/>
      <c r="K818" s="208"/>
      <c r="L818" s="208"/>
      <c r="M818" s="208"/>
      <c r="N818" s="208"/>
      <c r="O818" s="208"/>
      <c r="P818" s="208"/>
      <c r="Q818" s="208"/>
      <c r="R818" s="208"/>
      <c r="S818" s="208"/>
      <c r="T818" s="208"/>
      <c r="U818" s="208"/>
      <c r="V818" s="208"/>
      <c r="W818" s="208"/>
      <c r="X818" s="208"/>
      <c r="Y818" s="208"/>
      <c r="Z818" s="208"/>
      <c r="AA818" s="208"/>
      <c r="AB818" s="208"/>
      <c r="AC818" s="208"/>
      <c r="AD818" s="208"/>
      <c r="AE818" s="208"/>
      <c r="AF818" s="208"/>
      <c r="AG818" s="208"/>
      <c r="AH818" s="208"/>
      <c r="AI818" s="208"/>
      <c r="AJ818" s="208"/>
      <c r="AK818" s="208"/>
      <c r="AL818" s="208"/>
      <c r="AM818" s="208"/>
      <c r="AN818" s="208"/>
      <c r="AO818" s="208"/>
      <c r="AP818" s="208"/>
      <c r="AQ818" s="208"/>
      <c r="AR818" s="208"/>
      <c r="AS818" s="208"/>
      <c r="AT818" s="208"/>
      <c r="AU818" s="208"/>
      <c r="AV818" s="208"/>
      <c r="AW818" s="208"/>
      <c r="AX818" s="208"/>
      <c r="AY818" s="208"/>
      <c r="AZ818" s="208"/>
      <c r="BA818" s="208"/>
    </row>
    <row r="819" ht="15.75" hidden="1" customHeight="1">
      <c r="A819" s="208"/>
      <c r="B819" s="208"/>
      <c r="C819" s="208"/>
      <c r="D819" s="208"/>
      <c r="E819" s="208"/>
      <c r="F819" s="208"/>
      <c r="G819" s="208"/>
      <c r="H819" s="208"/>
      <c r="I819" s="208"/>
      <c r="J819" s="208"/>
      <c r="K819" s="208"/>
      <c r="L819" s="208"/>
      <c r="M819" s="208"/>
      <c r="N819" s="208"/>
      <c r="O819" s="208"/>
      <c r="P819" s="208"/>
      <c r="Q819" s="208"/>
      <c r="R819" s="208"/>
      <c r="S819" s="208"/>
      <c r="T819" s="208"/>
      <c r="U819" s="208"/>
      <c r="V819" s="208"/>
      <c r="W819" s="208"/>
      <c r="X819" s="208"/>
      <c r="Y819" s="208"/>
      <c r="Z819" s="208"/>
      <c r="AA819" s="208"/>
      <c r="AB819" s="208"/>
      <c r="AC819" s="208"/>
      <c r="AD819" s="208"/>
      <c r="AE819" s="208"/>
      <c r="AF819" s="208"/>
      <c r="AG819" s="208"/>
      <c r="AH819" s="208"/>
      <c r="AI819" s="208"/>
      <c r="AJ819" s="208"/>
      <c r="AK819" s="208"/>
      <c r="AL819" s="208"/>
      <c r="AM819" s="208"/>
      <c r="AN819" s="208"/>
      <c r="AO819" s="208"/>
      <c r="AP819" s="208"/>
      <c r="AQ819" s="208"/>
      <c r="AR819" s="208"/>
      <c r="AS819" s="208"/>
      <c r="AT819" s="208"/>
      <c r="AU819" s="208"/>
      <c r="AV819" s="208"/>
      <c r="AW819" s="208"/>
      <c r="AX819" s="208"/>
      <c r="AY819" s="208"/>
      <c r="AZ819" s="208"/>
      <c r="BA819" s="208"/>
    </row>
    <row r="820" ht="15.75" hidden="1" customHeight="1">
      <c r="A820" s="208"/>
      <c r="B820" s="208"/>
      <c r="C820" s="208"/>
      <c r="D820" s="208"/>
      <c r="E820" s="208"/>
      <c r="F820" s="208"/>
      <c r="G820" s="208"/>
      <c r="H820" s="208"/>
      <c r="I820" s="208"/>
      <c r="J820" s="208"/>
      <c r="K820" s="208"/>
      <c r="L820" s="208"/>
      <c r="M820" s="208"/>
      <c r="N820" s="208"/>
      <c r="O820" s="208"/>
      <c r="P820" s="208"/>
      <c r="Q820" s="208"/>
      <c r="R820" s="208"/>
      <c r="S820" s="208"/>
      <c r="T820" s="208"/>
      <c r="U820" s="208"/>
      <c r="V820" s="208"/>
      <c r="W820" s="208"/>
      <c r="X820" s="208"/>
      <c r="Y820" s="208"/>
      <c r="Z820" s="208"/>
      <c r="AA820" s="208"/>
      <c r="AB820" s="208"/>
      <c r="AC820" s="208"/>
      <c r="AD820" s="208"/>
      <c r="AE820" s="208"/>
      <c r="AF820" s="208"/>
      <c r="AG820" s="208"/>
      <c r="AH820" s="208"/>
      <c r="AI820" s="208"/>
      <c r="AJ820" s="208"/>
      <c r="AK820" s="208"/>
      <c r="AL820" s="208"/>
      <c r="AM820" s="208"/>
      <c r="AN820" s="208"/>
      <c r="AO820" s="208"/>
      <c r="AP820" s="208"/>
      <c r="AQ820" s="208"/>
      <c r="AR820" s="208"/>
      <c r="AS820" s="208"/>
      <c r="AT820" s="208"/>
      <c r="AU820" s="208"/>
      <c r="AV820" s="208"/>
      <c r="AW820" s="208"/>
      <c r="AX820" s="208"/>
      <c r="AY820" s="208"/>
      <c r="AZ820" s="208"/>
      <c r="BA820" s="208"/>
    </row>
    <row r="821" ht="15.75" hidden="1" customHeight="1">
      <c r="A821" s="208"/>
      <c r="B821" s="208"/>
      <c r="C821" s="208"/>
      <c r="D821" s="208"/>
      <c r="E821" s="208"/>
      <c r="F821" s="208"/>
      <c r="G821" s="208"/>
      <c r="H821" s="208"/>
      <c r="I821" s="208"/>
      <c r="J821" s="208"/>
      <c r="K821" s="208"/>
      <c r="L821" s="208"/>
      <c r="M821" s="208"/>
      <c r="N821" s="208"/>
      <c r="O821" s="208"/>
      <c r="P821" s="208"/>
      <c r="Q821" s="208"/>
      <c r="R821" s="208"/>
      <c r="S821" s="208"/>
      <c r="T821" s="208"/>
      <c r="U821" s="208"/>
      <c r="V821" s="208"/>
      <c r="W821" s="208"/>
      <c r="X821" s="208"/>
      <c r="Y821" s="208"/>
      <c r="Z821" s="208"/>
      <c r="AA821" s="208"/>
      <c r="AB821" s="208"/>
      <c r="AC821" s="208"/>
      <c r="AD821" s="208"/>
      <c r="AE821" s="208"/>
      <c r="AF821" s="208"/>
      <c r="AG821" s="208"/>
      <c r="AH821" s="208"/>
      <c r="AI821" s="208"/>
      <c r="AJ821" s="208"/>
      <c r="AK821" s="208"/>
      <c r="AL821" s="208"/>
      <c r="AM821" s="208"/>
      <c r="AN821" s="208"/>
      <c r="AO821" s="208"/>
      <c r="AP821" s="208"/>
      <c r="AQ821" s="208"/>
      <c r="AR821" s="208"/>
      <c r="AS821" s="208"/>
      <c r="AT821" s="208"/>
      <c r="AU821" s="208"/>
      <c r="AV821" s="208"/>
      <c r="AW821" s="208"/>
      <c r="AX821" s="208"/>
      <c r="AY821" s="208"/>
      <c r="AZ821" s="208"/>
      <c r="BA821" s="208"/>
    </row>
    <row r="822" ht="15.75" hidden="1" customHeight="1">
      <c r="A822" s="208"/>
      <c r="B822" s="208"/>
      <c r="C822" s="208"/>
      <c r="D822" s="208"/>
      <c r="E822" s="208"/>
      <c r="F822" s="208"/>
      <c r="G822" s="208"/>
      <c r="H822" s="208"/>
      <c r="I822" s="208"/>
      <c r="J822" s="208"/>
      <c r="K822" s="208"/>
      <c r="L822" s="208"/>
      <c r="M822" s="208"/>
      <c r="N822" s="208"/>
      <c r="O822" s="208"/>
      <c r="P822" s="208"/>
      <c r="Q822" s="208"/>
      <c r="R822" s="208"/>
      <c r="S822" s="208"/>
      <c r="T822" s="208"/>
      <c r="U822" s="208"/>
      <c r="V822" s="208"/>
      <c r="W822" s="208"/>
      <c r="X822" s="208"/>
      <c r="Y822" s="208"/>
      <c r="Z822" s="208"/>
      <c r="AA822" s="208"/>
      <c r="AB822" s="208"/>
      <c r="AC822" s="208"/>
      <c r="AD822" s="208"/>
      <c r="AE822" s="208"/>
      <c r="AF822" s="208"/>
      <c r="AG822" s="208"/>
      <c r="AH822" s="208"/>
      <c r="AI822" s="208"/>
      <c r="AJ822" s="208"/>
      <c r="AK822" s="208"/>
      <c r="AL822" s="208"/>
      <c r="AM822" s="208"/>
      <c r="AN822" s="208"/>
      <c r="AO822" s="208"/>
      <c r="AP822" s="208"/>
      <c r="AQ822" s="208"/>
      <c r="AR822" s="208"/>
      <c r="AS822" s="208"/>
      <c r="AT822" s="208"/>
      <c r="AU822" s="208"/>
      <c r="AV822" s="208"/>
      <c r="AW822" s="208"/>
      <c r="AX822" s="208"/>
      <c r="AY822" s="208"/>
      <c r="AZ822" s="208"/>
      <c r="BA822" s="208"/>
    </row>
    <row r="823" ht="15.75" hidden="1" customHeight="1">
      <c r="A823" s="208"/>
      <c r="B823" s="208"/>
      <c r="C823" s="208"/>
      <c r="D823" s="208"/>
      <c r="E823" s="208"/>
      <c r="F823" s="208"/>
      <c r="G823" s="208"/>
      <c r="H823" s="208"/>
      <c r="I823" s="208"/>
      <c r="J823" s="208"/>
      <c r="K823" s="208"/>
      <c r="L823" s="208"/>
      <c r="M823" s="208"/>
      <c r="N823" s="208"/>
      <c r="O823" s="208"/>
      <c r="P823" s="208"/>
      <c r="Q823" s="208"/>
      <c r="R823" s="208"/>
      <c r="S823" s="208"/>
      <c r="T823" s="208"/>
      <c r="U823" s="208"/>
      <c r="V823" s="208"/>
      <c r="W823" s="208"/>
      <c r="X823" s="208"/>
      <c r="Y823" s="208"/>
      <c r="Z823" s="208"/>
      <c r="AA823" s="208"/>
      <c r="AB823" s="208"/>
      <c r="AC823" s="208"/>
      <c r="AD823" s="208"/>
      <c r="AE823" s="208"/>
      <c r="AF823" s="208"/>
      <c r="AG823" s="208"/>
      <c r="AH823" s="208"/>
      <c r="AI823" s="208"/>
      <c r="AJ823" s="208"/>
      <c r="AK823" s="208"/>
      <c r="AL823" s="208"/>
      <c r="AM823" s="208"/>
      <c r="AN823" s="208"/>
      <c r="AO823" s="208"/>
      <c r="AP823" s="208"/>
      <c r="AQ823" s="208"/>
      <c r="AR823" s="208"/>
      <c r="AS823" s="208"/>
      <c r="AT823" s="208"/>
      <c r="AU823" s="208"/>
      <c r="AV823" s="208"/>
      <c r="AW823" s="208"/>
      <c r="AX823" s="208"/>
      <c r="AY823" s="208"/>
      <c r="AZ823" s="208"/>
      <c r="BA823" s="208"/>
    </row>
    <row r="824" ht="15.75" hidden="1" customHeight="1">
      <c r="A824" s="208"/>
      <c r="B824" s="208"/>
      <c r="C824" s="208"/>
      <c r="D824" s="208"/>
      <c r="E824" s="208"/>
      <c r="F824" s="208"/>
      <c r="G824" s="208"/>
      <c r="H824" s="208"/>
      <c r="I824" s="208"/>
      <c r="J824" s="208"/>
      <c r="K824" s="208"/>
      <c r="L824" s="208"/>
      <c r="M824" s="208"/>
      <c r="N824" s="208"/>
      <c r="O824" s="208"/>
      <c r="P824" s="208"/>
      <c r="Q824" s="208"/>
      <c r="R824" s="208"/>
      <c r="S824" s="208"/>
      <c r="T824" s="208"/>
      <c r="U824" s="208"/>
      <c r="V824" s="208"/>
      <c r="W824" s="208"/>
      <c r="X824" s="208"/>
      <c r="Y824" s="208"/>
      <c r="Z824" s="208"/>
      <c r="AA824" s="208"/>
      <c r="AB824" s="208"/>
      <c r="AC824" s="208"/>
      <c r="AD824" s="208"/>
      <c r="AE824" s="208"/>
      <c r="AF824" s="208"/>
      <c r="AG824" s="208"/>
      <c r="AH824" s="208"/>
      <c r="AI824" s="208"/>
      <c r="AJ824" s="208"/>
      <c r="AK824" s="208"/>
      <c r="AL824" s="208"/>
      <c r="AM824" s="208"/>
      <c r="AN824" s="208"/>
      <c r="AO824" s="208"/>
      <c r="AP824" s="208"/>
      <c r="AQ824" s="208"/>
      <c r="AR824" s="208"/>
      <c r="AS824" s="208"/>
      <c r="AT824" s="208"/>
      <c r="AU824" s="208"/>
      <c r="AV824" s="208"/>
      <c r="AW824" s="208"/>
      <c r="AX824" s="208"/>
      <c r="AY824" s="208"/>
      <c r="AZ824" s="208"/>
      <c r="BA824" s="208"/>
    </row>
    <row r="825" ht="15.75" hidden="1" customHeight="1">
      <c r="A825" s="208"/>
      <c r="B825" s="208"/>
      <c r="C825" s="208"/>
      <c r="D825" s="208"/>
      <c r="E825" s="208"/>
      <c r="F825" s="208"/>
      <c r="G825" s="208"/>
      <c r="H825" s="208"/>
      <c r="I825" s="208"/>
      <c r="J825" s="208"/>
      <c r="K825" s="208"/>
      <c r="L825" s="208"/>
      <c r="M825" s="208"/>
      <c r="N825" s="208"/>
      <c r="O825" s="208"/>
      <c r="P825" s="208"/>
      <c r="Q825" s="208"/>
      <c r="R825" s="208"/>
      <c r="S825" s="208"/>
      <c r="T825" s="208"/>
      <c r="U825" s="208"/>
      <c r="V825" s="208"/>
      <c r="W825" s="208"/>
      <c r="X825" s="208"/>
      <c r="Y825" s="208"/>
      <c r="Z825" s="208"/>
      <c r="AA825" s="208"/>
      <c r="AB825" s="208"/>
      <c r="AC825" s="208"/>
      <c r="AD825" s="208"/>
      <c r="AE825" s="208"/>
      <c r="AF825" s="208"/>
      <c r="AG825" s="208"/>
      <c r="AH825" s="208"/>
      <c r="AI825" s="208"/>
      <c r="AJ825" s="208"/>
      <c r="AK825" s="208"/>
      <c r="AL825" s="208"/>
      <c r="AM825" s="208"/>
      <c r="AN825" s="208"/>
      <c r="AO825" s="208"/>
      <c r="AP825" s="208"/>
      <c r="AQ825" s="208"/>
      <c r="AR825" s="208"/>
      <c r="AS825" s="208"/>
      <c r="AT825" s="208"/>
      <c r="AU825" s="208"/>
      <c r="AV825" s="208"/>
      <c r="AW825" s="208"/>
      <c r="AX825" s="208"/>
      <c r="AY825" s="208"/>
      <c r="AZ825" s="208"/>
      <c r="BA825" s="208"/>
    </row>
    <row r="826" ht="15.75" hidden="1" customHeight="1">
      <c r="A826" s="208"/>
      <c r="B826" s="208"/>
      <c r="C826" s="208"/>
      <c r="D826" s="208"/>
      <c r="E826" s="208"/>
      <c r="F826" s="208"/>
      <c r="G826" s="208"/>
      <c r="H826" s="208"/>
      <c r="I826" s="208"/>
      <c r="J826" s="208"/>
      <c r="K826" s="208"/>
      <c r="L826" s="208"/>
      <c r="M826" s="208"/>
      <c r="N826" s="208"/>
      <c r="O826" s="208"/>
      <c r="P826" s="208"/>
      <c r="Q826" s="208"/>
      <c r="R826" s="208"/>
      <c r="S826" s="208"/>
      <c r="T826" s="208"/>
      <c r="U826" s="208"/>
      <c r="V826" s="208"/>
      <c r="W826" s="208"/>
      <c r="X826" s="208"/>
      <c r="Y826" s="208"/>
      <c r="Z826" s="208"/>
      <c r="AA826" s="208"/>
      <c r="AB826" s="208"/>
      <c r="AC826" s="208"/>
      <c r="AD826" s="208"/>
      <c r="AE826" s="208"/>
      <c r="AF826" s="208"/>
      <c r="AG826" s="208"/>
      <c r="AH826" s="208"/>
      <c r="AI826" s="208"/>
      <c r="AJ826" s="208"/>
      <c r="AK826" s="208"/>
      <c r="AL826" s="208"/>
      <c r="AM826" s="208"/>
      <c r="AN826" s="208"/>
      <c r="AO826" s="208"/>
      <c r="AP826" s="208"/>
      <c r="AQ826" s="208"/>
      <c r="AR826" s="208"/>
      <c r="AS826" s="208"/>
      <c r="AT826" s="208"/>
      <c r="AU826" s="208"/>
      <c r="AV826" s="208"/>
      <c r="AW826" s="208"/>
      <c r="AX826" s="208"/>
      <c r="AY826" s="208"/>
      <c r="AZ826" s="208"/>
      <c r="BA826" s="208"/>
    </row>
    <row r="827" ht="15.75" hidden="1" customHeight="1">
      <c r="A827" s="208"/>
      <c r="B827" s="208"/>
      <c r="C827" s="208"/>
      <c r="D827" s="208"/>
      <c r="E827" s="208"/>
      <c r="F827" s="208"/>
      <c r="G827" s="208"/>
      <c r="H827" s="208"/>
      <c r="I827" s="208"/>
      <c r="J827" s="208"/>
      <c r="K827" s="208"/>
      <c r="L827" s="208"/>
      <c r="M827" s="208"/>
      <c r="N827" s="208"/>
      <c r="O827" s="208"/>
      <c r="P827" s="208"/>
      <c r="Q827" s="208"/>
      <c r="R827" s="208"/>
      <c r="S827" s="208"/>
      <c r="T827" s="208"/>
      <c r="U827" s="208"/>
      <c r="V827" s="208"/>
      <c r="W827" s="208"/>
      <c r="X827" s="208"/>
      <c r="Y827" s="208"/>
      <c r="Z827" s="208"/>
      <c r="AA827" s="208"/>
      <c r="AB827" s="208"/>
      <c r="AC827" s="208"/>
      <c r="AD827" s="208"/>
      <c r="AE827" s="208"/>
      <c r="AF827" s="208"/>
      <c r="AG827" s="208"/>
      <c r="AH827" s="208"/>
      <c r="AI827" s="208"/>
      <c r="AJ827" s="208"/>
      <c r="AK827" s="208"/>
      <c r="AL827" s="208"/>
      <c r="AM827" s="208"/>
      <c r="AN827" s="208"/>
      <c r="AO827" s="208"/>
      <c r="AP827" s="208"/>
      <c r="AQ827" s="208"/>
      <c r="AR827" s="208"/>
      <c r="AS827" s="208"/>
      <c r="AT827" s="208"/>
      <c r="AU827" s="208"/>
      <c r="AV827" s="208"/>
      <c r="AW827" s="208"/>
      <c r="AX827" s="208"/>
      <c r="AY827" s="208"/>
      <c r="AZ827" s="208"/>
      <c r="BA827" s="208"/>
    </row>
    <row r="828" ht="15.75" hidden="1" customHeight="1">
      <c r="A828" s="208"/>
      <c r="B828" s="208"/>
      <c r="C828" s="208"/>
      <c r="D828" s="208"/>
      <c r="E828" s="208"/>
      <c r="F828" s="208"/>
      <c r="G828" s="208"/>
      <c r="H828" s="208"/>
      <c r="I828" s="208"/>
      <c r="J828" s="208"/>
      <c r="K828" s="208"/>
      <c r="L828" s="208"/>
      <c r="M828" s="208"/>
      <c r="N828" s="208"/>
      <c r="O828" s="208"/>
      <c r="P828" s="208"/>
      <c r="Q828" s="208"/>
      <c r="R828" s="208"/>
      <c r="S828" s="208"/>
      <c r="T828" s="208"/>
      <c r="U828" s="208"/>
      <c r="V828" s="208"/>
      <c r="W828" s="208"/>
      <c r="X828" s="208"/>
      <c r="Y828" s="208"/>
      <c r="Z828" s="208"/>
      <c r="AA828" s="208"/>
      <c r="AB828" s="208"/>
      <c r="AC828" s="208"/>
      <c r="AD828" s="208"/>
      <c r="AE828" s="208"/>
      <c r="AF828" s="208"/>
      <c r="AG828" s="208"/>
      <c r="AH828" s="208"/>
      <c r="AI828" s="208"/>
      <c r="AJ828" s="208"/>
      <c r="AK828" s="208"/>
      <c r="AL828" s="208"/>
      <c r="AM828" s="208"/>
      <c r="AN828" s="208"/>
      <c r="AO828" s="208"/>
      <c r="AP828" s="208"/>
      <c r="AQ828" s="208"/>
      <c r="AR828" s="208"/>
      <c r="AS828" s="208"/>
      <c r="AT828" s="208"/>
      <c r="AU828" s="208"/>
      <c r="AV828" s="208"/>
      <c r="AW828" s="208"/>
      <c r="AX828" s="208"/>
      <c r="AY828" s="208"/>
      <c r="AZ828" s="208"/>
      <c r="BA828" s="208"/>
    </row>
    <row r="829" ht="15.75" hidden="1" customHeight="1">
      <c r="A829" s="208"/>
      <c r="B829" s="208"/>
      <c r="C829" s="208"/>
      <c r="D829" s="208"/>
      <c r="E829" s="208"/>
      <c r="F829" s="208"/>
      <c r="G829" s="208"/>
      <c r="H829" s="208"/>
      <c r="I829" s="208"/>
      <c r="J829" s="208"/>
      <c r="K829" s="208"/>
      <c r="L829" s="208"/>
      <c r="M829" s="208"/>
      <c r="N829" s="208"/>
      <c r="O829" s="208"/>
      <c r="P829" s="208"/>
      <c r="Q829" s="208"/>
      <c r="R829" s="208"/>
      <c r="S829" s="208"/>
      <c r="T829" s="208"/>
      <c r="U829" s="208"/>
      <c r="V829" s="208"/>
      <c r="W829" s="208"/>
      <c r="X829" s="208"/>
      <c r="Y829" s="208"/>
      <c r="Z829" s="208"/>
      <c r="AA829" s="208"/>
      <c r="AB829" s="208"/>
      <c r="AC829" s="208"/>
      <c r="AD829" s="208"/>
      <c r="AE829" s="208"/>
      <c r="AF829" s="208"/>
      <c r="AG829" s="208"/>
      <c r="AH829" s="208"/>
      <c r="AI829" s="208"/>
      <c r="AJ829" s="208"/>
      <c r="AK829" s="208"/>
      <c r="AL829" s="208"/>
      <c r="AM829" s="208"/>
      <c r="AN829" s="208"/>
      <c r="AO829" s="208"/>
      <c r="AP829" s="208"/>
      <c r="AQ829" s="208"/>
      <c r="AR829" s="208"/>
      <c r="AS829" s="208"/>
      <c r="AT829" s="208"/>
      <c r="AU829" s="208"/>
      <c r="AV829" s="208"/>
      <c r="AW829" s="208"/>
      <c r="AX829" s="208"/>
      <c r="AY829" s="208"/>
      <c r="AZ829" s="208"/>
      <c r="BA829" s="208"/>
    </row>
    <row r="830" ht="15.75" hidden="1" customHeight="1">
      <c r="A830" s="208"/>
      <c r="B830" s="208"/>
      <c r="C830" s="208"/>
      <c r="D830" s="208"/>
      <c r="E830" s="208"/>
      <c r="F830" s="208"/>
      <c r="G830" s="208"/>
      <c r="H830" s="208"/>
      <c r="I830" s="208"/>
      <c r="J830" s="208"/>
      <c r="K830" s="208"/>
      <c r="L830" s="208"/>
      <c r="M830" s="208"/>
      <c r="N830" s="208"/>
      <c r="O830" s="208"/>
      <c r="P830" s="208"/>
      <c r="Q830" s="208"/>
      <c r="R830" s="208"/>
      <c r="S830" s="208"/>
      <c r="T830" s="208"/>
      <c r="U830" s="208"/>
      <c r="V830" s="208"/>
      <c r="W830" s="208"/>
      <c r="X830" s="208"/>
      <c r="Y830" s="208"/>
      <c r="Z830" s="208"/>
      <c r="AA830" s="208"/>
      <c r="AB830" s="208"/>
      <c r="AC830" s="208"/>
      <c r="AD830" s="208"/>
      <c r="AE830" s="208"/>
      <c r="AF830" s="208"/>
      <c r="AG830" s="208"/>
      <c r="AH830" s="208"/>
      <c r="AI830" s="208"/>
      <c r="AJ830" s="208"/>
      <c r="AK830" s="208"/>
      <c r="AL830" s="208"/>
      <c r="AM830" s="208"/>
      <c r="AN830" s="208"/>
      <c r="AO830" s="208"/>
      <c r="AP830" s="208"/>
      <c r="AQ830" s="208"/>
      <c r="AR830" s="208"/>
      <c r="AS830" s="208"/>
      <c r="AT830" s="208"/>
      <c r="AU830" s="208"/>
      <c r="AV830" s="208"/>
      <c r="AW830" s="208"/>
      <c r="AX830" s="208"/>
      <c r="AY830" s="208"/>
      <c r="AZ830" s="208"/>
      <c r="BA830" s="208"/>
    </row>
    <row r="831" ht="15.75" hidden="1" customHeight="1">
      <c r="A831" s="208"/>
      <c r="B831" s="208"/>
      <c r="C831" s="208"/>
      <c r="D831" s="208"/>
      <c r="E831" s="208"/>
      <c r="F831" s="208"/>
      <c r="G831" s="208"/>
      <c r="H831" s="208"/>
      <c r="I831" s="208"/>
      <c r="J831" s="208"/>
      <c r="K831" s="208"/>
      <c r="L831" s="208"/>
      <c r="M831" s="208"/>
      <c r="N831" s="208"/>
      <c r="O831" s="208"/>
      <c r="P831" s="208"/>
      <c r="Q831" s="208"/>
      <c r="R831" s="208"/>
      <c r="S831" s="208"/>
      <c r="T831" s="208"/>
      <c r="U831" s="208"/>
      <c r="V831" s="208"/>
      <c r="W831" s="208"/>
      <c r="X831" s="208"/>
      <c r="Y831" s="208"/>
      <c r="Z831" s="208"/>
      <c r="AA831" s="208"/>
      <c r="AB831" s="208"/>
      <c r="AC831" s="208"/>
      <c r="AD831" s="208"/>
      <c r="AE831" s="208"/>
      <c r="AF831" s="208"/>
      <c r="AG831" s="208"/>
      <c r="AH831" s="208"/>
      <c r="AI831" s="208"/>
      <c r="AJ831" s="208"/>
      <c r="AK831" s="208"/>
      <c r="AL831" s="208"/>
      <c r="AM831" s="208"/>
      <c r="AN831" s="208"/>
      <c r="AO831" s="208"/>
      <c r="AP831" s="208"/>
      <c r="AQ831" s="208"/>
      <c r="AR831" s="208"/>
      <c r="AS831" s="208"/>
      <c r="AT831" s="208"/>
      <c r="AU831" s="208"/>
      <c r="AV831" s="208"/>
      <c r="AW831" s="208"/>
      <c r="AX831" s="208"/>
      <c r="AY831" s="208"/>
      <c r="AZ831" s="208"/>
      <c r="BA831" s="208"/>
    </row>
    <row r="832" ht="15.75" hidden="1" customHeight="1">
      <c r="A832" s="208"/>
      <c r="B832" s="208"/>
      <c r="C832" s="208"/>
      <c r="D832" s="208"/>
      <c r="E832" s="208"/>
      <c r="F832" s="208"/>
      <c r="G832" s="208"/>
      <c r="H832" s="208"/>
      <c r="I832" s="208"/>
      <c r="J832" s="208"/>
      <c r="K832" s="208"/>
      <c r="L832" s="208"/>
      <c r="M832" s="208"/>
      <c r="N832" s="208"/>
      <c r="O832" s="208"/>
      <c r="P832" s="208"/>
      <c r="Q832" s="208"/>
      <c r="R832" s="208"/>
      <c r="S832" s="208"/>
      <c r="T832" s="208"/>
      <c r="U832" s="208"/>
      <c r="V832" s="208"/>
      <c r="W832" s="208"/>
      <c r="X832" s="208"/>
      <c r="Y832" s="208"/>
      <c r="Z832" s="208"/>
      <c r="AA832" s="208"/>
      <c r="AB832" s="208"/>
      <c r="AC832" s="208"/>
      <c r="AD832" s="208"/>
      <c r="AE832" s="208"/>
      <c r="AF832" s="208"/>
      <c r="AG832" s="208"/>
      <c r="AH832" s="208"/>
      <c r="AI832" s="208"/>
      <c r="AJ832" s="208"/>
      <c r="AK832" s="208"/>
      <c r="AL832" s="208"/>
      <c r="AM832" s="208"/>
      <c r="AN832" s="208"/>
      <c r="AO832" s="208"/>
      <c r="AP832" s="208"/>
      <c r="AQ832" s="208"/>
      <c r="AR832" s="208"/>
      <c r="AS832" s="208"/>
      <c r="AT832" s="208"/>
      <c r="AU832" s="208"/>
      <c r="AV832" s="208"/>
      <c r="AW832" s="208"/>
      <c r="AX832" s="208"/>
      <c r="AY832" s="208"/>
      <c r="AZ832" s="208"/>
      <c r="BA832" s="208"/>
    </row>
    <row r="833" ht="15.75" hidden="1" customHeight="1">
      <c r="A833" s="208"/>
      <c r="B833" s="208"/>
      <c r="C833" s="208"/>
      <c r="D833" s="208"/>
      <c r="E833" s="208"/>
      <c r="F833" s="208"/>
      <c r="G833" s="208"/>
      <c r="H833" s="208"/>
      <c r="I833" s="208"/>
      <c r="J833" s="208"/>
      <c r="K833" s="208"/>
      <c r="L833" s="208"/>
      <c r="M833" s="208"/>
      <c r="N833" s="208"/>
      <c r="O833" s="208"/>
      <c r="P833" s="208"/>
      <c r="Q833" s="208"/>
      <c r="R833" s="208"/>
      <c r="S833" s="208"/>
      <c r="T833" s="208"/>
      <c r="U833" s="208"/>
      <c r="V833" s="208"/>
      <c r="W833" s="208"/>
      <c r="X833" s="208"/>
      <c r="Y833" s="208"/>
      <c r="Z833" s="208"/>
      <c r="AA833" s="208"/>
      <c r="AB833" s="208"/>
      <c r="AC833" s="208"/>
      <c r="AD833" s="208"/>
      <c r="AE833" s="208"/>
      <c r="AF833" s="208"/>
      <c r="AG833" s="208"/>
      <c r="AH833" s="208"/>
      <c r="AI833" s="208"/>
      <c r="AJ833" s="208"/>
      <c r="AK833" s="208"/>
      <c r="AL833" s="208"/>
      <c r="AM833" s="208"/>
      <c r="AN833" s="208"/>
      <c r="AO833" s="208"/>
      <c r="AP833" s="208"/>
      <c r="AQ833" s="208"/>
      <c r="AR833" s="208"/>
      <c r="AS833" s="208"/>
      <c r="AT833" s="208"/>
      <c r="AU833" s="208"/>
      <c r="AV833" s="208"/>
      <c r="AW833" s="208"/>
      <c r="AX833" s="208"/>
      <c r="AY833" s="208"/>
      <c r="AZ833" s="208"/>
      <c r="BA833" s="208"/>
    </row>
    <row r="834" ht="15.75" hidden="1" customHeight="1">
      <c r="A834" s="208"/>
      <c r="B834" s="208"/>
      <c r="C834" s="208"/>
      <c r="D834" s="208"/>
      <c r="E834" s="208"/>
      <c r="F834" s="208"/>
      <c r="G834" s="208"/>
      <c r="H834" s="208"/>
      <c r="I834" s="208"/>
      <c r="J834" s="208"/>
      <c r="K834" s="208"/>
      <c r="L834" s="208"/>
      <c r="M834" s="208"/>
      <c r="N834" s="208"/>
      <c r="O834" s="208"/>
      <c r="P834" s="208"/>
      <c r="Q834" s="208"/>
      <c r="R834" s="208"/>
      <c r="S834" s="208"/>
      <c r="T834" s="208"/>
      <c r="U834" s="208"/>
      <c r="V834" s="208"/>
      <c r="W834" s="208"/>
      <c r="X834" s="208"/>
      <c r="Y834" s="208"/>
      <c r="Z834" s="208"/>
      <c r="AA834" s="208"/>
      <c r="AB834" s="208"/>
      <c r="AC834" s="208"/>
      <c r="AD834" s="208"/>
      <c r="AE834" s="208"/>
      <c r="AF834" s="208"/>
      <c r="AG834" s="208"/>
      <c r="AH834" s="208"/>
      <c r="AI834" s="208"/>
      <c r="AJ834" s="208"/>
      <c r="AK834" s="208"/>
      <c r="AL834" s="208"/>
      <c r="AM834" s="208"/>
      <c r="AN834" s="208"/>
      <c r="AO834" s="208"/>
      <c r="AP834" s="208"/>
      <c r="AQ834" s="208"/>
      <c r="AR834" s="208"/>
      <c r="AS834" s="208"/>
      <c r="AT834" s="208"/>
      <c r="AU834" s="208"/>
      <c r="AV834" s="208"/>
      <c r="AW834" s="208"/>
      <c r="AX834" s="208"/>
      <c r="AY834" s="208"/>
      <c r="AZ834" s="208"/>
      <c r="BA834" s="208"/>
    </row>
    <row r="835" ht="15.75" hidden="1" customHeight="1">
      <c r="A835" s="208"/>
      <c r="B835" s="208"/>
      <c r="C835" s="208"/>
      <c r="D835" s="208"/>
      <c r="E835" s="208"/>
      <c r="F835" s="208"/>
      <c r="G835" s="208"/>
      <c r="H835" s="208"/>
      <c r="I835" s="208"/>
      <c r="J835" s="208"/>
      <c r="K835" s="208"/>
      <c r="L835" s="208"/>
      <c r="M835" s="208"/>
      <c r="N835" s="208"/>
      <c r="O835" s="208"/>
      <c r="P835" s="208"/>
      <c r="Q835" s="208"/>
      <c r="R835" s="208"/>
      <c r="S835" s="208"/>
      <c r="T835" s="208"/>
      <c r="U835" s="208"/>
      <c r="V835" s="208"/>
      <c r="W835" s="208"/>
      <c r="X835" s="208"/>
      <c r="Y835" s="208"/>
      <c r="Z835" s="208"/>
      <c r="AA835" s="208"/>
      <c r="AB835" s="208"/>
      <c r="AC835" s="208"/>
      <c r="AD835" s="208"/>
      <c r="AE835" s="208"/>
      <c r="AF835" s="208"/>
      <c r="AG835" s="208"/>
      <c r="AH835" s="208"/>
      <c r="AI835" s="208"/>
      <c r="AJ835" s="208"/>
      <c r="AK835" s="208"/>
      <c r="AL835" s="208"/>
      <c r="AM835" s="208"/>
      <c r="AN835" s="208"/>
      <c r="AO835" s="208"/>
      <c r="AP835" s="208"/>
      <c r="AQ835" s="208"/>
      <c r="AR835" s="208"/>
      <c r="AS835" s="208"/>
      <c r="AT835" s="208"/>
      <c r="AU835" s="208"/>
      <c r="AV835" s="208"/>
      <c r="AW835" s="208"/>
      <c r="AX835" s="208"/>
      <c r="AY835" s="208"/>
      <c r="AZ835" s="208"/>
      <c r="BA835" s="208"/>
    </row>
    <row r="836" ht="15.75" hidden="1" customHeight="1">
      <c r="A836" s="208"/>
      <c r="B836" s="208"/>
      <c r="C836" s="208"/>
      <c r="D836" s="208"/>
      <c r="E836" s="208"/>
      <c r="F836" s="208"/>
      <c r="G836" s="208"/>
      <c r="H836" s="208"/>
      <c r="I836" s="208"/>
      <c r="J836" s="208"/>
      <c r="K836" s="208"/>
      <c r="L836" s="208"/>
      <c r="M836" s="208"/>
      <c r="N836" s="208"/>
      <c r="O836" s="208"/>
      <c r="P836" s="208"/>
      <c r="Q836" s="208"/>
      <c r="R836" s="208"/>
      <c r="S836" s="208"/>
      <c r="T836" s="208"/>
      <c r="U836" s="208"/>
      <c r="V836" s="208"/>
      <c r="W836" s="208"/>
      <c r="X836" s="208"/>
      <c r="Y836" s="208"/>
      <c r="Z836" s="208"/>
      <c r="AA836" s="208"/>
      <c r="AB836" s="208"/>
      <c r="AC836" s="208"/>
      <c r="AD836" s="208"/>
      <c r="AE836" s="208"/>
      <c r="AF836" s="208"/>
      <c r="AG836" s="208"/>
      <c r="AH836" s="208"/>
      <c r="AI836" s="208"/>
      <c r="AJ836" s="208"/>
      <c r="AK836" s="208"/>
      <c r="AL836" s="208"/>
      <c r="AM836" s="208"/>
      <c r="AN836" s="208"/>
      <c r="AO836" s="208"/>
      <c r="AP836" s="208"/>
      <c r="AQ836" s="208"/>
      <c r="AR836" s="208"/>
      <c r="AS836" s="208"/>
      <c r="AT836" s="208"/>
      <c r="AU836" s="208"/>
      <c r="AV836" s="208"/>
      <c r="AW836" s="208"/>
      <c r="AX836" s="208"/>
      <c r="AY836" s="208"/>
      <c r="AZ836" s="208"/>
      <c r="BA836" s="208"/>
    </row>
    <row r="837" ht="15.75" hidden="1" customHeight="1">
      <c r="A837" s="208"/>
      <c r="B837" s="208"/>
      <c r="C837" s="208"/>
      <c r="D837" s="208"/>
      <c r="E837" s="208"/>
      <c r="F837" s="208"/>
      <c r="G837" s="208"/>
      <c r="H837" s="208"/>
      <c r="I837" s="208"/>
      <c r="J837" s="208"/>
      <c r="K837" s="208"/>
      <c r="L837" s="208"/>
      <c r="M837" s="208"/>
      <c r="N837" s="208"/>
      <c r="O837" s="208"/>
      <c r="P837" s="208"/>
      <c r="Q837" s="208"/>
      <c r="R837" s="208"/>
      <c r="S837" s="208"/>
      <c r="T837" s="208"/>
      <c r="U837" s="208"/>
      <c r="V837" s="208"/>
      <c r="W837" s="208"/>
      <c r="X837" s="208"/>
      <c r="Y837" s="208"/>
      <c r="Z837" s="208"/>
      <c r="AA837" s="208"/>
      <c r="AB837" s="208"/>
      <c r="AC837" s="208"/>
      <c r="AD837" s="208"/>
      <c r="AE837" s="208"/>
      <c r="AF837" s="208"/>
      <c r="AG837" s="208"/>
      <c r="AH837" s="208"/>
      <c r="AI837" s="208"/>
      <c r="AJ837" s="208"/>
      <c r="AK837" s="208"/>
      <c r="AL837" s="208"/>
      <c r="AM837" s="208"/>
      <c r="AN837" s="208"/>
      <c r="AO837" s="208"/>
      <c r="AP837" s="208"/>
      <c r="AQ837" s="208"/>
      <c r="AR837" s="208"/>
      <c r="AS837" s="208"/>
      <c r="AT837" s="208"/>
      <c r="AU837" s="208"/>
      <c r="AV837" s="208"/>
      <c r="AW837" s="208"/>
      <c r="AX837" s="208"/>
      <c r="AY837" s="208"/>
      <c r="AZ837" s="208"/>
      <c r="BA837" s="208"/>
    </row>
    <row r="838" ht="15.75" hidden="1" customHeight="1">
      <c r="A838" s="208"/>
      <c r="B838" s="208"/>
      <c r="C838" s="208"/>
      <c r="D838" s="208"/>
      <c r="E838" s="208"/>
      <c r="F838" s="208"/>
      <c r="G838" s="208"/>
      <c r="H838" s="208"/>
      <c r="I838" s="208"/>
      <c r="J838" s="208"/>
      <c r="K838" s="208"/>
      <c r="L838" s="208"/>
      <c r="M838" s="208"/>
      <c r="N838" s="208"/>
      <c r="O838" s="208"/>
      <c r="P838" s="208"/>
      <c r="Q838" s="208"/>
      <c r="R838" s="208"/>
      <c r="S838" s="208"/>
      <c r="T838" s="208"/>
      <c r="U838" s="208"/>
      <c r="V838" s="208"/>
      <c r="W838" s="208"/>
      <c r="X838" s="208"/>
      <c r="Y838" s="208"/>
      <c r="Z838" s="208"/>
      <c r="AA838" s="208"/>
      <c r="AB838" s="208"/>
      <c r="AC838" s="208"/>
      <c r="AD838" s="208"/>
      <c r="AE838" s="208"/>
      <c r="AF838" s="208"/>
      <c r="AG838" s="208"/>
      <c r="AH838" s="208"/>
      <c r="AI838" s="208"/>
      <c r="AJ838" s="208"/>
      <c r="AK838" s="208"/>
      <c r="AL838" s="208"/>
      <c r="AM838" s="208"/>
      <c r="AN838" s="208"/>
      <c r="AO838" s="208"/>
      <c r="AP838" s="208"/>
      <c r="AQ838" s="208"/>
      <c r="AR838" s="208"/>
      <c r="AS838" s="208"/>
      <c r="AT838" s="208"/>
      <c r="AU838" s="208"/>
      <c r="AV838" s="208"/>
      <c r="AW838" s="208"/>
      <c r="AX838" s="208"/>
      <c r="AY838" s="208"/>
      <c r="AZ838" s="208"/>
      <c r="BA838" s="208"/>
    </row>
    <row r="839" ht="15.75" hidden="1" customHeight="1">
      <c r="A839" s="208"/>
      <c r="B839" s="208"/>
      <c r="C839" s="208"/>
      <c r="D839" s="208"/>
      <c r="E839" s="208"/>
      <c r="F839" s="208"/>
      <c r="G839" s="208"/>
      <c r="H839" s="208"/>
      <c r="I839" s="208"/>
      <c r="J839" s="208"/>
      <c r="K839" s="208"/>
      <c r="L839" s="208"/>
      <c r="M839" s="208"/>
      <c r="N839" s="208"/>
      <c r="O839" s="208"/>
      <c r="P839" s="208"/>
      <c r="Q839" s="208"/>
      <c r="R839" s="208"/>
      <c r="S839" s="208"/>
      <c r="T839" s="208"/>
      <c r="U839" s="208"/>
      <c r="V839" s="208"/>
      <c r="W839" s="208"/>
      <c r="X839" s="208"/>
      <c r="Y839" s="208"/>
      <c r="Z839" s="208"/>
      <c r="AA839" s="208"/>
      <c r="AB839" s="208"/>
      <c r="AC839" s="208"/>
      <c r="AD839" s="208"/>
      <c r="AE839" s="208"/>
      <c r="AF839" s="208"/>
      <c r="AG839" s="208"/>
      <c r="AH839" s="208"/>
      <c r="AI839" s="208"/>
      <c r="AJ839" s="208"/>
      <c r="AK839" s="208"/>
      <c r="AL839" s="208"/>
      <c r="AM839" s="208"/>
      <c r="AN839" s="208"/>
      <c r="AO839" s="208"/>
      <c r="AP839" s="208"/>
      <c r="AQ839" s="208"/>
      <c r="AR839" s="208"/>
      <c r="AS839" s="208"/>
      <c r="AT839" s="208"/>
      <c r="AU839" s="208"/>
      <c r="AV839" s="208"/>
      <c r="AW839" s="208"/>
      <c r="AX839" s="208"/>
      <c r="AY839" s="208"/>
      <c r="AZ839" s="208"/>
      <c r="BA839" s="208"/>
    </row>
    <row r="840" ht="15.75" hidden="1" customHeight="1">
      <c r="A840" s="208"/>
      <c r="B840" s="208"/>
      <c r="C840" s="208"/>
      <c r="D840" s="208"/>
      <c r="E840" s="208"/>
      <c r="F840" s="208"/>
      <c r="G840" s="208"/>
      <c r="H840" s="208"/>
      <c r="I840" s="208"/>
      <c r="J840" s="208"/>
      <c r="K840" s="208"/>
      <c r="L840" s="208"/>
      <c r="M840" s="208"/>
      <c r="N840" s="208"/>
      <c r="O840" s="208"/>
      <c r="P840" s="208"/>
      <c r="Q840" s="208"/>
      <c r="R840" s="208"/>
      <c r="S840" s="208"/>
      <c r="T840" s="208"/>
      <c r="U840" s="208"/>
      <c r="V840" s="208"/>
      <c r="W840" s="208"/>
      <c r="X840" s="208"/>
      <c r="Y840" s="208"/>
      <c r="Z840" s="208"/>
      <c r="AA840" s="208"/>
      <c r="AB840" s="208"/>
      <c r="AC840" s="208"/>
      <c r="AD840" s="208"/>
      <c r="AE840" s="208"/>
      <c r="AF840" s="208"/>
      <c r="AG840" s="208"/>
      <c r="AH840" s="208"/>
      <c r="AI840" s="208"/>
      <c r="AJ840" s="208"/>
      <c r="AK840" s="208"/>
      <c r="AL840" s="208"/>
      <c r="AM840" s="208"/>
      <c r="AN840" s="208"/>
      <c r="AO840" s="208"/>
      <c r="AP840" s="208"/>
      <c r="AQ840" s="208"/>
      <c r="AR840" s="208"/>
      <c r="AS840" s="208"/>
      <c r="AT840" s="208"/>
      <c r="AU840" s="208"/>
      <c r="AV840" s="208"/>
      <c r="AW840" s="208"/>
      <c r="AX840" s="208"/>
      <c r="AY840" s="208"/>
      <c r="AZ840" s="208"/>
      <c r="BA840" s="208"/>
    </row>
    <row r="841" ht="15.75" hidden="1" customHeight="1">
      <c r="A841" s="208"/>
      <c r="B841" s="208"/>
      <c r="C841" s="208"/>
      <c r="D841" s="208"/>
      <c r="E841" s="208"/>
      <c r="F841" s="208"/>
      <c r="G841" s="208"/>
      <c r="H841" s="208"/>
      <c r="I841" s="208"/>
      <c r="J841" s="208"/>
      <c r="K841" s="208"/>
      <c r="L841" s="208"/>
      <c r="M841" s="208"/>
      <c r="N841" s="208"/>
      <c r="O841" s="208"/>
      <c r="P841" s="208"/>
      <c r="Q841" s="208"/>
      <c r="R841" s="208"/>
      <c r="S841" s="208"/>
      <c r="T841" s="208"/>
      <c r="U841" s="208"/>
      <c r="V841" s="208"/>
      <c r="W841" s="208"/>
      <c r="X841" s="208"/>
      <c r="Y841" s="208"/>
      <c r="Z841" s="208"/>
      <c r="AA841" s="208"/>
      <c r="AB841" s="208"/>
      <c r="AC841" s="208"/>
      <c r="AD841" s="208"/>
      <c r="AE841" s="208"/>
      <c r="AF841" s="208"/>
      <c r="AG841" s="208"/>
      <c r="AH841" s="208"/>
      <c r="AI841" s="208"/>
      <c r="AJ841" s="208"/>
      <c r="AK841" s="208"/>
      <c r="AL841" s="208"/>
      <c r="AM841" s="208"/>
      <c r="AN841" s="208"/>
      <c r="AO841" s="208"/>
      <c r="AP841" s="208"/>
      <c r="AQ841" s="208"/>
      <c r="AR841" s="208"/>
      <c r="AS841" s="208"/>
      <c r="AT841" s="208"/>
      <c r="AU841" s="208"/>
      <c r="AV841" s="208"/>
      <c r="AW841" s="208"/>
      <c r="AX841" s="208"/>
      <c r="AY841" s="208"/>
      <c r="AZ841" s="208"/>
      <c r="BA841" s="208"/>
    </row>
    <row r="842" ht="15.75" hidden="1" customHeight="1">
      <c r="A842" s="208"/>
      <c r="B842" s="208"/>
      <c r="C842" s="208"/>
      <c r="D842" s="208"/>
      <c r="E842" s="208"/>
      <c r="F842" s="208"/>
      <c r="G842" s="208"/>
      <c r="H842" s="208"/>
      <c r="I842" s="208"/>
      <c r="J842" s="208"/>
      <c r="K842" s="208"/>
      <c r="L842" s="208"/>
      <c r="M842" s="208"/>
      <c r="N842" s="208"/>
      <c r="O842" s="208"/>
      <c r="P842" s="208"/>
      <c r="Q842" s="208"/>
      <c r="R842" s="208"/>
      <c r="S842" s="208"/>
      <c r="T842" s="208"/>
      <c r="U842" s="208"/>
      <c r="V842" s="208"/>
      <c r="W842" s="208"/>
      <c r="X842" s="208"/>
      <c r="Y842" s="208"/>
      <c r="Z842" s="208"/>
      <c r="AA842" s="208"/>
      <c r="AB842" s="208"/>
      <c r="AC842" s="208"/>
      <c r="AD842" s="208"/>
      <c r="AE842" s="208"/>
      <c r="AF842" s="208"/>
      <c r="AG842" s="208"/>
      <c r="AH842" s="208"/>
      <c r="AI842" s="208"/>
      <c r="AJ842" s="208"/>
      <c r="AK842" s="208"/>
      <c r="AL842" s="208"/>
      <c r="AM842" s="208"/>
      <c r="AN842" s="208"/>
      <c r="AO842" s="208"/>
      <c r="AP842" s="208"/>
      <c r="AQ842" s="208"/>
      <c r="AR842" s="208"/>
      <c r="AS842" s="208"/>
      <c r="AT842" s="208"/>
      <c r="AU842" s="208"/>
      <c r="AV842" s="208"/>
      <c r="AW842" s="208"/>
      <c r="AX842" s="208"/>
      <c r="AY842" s="208"/>
      <c r="AZ842" s="208"/>
      <c r="BA842" s="208"/>
    </row>
    <row r="843" ht="15.75" hidden="1" customHeight="1">
      <c r="A843" s="208"/>
      <c r="B843" s="208"/>
      <c r="C843" s="208"/>
      <c r="D843" s="208"/>
      <c r="E843" s="208"/>
      <c r="F843" s="208"/>
      <c r="G843" s="208"/>
      <c r="H843" s="208"/>
      <c r="I843" s="208"/>
      <c r="J843" s="208"/>
      <c r="K843" s="208"/>
      <c r="L843" s="208"/>
      <c r="M843" s="208"/>
      <c r="N843" s="208"/>
      <c r="O843" s="208"/>
      <c r="P843" s="208"/>
      <c r="Q843" s="208"/>
      <c r="R843" s="208"/>
      <c r="S843" s="208"/>
      <c r="T843" s="208"/>
      <c r="U843" s="208"/>
      <c r="V843" s="208"/>
      <c r="W843" s="208"/>
      <c r="X843" s="208"/>
      <c r="Y843" s="208"/>
      <c r="Z843" s="208"/>
      <c r="AA843" s="208"/>
      <c r="AB843" s="208"/>
      <c r="AC843" s="208"/>
      <c r="AD843" s="208"/>
      <c r="AE843" s="208"/>
      <c r="AF843" s="208"/>
      <c r="AG843" s="208"/>
      <c r="AH843" s="208"/>
      <c r="AI843" s="208"/>
      <c r="AJ843" s="208"/>
      <c r="AK843" s="208"/>
      <c r="AL843" s="208"/>
      <c r="AM843" s="208"/>
      <c r="AN843" s="208"/>
      <c r="AO843" s="208"/>
      <c r="AP843" s="208"/>
      <c r="AQ843" s="208"/>
      <c r="AR843" s="208"/>
      <c r="AS843" s="208"/>
      <c r="AT843" s="208"/>
      <c r="AU843" s="208"/>
      <c r="AV843" s="208"/>
      <c r="AW843" s="208"/>
      <c r="AX843" s="208"/>
      <c r="AY843" s="208"/>
      <c r="AZ843" s="208"/>
      <c r="BA843" s="208"/>
    </row>
    <row r="844" ht="15.75" hidden="1" customHeight="1">
      <c r="A844" s="208"/>
      <c r="B844" s="208"/>
      <c r="C844" s="208"/>
      <c r="D844" s="208"/>
      <c r="E844" s="208"/>
      <c r="F844" s="208"/>
      <c r="G844" s="208"/>
      <c r="H844" s="208"/>
      <c r="I844" s="208"/>
      <c r="J844" s="208"/>
      <c r="K844" s="208"/>
      <c r="L844" s="208"/>
      <c r="M844" s="208"/>
      <c r="N844" s="208"/>
      <c r="O844" s="208"/>
      <c r="P844" s="208"/>
      <c r="Q844" s="208"/>
      <c r="R844" s="208"/>
      <c r="S844" s="208"/>
      <c r="T844" s="208"/>
      <c r="U844" s="208"/>
      <c r="V844" s="208"/>
      <c r="W844" s="208"/>
      <c r="X844" s="208"/>
      <c r="Y844" s="208"/>
      <c r="Z844" s="208"/>
      <c r="AA844" s="208"/>
      <c r="AB844" s="208"/>
      <c r="AC844" s="208"/>
      <c r="AD844" s="208"/>
      <c r="AE844" s="208"/>
      <c r="AF844" s="208"/>
      <c r="AG844" s="208"/>
      <c r="AH844" s="208"/>
      <c r="AI844" s="208"/>
      <c r="AJ844" s="208"/>
      <c r="AK844" s="208"/>
      <c r="AL844" s="208"/>
      <c r="AM844" s="208"/>
      <c r="AN844" s="208"/>
      <c r="AO844" s="208"/>
      <c r="AP844" s="208"/>
      <c r="AQ844" s="208"/>
      <c r="AR844" s="208"/>
      <c r="AS844" s="208"/>
      <c r="AT844" s="208"/>
      <c r="AU844" s="208"/>
      <c r="AV844" s="208"/>
      <c r="AW844" s="208"/>
      <c r="AX844" s="208"/>
      <c r="AY844" s="208"/>
      <c r="AZ844" s="208"/>
      <c r="BA844" s="208"/>
    </row>
    <row r="845" ht="15.75" hidden="1" customHeight="1">
      <c r="A845" s="208"/>
      <c r="B845" s="208"/>
      <c r="C845" s="208"/>
      <c r="D845" s="208"/>
      <c r="E845" s="208"/>
      <c r="F845" s="208"/>
      <c r="G845" s="208"/>
      <c r="H845" s="208"/>
      <c r="I845" s="208"/>
      <c r="J845" s="208"/>
      <c r="K845" s="208"/>
      <c r="L845" s="208"/>
      <c r="M845" s="208"/>
      <c r="N845" s="208"/>
      <c r="O845" s="208"/>
      <c r="P845" s="208"/>
      <c r="Q845" s="208"/>
      <c r="R845" s="208"/>
      <c r="S845" s="208"/>
      <c r="T845" s="208"/>
      <c r="U845" s="208"/>
      <c r="V845" s="208"/>
      <c r="W845" s="208"/>
      <c r="X845" s="208"/>
      <c r="Y845" s="208"/>
      <c r="Z845" s="208"/>
      <c r="AA845" s="208"/>
      <c r="AB845" s="208"/>
      <c r="AC845" s="208"/>
      <c r="AD845" s="208"/>
      <c r="AE845" s="208"/>
      <c r="AF845" s="208"/>
      <c r="AG845" s="208"/>
      <c r="AH845" s="208"/>
      <c r="AI845" s="208"/>
      <c r="AJ845" s="208"/>
      <c r="AK845" s="208"/>
      <c r="AL845" s="208"/>
      <c r="AM845" s="208"/>
      <c r="AN845" s="208"/>
      <c r="AO845" s="208"/>
      <c r="AP845" s="208"/>
      <c r="AQ845" s="208"/>
      <c r="AR845" s="208"/>
      <c r="AS845" s="208"/>
      <c r="AT845" s="208"/>
      <c r="AU845" s="208"/>
      <c r="AV845" s="208"/>
      <c r="AW845" s="208"/>
      <c r="AX845" s="208"/>
      <c r="AY845" s="208"/>
      <c r="AZ845" s="208"/>
      <c r="BA845" s="208"/>
    </row>
    <row r="846" ht="15.75" hidden="1" customHeight="1">
      <c r="A846" s="208"/>
      <c r="B846" s="208"/>
      <c r="C846" s="208"/>
      <c r="D846" s="208"/>
      <c r="E846" s="208"/>
      <c r="F846" s="208"/>
      <c r="G846" s="208"/>
      <c r="H846" s="208"/>
      <c r="I846" s="208"/>
      <c r="J846" s="208"/>
      <c r="K846" s="208"/>
      <c r="L846" s="208"/>
      <c r="M846" s="208"/>
      <c r="N846" s="208"/>
      <c r="O846" s="208"/>
      <c r="P846" s="208"/>
      <c r="Q846" s="208"/>
      <c r="R846" s="208"/>
      <c r="S846" s="208"/>
      <c r="T846" s="208"/>
      <c r="U846" s="208"/>
      <c r="V846" s="208"/>
      <c r="W846" s="208"/>
      <c r="X846" s="208"/>
      <c r="Y846" s="208"/>
      <c r="Z846" s="208"/>
      <c r="AA846" s="208"/>
      <c r="AB846" s="208"/>
      <c r="AC846" s="208"/>
      <c r="AD846" s="208"/>
      <c r="AE846" s="208"/>
      <c r="AF846" s="208"/>
      <c r="AG846" s="208"/>
      <c r="AH846" s="208"/>
      <c r="AI846" s="208"/>
      <c r="AJ846" s="208"/>
      <c r="AK846" s="208"/>
      <c r="AL846" s="208"/>
      <c r="AM846" s="208"/>
      <c r="AN846" s="208"/>
      <c r="AO846" s="208"/>
      <c r="AP846" s="208"/>
      <c r="AQ846" s="208"/>
      <c r="AR846" s="208"/>
      <c r="AS846" s="208"/>
      <c r="AT846" s="208"/>
      <c r="AU846" s="208"/>
      <c r="AV846" s="208"/>
      <c r="AW846" s="208"/>
      <c r="AX846" s="208"/>
      <c r="AY846" s="208"/>
      <c r="AZ846" s="208"/>
      <c r="BA846" s="208"/>
    </row>
    <row r="847" ht="15.75" hidden="1" customHeight="1">
      <c r="A847" s="208"/>
      <c r="B847" s="208"/>
      <c r="C847" s="208"/>
      <c r="D847" s="208"/>
      <c r="E847" s="208"/>
      <c r="F847" s="208"/>
      <c r="G847" s="208"/>
      <c r="H847" s="208"/>
      <c r="I847" s="208"/>
      <c r="J847" s="208"/>
      <c r="K847" s="208"/>
      <c r="L847" s="208"/>
      <c r="M847" s="208"/>
      <c r="N847" s="208"/>
      <c r="O847" s="208"/>
      <c r="P847" s="208"/>
      <c r="Q847" s="208"/>
      <c r="R847" s="208"/>
      <c r="S847" s="208"/>
      <c r="T847" s="208"/>
      <c r="U847" s="208"/>
      <c r="V847" s="208"/>
      <c r="W847" s="208"/>
      <c r="X847" s="208"/>
      <c r="Y847" s="208"/>
      <c r="Z847" s="208"/>
      <c r="AA847" s="208"/>
      <c r="AB847" s="208"/>
      <c r="AC847" s="208"/>
      <c r="AD847" s="208"/>
      <c r="AE847" s="208"/>
      <c r="AF847" s="208"/>
      <c r="AG847" s="208"/>
      <c r="AH847" s="208"/>
      <c r="AI847" s="208"/>
      <c r="AJ847" s="208"/>
      <c r="AK847" s="208"/>
      <c r="AL847" s="208"/>
      <c r="AM847" s="208"/>
      <c r="AN847" s="208"/>
      <c r="AO847" s="208"/>
      <c r="AP847" s="208"/>
      <c r="AQ847" s="208"/>
      <c r="AR847" s="208"/>
      <c r="AS847" s="208"/>
      <c r="AT847" s="208"/>
      <c r="AU847" s="208"/>
      <c r="AV847" s="208"/>
      <c r="AW847" s="208"/>
      <c r="AX847" s="208"/>
      <c r="AY847" s="208"/>
      <c r="AZ847" s="208"/>
      <c r="BA847" s="208"/>
    </row>
    <row r="848" ht="15.75" hidden="1" customHeight="1">
      <c r="A848" s="208"/>
      <c r="B848" s="208"/>
      <c r="C848" s="208"/>
      <c r="D848" s="208"/>
      <c r="E848" s="208"/>
      <c r="F848" s="208"/>
      <c r="G848" s="208"/>
      <c r="H848" s="208"/>
      <c r="I848" s="208"/>
      <c r="J848" s="208"/>
      <c r="K848" s="208"/>
      <c r="L848" s="208"/>
      <c r="M848" s="208"/>
      <c r="N848" s="208"/>
      <c r="O848" s="208"/>
      <c r="P848" s="208"/>
      <c r="Q848" s="208"/>
      <c r="R848" s="208"/>
      <c r="S848" s="208"/>
      <c r="T848" s="208"/>
      <c r="U848" s="208"/>
      <c r="V848" s="208"/>
      <c r="W848" s="208"/>
      <c r="X848" s="208"/>
      <c r="Y848" s="208"/>
      <c r="Z848" s="208"/>
      <c r="AA848" s="208"/>
      <c r="AB848" s="208"/>
      <c r="AC848" s="208"/>
      <c r="AD848" s="208"/>
      <c r="AE848" s="208"/>
      <c r="AF848" s="208"/>
      <c r="AG848" s="208"/>
      <c r="AH848" s="208"/>
      <c r="AI848" s="208"/>
      <c r="AJ848" s="208"/>
      <c r="AK848" s="208"/>
      <c r="AL848" s="208"/>
      <c r="AM848" s="208"/>
      <c r="AN848" s="208"/>
      <c r="AO848" s="208"/>
      <c r="AP848" s="208"/>
      <c r="AQ848" s="208"/>
      <c r="AR848" s="208"/>
      <c r="AS848" s="208"/>
      <c r="AT848" s="208"/>
      <c r="AU848" s="208"/>
      <c r="AV848" s="208"/>
      <c r="AW848" s="208"/>
      <c r="AX848" s="208"/>
      <c r="AY848" s="208"/>
      <c r="AZ848" s="208"/>
      <c r="BA848" s="208"/>
    </row>
    <row r="849" ht="15.75" hidden="1" customHeight="1">
      <c r="A849" s="208"/>
      <c r="B849" s="208"/>
      <c r="C849" s="208"/>
      <c r="D849" s="208"/>
      <c r="E849" s="208"/>
      <c r="F849" s="208"/>
      <c r="G849" s="208"/>
      <c r="H849" s="208"/>
      <c r="I849" s="208"/>
      <c r="J849" s="208"/>
      <c r="K849" s="208"/>
      <c r="L849" s="208"/>
      <c r="M849" s="208"/>
      <c r="N849" s="208"/>
      <c r="O849" s="208"/>
      <c r="P849" s="208"/>
      <c r="Q849" s="208"/>
      <c r="R849" s="208"/>
      <c r="S849" s="208"/>
      <c r="T849" s="208"/>
      <c r="U849" s="208"/>
      <c r="V849" s="208"/>
      <c r="W849" s="208"/>
      <c r="X849" s="208"/>
      <c r="Y849" s="208"/>
      <c r="Z849" s="208"/>
      <c r="AA849" s="208"/>
      <c r="AB849" s="208"/>
      <c r="AC849" s="208"/>
      <c r="AD849" s="208"/>
      <c r="AE849" s="208"/>
      <c r="AF849" s="208"/>
      <c r="AG849" s="208"/>
      <c r="AH849" s="208"/>
      <c r="AI849" s="208"/>
      <c r="AJ849" s="208"/>
      <c r="AK849" s="208"/>
      <c r="AL849" s="208"/>
      <c r="AM849" s="208"/>
      <c r="AN849" s="208"/>
      <c r="AO849" s="208"/>
      <c r="AP849" s="208"/>
      <c r="AQ849" s="208"/>
      <c r="AR849" s="208"/>
      <c r="AS849" s="208"/>
      <c r="AT849" s="208"/>
      <c r="AU849" s="208"/>
      <c r="AV849" s="208"/>
      <c r="AW849" s="208"/>
      <c r="AX849" s="208"/>
      <c r="AY849" s="208"/>
      <c r="AZ849" s="208"/>
      <c r="BA849" s="208"/>
    </row>
    <row r="850" ht="15.75" hidden="1" customHeight="1">
      <c r="A850" s="208"/>
      <c r="B850" s="208"/>
      <c r="C850" s="208"/>
      <c r="D850" s="208"/>
      <c r="E850" s="208"/>
      <c r="F850" s="208"/>
      <c r="G850" s="208"/>
      <c r="H850" s="208"/>
      <c r="I850" s="208"/>
      <c r="J850" s="208"/>
      <c r="K850" s="208"/>
      <c r="L850" s="208"/>
      <c r="M850" s="208"/>
      <c r="N850" s="208"/>
      <c r="O850" s="208"/>
      <c r="P850" s="208"/>
      <c r="Q850" s="208"/>
      <c r="R850" s="208"/>
      <c r="S850" s="208"/>
      <c r="T850" s="208"/>
      <c r="U850" s="208"/>
      <c r="V850" s="208"/>
      <c r="W850" s="208"/>
      <c r="X850" s="208"/>
      <c r="Y850" s="208"/>
      <c r="Z850" s="208"/>
      <c r="AA850" s="208"/>
      <c r="AB850" s="208"/>
      <c r="AC850" s="208"/>
      <c r="AD850" s="208"/>
      <c r="AE850" s="208"/>
      <c r="AF850" s="208"/>
      <c r="AG850" s="208"/>
      <c r="AH850" s="208"/>
      <c r="AI850" s="208"/>
      <c r="AJ850" s="208"/>
      <c r="AK850" s="208"/>
      <c r="AL850" s="208"/>
      <c r="AM850" s="208"/>
      <c r="AN850" s="208"/>
      <c r="AO850" s="208"/>
      <c r="AP850" s="208"/>
      <c r="AQ850" s="208"/>
      <c r="AR850" s="208"/>
      <c r="AS850" s="208"/>
      <c r="AT850" s="208"/>
      <c r="AU850" s="208"/>
      <c r="AV850" s="208"/>
      <c r="AW850" s="208"/>
      <c r="AX850" s="208"/>
      <c r="AY850" s="208"/>
      <c r="AZ850" s="208"/>
      <c r="BA850" s="208"/>
    </row>
    <row r="851" ht="15.75" hidden="1" customHeight="1">
      <c r="A851" s="208"/>
      <c r="B851" s="208"/>
      <c r="C851" s="208"/>
      <c r="D851" s="208"/>
      <c r="E851" s="208"/>
      <c r="F851" s="208"/>
      <c r="G851" s="208"/>
      <c r="H851" s="208"/>
      <c r="I851" s="208"/>
      <c r="J851" s="208"/>
      <c r="K851" s="208"/>
      <c r="L851" s="208"/>
      <c r="M851" s="208"/>
      <c r="N851" s="208"/>
      <c r="O851" s="208"/>
      <c r="P851" s="208"/>
      <c r="Q851" s="208"/>
      <c r="R851" s="208"/>
      <c r="S851" s="208"/>
      <c r="T851" s="208"/>
      <c r="U851" s="208"/>
      <c r="V851" s="208"/>
      <c r="W851" s="208"/>
      <c r="X851" s="208"/>
      <c r="Y851" s="208"/>
      <c r="Z851" s="208"/>
      <c r="AA851" s="208"/>
      <c r="AB851" s="208"/>
      <c r="AC851" s="208"/>
      <c r="AD851" s="208"/>
      <c r="AE851" s="208"/>
      <c r="AF851" s="208"/>
      <c r="AG851" s="208"/>
      <c r="AH851" s="208"/>
      <c r="AI851" s="208"/>
      <c r="AJ851" s="208"/>
      <c r="AK851" s="208"/>
      <c r="AL851" s="208"/>
      <c r="AM851" s="208"/>
      <c r="AN851" s="208"/>
      <c r="AO851" s="208"/>
      <c r="AP851" s="208"/>
      <c r="AQ851" s="208"/>
      <c r="AR851" s="208"/>
      <c r="AS851" s="208"/>
      <c r="AT851" s="208"/>
      <c r="AU851" s="208"/>
      <c r="AV851" s="208"/>
      <c r="AW851" s="208"/>
      <c r="AX851" s="208"/>
      <c r="AY851" s="208"/>
      <c r="AZ851" s="208"/>
      <c r="BA851" s="208"/>
    </row>
    <row r="852" ht="15.75" hidden="1" customHeight="1">
      <c r="A852" s="208"/>
      <c r="B852" s="208"/>
      <c r="C852" s="208"/>
      <c r="D852" s="208"/>
      <c r="E852" s="208"/>
      <c r="F852" s="208"/>
      <c r="G852" s="208"/>
      <c r="H852" s="208"/>
      <c r="I852" s="208"/>
      <c r="J852" s="208"/>
      <c r="K852" s="208"/>
      <c r="L852" s="208"/>
      <c r="M852" s="208"/>
      <c r="N852" s="208"/>
      <c r="O852" s="208"/>
      <c r="P852" s="208"/>
      <c r="Q852" s="208"/>
      <c r="R852" s="208"/>
      <c r="S852" s="208"/>
      <c r="T852" s="208"/>
      <c r="U852" s="208"/>
      <c r="V852" s="208"/>
      <c r="W852" s="208"/>
      <c r="X852" s="208"/>
      <c r="Y852" s="208"/>
      <c r="Z852" s="208"/>
      <c r="AA852" s="208"/>
      <c r="AB852" s="208"/>
      <c r="AC852" s="208"/>
      <c r="AD852" s="208"/>
      <c r="AE852" s="208"/>
      <c r="AF852" s="208"/>
      <c r="AG852" s="208"/>
      <c r="AH852" s="208"/>
      <c r="AI852" s="208"/>
      <c r="AJ852" s="208"/>
      <c r="AK852" s="208"/>
      <c r="AL852" s="208"/>
      <c r="AM852" s="208"/>
      <c r="AN852" s="208"/>
      <c r="AO852" s="208"/>
      <c r="AP852" s="208"/>
      <c r="AQ852" s="208"/>
      <c r="AR852" s="208"/>
      <c r="AS852" s="208"/>
      <c r="AT852" s="208"/>
      <c r="AU852" s="208"/>
      <c r="AV852" s="208"/>
      <c r="AW852" s="208"/>
      <c r="AX852" s="208"/>
      <c r="AY852" s="208"/>
      <c r="AZ852" s="208"/>
      <c r="BA852" s="208"/>
    </row>
    <row r="853" ht="15.75" hidden="1" customHeight="1">
      <c r="A853" s="208"/>
      <c r="B853" s="208"/>
      <c r="C853" s="208"/>
      <c r="D853" s="208"/>
      <c r="E853" s="208"/>
      <c r="F853" s="208"/>
      <c r="G853" s="208"/>
      <c r="H853" s="208"/>
      <c r="I853" s="208"/>
      <c r="J853" s="208"/>
      <c r="K853" s="208"/>
      <c r="L853" s="208"/>
      <c r="M853" s="208"/>
      <c r="N853" s="208"/>
      <c r="O853" s="208"/>
      <c r="P853" s="208"/>
      <c r="Q853" s="208"/>
      <c r="R853" s="208"/>
      <c r="S853" s="208"/>
      <c r="T853" s="208"/>
      <c r="U853" s="208"/>
      <c r="V853" s="208"/>
      <c r="W853" s="208"/>
      <c r="X853" s="208"/>
      <c r="Y853" s="208"/>
      <c r="Z853" s="208"/>
      <c r="AA853" s="208"/>
      <c r="AB853" s="208"/>
      <c r="AC853" s="208"/>
      <c r="AD853" s="208"/>
      <c r="AE853" s="208"/>
      <c r="AF853" s="208"/>
      <c r="AG853" s="208"/>
      <c r="AH853" s="208"/>
      <c r="AI853" s="208"/>
      <c r="AJ853" s="208"/>
      <c r="AK853" s="208"/>
      <c r="AL853" s="208"/>
      <c r="AM853" s="208"/>
      <c r="AN853" s="208"/>
      <c r="AO853" s="208"/>
      <c r="AP853" s="208"/>
      <c r="AQ853" s="208"/>
      <c r="AR853" s="208"/>
      <c r="AS853" s="208"/>
      <c r="AT853" s="208"/>
      <c r="AU853" s="208"/>
      <c r="AV853" s="208"/>
      <c r="AW853" s="208"/>
      <c r="AX853" s="208"/>
      <c r="AY853" s="208"/>
      <c r="AZ853" s="208"/>
      <c r="BA853" s="208"/>
    </row>
    <row r="854" ht="15.75" hidden="1" customHeight="1">
      <c r="A854" s="208"/>
      <c r="B854" s="208"/>
      <c r="C854" s="208"/>
      <c r="D854" s="208"/>
      <c r="E854" s="208"/>
      <c r="F854" s="208"/>
      <c r="G854" s="208"/>
      <c r="H854" s="208"/>
      <c r="I854" s="208"/>
      <c r="J854" s="208"/>
      <c r="K854" s="208"/>
      <c r="L854" s="208"/>
      <c r="M854" s="208"/>
      <c r="N854" s="208"/>
      <c r="O854" s="208"/>
      <c r="P854" s="208"/>
      <c r="Q854" s="208"/>
      <c r="R854" s="208"/>
      <c r="S854" s="208"/>
      <c r="T854" s="208"/>
      <c r="U854" s="208"/>
      <c r="V854" s="208"/>
      <c r="W854" s="208"/>
      <c r="X854" s="208"/>
      <c r="Y854" s="208"/>
      <c r="Z854" s="208"/>
      <c r="AA854" s="208"/>
      <c r="AB854" s="208"/>
      <c r="AC854" s="208"/>
      <c r="AD854" s="208"/>
      <c r="AE854" s="208"/>
      <c r="AF854" s="208"/>
      <c r="AG854" s="208"/>
      <c r="AH854" s="208"/>
      <c r="AI854" s="208"/>
      <c r="AJ854" s="208"/>
      <c r="AK854" s="208"/>
      <c r="AL854" s="208"/>
      <c r="AM854" s="208"/>
      <c r="AN854" s="208"/>
      <c r="AO854" s="208"/>
      <c r="AP854" s="208"/>
      <c r="AQ854" s="208"/>
      <c r="AR854" s="208"/>
      <c r="AS854" s="208"/>
      <c r="AT854" s="208"/>
      <c r="AU854" s="208"/>
      <c r="AV854" s="208"/>
      <c r="AW854" s="208"/>
      <c r="AX854" s="208"/>
      <c r="AY854" s="208"/>
      <c r="AZ854" s="208"/>
      <c r="BA854" s="208"/>
    </row>
    <row r="855" ht="15.75" hidden="1" customHeight="1">
      <c r="A855" s="208"/>
      <c r="B855" s="208"/>
      <c r="C855" s="208"/>
      <c r="D855" s="208"/>
      <c r="E855" s="208"/>
      <c r="F855" s="208"/>
      <c r="G855" s="208"/>
      <c r="H855" s="208"/>
      <c r="I855" s="208"/>
      <c r="J855" s="208"/>
      <c r="K855" s="208"/>
      <c r="L855" s="208"/>
      <c r="M855" s="208"/>
      <c r="N855" s="208"/>
      <c r="O855" s="208"/>
      <c r="P855" s="208"/>
      <c r="Q855" s="208"/>
      <c r="R855" s="208"/>
      <c r="S855" s="208"/>
      <c r="T855" s="208"/>
      <c r="U855" s="208"/>
      <c r="V855" s="208"/>
      <c r="W855" s="208"/>
      <c r="X855" s="208"/>
      <c r="Y855" s="208"/>
      <c r="Z855" s="208"/>
      <c r="AA855" s="208"/>
      <c r="AB855" s="208"/>
      <c r="AC855" s="208"/>
      <c r="AD855" s="208"/>
      <c r="AE855" s="208"/>
      <c r="AF855" s="208"/>
      <c r="AG855" s="208"/>
      <c r="AH855" s="208"/>
      <c r="AI855" s="208"/>
      <c r="AJ855" s="208"/>
      <c r="AK855" s="208"/>
      <c r="AL855" s="208"/>
      <c r="AM855" s="208"/>
      <c r="AN855" s="208"/>
      <c r="AO855" s="208"/>
      <c r="AP855" s="208"/>
      <c r="AQ855" s="208"/>
      <c r="AR855" s="208"/>
      <c r="AS855" s="208"/>
      <c r="AT855" s="208"/>
      <c r="AU855" s="208"/>
      <c r="AV855" s="208"/>
      <c r="AW855" s="208"/>
      <c r="AX855" s="208"/>
      <c r="AY855" s="208"/>
      <c r="AZ855" s="208"/>
      <c r="BA855" s="208"/>
    </row>
    <row r="856" ht="15.75" hidden="1" customHeight="1">
      <c r="A856" s="208"/>
      <c r="B856" s="208"/>
      <c r="C856" s="208"/>
      <c r="D856" s="208"/>
      <c r="E856" s="208"/>
      <c r="F856" s="208"/>
      <c r="G856" s="208"/>
      <c r="H856" s="208"/>
      <c r="I856" s="208"/>
      <c r="J856" s="208"/>
      <c r="K856" s="208"/>
      <c r="L856" s="208"/>
      <c r="M856" s="208"/>
      <c r="N856" s="208"/>
      <c r="O856" s="208"/>
      <c r="P856" s="208"/>
      <c r="Q856" s="208"/>
      <c r="R856" s="208"/>
      <c r="S856" s="208"/>
      <c r="T856" s="208"/>
      <c r="U856" s="208"/>
      <c r="V856" s="208"/>
      <c r="W856" s="208"/>
      <c r="X856" s="208"/>
      <c r="Y856" s="208"/>
      <c r="Z856" s="208"/>
      <c r="AA856" s="208"/>
      <c r="AB856" s="208"/>
      <c r="AC856" s="208"/>
      <c r="AD856" s="208"/>
      <c r="AE856" s="208"/>
      <c r="AF856" s="208"/>
      <c r="AG856" s="208"/>
      <c r="AH856" s="208"/>
      <c r="AI856" s="208"/>
      <c r="AJ856" s="208"/>
      <c r="AK856" s="208"/>
      <c r="AL856" s="208"/>
      <c r="AM856" s="208"/>
      <c r="AN856" s="208"/>
      <c r="AO856" s="208"/>
      <c r="AP856" s="208"/>
      <c r="AQ856" s="208"/>
      <c r="AR856" s="208"/>
      <c r="AS856" s="208"/>
      <c r="AT856" s="208"/>
      <c r="AU856" s="208"/>
      <c r="AV856" s="208"/>
      <c r="AW856" s="208"/>
      <c r="AX856" s="208"/>
      <c r="AY856" s="208"/>
      <c r="AZ856" s="208"/>
      <c r="BA856" s="208"/>
    </row>
    <row r="857" ht="15.75" hidden="1" customHeight="1">
      <c r="A857" s="208"/>
      <c r="B857" s="208"/>
      <c r="C857" s="208"/>
      <c r="D857" s="208"/>
      <c r="E857" s="208"/>
      <c r="F857" s="208"/>
      <c r="G857" s="208"/>
      <c r="H857" s="208"/>
      <c r="I857" s="208"/>
      <c r="J857" s="208"/>
      <c r="K857" s="208"/>
      <c r="L857" s="208"/>
      <c r="M857" s="208"/>
      <c r="N857" s="208"/>
      <c r="O857" s="208"/>
      <c r="P857" s="208"/>
      <c r="Q857" s="208"/>
      <c r="R857" s="208"/>
      <c r="S857" s="208"/>
      <c r="T857" s="208"/>
      <c r="U857" s="208"/>
      <c r="V857" s="208"/>
      <c r="W857" s="208"/>
      <c r="X857" s="208"/>
      <c r="Y857" s="208"/>
      <c r="Z857" s="208"/>
      <c r="AA857" s="208"/>
      <c r="AB857" s="208"/>
      <c r="AC857" s="208"/>
      <c r="AD857" s="208"/>
      <c r="AE857" s="208"/>
      <c r="AF857" s="208"/>
      <c r="AG857" s="208"/>
      <c r="AH857" s="208"/>
      <c r="AI857" s="208"/>
      <c r="AJ857" s="208"/>
      <c r="AK857" s="208"/>
      <c r="AL857" s="208"/>
      <c r="AM857" s="208"/>
      <c r="AN857" s="208"/>
      <c r="AO857" s="208"/>
      <c r="AP857" s="208"/>
      <c r="AQ857" s="208"/>
      <c r="AR857" s="208"/>
      <c r="AS857" s="208"/>
      <c r="AT857" s="208"/>
      <c r="AU857" s="208"/>
      <c r="AV857" s="208"/>
      <c r="AW857" s="208"/>
      <c r="AX857" s="208"/>
      <c r="AY857" s="208"/>
      <c r="AZ857" s="208"/>
      <c r="BA857" s="208"/>
    </row>
    <row r="858" ht="15.75" hidden="1" customHeight="1">
      <c r="A858" s="208"/>
      <c r="B858" s="208"/>
      <c r="C858" s="208"/>
      <c r="D858" s="208"/>
      <c r="E858" s="208"/>
      <c r="F858" s="208"/>
      <c r="G858" s="208"/>
      <c r="H858" s="208"/>
      <c r="I858" s="208"/>
      <c r="J858" s="208"/>
      <c r="K858" s="208"/>
      <c r="L858" s="208"/>
      <c r="M858" s="208"/>
      <c r="N858" s="208"/>
      <c r="O858" s="208"/>
      <c r="P858" s="208"/>
      <c r="Q858" s="208"/>
      <c r="R858" s="208"/>
      <c r="S858" s="208"/>
      <c r="T858" s="208"/>
      <c r="U858" s="208"/>
      <c r="V858" s="208"/>
      <c r="W858" s="208"/>
      <c r="X858" s="208"/>
      <c r="Y858" s="208"/>
      <c r="Z858" s="208"/>
      <c r="AA858" s="208"/>
      <c r="AB858" s="208"/>
      <c r="AC858" s="208"/>
      <c r="AD858" s="208"/>
      <c r="AE858" s="208"/>
      <c r="AF858" s="208"/>
      <c r="AG858" s="208"/>
      <c r="AH858" s="208"/>
      <c r="AI858" s="208"/>
      <c r="AJ858" s="208"/>
      <c r="AK858" s="208"/>
      <c r="AL858" s="208"/>
      <c r="AM858" s="208"/>
      <c r="AN858" s="208"/>
      <c r="AO858" s="208"/>
      <c r="AP858" s="208"/>
      <c r="AQ858" s="208"/>
      <c r="AR858" s="208"/>
      <c r="AS858" s="208"/>
      <c r="AT858" s="208"/>
      <c r="AU858" s="208"/>
      <c r="AV858" s="208"/>
      <c r="AW858" s="208"/>
      <c r="AX858" s="208"/>
      <c r="AY858" s="208"/>
      <c r="AZ858" s="208"/>
      <c r="BA858" s="208"/>
    </row>
    <row r="859" ht="15.75" hidden="1" customHeight="1">
      <c r="A859" s="208"/>
      <c r="B859" s="208"/>
      <c r="C859" s="208"/>
      <c r="D859" s="208"/>
      <c r="E859" s="208"/>
      <c r="F859" s="208"/>
      <c r="G859" s="208"/>
      <c r="H859" s="208"/>
      <c r="I859" s="208"/>
      <c r="J859" s="208"/>
      <c r="K859" s="208"/>
      <c r="L859" s="208"/>
      <c r="M859" s="208"/>
      <c r="N859" s="208"/>
      <c r="O859" s="208"/>
      <c r="P859" s="208"/>
      <c r="Q859" s="208"/>
      <c r="R859" s="208"/>
      <c r="S859" s="208"/>
      <c r="T859" s="208"/>
      <c r="U859" s="208"/>
      <c r="V859" s="208"/>
      <c r="W859" s="208"/>
      <c r="X859" s="208"/>
      <c r="Y859" s="208"/>
      <c r="Z859" s="208"/>
      <c r="AA859" s="208"/>
      <c r="AB859" s="208"/>
      <c r="AC859" s="208"/>
      <c r="AD859" s="208"/>
      <c r="AE859" s="208"/>
      <c r="AF859" s="208"/>
      <c r="AG859" s="208"/>
      <c r="AH859" s="208"/>
      <c r="AI859" s="208"/>
      <c r="AJ859" s="208"/>
      <c r="AK859" s="208"/>
      <c r="AL859" s="208"/>
      <c r="AM859" s="208"/>
      <c r="AN859" s="208"/>
      <c r="AO859" s="208"/>
      <c r="AP859" s="208"/>
      <c r="AQ859" s="208"/>
      <c r="AR859" s="208"/>
      <c r="AS859" s="208"/>
      <c r="AT859" s="208"/>
      <c r="AU859" s="208"/>
      <c r="AV859" s="208"/>
      <c r="AW859" s="208"/>
      <c r="AX859" s="208"/>
      <c r="AY859" s="208"/>
      <c r="AZ859" s="208"/>
      <c r="BA859" s="208"/>
    </row>
    <row r="860" ht="15.75" hidden="1" customHeight="1">
      <c r="A860" s="208"/>
      <c r="B860" s="208"/>
      <c r="C860" s="208"/>
      <c r="D860" s="208"/>
      <c r="E860" s="208"/>
      <c r="F860" s="208"/>
      <c r="G860" s="208"/>
      <c r="H860" s="208"/>
      <c r="I860" s="208"/>
      <c r="J860" s="208"/>
      <c r="K860" s="208"/>
      <c r="L860" s="208"/>
      <c r="M860" s="208"/>
      <c r="N860" s="208"/>
      <c r="O860" s="208"/>
      <c r="P860" s="208"/>
      <c r="Q860" s="208"/>
      <c r="R860" s="208"/>
      <c r="S860" s="208"/>
      <c r="T860" s="208"/>
      <c r="U860" s="208"/>
      <c r="V860" s="208"/>
      <c r="W860" s="208"/>
      <c r="X860" s="208"/>
      <c r="Y860" s="208"/>
      <c r="Z860" s="208"/>
      <c r="AA860" s="208"/>
      <c r="AB860" s="208"/>
      <c r="AC860" s="208"/>
      <c r="AD860" s="208"/>
      <c r="AE860" s="208"/>
      <c r="AF860" s="208"/>
      <c r="AG860" s="208"/>
      <c r="AH860" s="208"/>
      <c r="AI860" s="208"/>
      <c r="AJ860" s="208"/>
      <c r="AK860" s="208"/>
      <c r="AL860" s="208"/>
      <c r="AM860" s="208"/>
      <c r="AN860" s="208"/>
      <c r="AO860" s="208"/>
      <c r="AP860" s="208"/>
      <c r="AQ860" s="208"/>
      <c r="AR860" s="208"/>
      <c r="AS860" s="208"/>
      <c r="AT860" s="208"/>
      <c r="AU860" s="208"/>
      <c r="AV860" s="208"/>
      <c r="AW860" s="208"/>
      <c r="AX860" s="208"/>
      <c r="AY860" s="208"/>
      <c r="AZ860" s="208"/>
      <c r="BA860" s="208"/>
    </row>
    <row r="861" ht="15.75" hidden="1" customHeight="1">
      <c r="A861" s="208"/>
      <c r="B861" s="208"/>
      <c r="C861" s="208"/>
      <c r="D861" s="208"/>
      <c r="E861" s="208"/>
      <c r="F861" s="208"/>
      <c r="G861" s="208"/>
      <c r="H861" s="208"/>
      <c r="I861" s="208"/>
      <c r="J861" s="208"/>
      <c r="K861" s="208"/>
      <c r="L861" s="208"/>
      <c r="M861" s="208"/>
      <c r="N861" s="208"/>
      <c r="O861" s="208"/>
      <c r="P861" s="208"/>
      <c r="Q861" s="208"/>
      <c r="R861" s="208"/>
      <c r="S861" s="208"/>
      <c r="T861" s="208"/>
      <c r="U861" s="208"/>
      <c r="V861" s="208"/>
      <c r="W861" s="208"/>
      <c r="X861" s="208"/>
      <c r="Y861" s="208"/>
      <c r="Z861" s="208"/>
      <c r="AA861" s="208"/>
      <c r="AB861" s="208"/>
      <c r="AC861" s="208"/>
      <c r="AD861" s="208"/>
      <c r="AE861" s="208"/>
      <c r="AF861" s="208"/>
      <c r="AG861" s="208"/>
      <c r="AH861" s="208"/>
      <c r="AI861" s="208"/>
      <c r="AJ861" s="208"/>
      <c r="AK861" s="208"/>
      <c r="AL861" s="208"/>
      <c r="AM861" s="208"/>
      <c r="AN861" s="208"/>
      <c r="AO861" s="208"/>
      <c r="AP861" s="208"/>
      <c r="AQ861" s="208"/>
      <c r="AR861" s="208"/>
      <c r="AS861" s="208"/>
      <c r="AT861" s="208"/>
      <c r="AU861" s="208"/>
      <c r="AV861" s="208"/>
      <c r="AW861" s="208"/>
      <c r="AX861" s="208"/>
      <c r="AY861" s="208"/>
      <c r="AZ861" s="208"/>
      <c r="BA861" s="208"/>
    </row>
    <row r="862" ht="15.75" hidden="1" customHeight="1">
      <c r="A862" s="208"/>
      <c r="B862" s="208"/>
      <c r="C862" s="208"/>
      <c r="D862" s="208"/>
      <c r="E862" s="208"/>
      <c r="F862" s="208"/>
      <c r="G862" s="208"/>
      <c r="H862" s="208"/>
      <c r="I862" s="208"/>
      <c r="J862" s="208"/>
      <c r="K862" s="208"/>
      <c r="L862" s="208"/>
      <c r="M862" s="208"/>
      <c r="N862" s="208"/>
      <c r="O862" s="208"/>
      <c r="P862" s="208"/>
      <c r="Q862" s="208"/>
      <c r="R862" s="208"/>
      <c r="S862" s="208"/>
      <c r="T862" s="208"/>
      <c r="U862" s="208"/>
      <c r="V862" s="208"/>
      <c r="W862" s="208"/>
      <c r="X862" s="208"/>
      <c r="Y862" s="208"/>
      <c r="Z862" s="208"/>
      <c r="AA862" s="208"/>
      <c r="AB862" s="208"/>
      <c r="AC862" s="208"/>
      <c r="AD862" s="208"/>
      <c r="AE862" s="208"/>
      <c r="AF862" s="208"/>
      <c r="AG862" s="208"/>
      <c r="AH862" s="208"/>
      <c r="AI862" s="208"/>
      <c r="AJ862" s="208"/>
      <c r="AK862" s="208"/>
      <c r="AL862" s="208"/>
      <c r="AM862" s="208"/>
      <c r="AN862" s="208"/>
      <c r="AO862" s="208"/>
      <c r="AP862" s="208"/>
      <c r="AQ862" s="208"/>
      <c r="AR862" s="208"/>
      <c r="AS862" s="208"/>
      <c r="AT862" s="208"/>
      <c r="AU862" s="208"/>
      <c r="AV862" s="208"/>
      <c r="AW862" s="208"/>
      <c r="AX862" s="208"/>
      <c r="AY862" s="208"/>
      <c r="AZ862" s="208"/>
      <c r="BA862" s="208"/>
    </row>
    <row r="863" ht="15.75" hidden="1" customHeight="1">
      <c r="A863" s="208"/>
      <c r="B863" s="208"/>
      <c r="C863" s="208"/>
      <c r="D863" s="208"/>
      <c r="E863" s="208"/>
      <c r="F863" s="208"/>
      <c r="G863" s="208"/>
      <c r="H863" s="208"/>
      <c r="I863" s="208"/>
      <c r="J863" s="208"/>
      <c r="K863" s="208"/>
      <c r="L863" s="208"/>
      <c r="M863" s="208"/>
      <c r="N863" s="208"/>
      <c r="O863" s="208"/>
      <c r="P863" s="208"/>
      <c r="Q863" s="208"/>
      <c r="R863" s="208"/>
      <c r="S863" s="208"/>
      <c r="T863" s="208"/>
      <c r="U863" s="208"/>
      <c r="V863" s="208"/>
      <c r="W863" s="208"/>
      <c r="X863" s="208"/>
      <c r="Y863" s="208"/>
      <c r="Z863" s="208"/>
      <c r="AA863" s="208"/>
      <c r="AB863" s="208"/>
      <c r="AC863" s="208"/>
      <c r="AD863" s="208"/>
      <c r="AE863" s="208"/>
      <c r="AF863" s="208"/>
      <c r="AG863" s="208"/>
      <c r="AH863" s="208"/>
      <c r="AI863" s="208"/>
      <c r="AJ863" s="208"/>
      <c r="AK863" s="208"/>
      <c r="AL863" s="208"/>
      <c r="AM863" s="208"/>
      <c r="AN863" s="208"/>
      <c r="AO863" s="208"/>
      <c r="AP863" s="208"/>
      <c r="AQ863" s="208"/>
      <c r="AR863" s="208"/>
      <c r="AS863" s="208"/>
      <c r="AT863" s="208"/>
      <c r="AU863" s="208"/>
      <c r="AV863" s="208"/>
      <c r="AW863" s="208"/>
      <c r="AX863" s="208"/>
      <c r="AY863" s="208"/>
      <c r="AZ863" s="208"/>
      <c r="BA863" s="208"/>
    </row>
    <row r="864" ht="15.75" hidden="1" customHeight="1">
      <c r="A864" s="208"/>
      <c r="B864" s="208"/>
      <c r="C864" s="208"/>
      <c r="D864" s="208"/>
      <c r="E864" s="208"/>
      <c r="F864" s="208"/>
      <c r="G864" s="208"/>
      <c r="H864" s="208"/>
      <c r="I864" s="208"/>
      <c r="J864" s="208"/>
      <c r="K864" s="208"/>
      <c r="L864" s="208"/>
      <c r="M864" s="208"/>
      <c r="N864" s="208"/>
      <c r="O864" s="208"/>
      <c r="P864" s="208"/>
      <c r="Q864" s="208"/>
      <c r="R864" s="208"/>
      <c r="S864" s="208"/>
      <c r="T864" s="208"/>
      <c r="U864" s="208"/>
      <c r="V864" s="208"/>
      <c r="W864" s="208"/>
      <c r="X864" s="208"/>
      <c r="Y864" s="208"/>
      <c r="Z864" s="208"/>
      <c r="AA864" s="208"/>
      <c r="AB864" s="208"/>
      <c r="AC864" s="208"/>
      <c r="AD864" s="208"/>
      <c r="AE864" s="208"/>
      <c r="AF864" s="208"/>
      <c r="AG864" s="208"/>
      <c r="AH864" s="208"/>
      <c r="AI864" s="208"/>
      <c r="AJ864" s="208"/>
      <c r="AK864" s="208"/>
      <c r="AL864" s="208"/>
      <c r="AM864" s="208"/>
      <c r="AN864" s="208"/>
      <c r="AO864" s="208"/>
      <c r="AP864" s="208"/>
      <c r="AQ864" s="208"/>
      <c r="AR864" s="208"/>
      <c r="AS864" s="208"/>
      <c r="AT864" s="208"/>
      <c r="AU864" s="208"/>
      <c r="AV864" s="208"/>
      <c r="AW864" s="208"/>
      <c r="AX864" s="208"/>
      <c r="AY864" s="208"/>
      <c r="AZ864" s="208"/>
      <c r="BA864" s="208"/>
    </row>
    <row r="865" ht="15.75" hidden="1" customHeight="1">
      <c r="A865" s="208"/>
      <c r="B865" s="208"/>
      <c r="C865" s="208"/>
      <c r="D865" s="208"/>
      <c r="E865" s="208"/>
      <c r="F865" s="208"/>
      <c r="G865" s="208"/>
      <c r="H865" s="208"/>
      <c r="I865" s="208"/>
      <c r="J865" s="208"/>
      <c r="K865" s="208"/>
      <c r="L865" s="208"/>
      <c r="M865" s="208"/>
      <c r="N865" s="208"/>
      <c r="O865" s="208"/>
      <c r="P865" s="208"/>
      <c r="Q865" s="208"/>
      <c r="R865" s="208"/>
      <c r="S865" s="208"/>
      <c r="T865" s="208"/>
      <c r="U865" s="208"/>
      <c r="V865" s="208"/>
      <c r="W865" s="208"/>
      <c r="X865" s="208"/>
      <c r="Y865" s="208"/>
      <c r="Z865" s="208"/>
      <c r="AA865" s="208"/>
      <c r="AB865" s="208"/>
      <c r="AC865" s="208"/>
      <c r="AD865" s="208"/>
      <c r="AE865" s="208"/>
      <c r="AF865" s="208"/>
      <c r="AG865" s="208"/>
      <c r="AH865" s="208"/>
      <c r="AI865" s="208"/>
      <c r="AJ865" s="208"/>
      <c r="AK865" s="208"/>
      <c r="AL865" s="208"/>
      <c r="AM865" s="208"/>
      <c r="AN865" s="208"/>
      <c r="AO865" s="208"/>
      <c r="AP865" s="208"/>
      <c r="AQ865" s="208"/>
      <c r="AR865" s="208"/>
      <c r="AS865" s="208"/>
      <c r="AT865" s="208"/>
      <c r="AU865" s="208"/>
      <c r="AV865" s="208"/>
      <c r="AW865" s="208"/>
      <c r="AX865" s="208"/>
      <c r="AY865" s="208"/>
      <c r="AZ865" s="208"/>
      <c r="BA865" s="208"/>
    </row>
    <row r="866" ht="15.75" hidden="1" customHeight="1">
      <c r="A866" s="208"/>
      <c r="B866" s="208"/>
      <c r="C866" s="208"/>
      <c r="D866" s="208"/>
      <c r="E866" s="208"/>
      <c r="F866" s="208"/>
      <c r="G866" s="208"/>
      <c r="H866" s="208"/>
      <c r="I866" s="208"/>
      <c r="J866" s="208"/>
      <c r="K866" s="208"/>
      <c r="L866" s="208"/>
      <c r="M866" s="208"/>
      <c r="N866" s="208"/>
      <c r="O866" s="208"/>
      <c r="P866" s="208"/>
      <c r="Q866" s="208"/>
      <c r="R866" s="208"/>
      <c r="S866" s="208"/>
      <c r="T866" s="208"/>
      <c r="U866" s="208"/>
      <c r="V866" s="208"/>
      <c r="W866" s="208"/>
      <c r="X866" s="208"/>
      <c r="Y866" s="208"/>
      <c r="Z866" s="208"/>
      <c r="AA866" s="208"/>
      <c r="AB866" s="208"/>
      <c r="AC866" s="208"/>
      <c r="AD866" s="208"/>
      <c r="AE866" s="208"/>
      <c r="AF866" s="208"/>
      <c r="AG866" s="208"/>
      <c r="AH866" s="208"/>
      <c r="AI866" s="208"/>
      <c r="AJ866" s="208"/>
      <c r="AK866" s="208"/>
      <c r="AL866" s="208"/>
      <c r="AM866" s="208"/>
      <c r="AN866" s="208"/>
      <c r="AO866" s="208"/>
      <c r="AP866" s="208"/>
      <c r="AQ866" s="208"/>
      <c r="AR866" s="208"/>
      <c r="AS866" s="208"/>
      <c r="AT866" s="208"/>
      <c r="AU866" s="208"/>
      <c r="AV866" s="208"/>
      <c r="AW866" s="208"/>
      <c r="AX866" s="208"/>
      <c r="AY866" s="208"/>
      <c r="AZ866" s="208"/>
      <c r="BA866" s="208"/>
    </row>
    <row r="867" ht="15.75" hidden="1" customHeight="1">
      <c r="A867" s="208"/>
      <c r="B867" s="208"/>
      <c r="C867" s="208"/>
      <c r="D867" s="208"/>
      <c r="E867" s="208"/>
      <c r="F867" s="208"/>
      <c r="G867" s="208"/>
      <c r="H867" s="208"/>
      <c r="I867" s="208"/>
      <c r="J867" s="208"/>
      <c r="K867" s="208"/>
      <c r="L867" s="208"/>
      <c r="M867" s="208"/>
      <c r="N867" s="208"/>
      <c r="O867" s="208"/>
      <c r="P867" s="208"/>
      <c r="Q867" s="208"/>
      <c r="R867" s="208"/>
      <c r="S867" s="208"/>
      <c r="T867" s="208"/>
      <c r="U867" s="208"/>
      <c r="V867" s="208"/>
      <c r="W867" s="208"/>
      <c r="X867" s="208"/>
      <c r="Y867" s="208"/>
      <c r="Z867" s="208"/>
      <c r="AA867" s="208"/>
      <c r="AB867" s="208"/>
      <c r="AC867" s="208"/>
      <c r="AD867" s="208"/>
      <c r="AE867" s="208"/>
      <c r="AF867" s="208"/>
      <c r="AG867" s="208"/>
      <c r="AH867" s="208"/>
      <c r="AI867" s="208"/>
      <c r="AJ867" s="208"/>
      <c r="AK867" s="208"/>
      <c r="AL867" s="208"/>
      <c r="AM867" s="208"/>
      <c r="AN867" s="208"/>
      <c r="AO867" s="208"/>
      <c r="AP867" s="208"/>
      <c r="AQ867" s="208"/>
      <c r="AR867" s="208"/>
      <c r="AS867" s="208"/>
      <c r="AT867" s="208"/>
      <c r="AU867" s="208"/>
      <c r="AV867" s="208"/>
      <c r="AW867" s="208"/>
      <c r="AX867" s="208"/>
      <c r="AY867" s="208"/>
      <c r="AZ867" s="208"/>
      <c r="BA867" s="208"/>
    </row>
    <row r="868" ht="15.75" hidden="1" customHeight="1">
      <c r="A868" s="208"/>
      <c r="B868" s="208"/>
      <c r="C868" s="208"/>
      <c r="D868" s="208"/>
      <c r="E868" s="208"/>
      <c r="F868" s="208"/>
      <c r="G868" s="208"/>
      <c r="H868" s="208"/>
      <c r="I868" s="208"/>
      <c r="J868" s="208"/>
      <c r="K868" s="208"/>
      <c r="L868" s="208"/>
      <c r="M868" s="208"/>
      <c r="N868" s="208"/>
      <c r="O868" s="208"/>
      <c r="P868" s="208"/>
      <c r="Q868" s="208"/>
      <c r="R868" s="208"/>
      <c r="S868" s="208"/>
      <c r="T868" s="208"/>
      <c r="U868" s="208"/>
      <c r="V868" s="208"/>
      <c r="W868" s="208"/>
      <c r="X868" s="208"/>
      <c r="Y868" s="208"/>
      <c r="Z868" s="208"/>
      <c r="AA868" s="208"/>
      <c r="AB868" s="208"/>
      <c r="AC868" s="208"/>
      <c r="AD868" s="208"/>
      <c r="AE868" s="208"/>
      <c r="AF868" s="208"/>
      <c r="AG868" s="208"/>
      <c r="AH868" s="208"/>
      <c r="AI868" s="208"/>
      <c r="AJ868" s="208"/>
      <c r="AK868" s="208"/>
      <c r="AL868" s="208"/>
      <c r="AM868" s="208"/>
      <c r="AN868" s="208"/>
      <c r="AO868" s="208"/>
      <c r="AP868" s="208"/>
      <c r="AQ868" s="208"/>
      <c r="AR868" s="208"/>
      <c r="AS868" s="208"/>
      <c r="AT868" s="208"/>
      <c r="AU868" s="208"/>
      <c r="AV868" s="208"/>
      <c r="AW868" s="208"/>
      <c r="AX868" s="208"/>
      <c r="AY868" s="208"/>
      <c r="AZ868" s="208"/>
      <c r="BA868" s="208"/>
    </row>
    <row r="869" ht="15.75" hidden="1" customHeight="1">
      <c r="A869" s="208"/>
      <c r="B869" s="208"/>
      <c r="C869" s="208"/>
      <c r="D869" s="208"/>
      <c r="E869" s="208"/>
      <c r="F869" s="208"/>
      <c r="G869" s="208"/>
      <c r="H869" s="208"/>
      <c r="I869" s="208"/>
      <c r="J869" s="208"/>
      <c r="K869" s="208"/>
      <c r="L869" s="208"/>
      <c r="M869" s="208"/>
      <c r="N869" s="208"/>
      <c r="O869" s="208"/>
      <c r="P869" s="208"/>
      <c r="Q869" s="208"/>
      <c r="R869" s="208"/>
      <c r="S869" s="208"/>
      <c r="T869" s="208"/>
      <c r="U869" s="208"/>
      <c r="V869" s="208"/>
      <c r="W869" s="208"/>
      <c r="X869" s="208"/>
      <c r="Y869" s="208"/>
      <c r="Z869" s="208"/>
      <c r="AA869" s="208"/>
      <c r="AB869" s="208"/>
      <c r="AC869" s="208"/>
      <c r="AD869" s="208"/>
      <c r="AE869" s="208"/>
      <c r="AF869" s="208"/>
      <c r="AG869" s="208"/>
      <c r="AH869" s="208"/>
      <c r="AI869" s="208"/>
      <c r="AJ869" s="208"/>
      <c r="AK869" s="208"/>
      <c r="AL869" s="208"/>
      <c r="AM869" s="208"/>
      <c r="AN869" s="208"/>
      <c r="AO869" s="208"/>
      <c r="AP869" s="208"/>
      <c r="AQ869" s="208"/>
      <c r="AR869" s="208"/>
      <c r="AS869" s="208"/>
      <c r="AT869" s="208"/>
      <c r="AU869" s="208"/>
      <c r="AV869" s="208"/>
      <c r="AW869" s="208"/>
      <c r="AX869" s="208"/>
      <c r="AY869" s="208"/>
      <c r="AZ869" s="208"/>
      <c r="BA869" s="208"/>
    </row>
    <row r="870" ht="15.75" hidden="1" customHeight="1">
      <c r="A870" s="208"/>
      <c r="B870" s="208"/>
      <c r="C870" s="208"/>
      <c r="D870" s="208"/>
      <c r="E870" s="208"/>
      <c r="F870" s="208"/>
      <c r="G870" s="208"/>
      <c r="H870" s="208"/>
      <c r="I870" s="208"/>
      <c r="J870" s="208"/>
      <c r="K870" s="208"/>
      <c r="L870" s="208"/>
      <c r="M870" s="208"/>
      <c r="N870" s="208"/>
      <c r="O870" s="208"/>
      <c r="P870" s="208"/>
      <c r="Q870" s="208"/>
      <c r="R870" s="208"/>
      <c r="S870" s="208"/>
      <c r="T870" s="208"/>
      <c r="U870" s="208"/>
      <c r="V870" s="208"/>
      <c r="W870" s="208"/>
      <c r="X870" s="208"/>
      <c r="Y870" s="208"/>
      <c r="Z870" s="208"/>
      <c r="AA870" s="208"/>
      <c r="AB870" s="208"/>
      <c r="AC870" s="208"/>
      <c r="AD870" s="208"/>
      <c r="AE870" s="208"/>
      <c r="AF870" s="208"/>
      <c r="AG870" s="208"/>
      <c r="AH870" s="208"/>
      <c r="AI870" s="208"/>
      <c r="AJ870" s="208"/>
      <c r="AK870" s="208"/>
      <c r="AL870" s="208"/>
      <c r="AM870" s="208"/>
      <c r="AN870" s="208"/>
      <c r="AO870" s="208"/>
      <c r="AP870" s="208"/>
      <c r="AQ870" s="208"/>
      <c r="AR870" s="208"/>
      <c r="AS870" s="208"/>
      <c r="AT870" s="208"/>
      <c r="AU870" s="208"/>
      <c r="AV870" s="208"/>
      <c r="AW870" s="208"/>
      <c r="AX870" s="208"/>
      <c r="AY870" s="208"/>
      <c r="AZ870" s="208"/>
      <c r="BA870" s="208"/>
    </row>
    <row r="871" ht="15.75" hidden="1" customHeight="1">
      <c r="A871" s="208"/>
      <c r="B871" s="208"/>
      <c r="C871" s="208"/>
      <c r="D871" s="208"/>
      <c r="E871" s="208"/>
      <c r="F871" s="208"/>
      <c r="G871" s="208"/>
      <c r="H871" s="208"/>
      <c r="I871" s="208"/>
      <c r="J871" s="208"/>
      <c r="K871" s="208"/>
      <c r="L871" s="208"/>
      <c r="M871" s="208"/>
      <c r="N871" s="208"/>
      <c r="O871" s="208"/>
      <c r="P871" s="208"/>
      <c r="Q871" s="208"/>
      <c r="R871" s="208"/>
      <c r="S871" s="208"/>
      <c r="T871" s="208"/>
      <c r="U871" s="208"/>
      <c r="V871" s="208"/>
      <c r="W871" s="208"/>
      <c r="X871" s="208"/>
      <c r="Y871" s="208"/>
      <c r="Z871" s="208"/>
      <c r="AA871" s="208"/>
      <c r="AB871" s="208"/>
      <c r="AC871" s="208"/>
      <c r="AD871" s="208"/>
      <c r="AE871" s="208"/>
      <c r="AF871" s="208"/>
      <c r="AG871" s="208"/>
      <c r="AH871" s="208"/>
      <c r="AI871" s="208"/>
      <c r="AJ871" s="208"/>
      <c r="AK871" s="208"/>
      <c r="AL871" s="208"/>
      <c r="AM871" s="208"/>
      <c r="AN871" s="208"/>
      <c r="AO871" s="208"/>
      <c r="AP871" s="208"/>
      <c r="AQ871" s="208"/>
      <c r="AR871" s="208"/>
      <c r="AS871" s="208"/>
      <c r="AT871" s="208"/>
      <c r="AU871" s="208"/>
      <c r="AV871" s="208"/>
      <c r="AW871" s="208"/>
      <c r="AX871" s="208"/>
      <c r="AY871" s="208"/>
      <c r="AZ871" s="208"/>
      <c r="BA871" s="208"/>
    </row>
    <row r="872" ht="15.75" hidden="1" customHeight="1">
      <c r="A872" s="208"/>
      <c r="B872" s="208"/>
      <c r="C872" s="208"/>
      <c r="D872" s="208"/>
      <c r="E872" s="208"/>
      <c r="F872" s="208"/>
      <c r="G872" s="208"/>
      <c r="H872" s="208"/>
      <c r="I872" s="208"/>
      <c r="J872" s="208"/>
      <c r="K872" s="208"/>
      <c r="L872" s="208"/>
      <c r="M872" s="208"/>
      <c r="N872" s="208"/>
      <c r="O872" s="208"/>
      <c r="P872" s="208"/>
      <c r="Q872" s="208"/>
      <c r="R872" s="208"/>
      <c r="S872" s="208"/>
      <c r="T872" s="208"/>
      <c r="U872" s="208"/>
      <c r="V872" s="208"/>
      <c r="W872" s="208"/>
      <c r="X872" s="208"/>
      <c r="Y872" s="208"/>
      <c r="Z872" s="208"/>
      <c r="AA872" s="208"/>
      <c r="AB872" s="208"/>
      <c r="AC872" s="208"/>
      <c r="AD872" s="208"/>
      <c r="AE872" s="208"/>
      <c r="AF872" s="208"/>
      <c r="AG872" s="208"/>
      <c r="AH872" s="208"/>
      <c r="AI872" s="208"/>
      <c r="AJ872" s="208"/>
      <c r="AK872" s="208"/>
      <c r="AL872" s="208"/>
      <c r="AM872" s="208"/>
      <c r="AN872" s="208"/>
      <c r="AO872" s="208"/>
      <c r="AP872" s="208"/>
      <c r="AQ872" s="208"/>
      <c r="AR872" s="208"/>
      <c r="AS872" s="208"/>
      <c r="AT872" s="208"/>
      <c r="AU872" s="208"/>
      <c r="AV872" s="208"/>
      <c r="AW872" s="208"/>
      <c r="AX872" s="208"/>
      <c r="AY872" s="208"/>
      <c r="AZ872" s="208"/>
      <c r="BA872" s="208"/>
    </row>
    <row r="873" ht="15.75" hidden="1" customHeight="1">
      <c r="A873" s="208"/>
      <c r="B873" s="208"/>
      <c r="C873" s="208"/>
      <c r="D873" s="208"/>
      <c r="E873" s="208"/>
      <c r="F873" s="208"/>
      <c r="G873" s="208"/>
      <c r="H873" s="208"/>
      <c r="I873" s="208"/>
      <c r="J873" s="208"/>
      <c r="K873" s="208"/>
      <c r="L873" s="208"/>
      <c r="M873" s="208"/>
      <c r="N873" s="208"/>
      <c r="O873" s="208"/>
      <c r="P873" s="208"/>
      <c r="Q873" s="208"/>
      <c r="R873" s="208"/>
      <c r="S873" s="208"/>
      <c r="T873" s="208"/>
      <c r="U873" s="208"/>
      <c r="V873" s="208"/>
      <c r="W873" s="208"/>
      <c r="X873" s="208"/>
      <c r="Y873" s="208"/>
      <c r="Z873" s="208"/>
      <c r="AA873" s="208"/>
      <c r="AB873" s="208"/>
      <c r="AC873" s="208"/>
      <c r="AD873" s="208"/>
      <c r="AE873" s="208"/>
      <c r="AF873" s="208"/>
      <c r="AG873" s="208"/>
      <c r="AH873" s="208"/>
      <c r="AI873" s="208"/>
      <c r="AJ873" s="208"/>
      <c r="AK873" s="208"/>
      <c r="AL873" s="208"/>
      <c r="AM873" s="208"/>
      <c r="AN873" s="208"/>
      <c r="AO873" s="208"/>
      <c r="AP873" s="208"/>
      <c r="AQ873" s="208"/>
      <c r="AR873" s="208"/>
      <c r="AS873" s="208"/>
      <c r="AT873" s="208"/>
      <c r="AU873" s="208"/>
      <c r="AV873" s="208"/>
      <c r="AW873" s="208"/>
      <c r="AX873" s="208"/>
      <c r="AY873" s="208"/>
      <c r="AZ873" s="208"/>
      <c r="BA873" s="208"/>
    </row>
    <row r="874" ht="15.75" hidden="1" customHeight="1">
      <c r="A874" s="208"/>
      <c r="B874" s="208"/>
      <c r="C874" s="208"/>
      <c r="D874" s="208"/>
      <c r="E874" s="208"/>
      <c r="F874" s="208"/>
      <c r="G874" s="208"/>
      <c r="H874" s="208"/>
      <c r="I874" s="208"/>
      <c r="J874" s="208"/>
      <c r="K874" s="208"/>
      <c r="L874" s="208"/>
      <c r="M874" s="208"/>
      <c r="N874" s="208"/>
      <c r="O874" s="208"/>
      <c r="P874" s="208"/>
      <c r="Q874" s="208"/>
      <c r="R874" s="208"/>
      <c r="S874" s="208"/>
      <c r="T874" s="208"/>
      <c r="U874" s="208"/>
      <c r="V874" s="208"/>
      <c r="W874" s="208"/>
      <c r="X874" s="208"/>
      <c r="Y874" s="208"/>
      <c r="Z874" s="208"/>
      <c r="AA874" s="208"/>
      <c r="AB874" s="208"/>
      <c r="AC874" s="208"/>
      <c r="AD874" s="208"/>
      <c r="AE874" s="208"/>
      <c r="AF874" s="208"/>
      <c r="AG874" s="208"/>
      <c r="AH874" s="208"/>
      <c r="AI874" s="208"/>
      <c r="AJ874" s="208"/>
      <c r="AK874" s="208"/>
      <c r="AL874" s="208"/>
      <c r="AM874" s="208"/>
      <c r="AN874" s="208"/>
      <c r="AO874" s="208"/>
      <c r="AP874" s="208"/>
      <c r="AQ874" s="208"/>
      <c r="AR874" s="208"/>
      <c r="AS874" s="208"/>
      <c r="AT874" s="208"/>
      <c r="AU874" s="208"/>
      <c r="AV874" s="208"/>
      <c r="AW874" s="208"/>
      <c r="AX874" s="208"/>
      <c r="AY874" s="208"/>
      <c r="AZ874" s="208"/>
      <c r="BA874" s="208"/>
    </row>
    <row r="875" ht="15.75" hidden="1" customHeight="1">
      <c r="A875" s="208"/>
      <c r="B875" s="208"/>
      <c r="C875" s="208"/>
      <c r="D875" s="208"/>
      <c r="E875" s="208"/>
      <c r="F875" s="208"/>
      <c r="G875" s="208"/>
      <c r="H875" s="208"/>
      <c r="I875" s="208"/>
      <c r="J875" s="208"/>
      <c r="K875" s="208"/>
      <c r="L875" s="208"/>
      <c r="M875" s="208"/>
      <c r="N875" s="208"/>
      <c r="O875" s="208"/>
      <c r="P875" s="208"/>
      <c r="Q875" s="208"/>
      <c r="R875" s="208"/>
      <c r="S875" s="208"/>
      <c r="T875" s="208"/>
      <c r="U875" s="208"/>
      <c r="V875" s="208"/>
      <c r="W875" s="208"/>
      <c r="X875" s="208"/>
      <c r="Y875" s="208"/>
      <c r="Z875" s="208"/>
      <c r="AA875" s="208"/>
      <c r="AB875" s="208"/>
      <c r="AC875" s="208"/>
      <c r="AD875" s="208"/>
      <c r="AE875" s="208"/>
      <c r="AF875" s="208"/>
      <c r="AG875" s="208"/>
      <c r="AH875" s="208"/>
      <c r="AI875" s="208"/>
      <c r="AJ875" s="208"/>
      <c r="AK875" s="208"/>
      <c r="AL875" s="208"/>
      <c r="AM875" s="208"/>
      <c r="AN875" s="208"/>
      <c r="AO875" s="208"/>
      <c r="AP875" s="208"/>
      <c r="AQ875" s="208"/>
      <c r="AR875" s="208"/>
      <c r="AS875" s="208"/>
      <c r="AT875" s="208"/>
      <c r="AU875" s="208"/>
      <c r="AV875" s="208"/>
      <c r="AW875" s="208"/>
      <c r="AX875" s="208"/>
      <c r="AY875" s="208"/>
      <c r="AZ875" s="208"/>
      <c r="BA875" s="208"/>
    </row>
    <row r="876" ht="15.75" hidden="1" customHeight="1">
      <c r="A876" s="208"/>
      <c r="B876" s="208"/>
      <c r="C876" s="208"/>
      <c r="D876" s="208"/>
      <c r="E876" s="208"/>
      <c r="F876" s="208"/>
      <c r="G876" s="208"/>
      <c r="H876" s="208"/>
      <c r="I876" s="208"/>
      <c r="J876" s="208"/>
      <c r="K876" s="208"/>
      <c r="L876" s="208"/>
      <c r="M876" s="208"/>
      <c r="N876" s="208"/>
      <c r="O876" s="208"/>
      <c r="P876" s="208"/>
      <c r="Q876" s="208"/>
      <c r="R876" s="208"/>
      <c r="S876" s="208"/>
      <c r="T876" s="208"/>
      <c r="U876" s="208"/>
      <c r="V876" s="208"/>
      <c r="W876" s="208"/>
      <c r="X876" s="208"/>
      <c r="Y876" s="208"/>
      <c r="Z876" s="208"/>
      <c r="AA876" s="208"/>
      <c r="AB876" s="208"/>
      <c r="AC876" s="208"/>
      <c r="AD876" s="208"/>
      <c r="AE876" s="208"/>
      <c r="AF876" s="208"/>
      <c r="AG876" s="208"/>
      <c r="AH876" s="208"/>
      <c r="AI876" s="208"/>
      <c r="AJ876" s="208"/>
      <c r="AK876" s="208"/>
      <c r="AL876" s="208"/>
      <c r="AM876" s="208"/>
      <c r="AN876" s="208"/>
      <c r="AO876" s="208"/>
      <c r="AP876" s="208"/>
      <c r="AQ876" s="208"/>
      <c r="AR876" s="208"/>
      <c r="AS876" s="208"/>
      <c r="AT876" s="208"/>
      <c r="AU876" s="208"/>
      <c r="AV876" s="208"/>
      <c r="AW876" s="208"/>
      <c r="AX876" s="208"/>
      <c r="AY876" s="208"/>
      <c r="AZ876" s="208"/>
      <c r="BA876" s="208"/>
    </row>
    <row r="877" ht="15.75" hidden="1" customHeight="1">
      <c r="A877" s="208"/>
      <c r="B877" s="208"/>
      <c r="C877" s="208"/>
      <c r="D877" s="208"/>
      <c r="E877" s="208"/>
      <c r="F877" s="208"/>
      <c r="G877" s="208"/>
      <c r="H877" s="208"/>
      <c r="I877" s="208"/>
      <c r="J877" s="208"/>
      <c r="K877" s="208"/>
      <c r="L877" s="208"/>
      <c r="M877" s="208"/>
      <c r="N877" s="208"/>
      <c r="O877" s="208"/>
      <c r="P877" s="208"/>
      <c r="Q877" s="208"/>
      <c r="R877" s="208"/>
      <c r="S877" s="208"/>
      <c r="T877" s="208"/>
      <c r="U877" s="208"/>
      <c r="V877" s="208"/>
      <c r="W877" s="208"/>
      <c r="X877" s="208"/>
      <c r="Y877" s="208"/>
      <c r="Z877" s="208"/>
      <c r="AA877" s="208"/>
      <c r="AB877" s="208"/>
      <c r="AC877" s="208"/>
      <c r="AD877" s="208"/>
      <c r="AE877" s="208"/>
      <c r="AF877" s="208"/>
      <c r="AG877" s="208"/>
      <c r="AH877" s="208"/>
      <c r="AI877" s="208"/>
      <c r="AJ877" s="208"/>
      <c r="AK877" s="208"/>
      <c r="AL877" s="208"/>
      <c r="AM877" s="208"/>
      <c r="AN877" s="208"/>
      <c r="AO877" s="208"/>
      <c r="AP877" s="208"/>
      <c r="AQ877" s="208"/>
      <c r="AR877" s="208"/>
      <c r="AS877" s="208"/>
      <c r="AT877" s="208"/>
      <c r="AU877" s="208"/>
      <c r="AV877" s="208"/>
      <c r="AW877" s="208"/>
      <c r="AX877" s="208"/>
      <c r="AY877" s="208"/>
      <c r="AZ877" s="208"/>
      <c r="BA877" s="208"/>
    </row>
    <row r="878" ht="15.75" hidden="1" customHeight="1">
      <c r="A878" s="208"/>
      <c r="B878" s="208"/>
      <c r="C878" s="208"/>
      <c r="D878" s="208"/>
      <c r="E878" s="208"/>
      <c r="F878" s="208"/>
      <c r="G878" s="208"/>
      <c r="H878" s="208"/>
      <c r="I878" s="208"/>
      <c r="J878" s="208"/>
      <c r="K878" s="208"/>
      <c r="L878" s="208"/>
      <c r="M878" s="208"/>
      <c r="N878" s="208"/>
      <c r="O878" s="208"/>
      <c r="P878" s="208"/>
      <c r="Q878" s="208"/>
      <c r="R878" s="208"/>
      <c r="S878" s="208"/>
      <c r="T878" s="208"/>
      <c r="U878" s="208"/>
      <c r="V878" s="208"/>
      <c r="W878" s="208"/>
      <c r="X878" s="208"/>
      <c r="Y878" s="208"/>
      <c r="Z878" s="208"/>
      <c r="AA878" s="208"/>
      <c r="AB878" s="208"/>
      <c r="AC878" s="208"/>
      <c r="AD878" s="208"/>
      <c r="AE878" s="208"/>
      <c r="AF878" s="208"/>
      <c r="AG878" s="208"/>
      <c r="AH878" s="208"/>
      <c r="AI878" s="208"/>
      <c r="AJ878" s="208"/>
      <c r="AK878" s="208"/>
      <c r="AL878" s="208"/>
      <c r="AM878" s="208"/>
      <c r="AN878" s="208"/>
      <c r="AO878" s="208"/>
      <c r="AP878" s="208"/>
      <c r="AQ878" s="208"/>
      <c r="AR878" s="208"/>
      <c r="AS878" s="208"/>
      <c r="AT878" s="208"/>
      <c r="AU878" s="208"/>
      <c r="AV878" s="208"/>
      <c r="AW878" s="208"/>
      <c r="AX878" s="208"/>
      <c r="AY878" s="208"/>
      <c r="AZ878" s="208"/>
      <c r="BA878" s="208"/>
    </row>
    <row r="879" ht="15.75" hidden="1" customHeight="1">
      <c r="A879" s="208"/>
      <c r="B879" s="208"/>
      <c r="C879" s="208"/>
      <c r="D879" s="208"/>
      <c r="E879" s="208"/>
      <c r="F879" s="208"/>
      <c r="G879" s="208"/>
      <c r="H879" s="208"/>
      <c r="I879" s="208"/>
      <c r="J879" s="208"/>
      <c r="K879" s="208"/>
      <c r="L879" s="208"/>
      <c r="M879" s="208"/>
      <c r="N879" s="208"/>
      <c r="O879" s="208"/>
      <c r="P879" s="208"/>
      <c r="Q879" s="208"/>
      <c r="R879" s="208"/>
      <c r="S879" s="208"/>
      <c r="T879" s="208"/>
      <c r="U879" s="208"/>
      <c r="V879" s="208"/>
      <c r="W879" s="208"/>
      <c r="X879" s="208"/>
      <c r="Y879" s="208"/>
      <c r="Z879" s="208"/>
      <c r="AA879" s="208"/>
      <c r="AB879" s="208"/>
      <c r="AC879" s="208"/>
      <c r="AD879" s="208"/>
      <c r="AE879" s="208"/>
      <c r="AF879" s="208"/>
      <c r="AG879" s="208"/>
      <c r="AH879" s="208"/>
      <c r="AI879" s="208"/>
      <c r="AJ879" s="208"/>
      <c r="AK879" s="208"/>
      <c r="AL879" s="208"/>
      <c r="AM879" s="208"/>
      <c r="AN879" s="208"/>
      <c r="AO879" s="208"/>
      <c r="AP879" s="208"/>
      <c r="AQ879" s="208"/>
      <c r="AR879" s="208"/>
      <c r="AS879" s="208"/>
      <c r="AT879" s="208"/>
      <c r="AU879" s="208"/>
      <c r="AV879" s="208"/>
      <c r="AW879" s="208"/>
      <c r="AX879" s="208"/>
      <c r="AY879" s="208"/>
      <c r="AZ879" s="208"/>
      <c r="BA879" s="208"/>
    </row>
    <row r="880" ht="15.75" hidden="1" customHeight="1">
      <c r="A880" s="208"/>
      <c r="B880" s="208"/>
      <c r="C880" s="208"/>
      <c r="D880" s="208"/>
      <c r="E880" s="208"/>
      <c r="F880" s="208"/>
      <c r="G880" s="208"/>
      <c r="H880" s="208"/>
      <c r="I880" s="208"/>
      <c r="J880" s="208"/>
      <c r="K880" s="208"/>
      <c r="L880" s="208"/>
      <c r="M880" s="208"/>
      <c r="N880" s="208"/>
      <c r="O880" s="208"/>
      <c r="P880" s="208"/>
      <c r="Q880" s="208"/>
      <c r="R880" s="208"/>
      <c r="S880" s="208"/>
      <c r="T880" s="208"/>
      <c r="U880" s="208"/>
      <c r="V880" s="208"/>
      <c r="W880" s="208"/>
      <c r="X880" s="208"/>
      <c r="Y880" s="208"/>
      <c r="Z880" s="208"/>
      <c r="AA880" s="208"/>
      <c r="AB880" s="208"/>
      <c r="AC880" s="208"/>
      <c r="AD880" s="208"/>
      <c r="AE880" s="208"/>
      <c r="AF880" s="208"/>
      <c r="AG880" s="208"/>
      <c r="AH880" s="208"/>
      <c r="AI880" s="208"/>
      <c r="AJ880" s="208"/>
      <c r="AK880" s="208"/>
      <c r="AL880" s="208"/>
      <c r="AM880" s="208"/>
      <c r="AN880" s="208"/>
      <c r="AO880" s="208"/>
      <c r="AP880" s="208"/>
      <c r="AQ880" s="208"/>
      <c r="AR880" s="208"/>
      <c r="AS880" s="208"/>
      <c r="AT880" s="208"/>
      <c r="AU880" s="208"/>
      <c r="AV880" s="208"/>
      <c r="AW880" s="208"/>
      <c r="AX880" s="208"/>
      <c r="AY880" s="208"/>
      <c r="AZ880" s="208"/>
      <c r="BA880" s="208"/>
    </row>
    <row r="881" ht="15.75" hidden="1" customHeight="1">
      <c r="A881" s="208"/>
      <c r="B881" s="208"/>
      <c r="C881" s="208"/>
      <c r="D881" s="208"/>
      <c r="E881" s="208"/>
      <c r="F881" s="208"/>
      <c r="G881" s="208"/>
      <c r="H881" s="208"/>
      <c r="I881" s="208"/>
      <c r="J881" s="208"/>
      <c r="K881" s="208"/>
      <c r="L881" s="208"/>
      <c r="M881" s="208"/>
      <c r="N881" s="208"/>
      <c r="O881" s="208"/>
      <c r="P881" s="208"/>
      <c r="Q881" s="208"/>
      <c r="R881" s="208"/>
      <c r="S881" s="208"/>
      <c r="T881" s="208"/>
      <c r="U881" s="208"/>
      <c r="V881" s="208"/>
      <c r="W881" s="208"/>
      <c r="X881" s="208"/>
      <c r="Y881" s="208"/>
      <c r="Z881" s="208"/>
      <c r="AA881" s="208"/>
      <c r="AB881" s="208"/>
      <c r="AC881" s="208"/>
      <c r="AD881" s="208"/>
      <c r="AE881" s="208"/>
      <c r="AF881" s="208"/>
      <c r="AG881" s="208"/>
      <c r="AH881" s="208"/>
      <c r="AI881" s="208"/>
      <c r="AJ881" s="208"/>
      <c r="AK881" s="208"/>
      <c r="AL881" s="208"/>
      <c r="AM881" s="208"/>
      <c r="AN881" s="208"/>
      <c r="AO881" s="208"/>
      <c r="AP881" s="208"/>
      <c r="AQ881" s="208"/>
      <c r="AR881" s="208"/>
      <c r="AS881" s="208"/>
      <c r="AT881" s="208"/>
      <c r="AU881" s="208"/>
      <c r="AV881" s="208"/>
      <c r="AW881" s="208"/>
      <c r="AX881" s="208"/>
      <c r="AY881" s="208"/>
      <c r="AZ881" s="208"/>
      <c r="BA881" s="208"/>
    </row>
    <row r="882" ht="15.75" hidden="1" customHeight="1">
      <c r="A882" s="208"/>
      <c r="B882" s="208"/>
      <c r="C882" s="208"/>
      <c r="D882" s="208"/>
      <c r="E882" s="208"/>
      <c r="F882" s="208"/>
      <c r="G882" s="208"/>
      <c r="H882" s="208"/>
      <c r="I882" s="208"/>
      <c r="J882" s="208"/>
      <c r="K882" s="208"/>
      <c r="L882" s="208"/>
      <c r="M882" s="208"/>
      <c r="N882" s="208"/>
      <c r="O882" s="208"/>
      <c r="P882" s="208"/>
      <c r="Q882" s="208"/>
      <c r="R882" s="208"/>
      <c r="S882" s="208"/>
      <c r="T882" s="208"/>
      <c r="U882" s="208"/>
      <c r="V882" s="208"/>
      <c r="W882" s="208"/>
      <c r="X882" s="208"/>
      <c r="Y882" s="208"/>
      <c r="Z882" s="208"/>
      <c r="AA882" s="208"/>
      <c r="AB882" s="208"/>
      <c r="AC882" s="208"/>
      <c r="AD882" s="208"/>
      <c r="AE882" s="208"/>
      <c r="AF882" s="208"/>
      <c r="AG882" s="208"/>
      <c r="AH882" s="208"/>
      <c r="AI882" s="208"/>
      <c r="AJ882" s="208"/>
      <c r="AK882" s="208"/>
      <c r="AL882" s="208"/>
      <c r="AM882" s="208"/>
      <c r="AN882" s="208"/>
      <c r="AO882" s="208"/>
      <c r="AP882" s="208"/>
      <c r="AQ882" s="208"/>
      <c r="AR882" s="208"/>
      <c r="AS882" s="208"/>
      <c r="AT882" s="208"/>
      <c r="AU882" s="208"/>
      <c r="AV882" s="208"/>
      <c r="AW882" s="208"/>
      <c r="AX882" s="208"/>
      <c r="AY882" s="208"/>
      <c r="AZ882" s="208"/>
      <c r="BA882" s="208"/>
    </row>
    <row r="883" ht="15.75" hidden="1" customHeight="1">
      <c r="A883" s="208"/>
      <c r="B883" s="208"/>
      <c r="C883" s="208"/>
      <c r="D883" s="208"/>
      <c r="E883" s="208"/>
      <c r="F883" s="208"/>
      <c r="G883" s="208"/>
      <c r="H883" s="208"/>
      <c r="I883" s="208"/>
      <c r="J883" s="208"/>
      <c r="K883" s="208"/>
      <c r="L883" s="208"/>
      <c r="M883" s="208"/>
      <c r="N883" s="208"/>
      <c r="O883" s="208"/>
      <c r="P883" s="208"/>
      <c r="Q883" s="208"/>
      <c r="R883" s="208"/>
      <c r="S883" s="208"/>
      <c r="T883" s="208"/>
      <c r="U883" s="208"/>
      <c r="V883" s="208"/>
      <c r="W883" s="208"/>
      <c r="X883" s="208"/>
      <c r="Y883" s="208"/>
      <c r="Z883" s="208"/>
      <c r="AA883" s="208"/>
      <c r="AB883" s="208"/>
      <c r="AC883" s="208"/>
      <c r="AD883" s="208"/>
      <c r="AE883" s="208"/>
      <c r="AF883" s="208"/>
      <c r="AG883" s="208"/>
      <c r="AH883" s="208"/>
      <c r="AI883" s="208"/>
      <c r="AJ883" s="208"/>
      <c r="AK883" s="208"/>
      <c r="AL883" s="208"/>
      <c r="AM883" s="208"/>
      <c r="AN883" s="208"/>
      <c r="AO883" s="208"/>
      <c r="AP883" s="208"/>
      <c r="AQ883" s="208"/>
      <c r="AR883" s="208"/>
      <c r="AS883" s="208"/>
      <c r="AT883" s="208"/>
      <c r="AU883" s="208"/>
      <c r="AV883" s="208"/>
      <c r="AW883" s="208"/>
      <c r="AX883" s="208"/>
      <c r="AY883" s="208"/>
      <c r="AZ883" s="208"/>
      <c r="BA883" s="208"/>
    </row>
    <row r="884" ht="15.75" hidden="1" customHeight="1">
      <c r="A884" s="208"/>
      <c r="B884" s="208"/>
      <c r="C884" s="208"/>
      <c r="D884" s="208"/>
      <c r="E884" s="208"/>
      <c r="F884" s="208"/>
      <c r="G884" s="208"/>
      <c r="H884" s="208"/>
      <c r="I884" s="208"/>
      <c r="J884" s="208"/>
      <c r="K884" s="208"/>
      <c r="L884" s="208"/>
      <c r="M884" s="208"/>
      <c r="N884" s="208"/>
      <c r="O884" s="208"/>
      <c r="P884" s="208"/>
      <c r="Q884" s="208"/>
      <c r="R884" s="208"/>
      <c r="S884" s="208"/>
      <c r="T884" s="208"/>
      <c r="U884" s="208"/>
      <c r="V884" s="208"/>
      <c r="W884" s="208"/>
      <c r="X884" s="208"/>
      <c r="Y884" s="208"/>
      <c r="Z884" s="208"/>
      <c r="AA884" s="208"/>
      <c r="AB884" s="208"/>
      <c r="AC884" s="208"/>
      <c r="AD884" s="208"/>
      <c r="AE884" s="208"/>
      <c r="AF884" s="208"/>
      <c r="AG884" s="208"/>
      <c r="AH884" s="208"/>
      <c r="AI884" s="208"/>
      <c r="AJ884" s="208"/>
      <c r="AK884" s="208"/>
      <c r="AL884" s="208"/>
      <c r="AM884" s="208"/>
      <c r="AN884" s="208"/>
      <c r="AO884" s="208"/>
      <c r="AP884" s="208"/>
      <c r="AQ884" s="208"/>
      <c r="AR884" s="208"/>
      <c r="AS884" s="208"/>
      <c r="AT884" s="208"/>
      <c r="AU884" s="208"/>
      <c r="AV884" s="208"/>
      <c r="AW884" s="208"/>
      <c r="AX884" s="208"/>
      <c r="AY884" s="208"/>
      <c r="AZ884" s="208"/>
      <c r="BA884" s="208"/>
    </row>
    <row r="885" ht="15.75" hidden="1" customHeight="1">
      <c r="A885" s="208"/>
      <c r="B885" s="208"/>
      <c r="C885" s="208"/>
      <c r="D885" s="208"/>
      <c r="E885" s="208"/>
      <c r="F885" s="208"/>
      <c r="G885" s="208"/>
      <c r="H885" s="208"/>
      <c r="I885" s="208"/>
      <c r="J885" s="208"/>
      <c r="K885" s="208"/>
      <c r="L885" s="208"/>
      <c r="M885" s="208"/>
      <c r="N885" s="208"/>
      <c r="O885" s="208"/>
      <c r="P885" s="208"/>
      <c r="Q885" s="208"/>
      <c r="R885" s="208"/>
      <c r="S885" s="208"/>
      <c r="T885" s="208"/>
      <c r="U885" s="208"/>
      <c r="V885" s="208"/>
      <c r="W885" s="208"/>
      <c r="X885" s="208"/>
      <c r="Y885" s="208"/>
      <c r="Z885" s="208"/>
      <c r="AA885" s="208"/>
      <c r="AB885" s="208"/>
      <c r="AC885" s="208"/>
      <c r="AD885" s="208"/>
      <c r="AE885" s="208"/>
      <c r="AF885" s="208"/>
      <c r="AG885" s="208"/>
      <c r="AH885" s="208"/>
      <c r="AI885" s="208"/>
      <c r="AJ885" s="208"/>
      <c r="AK885" s="208"/>
      <c r="AL885" s="208"/>
      <c r="AM885" s="208"/>
      <c r="AN885" s="208"/>
      <c r="AO885" s="208"/>
      <c r="AP885" s="208"/>
      <c r="AQ885" s="208"/>
      <c r="AR885" s="208"/>
      <c r="AS885" s="208"/>
      <c r="AT885" s="208"/>
      <c r="AU885" s="208"/>
      <c r="AV885" s="208"/>
      <c r="AW885" s="208"/>
      <c r="AX885" s="208"/>
      <c r="AY885" s="208"/>
      <c r="AZ885" s="208"/>
      <c r="BA885" s="208"/>
    </row>
    <row r="886" ht="15.75" hidden="1" customHeight="1">
      <c r="A886" s="208"/>
      <c r="B886" s="208"/>
      <c r="C886" s="208"/>
      <c r="D886" s="208"/>
      <c r="E886" s="208"/>
      <c r="F886" s="208"/>
      <c r="G886" s="208"/>
      <c r="H886" s="208"/>
      <c r="I886" s="208"/>
      <c r="J886" s="208"/>
      <c r="K886" s="208"/>
      <c r="L886" s="208"/>
      <c r="M886" s="208"/>
      <c r="N886" s="208"/>
      <c r="O886" s="208"/>
      <c r="P886" s="208"/>
      <c r="Q886" s="208"/>
      <c r="R886" s="208"/>
      <c r="S886" s="208"/>
      <c r="T886" s="208"/>
      <c r="U886" s="208"/>
      <c r="V886" s="208"/>
      <c r="W886" s="208"/>
      <c r="X886" s="208"/>
      <c r="Y886" s="208"/>
      <c r="Z886" s="208"/>
      <c r="AA886" s="208"/>
      <c r="AB886" s="208"/>
      <c r="AC886" s="208"/>
      <c r="AD886" s="208"/>
      <c r="AE886" s="208"/>
      <c r="AF886" s="208"/>
      <c r="AG886" s="208"/>
      <c r="AH886" s="208"/>
      <c r="AI886" s="208"/>
      <c r="AJ886" s="208"/>
      <c r="AK886" s="208"/>
      <c r="AL886" s="208"/>
      <c r="AM886" s="208"/>
      <c r="AN886" s="208"/>
      <c r="AO886" s="208"/>
      <c r="AP886" s="208"/>
      <c r="AQ886" s="208"/>
      <c r="AR886" s="208"/>
      <c r="AS886" s="208"/>
      <c r="AT886" s="208"/>
      <c r="AU886" s="208"/>
      <c r="AV886" s="208"/>
      <c r="AW886" s="208"/>
      <c r="AX886" s="208"/>
      <c r="AY886" s="208"/>
      <c r="AZ886" s="208"/>
      <c r="BA886" s="208"/>
    </row>
    <row r="887" ht="15.75" hidden="1" customHeight="1">
      <c r="A887" s="208"/>
      <c r="B887" s="208"/>
      <c r="C887" s="208"/>
      <c r="D887" s="208"/>
      <c r="E887" s="208"/>
      <c r="F887" s="208"/>
      <c r="G887" s="208"/>
      <c r="H887" s="208"/>
      <c r="I887" s="208"/>
      <c r="J887" s="208"/>
      <c r="K887" s="208"/>
      <c r="L887" s="208"/>
      <c r="M887" s="208"/>
      <c r="N887" s="208"/>
      <c r="O887" s="208"/>
      <c r="P887" s="208"/>
      <c r="Q887" s="208"/>
      <c r="R887" s="208"/>
      <c r="S887" s="208"/>
      <c r="T887" s="208"/>
      <c r="U887" s="208"/>
      <c r="V887" s="208"/>
      <c r="W887" s="208"/>
      <c r="X887" s="208"/>
      <c r="Y887" s="208"/>
      <c r="Z887" s="208"/>
      <c r="AA887" s="208"/>
      <c r="AB887" s="208"/>
      <c r="AC887" s="208"/>
      <c r="AD887" s="208"/>
      <c r="AE887" s="208"/>
      <c r="AF887" s="208"/>
      <c r="AG887" s="208"/>
      <c r="AH887" s="208"/>
      <c r="AI887" s="208"/>
      <c r="AJ887" s="208"/>
      <c r="AK887" s="208"/>
      <c r="AL887" s="208"/>
      <c r="AM887" s="208"/>
      <c r="AN887" s="208"/>
      <c r="AO887" s="208"/>
      <c r="AP887" s="208"/>
      <c r="AQ887" s="208"/>
      <c r="AR887" s="208"/>
      <c r="AS887" s="208"/>
      <c r="AT887" s="208"/>
      <c r="AU887" s="208"/>
      <c r="AV887" s="208"/>
      <c r="AW887" s="208"/>
      <c r="AX887" s="208"/>
      <c r="AY887" s="208"/>
      <c r="AZ887" s="208"/>
      <c r="BA887" s="208"/>
    </row>
    <row r="888" ht="15.75" hidden="1" customHeight="1">
      <c r="A888" s="208"/>
      <c r="B888" s="208"/>
      <c r="C888" s="208"/>
      <c r="D888" s="208"/>
      <c r="E888" s="208"/>
      <c r="F888" s="208"/>
      <c r="G888" s="208"/>
      <c r="H888" s="208"/>
      <c r="I888" s="208"/>
      <c r="J888" s="208"/>
      <c r="K888" s="208"/>
      <c r="L888" s="208"/>
      <c r="M888" s="208"/>
      <c r="N888" s="208"/>
      <c r="O888" s="208"/>
      <c r="P888" s="208"/>
      <c r="Q888" s="208"/>
      <c r="R888" s="208"/>
      <c r="S888" s="208"/>
      <c r="T888" s="208"/>
      <c r="U888" s="208"/>
      <c r="V888" s="208"/>
      <c r="W888" s="208"/>
      <c r="X888" s="208"/>
      <c r="Y888" s="208"/>
      <c r="Z888" s="208"/>
      <c r="AA888" s="208"/>
      <c r="AB888" s="208"/>
      <c r="AC888" s="208"/>
      <c r="AD888" s="208"/>
      <c r="AE888" s="208"/>
      <c r="AF888" s="208"/>
      <c r="AG888" s="208"/>
      <c r="AH888" s="208"/>
      <c r="AI888" s="208"/>
      <c r="AJ888" s="208"/>
      <c r="AK888" s="208"/>
      <c r="AL888" s="208"/>
      <c r="AM888" s="208"/>
      <c r="AN888" s="208"/>
      <c r="AO888" s="208"/>
      <c r="AP888" s="208"/>
      <c r="AQ888" s="208"/>
      <c r="AR888" s="208"/>
      <c r="AS888" s="208"/>
      <c r="AT888" s="208"/>
      <c r="AU888" s="208"/>
      <c r="AV888" s="208"/>
      <c r="AW888" s="208"/>
      <c r="AX888" s="208"/>
      <c r="AY888" s="208"/>
      <c r="AZ888" s="208"/>
      <c r="BA888" s="208"/>
    </row>
    <row r="889" ht="15.75" hidden="1" customHeight="1">
      <c r="A889" s="208"/>
      <c r="B889" s="208"/>
      <c r="C889" s="208"/>
      <c r="D889" s="208"/>
      <c r="E889" s="208"/>
      <c r="F889" s="208"/>
      <c r="G889" s="208"/>
      <c r="H889" s="208"/>
      <c r="I889" s="208"/>
      <c r="J889" s="208"/>
      <c r="K889" s="208"/>
      <c r="L889" s="208"/>
      <c r="M889" s="208"/>
      <c r="N889" s="208"/>
      <c r="O889" s="208"/>
      <c r="P889" s="208"/>
      <c r="Q889" s="208"/>
      <c r="R889" s="208"/>
      <c r="S889" s="208"/>
      <c r="T889" s="208"/>
      <c r="U889" s="208"/>
      <c r="V889" s="208"/>
      <c r="W889" s="208"/>
      <c r="X889" s="208"/>
      <c r="Y889" s="208"/>
      <c r="Z889" s="208"/>
      <c r="AA889" s="208"/>
      <c r="AB889" s="208"/>
      <c r="AC889" s="208"/>
      <c r="AD889" s="208"/>
      <c r="AE889" s="208"/>
      <c r="AF889" s="208"/>
      <c r="AG889" s="208"/>
      <c r="AH889" s="208"/>
      <c r="AI889" s="208"/>
      <c r="AJ889" s="208"/>
      <c r="AK889" s="208"/>
      <c r="AL889" s="208"/>
      <c r="AM889" s="208"/>
      <c r="AN889" s="208"/>
      <c r="AO889" s="208"/>
      <c r="AP889" s="208"/>
      <c r="AQ889" s="208"/>
      <c r="AR889" s="208"/>
      <c r="AS889" s="208"/>
      <c r="AT889" s="208"/>
      <c r="AU889" s="208"/>
      <c r="AV889" s="208"/>
      <c r="AW889" s="208"/>
      <c r="AX889" s="208"/>
      <c r="AY889" s="208"/>
      <c r="AZ889" s="208"/>
      <c r="BA889" s="208"/>
    </row>
    <row r="890" ht="15.75" hidden="1" customHeight="1">
      <c r="A890" s="208"/>
      <c r="B890" s="208"/>
      <c r="C890" s="208"/>
      <c r="D890" s="208"/>
      <c r="E890" s="208"/>
      <c r="F890" s="208"/>
      <c r="G890" s="208"/>
      <c r="H890" s="208"/>
      <c r="I890" s="208"/>
      <c r="J890" s="208"/>
      <c r="K890" s="208"/>
      <c r="L890" s="208"/>
      <c r="M890" s="208"/>
      <c r="N890" s="208"/>
      <c r="O890" s="208"/>
      <c r="P890" s="208"/>
      <c r="Q890" s="208"/>
      <c r="R890" s="208"/>
      <c r="S890" s="208"/>
      <c r="T890" s="208"/>
      <c r="U890" s="208"/>
      <c r="V890" s="208"/>
      <c r="W890" s="208"/>
      <c r="X890" s="208"/>
      <c r="Y890" s="208"/>
      <c r="Z890" s="208"/>
      <c r="AA890" s="208"/>
      <c r="AB890" s="208"/>
      <c r="AC890" s="208"/>
      <c r="AD890" s="208"/>
      <c r="AE890" s="208"/>
      <c r="AF890" s="208"/>
      <c r="AG890" s="208"/>
      <c r="AH890" s="208"/>
      <c r="AI890" s="208"/>
      <c r="AJ890" s="208"/>
      <c r="AK890" s="208"/>
      <c r="AL890" s="208"/>
      <c r="AM890" s="208"/>
      <c r="AN890" s="208"/>
      <c r="AO890" s="208"/>
      <c r="AP890" s="208"/>
      <c r="AQ890" s="208"/>
      <c r="AR890" s="208"/>
      <c r="AS890" s="208"/>
      <c r="AT890" s="208"/>
      <c r="AU890" s="208"/>
      <c r="AV890" s="208"/>
      <c r="AW890" s="208"/>
      <c r="AX890" s="208"/>
      <c r="AY890" s="208"/>
      <c r="AZ890" s="208"/>
      <c r="BA890" s="208"/>
    </row>
    <row r="891" ht="15.75" hidden="1" customHeight="1">
      <c r="A891" s="208"/>
      <c r="B891" s="208"/>
      <c r="C891" s="208"/>
      <c r="D891" s="208"/>
      <c r="E891" s="208"/>
      <c r="F891" s="208"/>
      <c r="G891" s="208"/>
      <c r="H891" s="208"/>
      <c r="I891" s="208"/>
      <c r="J891" s="208"/>
      <c r="K891" s="208"/>
      <c r="L891" s="208"/>
      <c r="M891" s="208"/>
      <c r="N891" s="208"/>
      <c r="O891" s="208"/>
      <c r="P891" s="208"/>
      <c r="Q891" s="208"/>
      <c r="R891" s="208"/>
      <c r="S891" s="208"/>
      <c r="T891" s="208"/>
      <c r="U891" s="208"/>
      <c r="V891" s="208"/>
      <c r="W891" s="208"/>
      <c r="X891" s="208"/>
      <c r="Y891" s="208"/>
      <c r="Z891" s="208"/>
      <c r="AA891" s="208"/>
      <c r="AB891" s="208"/>
      <c r="AC891" s="208"/>
      <c r="AD891" s="208"/>
      <c r="AE891" s="208"/>
      <c r="AF891" s="208"/>
      <c r="AG891" s="208"/>
      <c r="AH891" s="208"/>
      <c r="AI891" s="208"/>
      <c r="AJ891" s="208"/>
      <c r="AK891" s="208"/>
      <c r="AL891" s="208"/>
      <c r="AM891" s="208"/>
      <c r="AN891" s="208"/>
      <c r="AO891" s="208"/>
      <c r="AP891" s="208"/>
      <c r="AQ891" s="208"/>
      <c r="AR891" s="208"/>
      <c r="AS891" s="208"/>
      <c r="AT891" s="208"/>
      <c r="AU891" s="208"/>
      <c r="AV891" s="208"/>
      <c r="AW891" s="208"/>
      <c r="AX891" s="208"/>
      <c r="AY891" s="208"/>
      <c r="AZ891" s="208"/>
      <c r="BA891" s="208"/>
    </row>
    <row r="892" ht="15.75" hidden="1" customHeight="1">
      <c r="A892" s="208"/>
      <c r="B892" s="208"/>
      <c r="C892" s="208"/>
      <c r="D892" s="208"/>
      <c r="E892" s="208"/>
      <c r="F892" s="208"/>
      <c r="G892" s="208"/>
      <c r="H892" s="208"/>
      <c r="I892" s="208"/>
      <c r="J892" s="208"/>
      <c r="K892" s="208"/>
      <c r="L892" s="208"/>
      <c r="M892" s="208"/>
      <c r="N892" s="208"/>
      <c r="O892" s="208"/>
      <c r="P892" s="208"/>
      <c r="Q892" s="208"/>
      <c r="R892" s="208"/>
      <c r="S892" s="208"/>
      <c r="T892" s="208"/>
      <c r="U892" s="208"/>
      <c r="V892" s="208"/>
      <c r="W892" s="208"/>
      <c r="X892" s="208"/>
      <c r="Y892" s="208"/>
      <c r="Z892" s="208"/>
      <c r="AA892" s="208"/>
      <c r="AB892" s="208"/>
      <c r="AC892" s="208"/>
      <c r="AD892" s="208"/>
      <c r="AE892" s="208"/>
      <c r="AF892" s="208"/>
      <c r="AG892" s="208"/>
      <c r="AH892" s="208"/>
      <c r="AI892" s="208"/>
      <c r="AJ892" s="208"/>
      <c r="AK892" s="208"/>
      <c r="AL892" s="208"/>
      <c r="AM892" s="208"/>
      <c r="AN892" s="208"/>
      <c r="AO892" s="208"/>
      <c r="AP892" s="208"/>
      <c r="AQ892" s="208"/>
      <c r="AR892" s="208"/>
      <c r="AS892" s="208"/>
      <c r="AT892" s="208"/>
      <c r="AU892" s="208"/>
      <c r="AV892" s="208"/>
      <c r="AW892" s="208"/>
      <c r="AX892" s="208"/>
      <c r="AY892" s="208"/>
      <c r="AZ892" s="208"/>
      <c r="BA892" s="208"/>
    </row>
    <row r="893" ht="15.75" hidden="1" customHeight="1">
      <c r="A893" s="208"/>
      <c r="B893" s="208"/>
      <c r="C893" s="208"/>
      <c r="D893" s="208"/>
      <c r="E893" s="208"/>
      <c r="F893" s="208"/>
      <c r="G893" s="208"/>
      <c r="H893" s="208"/>
      <c r="I893" s="208"/>
      <c r="J893" s="208"/>
      <c r="K893" s="208"/>
      <c r="L893" s="208"/>
      <c r="M893" s="208"/>
      <c r="N893" s="208"/>
      <c r="O893" s="208"/>
      <c r="P893" s="208"/>
      <c r="Q893" s="208"/>
      <c r="R893" s="208"/>
      <c r="S893" s="208"/>
      <c r="T893" s="208"/>
      <c r="U893" s="208"/>
      <c r="V893" s="208"/>
      <c r="W893" s="208"/>
      <c r="X893" s="208"/>
      <c r="Y893" s="208"/>
      <c r="Z893" s="208"/>
      <c r="AA893" s="208"/>
      <c r="AB893" s="208"/>
      <c r="AC893" s="208"/>
      <c r="AD893" s="208"/>
      <c r="AE893" s="208"/>
      <c r="AF893" s="208"/>
      <c r="AG893" s="208"/>
      <c r="AH893" s="208"/>
      <c r="AI893" s="208"/>
      <c r="AJ893" s="208"/>
      <c r="AK893" s="208"/>
      <c r="AL893" s="208"/>
      <c r="AM893" s="208"/>
      <c r="AN893" s="208"/>
      <c r="AO893" s="208"/>
      <c r="AP893" s="208"/>
      <c r="AQ893" s="208"/>
      <c r="AR893" s="208"/>
      <c r="AS893" s="208"/>
      <c r="AT893" s="208"/>
      <c r="AU893" s="208"/>
      <c r="AV893" s="208"/>
      <c r="AW893" s="208"/>
      <c r="AX893" s="208"/>
      <c r="AY893" s="208"/>
      <c r="AZ893" s="208"/>
      <c r="BA893" s="208"/>
    </row>
    <row r="894" ht="15.75" hidden="1" customHeight="1">
      <c r="A894" s="208"/>
      <c r="B894" s="208"/>
      <c r="C894" s="208"/>
      <c r="D894" s="208"/>
      <c r="E894" s="208"/>
      <c r="F894" s="208"/>
      <c r="G894" s="208"/>
      <c r="H894" s="208"/>
      <c r="I894" s="208"/>
      <c r="J894" s="208"/>
      <c r="K894" s="208"/>
      <c r="L894" s="208"/>
      <c r="M894" s="208"/>
      <c r="N894" s="208"/>
      <c r="O894" s="208"/>
      <c r="P894" s="208"/>
      <c r="Q894" s="208"/>
      <c r="R894" s="208"/>
      <c r="S894" s="208"/>
      <c r="T894" s="208"/>
      <c r="U894" s="208"/>
      <c r="V894" s="208"/>
      <c r="W894" s="208"/>
      <c r="X894" s="208"/>
      <c r="Y894" s="208"/>
      <c r="Z894" s="208"/>
      <c r="AA894" s="208"/>
      <c r="AB894" s="208"/>
      <c r="AC894" s="208"/>
      <c r="AD894" s="208"/>
      <c r="AE894" s="208"/>
      <c r="AF894" s="208"/>
      <c r="AG894" s="208"/>
      <c r="AH894" s="208"/>
      <c r="AI894" s="208"/>
      <c r="AJ894" s="208"/>
      <c r="AK894" s="208"/>
      <c r="AL894" s="208"/>
      <c r="AM894" s="208"/>
      <c r="AN894" s="208"/>
      <c r="AO894" s="208"/>
      <c r="AP894" s="208"/>
      <c r="AQ894" s="208"/>
      <c r="AR894" s="208"/>
      <c r="AS894" s="208"/>
      <c r="AT894" s="208"/>
      <c r="AU894" s="208"/>
      <c r="AV894" s="208"/>
      <c r="AW894" s="208"/>
      <c r="AX894" s="208"/>
      <c r="AY894" s="208"/>
      <c r="AZ894" s="208"/>
      <c r="BA894" s="208"/>
    </row>
    <row r="895" ht="15.75" hidden="1" customHeight="1">
      <c r="A895" s="208"/>
      <c r="B895" s="208"/>
      <c r="C895" s="208"/>
      <c r="D895" s="208"/>
      <c r="E895" s="208"/>
      <c r="F895" s="208"/>
      <c r="G895" s="208"/>
      <c r="H895" s="208"/>
      <c r="I895" s="208"/>
      <c r="J895" s="208"/>
      <c r="K895" s="208"/>
      <c r="L895" s="208"/>
      <c r="M895" s="208"/>
      <c r="N895" s="208"/>
      <c r="O895" s="208"/>
      <c r="P895" s="208"/>
      <c r="Q895" s="208"/>
      <c r="R895" s="208"/>
      <c r="S895" s="208"/>
      <c r="T895" s="208"/>
      <c r="U895" s="208"/>
      <c r="V895" s="208"/>
      <c r="W895" s="208"/>
      <c r="X895" s="208"/>
      <c r="Y895" s="208"/>
      <c r="Z895" s="208"/>
      <c r="AA895" s="208"/>
      <c r="AB895" s="208"/>
      <c r="AC895" s="208"/>
      <c r="AD895" s="208"/>
      <c r="AE895" s="208"/>
      <c r="AF895" s="208"/>
      <c r="AG895" s="208"/>
      <c r="AH895" s="208"/>
      <c r="AI895" s="208"/>
      <c r="AJ895" s="208"/>
      <c r="AK895" s="208"/>
      <c r="AL895" s="208"/>
      <c r="AM895" s="208"/>
      <c r="AN895" s="208"/>
      <c r="AO895" s="208"/>
      <c r="AP895" s="208"/>
      <c r="AQ895" s="208"/>
      <c r="AR895" s="208"/>
      <c r="AS895" s="208"/>
      <c r="AT895" s="208"/>
      <c r="AU895" s="208"/>
      <c r="AV895" s="208"/>
      <c r="AW895" s="208"/>
      <c r="AX895" s="208"/>
      <c r="AY895" s="208"/>
      <c r="AZ895" s="208"/>
      <c r="BA895" s="208"/>
    </row>
    <row r="896" ht="15.75" hidden="1" customHeight="1">
      <c r="A896" s="208"/>
      <c r="B896" s="208"/>
      <c r="C896" s="208"/>
      <c r="D896" s="208"/>
      <c r="E896" s="208"/>
      <c r="F896" s="208"/>
      <c r="G896" s="208"/>
      <c r="H896" s="208"/>
      <c r="I896" s="208"/>
      <c r="J896" s="208"/>
      <c r="K896" s="208"/>
      <c r="L896" s="208"/>
      <c r="M896" s="208"/>
      <c r="N896" s="208"/>
      <c r="O896" s="208"/>
      <c r="P896" s="208"/>
      <c r="Q896" s="208"/>
      <c r="R896" s="208"/>
      <c r="S896" s="208"/>
      <c r="T896" s="208"/>
      <c r="U896" s="208"/>
      <c r="V896" s="208"/>
      <c r="W896" s="208"/>
      <c r="X896" s="208"/>
      <c r="Y896" s="208"/>
      <c r="Z896" s="208"/>
      <c r="AA896" s="208"/>
      <c r="AB896" s="208"/>
      <c r="AC896" s="208"/>
      <c r="AD896" s="208"/>
      <c r="AE896" s="208"/>
      <c r="AF896" s="208"/>
      <c r="AG896" s="208"/>
      <c r="AH896" s="208"/>
      <c r="AI896" s="208"/>
      <c r="AJ896" s="208"/>
      <c r="AK896" s="208"/>
      <c r="AL896" s="208"/>
      <c r="AM896" s="208"/>
      <c r="AN896" s="208"/>
      <c r="AO896" s="208"/>
      <c r="AP896" s="208"/>
      <c r="AQ896" s="208"/>
      <c r="AR896" s="208"/>
      <c r="AS896" s="208"/>
      <c r="AT896" s="208"/>
      <c r="AU896" s="208"/>
      <c r="AV896" s="208"/>
      <c r="AW896" s="208"/>
      <c r="AX896" s="208"/>
      <c r="AY896" s="208"/>
      <c r="AZ896" s="208"/>
      <c r="BA896" s="208"/>
    </row>
    <row r="897" ht="15.75" hidden="1" customHeight="1">
      <c r="A897" s="208"/>
      <c r="B897" s="208"/>
      <c r="C897" s="208"/>
      <c r="D897" s="208"/>
      <c r="E897" s="208"/>
      <c r="F897" s="208"/>
      <c r="G897" s="208"/>
      <c r="H897" s="208"/>
      <c r="I897" s="208"/>
      <c r="J897" s="208"/>
      <c r="K897" s="208"/>
      <c r="L897" s="208"/>
      <c r="M897" s="208"/>
      <c r="N897" s="208"/>
      <c r="O897" s="208"/>
      <c r="P897" s="208"/>
      <c r="Q897" s="208"/>
      <c r="R897" s="208"/>
      <c r="S897" s="208"/>
      <c r="T897" s="208"/>
      <c r="U897" s="208"/>
      <c r="V897" s="208"/>
      <c r="W897" s="208"/>
      <c r="X897" s="208"/>
      <c r="Y897" s="208"/>
      <c r="Z897" s="208"/>
      <c r="AA897" s="208"/>
      <c r="AB897" s="208"/>
      <c r="AC897" s="208"/>
      <c r="AD897" s="208"/>
      <c r="AE897" s="208"/>
      <c r="AF897" s="208"/>
      <c r="AG897" s="208"/>
      <c r="AH897" s="208"/>
      <c r="AI897" s="208"/>
      <c r="AJ897" s="208"/>
      <c r="AK897" s="208"/>
      <c r="AL897" s="208"/>
      <c r="AM897" s="208"/>
      <c r="AN897" s="208"/>
      <c r="AO897" s="208"/>
      <c r="AP897" s="208"/>
      <c r="AQ897" s="208"/>
      <c r="AR897" s="208"/>
      <c r="AS897" s="208"/>
      <c r="AT897" s="208"/>
      <c r="AU897" s="208"/>
      <c r="AV897" s="208"/>
      <c r="AW897" s="208"/>
      <c r="AX897" s="208"/>
      <c r="AY897" s="208"/>
      <c r="AZ897" s="208"/>
      <c r="BA897" s="208"/>
    </row>
    <row r="898" ht="15.75" hidden="1" customHeight="1">
      <c r="A898" s="208"/>
      <c r="B898" s="208"/>
      <c r="C898" s="208"/>
      <c r="D898" s="208"/>
      <c r="E898" s="208"/>
      <c r="F898" s="208"/>
      <c r="G898" s="208"/>
      <c r="H898" s="208"/>
      <c r="I898" s="208"/>
      <c r="J898" s="208"/>
      <c r="K898" s="208"/>
      <c r="L898" s="208"/>
      <c r="M898" s="208"/>
      <c r="N898" s="208"/>
      <c r="O898" s="208"/>
      <c r="P898" s="208"/>
      <c r="Q898" s="208"/>
      <c r="R898" s="208"/>
      <c r="S898" s="208"/>
      <c r="T898" s="208"/>
      <c r="U898" s="208"/>
      <c r="V898" s="208"/>
      <c r="W898" s="208"/>
      <c r="X898" s="208"/>
      <c r="Y898" s="208"/>
      <c r="Z898" s="208"/>
      <c r="AA898" s="208"/>
      <c r="AB898" s="208"/>
      <c r="AC898" s="208"/>
      <c r="AD898" s="208"/>
      <c r="AE898" s="208"/>
      <c r="AF898" s="208"/>
      <c r="AG898" s="208"/>
      <c r="AH898" s="208"/>
      <c r="AI898" s="208"/>
      <c r="AJ898" s="208"/>
      <c r="AK898" s="208"/>
      <c r="AL898" s="208"/>
      <c r="AM898" s="208"/>
      <c r="AN898" s="208"/>
      <c r="AO898" s="208"/>
      <c r="AP898" s="208"/>
      <c r="AQ898" s="208"/>
      <c r="AR898" s="208"/>
      <c r="AS898" s="208"/>
      <c r="AT898" s="208"/>
      <c r="AU898" s="208"/>
      <c r="AV898" s="208"/>
      <c r="AW898" s="208"/>
      <c r="AX898" s="208"/>
      <c r="AY898" s="208"/>
      <c r="AZ898" s="208"/>
      <c r="BA898" s="208"/>
    </row>
    <row r="899" ht="15.75" hidden="1" customHeight="1">
      <c r="A899" s="208"/>
      <c r="B899" s="208"/>
      <c r="C899" s="208"/>
      <c r="D899" s="208"/>
      <c r="E899" s="208"/>
      <c r="F899" s="208"/>
      <c r="G899" s="208"/>
      <c r="H899" s="208"/>
      <c r="I899" s="208"/>
      <c r="J899" s="208"/>
      <c r="K899" s="208"/>
      <c r="L899" s="208"/>
      <c r="M899" s="208"/>
      <c r="N899" s="208"/>
      <c r="O899" s="208"/>
      <c r="P899" s="208"/>
      <c r="Q899" s="208"/>
      <c r="R899" s="208"/>
      <c r="S899" s="208"/>
      <c r="T899" s="208"/>
      <c r="U899" s="208"/>
      <c r="V899" s="208"/>
      <c r="W899" s="208"/>
      <c r="X899" s="208"/>
      <c r="Y899" s="208"/>
      <c r="Z899" s="208"/>
      <c r="AA899" s="208"/>
      <c r="AB899" s="208"/>
      <c r="AC899" s="208"/>
      <c r="AD899" s="208"/>
      <c r="AE899" s="208"/>
      <c r="AF899" s="208"/>
      <c r="AG899" s="208"/>
      <c r="AH899" s="208"/>
      <c r="AI899" s="208"/>
      <c r="AJ899" s="208"/>
      <c r="AK899" s="208"/>
      <c r="AL899" s="208"/>
      <c r="AM899" s="208"/>
      <c r="AN899" s="208"/>
      <c r="AO899" s="208"/>
      <c r="AP899" s="208"/>
      <c r="AQ899" s="208"/>
      <c r="AR899" s="208"/>
      <c r="AS899" s="208"/>
      <c r="AT899" s="208"/>
      <c r="AU899" s="208"/>
      <c r="AV899" s="208"/>
      <c r="AW899" s="208"/>
      <c r="AX899" s="208"/>
      <c r="AY899" s="208"/>
      <c r="AZ899" s="208"/>
      <c r="BA899" s="208"/>
    </row>
    <row r="900" ht="15.75" hidden="1" customHeight="1">
      <c r="A900" s="208"/>
      <c r="B900" s="208"/>
      <c r="C900" s="208"/>
      <c r="D900" s="208"/>
      <c r="E900" s="208"/>
      <c r="F900" s="208"/>
      <c r="G900" s="208"/>
      <c r="H900" s="208"/>
      <c r="I900" s="208"/>
      <c r="J900" s="208"/>
      <c r="K900" s="208"/>
      <c r="L900" s="208"/>
      <c r="M900" s="208"/>
      <c r="N900" s="208"/>
      <c r="O900" s="208"/>
      <c r="P900" s="208"/>
      <c r="Q900" s="208"/>
      <c r="R900" s="208"/>
      <c r="S900" s="208"/>
      <c r="T900" s="208"/>
      <c r="U900" s="208"/>
      <c r="V900" s="208"/>
      <c r="W900" s="208"/>
      <c r="X900" s="208"/>
      <c r="Y900" s="208"/>
      <c r="Z900" s="208"/>
      <c r="AA900" s="208"/>
      <c r="AB900" s="208"/>
      <c r="AC900" s="208"/>
      <c r="AD900" s="208"/>
      <c r="AE900" s="208"/>
      <c r="AF900" s="208"/>
      <c r="AG900" s="208"/>
      <c r="AH900" s="208"/>
      <c r="AI900" s="208"/>
      <c r="AJ900" s="208"/>
      <c r="AK900" s="208"/>
      <c r="AL900" s="208"/>
      <c r="AM900" s="208"/>
      <c r="AN900" s="208"/>
      <c r="AO900" s="208"/>
      <c r="AP900" s="208"/>
      <c r="AQ900" s="208"/>
      <c r="AR900" s="208"/>
      <c r="AS900" s="208"/>
      <c r="AT900" s="208"/>
      <c r="AU900" s="208"/>
      <c r="AV900" s="208"/>
      <c r="AW900" s="208"/>
      <c r="AX900" s="208"/>
      <c r="AY900" s="208"/>
      <c r="AZ900" s="208"/>
      <c r="BA900" s="208"/>
    </row>
    <row r="901" ht="15.75" hidden="1" customHeight="1">
      <c r="A901" s="208"/>
      <c r="B901" s="208"/>
      <c r="C901" s="208"/>
      <c r="D901" s="208"/>
      <c r="E901" s="208"/>
      <c r="F901" s="208"/>
      <c r="G901" s="208"/>
      <c r="H901" s="208"/>
      <c r="I901" s="208"/>
      <c r="J901" s="208"/>
      <c r="K901" s="208"/>
      <c r="L901" s="208"/>
      <c r="M901" s="208"/>
      <c r="N901" s="208"/>
      <c r="O901" s="208"/>
      <c r="P901" s="208"/>
      <c r="Q901" s="208"/>
      <c r="R901" s="208"/>
      <c r="S901" s="208"/>
      <c r="T901" s="208"/>
      <c r="U901" s="208"/>
      <c r="V901" s="208"/>
      <c r="W901" s="208"/>
      <c r="X901" s="208"/>
      <c r="Y901" s="208"/>
      <c r="Z901" s="208"/>
      <c r="AA901" s="208"/>
      <c r="AB901" s="208"/>
      <c r="AC901" s="208"/>
      <c r="AD901" s="208"/>
      <c r="AE901" s="208"/>
      <c r="AF901" s="208"/>
      <c r="AG901" s="208"/>
      <c r="AH901" s="208"/>
      <c r="AI901" s="208"/>
      <c r="AJ901" s="208"/>
      <c r="AK901" s="208"/>
      <c r="AL901" s="208"/>
      <c r="AM901" s="208"/>
      <c r="AN901" s="208"/>
      <c r="AO901" s="208"/>
      <c r="AP901" s="208"/>
      <c r="AQ901" s="208"/>
      <c r="AR901" s="208"/>
      <c r="AS901" s="208"/>
      <c r="AT901" s="208"/>
      <c r="AU901" s="208"/>
      <c r="AV901" s="208"/>
      <c r="AW901" s="208"/>
      <c r="AX901" s="208"/>
      <c r="AY901" s="208"/>
      <c r="AZ901" s="208"/>
      <c r="BA901" s="208"/>
    </row>
    <row r="902" ht="15.75" hidden="1" customHeight="1">
      <c r="A902" s="208"/>
      <c r="B902" s="208"/>
      <c r="C902" s="208"/>
      <c r="D902" s="208"/>
      <c r="E902" s="208"/>
      <c r="F902" s="208"/>
      <c r="G902" s="208"/>
      <c r="H902" s="208"/>
      <c r="I902" s="208"/>
      <c r="J902" s="208"/>
      <c r="K902" s="208"/>
      <c r="L902" s="208"/>
      <c r="M902" s="208"/>
      <c r="N902" s="208"/>
      <c r="O902" s="208"/>
      <c r="P902" s="208"/>
      <c r="Q902" s="208"/>
      <c r="R902" s="208"/>
      <c r="S902" s="208"/>
      <c r="T902" s="208"/>
      <c r="U902" s="208"/>
      <c r="V902" s="208"/>
      <c r="W902" s="208"/>
      <c r="X902" s="208"/>
      <c r="Y902" s="208"/>
      <c r="Z902" s="208"/>
      <c r="AA902" s="208"/>
      <c r="AB902" s="208"/>
      <c r="AC902" s="208"/>
      <c r="AD902" s="208"/>
      <c r="AE902" s="208"/>
      <c r="AF902" s="208"/>
      <c r="AG902" s="208"/>
      <c r="AH902" s="208"/>
      <c r="AI902" s="208"/>
      <c r="AJ902" s="208"/>
      <c r="AK902" s="208"/>
      <c r="AL902" s="208"/>
      <c r="AM902" s="208"/>
      <c r="AN902" s="208"/>
      <c r="AO902" s="208"/>
      <c r="AP902" s="208"/>
      <c r="AQ902" s="208"/>
      <c r="AR902" s="208"/>
      <c r="AS902" s="208"/>
      <c r="AT902" s="208"/>
      <c r="AU902" s="208"/>
      <c r="AV902" s="208"/>
      <c r="AW902" s="208"/>
      <c r="AX902" s="208"/>
      <c r="AY902" s="208"/>
      <c r="AZ902" s="208"/>
      <c r="BA902" s="208"/>
    </row>
    <row r="903" ht="15.75" hidden="1" customHeight="1">
      <c r="A903" s="208"/>
      <c r="B903" s="208"/>
      <c r="C903" s="208"/>
      <c r="D903" s="208"/>
      <c r="E903" s="208"/>
      <c r="F903" s="208"/>
      <c r="G903" s="208"/>
      <c r="H903" s="208"/>
      <c r="I903" s="208"/>
      <c r="J903" s="208"/>
      <c r="K903" s="208"/>
      <c r="L903" s="208"/>
      <c r="M903" s="208"/>
      <c r="N903" s="208"/>
      <c r="O903" s="208"/>
      <c r="P903" s="208"/>
      <c r="Q903" s="208"/>
      <c r="R903" s="208"/>
      <c r="S903" s="208"/>
      <c r="T903" s="208"/>
      <c r="U903" s="208"/>
      <c r="V903" s="208"/>
      <c r="W903" s="208"/>
      <c r="X903" s="208"/>
      <c r="Y903" s="208"/>
      <c r="Z903" s="208"/>
      <c r="AA903" s="208"/>
      <c r="AB903" s="208"/>
      <c r="AC903" s="208"/>
      <c r="AD903" s="208"/>
      <c r="AE903" s="208"/>
      <c r="AF903" s="208"/>
      <c r="AG903" s="208"/>
      <c r="AH903" s="208"/>
      <c r="AI903" s="208"/>
      <c r="AJ903" s="208"/>
      <c r="AK903" s="208"/>
      <c r="AL903" s="208"/>
      <c r="AM903" s="208"/>
      <c r="AN903" s="208"/>
      <c r="AO903" s="208"/>
      <c r="AP903" s="208"/>
      <c r="AQ903" s="208"/>
      <c r="AR903" s="208"/>
      <c r="AS903" s="208"/>
      <c r="AT903" s="208"/>
      <c r="AU903" s="208"/>
      <c r="AV903" s="208"/>
      <c r="AW903" s="208"/>
      <c r="AX903" s="208"/>
      <c r="AY903" s="208"/>
      <c r="AZ903" s="208"/>
      <c r="BA903" s="208"/>
    </row>
    <row r="904" ht="15.75" hidden="1" customHeight="1">
      <c r="A904" s="208"/>
      <c r="B904" s="208"/>
      <c r="C904" s="208"/>
      <c r="D904" s="208"/>
      <c r="E904" s="208"/>
      <c r="F904" s="208"/>
      <c r="G904" s="208"/>
      <c r="H904" s="208"/>
      <c r="I904" s="208"/>
      <c r="J904" s="208"/>
      <c r="K904" s="208"/>
      <c r="L904" s="208"/>
      <c r="M904" s="208"/>
      <c r="N904" s="208"/>
      <c r="O904" s="208"/>
      <c r="P904" s="208"/>
      <c r="Q904" s="208"/>
      <c r="R904" s="208"/>
      <c r="S904" s="208"/>
      <c r="T904" s="208"/>
      <c r="U904" s="208"/>
      <c r="V904" s="208"/>
      <c r="W904" s="208"/>
      <c r="X904" s="208"/>
      <c r="Y904" s="208"/>
      <c r="Z904" s="208"/>
      <c r="AA904" s="208"/>
      <c r="AB904" s="208"/>
      <c r="AC904" s="208"/>
      <c r="AD904" s="208"/>
      <c r="AE904" s="208"/>
      <c r="AF904" s="208"/>
      <c r="AG904" s="208"/>
      <c r="AH904" s="208"/>
      <c r="AI904" s="208"/>
      <c r="AJ904" s="208"/>
      <c r="AK904" s="208"/>
      <c r="AL904" s="208"/>
      <c r="AM904" s="208"/>
      <c r="AN904" s="208"/>
      <c r="AO904" s="208"/>
      <c r="AP904" s="208"/>
      <c r="AQ904" s="208"/>
      <c r="AR904" s="208"/>
      <c r="AS904" s="208"/>
      <c r="AT904" s="208"/>
      <c r="AU904" s="208"/>
      <c r="AV904" s="208"/>
      <c r="AW904" s="208"/>
      <c r="AX904" s="208"/>
      <c r="AY904" s="208"/>
      <c r="AZ904" s="208"/>
      <c r="BA904" s="208"/>
    </row>
    <row r="905" ht="15.75" hidden="1" customHeight="1">
      <c r="A905" s="208"/>
      <c r="B905" s="208"/>
      <c r="C905" s="208"/>
      <c r="D905" s="208"/>
      <c r="E905" s="208"/>
      <c r="F905" s="208"/>
      <c r="G905" s="208"/>
      <c r="H905" s="208"/>
      <c r="I905" s="208"/>
      <c r="J905" s="208"/>
      <c r="K905" s="208"/>
      <c r="L905" s="208"/>
      <c r="M905" s="208"/>
      <c r="N905" s="208"/>
      <c r="O905" s="208"/>
      <c r="P905" s="208"/>
      <c r="Q905" s="208"/>
      <c r="R905" s="208"/>
      <c r="S905" s="208"/>
      <c r="T905" s="208"/>
      <c r="U905" s="208"/>
      <c r="V905" s="208"/>
      <c r="W905" s="208"/>
      <c r="X905" s="208"/>
      <c r="Y905" s="208"/>
      <c r="Z905" s="208"/>
      <c r="AA905" s="208"/>
      <c r="AB905" s="208"/>
      <c r="AC905" s="208"/>
      <c r="AD905" s="208"/>
      <c r="AE905" s="208"/>
      <c r="AF905" s="208"/>
      <c r="AG905" s="208"/>
      <c r="AH905" s="208"/>
      <c r="AI905" s="208"/>
      <c r="AJ905" s="208"/>
      <c r="AK905" s="208"/>
      <c r="AL905" s="208"/>
      <c r="AM905" s="208"/>
      <c r="AN905" s="208"/>
      <c r="AO905" s="208"/>
      <c r="AP905" s="208"/>
      <c r="AQ905" s="208"/>
      <c r="AR905" s="208"/>
      <c r="AS905" s="208"/>
      <c r="AT905" s="208"/>
      <c r="AU905" s="208"/>
      <c r="AV905" s="208"/>
      <c r="AW905" s="208"/>
      <c r="AX905" s="208"/>
      <c r="AY905" s="208"/>
      <c r="AZ905" s="208"/>
      <c r="BA905" s="208"/>
    </row>
    <row r="906" ht="15.75" hidden="1" customHeight="1">
      <c r="A906" s="208"/>
      <c r="B906" s="208"/>
      <c r="C906" s="208"/>
      <c r="D906" s="208"/>
      <c r="E906" s="208"/>
      <c r="F906" s="208"/>
      <c r="G906" s="208"/>
      <c r="H906" s="208"/>
      <c r="I906" s="208"/>
      <c r="J906" s="208"/>
      <c r="K906" s="208"/>
      <c r="L906" s="208"/>
      <c r="M906" s="208"/>
      <c r="N906" s="208"/>
      <c r="O906" s="208"/>
      <c r="P906" s="208"/>
      <c r="Q906" s="208"/>
      <c r="R906" s="208"/>
      <c r="S906" s="208"/>
      <c r="T906" s="208"/>
      <c r="U906" s="208"/>
      <c r="V906" s="208"/>
      <c r="W906" s="208"/>
      <c r="X906" s="208"/>
      <c r="Y906" s="208"/>
      <c r="Z906" s="208"/>
      <c r="AA906" s="208"/>
      <c r="AB906" s="208"/>
      <c r="AC906" s="208"/>
      <c r="AD906" s="208"/>
      <c r="AE906" s="208"/>
      <c r="AF906" s="208"/>
      <c r="AG906" s="208"/>
      <c r="AH906" s="208"/>
      <c r="AI906" s="208"/>
      <c r="AJ906" s="208"/>
      <c r="AK906" s="208"/>
      <c r="AL906" s="208"/>
      <c r="AM906" s="208"/>
      <c r="AN906" s="208"/>
      <c r="AO906" s="208"/>
      <c r="AP906" s="208"/>
      <c r="AQ906" s="208"/>
      <c r="AR906" s="208"/>
      <c r="AS906" s="208"/>
      <c r="AT906" s="208"/>
      <c r="AU906" s="208"/>
      <c r="AV906" s="208"/>
      <c r="AW906" s="208"/>
      <c r="AX906" s="208"/>
      <c r="AY906" s="208"/>
      <c r="AZ906" s="208"/>
      <c r="BA906" s="208"/>
    </row>
    <row r="907" ht="15.75" hidden="1" customHeight="1">
      <c r="A907" s="208"/>
      <c r="B907" s="208"/>
      <c r="C907" s="208"/>
      <c r="D907" s="208"/>
      <c r="E907" s="208"/>
      <c r="F907" s="208"/>
      <c r="G907" s="208"/>
      <c r="H907" s="208"/>
      <c r="I907" s="208"/>
      <c r="J907" s="208"/>
      <c r="K907" s="208"/>
      <c r="L907" s="208"/>
      <c r="M907" s="208"/>
      <c r="N907" s="208"/>
      <c r="O907" s="208"/>
      <c r="P907" s="208"/>
      <c r="Q907" s="208"/>
      <c r="R907" s="208"/>
      <c r="S907" s="208"/>
      <c r="T907" s="208"/>
      <c r="U907" s="208"/>
      <c r="V907" s="208"/>
      <c r="W907" s="208"/>
      <c r="X907" s="208"/>
      <c r="Y907" s="208"/>
      <c r="Z907" s="208"/>
      <c r="AA907" s="208"/>
      <c r="AB907" s="208"/>
      <c r="AC907" s="208"/>
      <c r="AD907" s="208"/>
      <c r="AE907" s="208"/>
      <c r="AF907" s="208"/>
      <c r="AG907" s="208"/>
      <c r="AH907" s="208"/>
      <c r="AI907" s="208"/>
      <c r="AJ907" s="208"/>
      <c r="AK907" s="208"/>
      <c r="AL907" s="208"/>
      <c r="AM907" s="208"/>
      <c r="AN907" s="208"/>
      <c r="AO907" s="208"/>
      <c r="AP907" s="208"/>
      <c r="AQ907" s="208"/>
      <c r="AR907" s="208"/>
      <c r="AS907" s="208"/>
      <c r="AT907" s="208"/>
      <c r="AU907" s="208"/>
      <c r="AV907" s="208"/>
      <c r="AW907" s="208"/>
      <c r="AX907" s="208"/>
      <c r="AY907" s="208"/>
      <c r="AZ907" s="208"/>
      <c r="BA907" s="208"/>
    </row>
    <row r="908" ht="15.75" hidden="1" customHeight="1">
      <c r="A908" s="208"/>
      <c r="B908" s="208"/>
      <c r="C908" s="208"/>
      <c r="D908" s="208"/>
      <c r="E908" s="208"/>
      <c r="F908" s="208"/>
      <c r="G908" s="208"/>
      <c r="H908" s="208"/>
      <c r="I908" s="208"/>
      <c r="J908" s="208"/>
      <c r="K908" s="208"/>
      <c r="L908" s="208"/>
      <c r="M908" s="208"/>
      <c r="N908" s="208"/>
      <c r="O908" s="208"/>
      <c r="P908" s="208"/>
      <c r="Q908" s="208"/>
      <c r="R908" s="208"/>
      <c r="S908" s="208"/>
      <c r="T908" s="208"/>
      <c r="U908" s="208"/>
      <c r="V908" s="208"/>
      <c r="W908" s="208"/>
      <c r="X908" s="208"/>
      <c r="Y908" s="208"/>
      <c r="Z908" s="208"/>
      <c r="AA908" s="208"/>
      <c r="AB908" s="208"/>
      <c r="AC908" s="208"/>
      <c r="AD908" s="208"/>
      <c r="AE908" s="208"/>
      <c r="AF908" s="208"/>
      <c r="AG908" s="208"/>
      <c r="AH908" s="208"/>
      <c r="AI908" s="208"/>
      <c r="AJ908" s="208"/>
      <c r="AK908" s="208"/>
      <c r="AL908" s="208"/>
      <c r="AM908" s="208"/>
      <c r="AN908" s="208"/>
      <c r="AO908" s="208"/>
      <c r="AP908" s="208"/>
      <c r="AQ908" s="208"/>
      <c r="AR908" s="208"/>
      <c r="AS908" s="208"/>
      <c r="AT908" s="208"/>
      <c r="AU908" s="208"/>
      <c r="AV908" s="208"/>
      <c r="AW908" s="208"/>
      <c r="AX908" s="208"/>
      <c r="AY908" s="208"/>
      <c r="AZ908" s="208"/>
      <c r="BA908" s="208"/>
    </row>
    <row r="909" ht="15.75" hidden="1" customHeight="1">
      <c r="A909" s="208"/>
      <c r="B909" s="208"/>
      <c r="C909" s="208"/>
      <c r="D909" s="208"/>
      <c r="E909" s="208"/>
      <c r="F909" s="208"/>
      <c r="G909" s="208"/>
      <c r="H909" s="208"/>
      <c r="I909" s="208"/>
      <c r="J909" s="208"/>
      <c r="K909" s="208"/>
      <c r="L909" s="208"/>
      <c r="M909" s="208"/>
      <c r="N909" s="208"/>
      <c r="O909" s="208"/>
      <c r="P909" s="208"/>
      <c r="Q909" s="208"/>
      <c r="R909" s="208"/>
      <c r="S909" s="208"/>
      <c r="T909" s="208"/>
      <c r="U909" s="208"/>
      <c r="V909" s="208"/>
      <c r="W909" s="208"/>
      <c r="X909" s="208"/>
      <c r="Y909" s="208"/>
      <c r="Z909" s="208"/>
      <c r="AA909" s="208"/>
      <c r="AB909" s="208"/>
      <c r="AC909" s="208"/>
      <c r="AD909" s="208"/>
      <c r="AE909" s="208"/>
      <c r="AF909" s="208"/>
      <c r="AG909" s="208"/>
      <c r="AH909" s="208"/>
      <c r="AI909" s="208"/>
      <c r="AJ909" s="208"/>
      <c r="AK909" s="208"/>
      <c r="AL909" s="208"/>
      <c r="AM909" s="208"/>
      <c r="AN909" s="208"/>
      <c r="AO909" s="208"/>
      <c r="AP909" s="208"/>
      <c r="AQ909" s="208"/>
      <c r="AR909" s="208"/>
      <c r="AS909" s="208"/>
      <c r="AT909" s="208"/>
      <c r="AU909" s="208"/>
      <c r="AV909" s="208"/>
      <c r="AW909" s="208"/>
      <c r="AX909" s="208"/>
      <c r="AY909" s="208"/>
      <c r="AZ909" s="208"/>
      <c r="BA909" s="208"/>
    </row>
    <row r="910" ht="15.75" hidden="1" customHeight="1">
      <c r="A910" s="208"/>
      <c r="B910" s="208"/>
      <c r="C910" s="208"/>
      <c r="D910" s="208"/>
      <c r="E910" s="208"/>
      <c r="F910" s="208"/>
      <c r="G910" s="208"/>
      <c r="H910" s="208"/>
      <c r="I910" s="208"/>
      <c r="J910" s="208"/>
      <c r="K910" s="208"/>
      <c r="L910" s="208"/>
      <c r="M910" s="208"/>
      <c r="N910" s="208"/>
      <c r="O910" s="208"/>
      <c r="P910" s="208"/>
      <c r="Q910" s="208"/>
      <c r="R910" s="208"/>
      <c r="S910" s="208"/>
      <c r="T910" s="208"/>
      <c r="U910" s="208"/>
      <c r="V910" s="208"/>
      <c r="W910" s="208"/>
      <c r="X910" s="208"/>
      <c r="Y910" s="208"/>
      <c r="Z910" s="208"/>
      <c r="AA910" s="208"/>
      <c r="AB910" s="208"/>
      <c r="AC910" s="208"/>
      <c r="AD910" s="208"/>
      <c r="AE910" s="208"/>
      <c r="AF910" s="208"/>
      <c r="AG910" s="208"/>
      <c r="AH910" s="208"/>
      <c r="AI910" s="208"/>
      <c r="AJ910" s="208"/>
      <c r="AK910" s="208"/>
      <c r="AL910" s="208"/>
      <c r="AM910" s="208"/>
      <c r="AN910" s="208"/>
      <c r="AO910" s="208"/>
      <c r="AP910" s="208"/>
      <c r="AQ910" s="208"/>
      <c r="AR910" s="208"/>
      <c r="AS910" s="208"/>
      <c r="AT910" s="208"/>
      <c r="AU910" s="208"/>
      <c r="AV910" s="208"/>
      <c r="AW910" s="208"/>
      <c r="AX910" s="208"/>
      <c r="AY910" s="208"/>
      <c r="AZ910" s="208"/>
      <c r="BA910" s="208"/>
    </row>
    <row r="911" ht="15.75" hidden="1" customHeight="1">
      <c r="A911" s="208"/>
      <c r="B911" s="208"/>
      <c r="C911" s="208"/>
      <c r="D911" s="208"/>
      <c r="E911" s="208"/>
      <c r="F911" s="208"/>
      <c r="G911" s="208"/>
      <c r="H911" s="208"/>
      <c r="I911" s="208"/>
      <c r="J911" s="208"/>
      <c r="K911" s="208"/>
      <c r="L911" s="208"/>
      <c r="M911" s="208"/>
      <c r="N911" s="208"/>
      <c r="O911" s="208"/>
      <c r="P911" s="208"/>
      <c r="Q911" s="208"/>
      <c r="R911" s="208"/>
      <c r="S911" s="208"/>
      <c r="T911" s="208"/>
      <c r="U911" s="208"/>
      <c r="V911" s="208"/>
      <c r="W911" s="208"/>
      <c r="X911" s="208"/>
      <c r="Y911" s="208"/>
      <c r="Z911" s="208"/>
      <c r="AA911" s="208"/>
      <c r="AB911" s="208"/>
      <c r="AC911" s="208"/>
      <c r="AD911" s="208"/>
      <c r="AE911" s="208"/>
      <c r="AF911" s="208"/>
      <c r="AG911" s="208"/>
      <c r="AH911" s="208"/>
      <c r="AI911" s="208"/>
      <c r="AJ911" s="208"/>
      <c r="AK911" s="208"/>
      <c r="AL911" s="208"/>
      <c r="AM911" s="208"/>
      <c r="AN911" s="208"/>
      <c r="AO911" s="208"/>
      <c r="AP911" s="208"/>
      <c r="AQ911" s="208"/>
      <c r="AR911" s="208"/>
      <c r="AS911" s="208"/>
      <c r="AT911" s="208"/>
      <c r="AU911" s="208"/>
      <c r="AV911" s="208"/>
      <c r="AW911" s="208"/>
      <c r="AX911" s="208"/>
      <c r="AY911" s="208"/>
      <c r="AZ911" s="208"/>
      <c r="BA911" s="208"/>
    </row>
    <row r="912" ht="15.75" hidden="1" customHeight="1">
      <c r="A912" s="208"/>
      <c r="B912" s="208"/>
      <c r="C912" s="208"/>
      <c r="D912" s="208"/>
      <c r="E912" s="208"/>
      <c r="F912" s="208"/>
      <c r="G912" s="208"/>
      <c r="H912" s="208"/>
      <c r="I912" s="208"/>
      <c r="J912" s="208"/>
      <c r="K912" s="208"/>
      <c r="L912" s="208"/>
      <c r="M912" s="208"/>
      <c r="N912" s="208"/>
      <c r="O912" s="208"/>
      <c r="P912" s="208"/>
      <c r="Q912" s="208"/>
      <c r="R912" s="208"/>
      <c r="S912" s="208"/>
      <c r="T912" s="208"/>
      <c r="U912" s="208"/>
      <c r="V912" s="208"/>
      <c r="W912" s="208"/>
      <c r="X912" s="208"/>
      <c r="Y912" s="208"/>
      <c r="Z912" s="208"/>
      <c r="AA912" s="208"/>
      <c r="AB912" s="208"/>
      <c r="AC912" s="208"/>
      <c r="AD912" s="208"/>
      <c r="AE912" s="208"/>
      <c r="AF912" s="208"/>
      <c r="AG912" s="208"/>
      <c r="AH912" s="208"/>
      <c r="AI912" s="208"/>
      <c r="AJ912" s="208"/>
      <c r="AK912" s="208"/>
      <c r="AL912" s="208"/>
      <c r="AM912" s="208"/>
      <c r="AN912" s="208"/>
      <c r="AO912" s="208"/>
      <c r="AP912" s="208"/>
      <c r="AQ912" s="208"/>
      <c r="AR912" s="208"/>
      <c r="AS912" s="208"/>
      <c r="AT912" s="208"/>
      <c r="AU912" s="208"/>
      <c r="AV912" s="208"/>
      <c r="AW912" s="208"/>
      <c r="AX912" s="208"/>
      <c r="AY912" s="208"/>
      <c r="AZ912" s="208"/>
      <c r="BA912" s="208"/>
    </row>
    <row r="913" ht="15.75" hidden="1" customHeight="1">
      <c r="A913" s="208"/>
      <c r="B913" s="208"/>
      <c r="C913" s="208"/>
      <c r="D913" s="208"/>
      <c r="E913" s="208"/>
      <c r="F913" s="208"/>
      <c r="G913" s="208"/>
      <c r="H913" s="208"/>
      <c r="I913" s="208"/>
      <c r="J913" s="208"/>
      <c r="K913" s="208"/>
      <c r="L913" s="208"/>
      <c r="M913" s="208"/>
      <c r="N913" s="208"/>
      <c r="O913" s="208"/>
      <c r="P913" s="208"/>
      <c r="Q913" s="208"/>
      <c r="R913" s="208"/>
      <c r="S913" s="208"/>
      <c r="T913" s="208"/>
      <c r="U913" s="208"/>
      <c r="V913" s="208"/>
      <c r="W913" s="208"/>
      <c r="X913" s="208"/>
      <c r="Y913" s="208"/>
      <c r="Z913" s="208"/>
      <c r="AA913" s="208"/>
      <c r="AB913" s="208"/>
      <c r="AC913" s="208"/>
      <c r="AD913" s="208"/>
      <c r="AE913" s="208"/>
      <c r="AF913" s="208"/>
      <c r="AG913" s="208"/>
      <c r="AH913" s="208"/>
      <c r="AI913" s="208"/>
      <c r="AJ913" s="208"/>
      <c r="AK913" s="208"/>
      <c r="AL913" s="208"/>
      <c r="AM913" s="208"/>
      <c r="AN913" s="208"/>
      <c r="AO913" s="208"/>
      <c r="AP913" s="208"/>
      <c r="AQ913" s="208"/>
      <c r="AR913" s="208"/>
      <c r="AS913" s="208"/>
      <c r="AT913" s="208"/>
      <c r="AU913" s="208"/>
      <c r="AV913" s="208"/>
      <c r="AW913" s="208"/>
      <c r="AX913" s="208"/>
      <c r="AY913" s="208"/>
      <c r="AZ913" s="208"/>
      <c r="BA913" s="208"/>
    </row>
    <row r="914" ht="15.75" hidden="1" customHeight="1">
      <c r="A914" s="208"/>
      <c r="B914" s="208"/>
      <c r="C914" s="208"/>
      <c r="D914" s="208"/>
      <c r="E914" s="208"/>
      <c r="F914" s="208"/>
      <c r="G914" s="208"/>
      <c r="H914" s="208"/>
      <c r="I914" s="208"/>
      <c r="J914" s="208"/>
      <c r="K914" s="208"/>
      <c r="L914" s="208"/>
      <c r="M914" s="208"/>
      <c r="N914" s="208"/>
      <c r="O914" s="208"/>
      <c r="P914" s="208"/>
      <c r="Q914" s="208"/>
      <c r="R914" s="208"/>
      <c r="S914" s="208"/>
      <c r="T914" s="208"/>
      <c r="U914" s="208"/>
      <c r="V914" s="208"/>
      <c r="W914" s="208"/>
      <c r="X914" s="208"/>
      <c r="Y914" s="208"/>
      <c r="Z914" s="208"/>
      <c r="AA914" s="208"/>
      <c r="AB914" s="208"/>
      <c r="AC914" s="208"/>
      <c r="AD914" s="208"/>
      <c r="AE914" s="208"/>
      <c r="AF914" s="208"/>
      <c r="AG914" s="208"/>
      <c r="AH914" s="208"/>
      <c r="AI914" s="208"/>
      <c r="AJ914" s="208"/>
      <c r="AK914" s="208"/>
      <c r="AL914" s="208"/>
      <c r="AM914" s="208"/>
      <c r="AN914" s="208"/>
      <c r="AO914" s="208"/>
      <c r="AP914" s="208"/>
      <c r="AQ914" s="208"/>
      <c r="AR914" s="208"/>
      <c r="AS914" s="208"/>
      <c r="AT914" s="208"/>
      <c r="AU914" s="208"/>
      <c r="AV914" s="208"/>
      <c r="AW914" s="208"/>
      <c r="AX914" s="208"/>
      <c r="AY914" s="208"/>
      <c r="AZ914" s="208"/>
      <c r="BA914" s="208"/>
    </row>
    <row r="915" ht="15.75" hidden="1" customHeight="1">
      <c r="A915" s="208"/>
      <c r="B915" s="208"/>
      <c r="C915" s="208"/>
      <c r="D915" s="208"/>
      <c r="E915" s="208"/>
      <c r="F915" s="208"/>
      <c r="G915" s="208"/>
      <c r="H915" s="208"/>
      <c r="I915" s="208"/>
      <c r="J915" s="208"/>
      <c r="K915" s="208"/>
      <c r="L915" s="208"/>
      <c r="M915" s="208"/>
      <c r="N915" s="208"/>
      <c r="O915" s="208"/>
      <c r="P915" s="208"/>
      <c r="Q915" s="208"/>
      <c r="R915" s="208"/>
      <c r="S915" s="208"/>
      <c r="T915" s="208"/>
      <c r="U915" s="208"/>
      <c r="V915" s="208"/>
      <c r="W915" s="208"/>
      <c r="X915" s="208"/>
      <c r="Y915" s="208"/>
      <c r="Z915" s="208"/>
      <c r="AA915" s="208"/>
      <c r="AB915" s="208"/>
      <c r="AC915" s="208"/>
      <c r="AD915" s="208"/>
      <c r="AE915" s="208"/>
      <c r="AF915" s="208"/>
      <c r="AG915" s="208"/>
      <c r="AH915" s="208"/>
      <c r="AI915" s="208"/>
      <c r="AJ915" s="208"/>
      <c r="AK915" s="208"/>
      <c r="AL915" s="208"/>
      <c r="AM915" s="208"/>
      <c r="AN915" s="208"/>
      <c r="AO915" s="208"/>
      <c r="AP915" s="208"/>
      <c r="AQ915" s="208"/>
      <c r="AR915" s="208"/>
      <c r="AS915" s="208"/>
      <c r="AT915" s="208"/>
      <c r="AU915" s="208"/>
      <c r="AV915" s="208"/>
      <c r="AW915" s="208"/>
      <c r="AX915" s="208"/>
      <c r="AY915" s="208"/>
      <c r="AZ915" s="208"/>
      <c r="BA915" s="208"/>
    </row>
    <row r="916" ht="15.75" hidden="1" customHeight="1">
      <c r="A916" s="208"/>
      <c r="B916" s="208"/>
      <c r="C916" s="208"/>
      <c r="D916" s="208"/>
      <c r="E916" s="208"/>
      <c r="F916" s="208"/>
      <c r="G916" s="208"/>
      <c r="H916" s="208"/>
      <c r="I916" s="208"/>
      <c r="J916" s="208"/>
      <c r="K916" s="208"/>
      <c r="L916" s="208"/>
      <c r="M916" s="208"/>
      <c r="N916" s="208"/>
      <c r="O916" s="208"/>
      <c r="P916" s="208"/>
      <c r="Q916" s="208"/>
      <c r="R916" s="208"/>
      <c r="S916" s="208"/>
      <c r="T916" s="208"/>
      <c r="U916" s="208"/>
      <c r="V916" s="208"/>
      <c r="W916" s="208"/>
      <c r="X916" s="208"/>
      <c r="Y916" s="208"/>
      <c r="Z916" s="208"/>
      <c r="AA916" s="208"/>
      <c r="AB916" s="208"/>
      <c r="AC916" s="208"/>
      <c r="AD916" s="208"/>
      <c r="AE916" s="208"/>
      <c r="AF916" s="208"/>
      <c r="AG916" s="208"/>
      <c r="AH916" s="208"/>
      <c r="AI916" s="208"/>
      <c r="AJ916" s="208"/>
      <c r="AK916" s="208"/>
      <c r="AL916" s="208"/>
      <c r="AM916" s="208"/>
      <c r="AN916" s="208"/>
      <c r="AO916" s="208"/>
      <c r="AP916" s="208"/>
      <c r="AQ916" s="208"/>
      <c r="AR916" s="208"/>
      <c r="AS916" s="208"/>
      <c r="AT916" s="208"/>
      <c r="AU916" s="208"/>
      <c r="AV916" s="208"/>
      <c r="AW916" s="208"/>
      <c r="AX916" s="208"/>
      <c r="AY916" s="208"/>
      <c r="AZ916" s="208"/>
      <c r="BA916" s="208"/>
    </row>
    <row r="917" ht="15.75" hidden="1" customHeight="1">
      <c r="A917" s="208"/>
      <c r="B917" s="208"/>
      <c r="C917" s="208"/>
      <c r="D917" s="208"/>
      <c r="E917" s="208"/>
      <c r="F917" s="208"/>
      <c r="G917" s="208"/>
      <c r="H917" s="208"/>
      <c r="I917" s="208"/>
      <c r="J917" s="208"/>
      <c r="K917" s="208"/>
      <c r="L917" s="208"/>
      <c r="M917" s="208"/>
      <c r="N917" s="208"/>
      <c r="O917" s="208"/>
      <c r="P917" s="208"/>
      <c r="Q917" s="208"/>
      <c r="R917" s="208"/>
      <c r="S917" s="208"/>
      <c r="T917" s="208"/>
      <c r="U917" s="208"/>
      <c r="V917" s="208"/>
      <c r="W917" s="208"/>
      <c r="X917" s="208"/>
      <c r="Y917" s="208"/>
      <c r="Z917" s="208"/>
      <c r="AA917" s="208"/>
      <c r="AB917" s="208"/>
      <c r="AC917" s="208"/>
      <c r="AD917" s="208"/>
      <c r="AE917" s="208"/>
      <c r="AF917" s="208"/>
      <c r="AG917" s="208"/>
      <c r="AH917" s="208"/>
      <c r="AI917" s="208"/>
      <c r="AJ917" s="208"/>
      <c r="AK917" s="208"/>
      <c r="AL917" s="208"/>
      <c r="AM917" s="208"/>
      <c r="AN917" s="208"/>
      <c r="AO917" s="208"/>
      <c r="AP917" s="208"/>
      <c r="AQ917" s="208"/>
      <c r="AR917" s="208"/>
      <c r="AS917" s="208"/>
      <c r="AT917" s="208"/>
      <c r="AU917" s="208"/>
      <c r="AV917" s="208"/>
      <c r="AW917" s="208"/>
      <c r="AX917" s="208"/>
      <c r="AY917" s="208"/>
      <c r="AZ917" s="208"/>
      <c r="BA917" s="208"/>
    </row>
    <row r="918" ht="15.75" hidden="1" customHeight="1">
      <c r="A918" s="208"/>
      <c r="B918" s="208"/>
      <c r="C918" s="208"/>
      <c r="D918" s="208"/>
      <c r="E918" s="208"/>
      <c r="F918" s="208"/>
      <c r="G918" s="208"/>
      <c r="H918" s="208"/>
      <c r="I918" s="208"/>
      <c r="J918" s="208"/>
      <c r="K918" s="208"/>
      <c r="L918" s="208"/>
      <c r="M918" s="208"/>
      <c r="N918" s="208"/>
      <c r="O918" s="208"/>
      <c r="P918" s="208"/>
      <c r="Q918" s="208"/>
      <c r="R918" s="208"/>
      <c r="S918" s="208"/>
      <c r="T918" s="208"/>
      <c r="U918" s="208"/>
      <c r="V918" s="208"/>
      <c r="W918" s="208"/>
      <c r="X918" s="208"/>
      <c r="Y918" s="208"/>
      <c r="Z918" s="208"/>
      <c r="AA918" s="208"/>
      <c r="AB918" s="208"/>
      <c r="AC918" s="208"/>
      <c r="AD918" s="208"/>
      <c r="AE918" s="208"/>
      <c r="AF918" s="208"/>
      <c r="AG918" s="208"/>
      <c r="AH918" s="208"/>
      <c r="AI918" s="208"/>
      <c r="AJ918" s="208"/>
      <c r="AK918" s="208"/>
      <c r="AL918" s="208"/>
      <c r="AM918" s="208"/>
      <c r="AN918" s="208"/>
      <c r="AO918" s="208"/>
      <c r="AP918" s="208"/>
      <c r="AQ918" s="208"/>
      <c r="AR918" s="208"/>
      <c r="AS918" s="208"/>
      <c r="AT918" s="208"/>
      <c r="AU918" s="208"/>
      <c r="AV918" s="208"/>
      <c r="AW918" s="208"/>
      <c r="AX918" s="208"/>
      <c r="AY918" s="208"/>
      <c r="AZ918" s="208"/>
      <c r="BA918" s="208"/>
    </row>
    <row r="919" ht="15.75" hidden="1" customHeight="1">
      <c r="A919" s="208"/>
      <c r="B919" s="208"/>
      <c r="C919" s="208"/>
      <c r="D919" s="208"/>
      <c r="E919" s="208"/>
      <c r="F919" s="208"/>
      <c r="G919" s="208"/>
      <c r="H919" s="208"/>
      <c r="I919" s="208"/>
      <c r="J919" s="208"/>
      <c r="K919" s="208"/>
      <c r="L919" s="208"/>
      <c r="M919" s="208"/>
      <c r="N919" s="208"/>
      <c r="O919" s="208"/>
      <c r="P919" s="208"/>
      <c r="Q919" s="208"/>
      <c r="R919" s="208"/>
      <c r="S919" s="208"/>
      <c r="T919" s="208"/>
      <c r="U919" s="208"/>
      <c r="V919" s="208"/>
      <c r="W919" s="208"/>
      <c r="X919" s="208"/>
      <c r="Y919" s="208"/>
      <c r="Z919" s="208"/>
      <c r="AA919" s="208"/>
      <c r="AB919" s="208"/>
      <c r="AC919" s="208"/>
      <c r="AD919" s="208"/>
      <c r="AE919" s="208"/>
      <c r="AF919" s="208"/>
      <c r="AG919" s="208"/>
      <c r="AH919" s="208"/>
      <c r="AI919" s="208"/>
      <c r="AJ919" s="208"/>
      <c r="AK919" s="208"/>
      <c r="AL919" s="208"/>
      <c r="AM919" s="208"/>
      <c r="AN919" s="208"/>
      <c r="AO919" s="208"/>
      <c r="AP919" s="208"/>
      <c r="AQ919" s="208"/>
      <c r="AR919" s="208"/>
      <c r="AS919" s="208"/>
      <c r="AT919" s="208"/>
      <c r="AU919" s="208"/>
      <c r="AV919" s="208"/>
      <c r="AW919" s="208"/>
      <c r="AX919" s="208"/>
      <c r="AY919" s="208"/>
      <c r="AZ919" s="208"/>
      <c r="BA919" s="208"/>
    </row>
    <row r="920" ht="15.75" hidden="1" customHeight="1">
      <c r="A920" s="208"/>
      <c r="B920" s="208"/>
      <c r="C920" s="208"/>
      <c r="D920" s="208"/>
      <c r="E920" s="208"/>
      <c r="F920" s="208"/>
      <c r="G920" s="208"/>
      <c r="H920" s="208"/>
      <c r="I920" s="208"/>
      <c r="J920" s="208"/>
      <c r="K920" s="208"/>
      <c r="L920" s="208"/>
      <c r="M920" s="208"/>
      <c r="N920" s="208"/>
      <c r="O920" s="208"/>
      <c r="P920" s="208"/>
      <c r="Q920" s="208"/>
      <c r="R920" s="208"/>
      <c r="S920" s="208"/>
      <c r="T920" s="208"/>
      <c r="U920" s="208"/>
      <c r="V920" s="208"/>
      <c r="W920" s="208"/>
      <c r="X920" s="208"/>
      <c r="Y920" s="208"/>
      <c r="Z920" s="208"/>
      <c r="AA920" s="208"/>
      <c r="AB920" s="208"/>
      <c r="AC920" s="208"/>
      <c r="AD920" s="208"/>
      <c r="AE920" s="208"/>
      <c r="AF920" s="208"/>
      <c r="AG920" s="208"/>
      <c r="AH920" s="208"/>
      <c r="AI920" s="208"/>
      <c r="AJ920" s="208"/>
      <c r="AK920" s="208"/>
      <c r="AL920" s="208"/>
      <c r="AM920" s="208"/>
      <c r="AN920" s="208"/>
      <c r="AO920" s="208"/>
      <c r="AP920" s="208"/>
      <c r="AQ920" s="208"/>
      <c r="AR920" s="208"/>
      <c r="AS920" s="208"/>
      <c r="AT920" s="208"/>
      <c r="AU920" s="208"/>
      <c r="AV920" s="208"/>
      <c r="AW920" s="208"/>
      <c r="AX920" s="208"/>
      <c r="AY920" s="208"/>
      <c r="AZ920" s="208"/>
      <c r="BA920" s="208"/>
    </row>
    <row r="921" ht="15.75" hidden="1" customHeight="1">
      <c r="A921" s="208"/>
      <c r="B921" s="208"/>
      <c r="C921" s="208"/>
      <c r="D921" s="208"/>
      <c r="E921" s="208"/>
      <c r="F921" s="208"/>
      <c r="G921" s="208"/>
      <c r="H921" s="208"/>
      <c r="I921" s="208"/>
      <c r="J921" s="208"/>
      <c r="K921" s="208"/>
      <c r="L921" s="208"/>
      <c r="M921" s="208"/>
      <c r="N921" s="208"/>
      <c r="O921" s="208"/>
      <c r="P921" s="208"/>
      <c r="Q921" s="208"/>
      <c r="R921" s="208"/>
      <c r="S921" s="208"/>
      <c r="T921" s="208"/>
      <c r="U921" s="208"/>
      <c r="V921" s="208"/>
      <c r="W921" s="208"/>
      <c r="X921" s="208"/>
      <c r="Y921" s="208"/>
      <c r="Z921" s="208"/>
      <c r="AA921" s="208"/>
      <c r="AB921" s="208"/>
      <c r="AC921" s="208"/>
      <c r="AD921" s="208"/>
      <c r="AE921" s="208"/>
      <c r="AF921" s="208"/>
      <c r="AG921" s="208"/>
      <c r="AH921" s="208"/>
      <c r="AI921" s="208"/>
      <c r="AJ921" s="208"/>
      <c r="AK921" s="208"/>
      <c r="AL921" s="208"/>
      <c r="AM921" s="208"/>
      <c r="AN921" s="208"/>
      <c r="AO921" s="208"/>
      <c r="AP921" s="208"/>
      <c r="AQ921" s="208"/>
      <c r="AR921" s="208"/>
      <c r="AS921" s="208"/>
      <c r="AT921" s="208"/>
      <c r="AU921" s="208"/>
      <c r="AV921" s="208"/>
      <c r="AW921" s="208"/>
      <c r="AX921" s="208"/>
      <c r="AY921" s="208"/>
      <c r="AZ921" s="208"/>
      <c r="BA921" s="208"/>
    </row>
    <row r="922" ht="15.75" hidden="1" customHeight="1">
      <c r="A922" s="208"/>
      <c r="B922" s="208"/>
      <c r="C922" s="208"/>
      <c r="D922" s="208"/>
      <c r="E922" s="208"/>
      <c r="F922" s="208"/>
      <c r="G922" s="208"/>
      <c r="H922" s="208"/>
      <c r="I922" s="208"/>
      <c r="J922" s="208"/>
      <c r="K922" s="208"/>
      <c r="L922" s="208"/>
      <c r="M922" s="208"/>
      <c r="N922" s="208"/>
      <c r="O922" s="208"/>
      <c r="P922" s="208"/>
      <c r="Q922" s="208"/>
      <c r="R922" s="208"/>
      <c r="S922" s="208"/>
      <c r="T922" s="208"/>
      <c r="U922" s="208"/>
      <c r="V922" s="208"/>
      <c r="W922" s="208"/>
      <c r="X922" s="208"/>
      <c r="Y922" s="208"/>
      <c r="Z922" s="208"/>
      <c r="AA922" s="208"/>
      <c r="AB922" s="208"/>
      <c r="AC922" s="208"/>
      <c r="AD922" s="208"/>
      <c r="AE922" s="208"/>
      <c r="AF922" s="208"/>
      <c r="AG922" s="208"/>
      <c r="AH922" s="208"/>
      <c r="AI922" s="208"/>
      <c r="AJ922" s="208"/>
      <c r="AK922" s="208"/>
      <c r="AL922" s="208"/>
      <c r="AM922" s="208"/>
      <c r="AN922" s="208"/>
      <c r="AO922" s="208"/>
      <c r="AP922" s="208"/>
      <c r="AQ922" s="208"/>
      <c r="AR922" s="208"/>
      <c r="AS922" s="208"/>
      <c r="AT922" s="208"/>
      <c r="AU922" s="208"/>
      <c r="AV922" s="208"/>
      <c r="AW922" s="208"/>
      <c r="AX922" s="208"/>
      <c r="AY922" s="208"/>
      <c r="AZ922" s="208"/>
      <c r="BA922" s="208"/>
    </row>
    <row r="923" ht="15.75" hidden="1" customHeight="1">
      <c r="A923" s="208"/>
      <c r="B923" s="208"/>
      <c r="C923" s="208"/>
      <c r="D923" s="208"/>
      <c r="E923" s="208"/>
      <c r="F923" s="208"/>
      <c r="G923" s="208"/>
      <c r="H923" s="208"/>
      <c r="I923" s="208"/>
      <c r="J923" s="208"/>
      <c r="K923" s="208"/>
      <c r="L923" s="208"/>
      <c r="M923" s="208"/>
      <c r="N923" s="208"/>
      <c r="O923" s="208"/>
      <c r="P923" s="208"/>
      <c r="Q923" s="208"/>
      <c r="R923" s="208"/>
      <c r="S923" s="208"/>
      <c r="T923" s="208"/>
      <c r="U923" s="208"/>
      <c r="V923" s="208"/>
      <c r="W923" s="208"/>
      <c r="X923" s="208"/>
      <c r="Y923" s="208"/>
      <c r="Z923" s="208"/>
      <c r="AA923" s="208"/>
      <c r="AB923" s="208"/>
      <c r="AC923" s="208"/>
      <c r="AD923" s="208"/>
      <c r="AE923" s="208"/>
      <c r="AF923" s="208"/>
      <c r="AG923" s="208"/>
      <c r="AH923" s="208"/>
      <c r="AI923" s="208"/>
      <c r="AJ923" s="208"/>
      <c r="AK923" s="208"/>
      <c r="AL923" s="208"/>
      <c r="AM923" s="208"/>
      <c r="AN923" s="208"/>
      <c r="AO923" s="208"/>
      <c r="AP923" s="208"/>
      <c r="AQ923" s="208"/>
      <c r="AR923" s="208"/>
      <c r="AS923" s="208"/>
      <c r="AT923" s="208"/>
      <c r="AU923" s="208"/>
      <c r="AV923" s="208"/>
      <c r="AW923" s="208"/>
      <c r="AX923" s="208"/>
      <c r="AY923" s="208"/>
      <c r="AZ923" s="208"/>
      <c r="BA923" s="208"/>
    </row>
    <row r="924" ht="15.75" hidden="1" customHeight="1">
      <c r="A924" s="208"/>
      <c r="B924" s="208"/>
      <c r="C924" s="208"/>
      <c r="D924" s="208"/>
      <c r="E924" s="208"/>
      <c r="F924" s="208"/>
      <c r="G924" s="208"/>
      <c r="H924" s="208"/>
      <c r="I924" s="208"/>
      <c r="J924" s="208"/>
      <c r="K924" s="208"/>
      <c r="L924" s="208"/>
      <c r="M924" s="208"/>
      <c r="N924" s="208"/>
      <c r="O924" s="208"/>
      <c r="P924" s="208"/>
      <c r="Q924" s="208"/>
      <c r="R924" s="208"/>
      <c r="S924" s="208"/>
      <c r="T924" s="208"/>
      <c r="U924" s="208"/>
      <c r="V924" s="208"/>
      <c r="W924" s="208"/>
      <c r="X924" s="208"/>
      <c r="Y924" s="208"/>
      <c r="Z924" s="208"/>
      <c r="AA924" s="208"/>
      <c r="AB924" s="208"/>
      <c r="AC924" s="208"/>
      <c r="AD924" s="208"/>
      <c r="AE924" s="208"/>
      <c r="AF924" s="208"/>
      <c r="AG924" s="208"/>
      <c r="AH924" s="208"/>
      <c r="AI924" s="208"/>
      <c r="AJ924" s="208"/>
      <c r="AK924" s="208"/>
      <c r="AL924" s="208"/>
      <c r="AM924" s="208"/>
      <c r="AN924" s="208"/>
      <c r="AO924" s="208"/>
      <c r="AP924" s="208"/>
      <c r="AQ924" s="208"/>
      <c r="AR924" s="208"/>
      <c r="AS924" s="208"/>
      <c r="AT924" s="208"/>
      <c r="AU924" s="208"/>
      <c r="AV924" s="208"/>
      <c r="AW924" s="208"/>
      <c r="AX924" s="208"/>
      <c r="AY924" s="208"/>
      <c r="AZ924" s="208"/>
      <c r="BA924" s="208"/>
    </row>
    <row r="925" ht="15.75" hidden="1" customHeight="1">
      <c r="A925" s="208"/>
      <c r="B925" s="208"/>
      <c r="C925" s="208"/>
      <c r="D925" s="208"/>
      <c r="E925" s="208"/>
      <c r="F925" s="208"/>
      <c r="G925" s="208"/>
      <c r="H925" s="208"/>
      <c r="I925" s="208"/>
      <c r="J925" s="208"/>
      <c r="K925" s="208"/>
      <c r="L925" s="208"/>
      <c r="M925" s="208"/>
      <c r="N925" s="208"/>
      <c r="O925" s="208"/>
      <c r="P925" s="208"/>
      <c r="Q925" s="208"/>
      <c r="R925" s="208"/>
      <c r="S925" s="208"/>
      <c r="T925" s="208"/>
      <c r="U925" s="208"/>
      <c r="V925" s="208"/>
      <c r="W925" s="208"/>
      <c r="X925" s="208"/>
      <c r="Y925" s="208"/>
      <c r="Z925" s="208"/>
      <c r="AA925" s="208"/>
      <c r="AB925" s="208"/>
      <c r="AC925" s="208"/>
      <c r="AD925" s="208"/>
      <c r="AE925" s="208"/>
      <c r="AF925" s="208"/>
      <c r="AG925" s="208"/>
      <c r="AH925" s="208"/>
      <c r="AI925" s="208"/>
      <c r="AJ925" s="208"/>
      <c r="AK925" s="208"/>
      <c r="AL925" s="208"/>
      <c r="AM925" s="208"/>
      <c r="AN925" s="208"/>
      <c r="AO925" s="208"/>
      <c r="AP925" s="208"/>
      <c r="AQ925" s="208"/>
      <c r="AR925" s="208"/>
      <c r="AS925" s="208"/>
      <c r="AT925" s="208"/>
      <c r="AU925" s="208"/>
      <c r="AV925" s="208"/>
      <c r="AW925" s="208"/>
      <c r="AX925" s="208"/>
      <c r="AY925" s="208"/>
      <c r="AZ925" s="208"/>
      <c r="BA925" s="208"/>
    </row>
    <row r="926" ht="15.75" hidden="1" customHeight="1">
      <c r="A926" s="208"/>
      <c r="B926" s="208"/>
      <c r="C926" s="208"/>
      <c r="D926" s="208"/>
      <c r="E926" s="208"/>
      <c r="F926" s="208"/>
      <c r="G926" s="208"/>
      <c r="H926" s="208"/>
      <c r="I926" s="208"/>
      <c r="J926" s="208"/>
      <c r="K926" s="208"/>
      <c r="L926" s="208"/>
      <c r="M926" s="208"/>
      <c r="N926" s="208"/>
      <c r="O926" s="208"/>
      <c r="P926" s="208"/>
      <c r="Q926" s="208"/>
      <c r="R926" s="208"/>
      <c r="S926" s="208"/>
      <c r="T926" s="208"/>
      <c r="U926" s="208"/>
      <c r="V926" s="208"/>
      <c r="W926" s="208"/>
      <c r="X926" s="208"/>
      <c r="Y926" s="208"/>
      <c r="Z926" s="208"/>
      <c r="AA926" s="208"/>
      <c r="AB926" s="208"/>
      <c r="AC926" s="208"/>
      <c r="AD926" s="208"/>
      <c r="AE926" s="208"/>
      <c r="AF926" s="208"/>
      <c r="AG926" s="208"/>
      <c r="AH926" s="208"/>
      <c r="AI926" s="208"/>
      <c r="AJ926" s="208"/>
      <c r="AK926" s="208"/>
      <c r="AL926" s="208"/>
      <c r="AM926" s="208"/>
      <c r="AN926" s="208"/>
      <c r="AO926" s="208"/>
      <c r="AP926" s="208"/>
      <c r="AQ926" s="208"/>
      <c r="AR926" s="208"/>
      <c r="AS926" s="208"/>
      <c r="AT926" s="208"/>
      <c r="AU926" s="208"/>
      <c r="AV926" s="208"/>
      <c r="AW926" s="208"/>
      <c r="AX926" s="208"/>
      <c r="AY926" s="208"/>
      <c r="AZ926" s="208"/>
      <c r="BA926" s="208"/>
    </row>
    <row r="927" ht="15.75" hidden="1" customHeight="1">
      <c r="A927" s="208"/>
      <c r="B927" s="208"/>
      <c r="C927" s="208"/>
      <c r="D927" s="208"/>
      <c r="E927" s="208"/>
      <c r="F927" s="208"/>
      <c r="G927" s="208"/>
      <c r="H927" s="208"/>
      <c r="I927" s="208"/>
      <c r="J927" s="208"/>
      <c r="K927" s="208"/>
      <c r="L927" s="208"/>
      <c r="M927" s="208"/>
      <c r="N927" s="208"/>
      <c r="O927" s="208"/>
      <c r="P927" s="208"/>
      <c r="Q927" s="208"/>
      <c r="R927" s="208"/>
      <c r="S927" s="208"/>
      <c r="T927" s="208"/>
      <c r="U927" s="208"/>
      <c r="V927" s="208"/>
      <c r="W927" s="208"/>
      <c r="X927" s="208"/>
      <c r="Y927" s="208"/>
      <c r="Z927" s="208"/>
      <c r="AA927" s="208"/>
      <c r="AB927" s="208"/>
      <c r="AC927" s="208"/>
      <c r="AD927" s="208"/>
      <c r="AE927" s="208"/>
      <c r="AF927" s="208"/>
      <c r="AG927" s="208"/>
      <c r="AH927" s="208"/>
      <c r="AI927" s="208"/>
      <c r="AJ927" s="208"/>
      <c r="AK927" s="208"/>
      <c r="AL927" s="208"/>
      <c r="AM927" s="208"/>
      <c r="AN927" s="208"/>
      <c r="AO927" s="208"/>
      <c r="AP927" s="208"/>
      <c r="AQ927" s="208"/>
      <c r="AR927" s="208"/>
      <c r="AS927" s="208"/>
      <c r="AT927" s="208"/>
      <c r="AU927" s="208"/>
      <c r="AV927" s="208"/>
      <c r="AW927" s="208"/>
      <c r="AX927" s="208"/>
      <c r="AY927" s="208"/>
      <c r="AZ927" s="208"/>
      <c r="BA927" s="208"/>
    </row>
    <row r="928" ht="15.75" hidden="1" customHeight="1">
      <c r="A928" s="208"/>
      <c r="B928" s="208"/>
      <c r="C928" s="208"/>
      <c r="D928" s="208"/>
      <c r="E928" s="208"/>
      <c r="F928" s="208"/>
      <c r="G928" s="208"/>
      <c r="H928" s="208"/>
      <c r="I928" s="208"/>
      <c r="J928" s="208"/>
      <c r="K928" s="208"/>
      <c r="L928" s="208"/>
      <c r="M928" s="208"/>
      <c r="N928" s="208"/>
      <c r="O928" s="208"/>
      <c r="P928" s="208"/>
      <c r="Q928" s="208"/>
      <c r="R928" s="208"/>
      <c r="S928" s="208"/>
      <c r="T928" s="208"/>
      <c r="U928" s="208"/>
      <c r="V928" s="208"/>
      <c r="W928" s="208"/>
      <c r="X928" s="208"/>
      <c r="Y928" s="208"/>
      <c r="Z928" s="208"/>
      <c r="AA928" s="208"/>
      <c r="AB928" s="208"/>
      <c r="AC928" s="208"/>
      <c r="AD928" s="208"/>
      <c r="AE928" s="208"/>
      <c r="AF928" s="208"/>
      <c r="AG928" s="208"/>
      <c r="AH928" s="208"/>
      <c r="AI928" s="208"/>
      <c r="AJ928" s="208"/>
      <c r="AK928" s="208"/>
      <c r="AL928" s="208"/>
      <c r="AM928" s="208"/>
      <c r="AN928" s="208"/>
      <c r="AO928" s="208"/>
      <c r="AP928" s="208"/>
      <c r="AQ928" s="208"/>
      <c r="AR928" s="208"/>
      <c r="AS928" s="208"/>
      <c r="AT928" s="208"/>
      <c r="AU928" s="208"/>
      <c r="AV928" s="208"/>
      <c r="AW928" s="208"/>
      <c r="AX928" s="208"/>
      <c r="AY928" s="208"/>
      <c r="AZ928" s="208"/>
      <c r="BA928" s="208"/>
    </row>
    <row r="929" ht="15.75" hidden="1" customHeight="1">
      <c r="A929" s="208"/>
      <c r="B929" s="208"/>
      <c r="C929" s="208"/>
      <c r="D929" s="208"/>
      <c r="E929" s="208"/>
      <c r="F929" s="208"/>
      <c r="G929" s="208"/>
      <c r="H929" s="208"/>
      <c r="I929" s="208"/>
      <c r="J929" s="208"/>
      <c r="K929" s="208"/>
      <c r="L929" s="208"/>
      <c r="M929" s="208"/>
      <c r="N929" s="208"/>
      <c r="O929" s="208"/>
      <c r="P929" s="208"/>
      <c r="Q929" s="208"/>
      <c r="R929" s="208"/>
      <c r="S929" s="208"/>
      <c r="T929" s="208"/>
      <c r="U929" s="208"/>
      <c r="V929" s="208"/>
      <c r="W929" s="208"/>
      <c r="X929" s="208"/>
      <c r="Y929" s="208"/>
      <c r="Z929" s="208"/>
      <c r="AA929" s="208"/>
      <c r="AB929" s="208"/>
      <c r="AC929" s="208"/>
      <c r="AD929" s="208"/>
      <c r="AE929" s="208"/>
      <c r="AF929" s="208"/>
      <c r="AG929" s="208"/>
      <c r="AH929" s="208"/>
      <c r="AI929" s="208"/>
      <c r="AJ929" s="208"/>
      <c r="AK929" s="208"/>
      <c r="AL929" s="208"/>
      <c r="AM929" s="208"/>
      <c r="AN929" s="208"/>
      <c r="AO929" s="208"/>
      <c r="AP929" s="208"/>
      <c r="AQ929" s="208"/>
      <c r="AR929" s="208"/>
      <c r="AS929" s="208"/>
      <c r="AT929" s="208"/>
      <c r="AU929" s="208"/>
      <c r="AV929" s="208"/>
      <c r="AW929" s="208"/>
      <c r="AX929" s="208"/>
      <c r="AY929" s="208"/>
      <c r="AZ929" s="208"/>
      <c r="BA929" s="208"/>
    </row>
    <row r="930" ht="15.75" hidden="1" customHeight="1">
      <c r="A930" s="208"/>
      <c r="B930" s="208"/>
      <c r="C930" s="208"/>
      <c r="D930" s="208"/>
      <c r="E930" s="208"/>
      <c r="F930" s="208"/>
      <c r="G930" s="208"/>
      <c r="H930" s="208"/>
      <c r="I930" s="208"/>
      <c r="J930" s="208"/>
      <c r="K930" s="208"/>
      <c r="L930" s="208"/>
      <c r="M930" s="208"/>
      <c r="N930" s="208"/>
      <c r="O930" s="208"/>
      <c r="P930" s="208"/>
      <c r="Q930" s="208"/>
      <c r="R930" s="208"/>
      <c r="S930" s="208"/>
      <c r="T930" s="208"/>
      <c r="U930" s="208"/>
      <c r="V930" s="208"/>
      <c r="W930" s="208"/>
      <c r="X930" s="208"/>
      <c r="Y930" s="208"/>
      <c r="Z930" s="208"/>
      <c r="AA930" s="208"/>
      <c r="AB930" s="208"/>
      <c r="AC930" s="208"/>
      <c r="AD930" s="208"/>
      <c r="AE930" s="208"/>
      <c r="AF930" s="208"/>
      <c r="AG930" s="208"/>
      <c r="AH930" s="208"/>
      <c r="AI930" s="208"/>
      <c r="AJ930" s="208"/>
      <c r="AK930" s="208"/>
      <c r="AL930" s="208"/>
      <c r="AM930" s="208"/>
      <c r="AN930" s="208"/>
      <c r="AO930" s="208"/>
      <c r="AP930" s="208"/>
      <c r="AQ930" s="208"/>
      <c r="AR930" s="208"/>
      <c r="AS930" s="208"/>
      <c r="AT930" s="208"/>
      <c r="AU930" s="208"/>
      <c r="AV930" s="208"/>
      <c r="AW930" s="208"/>
      <c r="AX930" s="208"/>
      <c r="AY930" s="208"/>
      <c r="AZ930" s="208"/>
      <c r="BA930" s="208"/>
    </row>
    <row r="931" ht="15.75" hidden="1" customHeight="1">
      <c r="A931" s="208"/>
      <c r="B931" s="208"/>
      <c r="C931" s="208"/>
      <c r="D931" s="208"/>
      <c r="E931" s="208"/>
      <c r="F931" s="208"/>
      <c r="G931" s="208"/>
      <c r="H931" s="208"/>
      <c r="I931" s="208"/>
      <c r="J931" s="208"/>
      <c r="K931" s="208"/>
      <c r="L931" s="208"/>
      <c r="M931" s="208"/>
      <c r="N931" s="208"/>
      <c r="O931" s="208"/>
      <c r="P931" s="208"/>
      <c r="Q931" s="208"/>
      <c r="R931" s="208"/>
      <c r="S931" s="208"/>
      <c r="T931" s="208"/>
      <c r="U931" s="208"/>
      <c r="V931" s="208"/>
      <c r="W931" s="208"/>
      <c r="X931" s="208"/>
      <c r="Y931" s="208"/>
      <c r="Z931" s="208"/>
      <c r="AA931" s="208"/>
      <c r="AB931" s="208"/>
      <c r="AC931" s="208"/>
      <c r="AD931" s="208"/>
      <c r="AE931" s="208"/>
      <c r="AF931" s="208"/>
      <c r="AG931" s="208"/>
      <c r="AH931" s="208"/>
      <c r="AI931" s="208"/>
      <c r="AJ931" s="208"/>
      <c r="AK931" s="208"/>
      <c r="AL931" s="208"/>
      <c r="AM931" s="208"/>
      <c r="AN931" s="208"/>
      <c r="AO931" s="208"/>
      <c r="AP931" s="208"/>
      <c r="AQ931" s="208"/>
      <c r="AR931" s="208"/>
      <c r="AS931" s="208"/>
      <c r="AT931" s="208"/>
      <c r="AU931" s="208"/>
      <c r="AV931" s="208"/>
      <c r="AW931" s="208"/>
      <c r="AX931" s="208"/>
      <c r="AY931" s="208"/>
      <c r="AZ931" s="208"/>
      <c r="BA931" s="208"/>
    </row>
    <row r="932" ht="15.75" hidden="1" customHeight="1">
      <c r="A932" s="208"/>
      <c r="B932" s="208"/>
      <c r="C932" s="208"/>
      <c r="D932" s="208"/>
      <c r="E932" s="208"/>
      <c r="F932" s="208"/>
      <c r="G932" s="208"/>
      <c r="H932" s="208"/>
      <c r="I932" s="208"/>
      <c r="J932" s="208"/>
      <c r="K932" s="208"/>
      <c r="L932" s="208"/>
      <c r="M932" s="208"/>
      <c r="N932" s="208"/>
      <c r="O932" s="208"/>
      <c r="P932" s="208"/>
      <c r="Q932" s="208"/>
      <c r="R932" s="208"/>
      <c r="S932" s="208"/>
      <c r="T932" s="208"/>
      <c r="U932" s="208"/>
      <c r="V932" s="208"/>
      <c r="W932" s="208"/>
      <c r="X932" s="208"/>
      <c r="Y932" s="208"/>
      <c r="Z932" s="208"/>
      <c r="AA932" s="208"/>
      <c r="AB932" s="208"/>
      <c r="AC932" s="208"/>
      <c r="AD932" s="208"/>
      <c r="AE932" s="208"/>
      <c r="AF932" s="208"/>
      <c r="AG932" s="208"/>
      <c r="AH932" s="208"/>
      <c r="AI932" s="208"/>
      <c r="AJ932" s="208"/>
      <c r="AK932" s="208"/>
      <c r="AL932" s="208"/>
      <c r="AM932" s="208"/>
      <c r="AN932" s="208"/>
      <c r="AO932" s="208"/>
      <c r="AP932" s="208"/>
      <c r="AQ932" s="208"/>
      <c r="AR932" s="208"/>
      <c r="AS932" s="208"/>
      <c r="AT932" s="208"/>
      <c r="AU932" s="208"/>
      <c r="AV932" s="208"/>
      <c r="AW932" s="208"/>
      <c r="AX932" s="208"/>
      <c r="AY932" s="208"/>
      <c r="AZ932" s="208"/>
      <c r="BA932" s="208"/>
    </row>
    <row r="933" ht="15.75" hidden="1" customHeight="1">
      <c r="A933" s="208"/>
      <c r="B933" s="208"/>
      <c r="C933" s="208"/>
      <c r="D933" s="208"/>
      <c r="E933" s="208"/>
      <c r="F933" s="208"/>
      <c r="G933" s="208"/>
      <c r="H933" s="208"/>
      <c r="I933" s="208"/>
      <c r="J933" s="208"/>
      <c r="K933" s="208"/>
      <c r="L933" s="208"/>
      <c r="M933" s="208"/>
      <c r="N933" s="208"/>
      <c r="O933" s="208"/>
      <c r="P933" s="208"/>
      <c r="Q933" s="208"/>
      <c r="R933" s="208"/>
      <c r="S933" s="208"/>
      <c r="T933" s="208"/>
      <c r="U933" s="208"/>
      <c r="V933" s="208"/>
      <c r="W933" s="208"/>
      <c r="X933" s="208"/>
      <c r="Y933" s="208"/>
      <c r="Z933" s="208"/>
      <c r="AA933" s="208"/>
      <c r="AB933" s="208"/>
      <c r="AC933" s="208"/>
      <c r="AD933" s="208"/>
      <c r="AE933" s="208"/>
      <c r="AF933" s="208"/>
      <c r="AG933" s="208"/>
      <c r="AH933" s="208"/>
      <c r="AI933" s="208"/>
      <c r="AJ933" s="208"/>
      <c r="AK933" s="208"/>
      <c r="AL933" s="208"/>
      <c r="AM933" s="208"/>
      <c r="AN933" s="208"/>
      <c r="AO933" s="208"/>
      <c r="AP933" s="208"/>
      <c r="AQ933" s="208"/>
      <c r="AR933" s="208"/>
      <c r="AS933" s="208"/>
      <c r="AT933" s="208"/>
      <c r="AU933" s="208"/>
      <c r="AV933" s="208"/>
      <c r="AW933" s="208"/>
      <c r="AX933" s="208"/>
      <c r="AY933" s="208"/>
      <c r="AZ933" s="208"/>
      <c r="BA933" s="208"/>
    </row>
    <row r="934" ht="15.75" hidden="1" customHeight="1">
      <c r="A934" s="208"/>
      <c r="B934" s="208"/>
      <c r="C934" s="208"/>
      <c r="D934" s="208"/>
      <c r="E934" s="208"/>
      <c r="F934" s="208"/>
      <c r="G934" s="208"/>
      <c r="H934" s="208"/>
      <c r="I934" s="208"/>
      <c r="J934" s="208"/>
      <c r="K934" s="208"/>
      <c r="L934" s="208"/>
      <c r="M934" s="208"/>
      <c r="N934" s="208"/>
      <c r="O934" s="208"/>
      <c r="P934" s="208"/>
      <c r="Q934" s="208"/>
      <c r="R934" s="208"/>
      <c r="S934" s="208"/>
      <c r="T934" s="208"/>
      <c r="U934" s="208"/>
      <c r="V934" s="208"/>
      <c r="W934" s="208"/>
      <c r="X934" s="208"/>
      <c r="Y934" s="208"/>
      <c r="Z934" s="208"/>
      <c r="AA934" s="208"/>
      <c r="AB934" s="208"/>
      <c r="AC934" s="208"/>
      <c r="AD934" s="208"/>
      <c r="AE934" s="208"/>
      <c r="AF934" s="208"/>
      <c r="AG934" s="208"/>
      <c r="AH934" s="208"/>
      <c r="AI934" s="208"/>
      <c r="AJ934" s="208"/>
      <c r="AK934" s="208"/>
      <c r="AL934" s="208"/>
      <c r="AM934" s="208"/>
      <c r="AN934" s="208"/>
      <c r="AO934" s="208"/>
      <c r="AP934" s="208"/>
      <c r="AQ934" s="208"/>
      <c r="AR934" s="208"/>
      <c r="AS934" s="208"/>
      <c r="AT934" s="208"/>
      <c r="AU934" s="208"/>
      <c r="AV934" s="208"/>
      <c r="AW934" s="208"/>
      <c r="AX934" s="208"/>
      <c r="AY934" s="208"/>
      <c r="AZ934" s="208"/>
      <c r="BA934" s="208"/>
    </row>
    <row r="935" ht="15.75" hidden="1" customHeight="1">
      <c r="A935" s="208"/>
      <c r="B935" s="208"/>
      <c r="C935" s="208"/>
      <c r="D935" s="208"/>
      <c r="E935" s="208"/>
      <c r="F935" s="208"/>
      <c r="G935" s="208"/>
      <c r="H935" s="208"/>
      <c r="I935" s="208"/>
      <c r="J935" s="208"/>
      <c r="K935" s="208"/>
      <c r="L935" s="208"/>
      <c r="M935" s="208"/>
      <c r="N935" s="208"/>
      <c r="O935" s="208"/>
      <c r="P935" s="208"/>
      <c r="Q935" s="208"/>
      <c r="R935" s="208"/>
      <c r="S935" s="208"/>
      <c r="T935" s="208"/>
      <c r="U935" s="208"/>
      <c r="V935" s="208"/>
      <c r="W935" s="208"/>
      <c r="X935" s="208"/>
      <c r="Y935" s="208"/>
      <c r="Z935" s="208"/>
      <c r="AA935" s="208"/>
      <c r="AB935" s="208"/>
      <c r="AC935" s="208"/>
      <c r="AD935" s="208"/>
      <c r="AE935" s="208"/>
      <c r="AF935" s="208"/>
      <c r="AG935" s="208"/>
      <c r="AH935" s="208"/>
      <c r="AI935" s="208"/>
      <c r="AJ935" s="208"/>
      <c r="AK935" s="208"/>
      <c r="AL935" s="208"/>
      <c r="AM935" s="208"/>
      <c r="AN935" s="208"/>
      <c r="AO935" s="208"/>
      <c r="AP935" s="208"/>
      <c r="AQ935" s="208"/>
      <c r="AR935" s="208"/>
      <c r="AS935" s="208"/>
      <c r="AT935" s="208"/>
      <c r="AU935" s="208"/>
      <c r="AV935" s="208"/>
      <c r="AW935" s="208"/>
      <c r="AX935" s="208"/>
      <c r="AY935" s="208"/>
      <c r="AZ935" s="208"/>
      <c r="BA935" s="208"/>
    </row>
    <row r="936" ht="15.75" hidden="1" customHeight="1">
      <c r="A936" s="208"/>
      <c r="B936" s="208"/>
      <c r="C936" s="208"/>
      <c r="D936" s="208"/>
      <c r="E936" s="208"/>
      <c r="F936" s="208"/>
      <c r="G936" s="208"/>
      <c r="H936" s="208"/>
      <c r="I936" s="208"/>
      <c r="J936" s="208"/>
      <c r="K936" s="208"/>
      <c r="L936" s="208"/>
      <c r="M936" s="208"/>
      <c r="N936" s="208"/>
      <c r="O936" s="208"/>
      <c r="P936" s="208"/>
      <c r="Q936" s="208"/>
      <c r="R936" s="208"/>
      <c r="S936" s="208"/>
      <c r="T936" s="208"/>
      <c r="U936" s="208"/>
      <c r="V936" s="208"/>
      <c r="W936" s="208"/>
      <c r="X936" s="208"/>
      <c r="Y936" s="208"/>
      <c r="Z936" s="208"/>
      <c r="AA936" s="208"/>
      <c r="AB936" s="208"/>
      <c r="AC936" s="208"/>
      <c r="AD936" s="208"/>
      <c r="AE936" s="208"/>
      <c r="AF936" s="208"/>
      <c r="AG936" s="208"/>
      <c r="AH936" s="208"/>
      <c r="AI936" s="208"/>
      <c r="AJ936" s="208"/>
      <c r="AK936" s="208"/>
      <c r="AL936" s="208"/>
      <c r="AM936" s="208"/>
      <c r="AN936" s="208"/>
      <c r="AO936" s="208"/>
      <c r="AP936" s="208"/>
      <c r="AQ936" s="208"/>
      <c r="AR936" s="208"/>
      <c r="AS936" s="208"/>
      <c r="AT936" s="208"/>
      <c r="AU936" s="208"/>
      <c r="AV936" s="208"/>
      <c r="AW936" s="208"/>
      <c r="AX936" s="208"/>
      <c r="AY936" s="208"/>
      <c r="AZ936" s="208"/>
      <c r="BA936" s="208"/>
    </row>
    <row r="937" ht="15.75" hidden="1" customHeight="1">
      <c r="A937" s="208"/>
      <c r="B937" s="208"/>
      <c r="C937" s="208"/>
      <c r="D937" s="208"/>
      <c r="E937" s="208"/>
      <c r="F937" s="208"/>
      <c r="G937" s="208"/>
      <c r="H937" s="208"/>
      <c r="I937" s="208"/>
      <c r="J937" s="208"/>
      <c r="K937" s="208"/>
      <c r="L937" s="208"/>
      <c r="M937" s="208"/>
      <c r="N937" s="208"/>
      <c r="O937" s="208"/>
      <c r="P937" s="208"/>
      <c r="Q937" s="208"/>
      <c r="R937" s="208"/>
      <c r="S937" s="208"/>
      <c r="T937" s="208"/>
      <c r="U937" s="208"/>
      <c r="V937" s="208"/>
      <c r="W937" s="208"/>
      <c r="X937" s="208"/>
      <c r="Y937" s="208"/>
      <c r="Z937" s="208"/>
      <c r="AA937" s="208"/>
      <c r="AB937" s="208"/>
      <c r="AC937" s="208"/>
      <c r="AD937" s="208"/>
      <c r="AE937" s="208"/>
      <c r="AF937" s="208"/>
      <c r="AG937" s="208"/>
      <c r="AH937" s="208"/>
      <c r="AI937" s="208"/>
      <c r="AJ937" s="208"/>
      <c r="AK937" s="208"/>
      <c r="AL937" s="208"/>
      <c r="AM937" s="208"/>
      <c r="AN937" s="208"/>
      <c r="AO937" s="208"/>
      <c r="AP937" s="208"/>
      <c r="AQ937" s="208"/>
      <c r="AR937" s="208"/>
      <c r="AS937" s="208"/>
      <c r="AT937" s="208"/>
      <c r="AU937" s="208"/>
      <c r="AV937" s="208"/>
      <c r="AW937" s="208"/>
      <c r="AX937" s="208"/>
      <c r="AY937" s="208"/>
      <c r="AZ937" s="208"/>
      <c r="BA937" s="208"/>
    </row>
    <row r="938" ht="15.75" hidden="1" customHeight="1">
      <c r="A938" s="208"/>
      <c r="B938" s="208"/>
      <c r="C938" s="208"/>
      <c r="D938" s="208"/>
      <c r="E938" s="208"/>
      <c r="F938" s="208"/>
      <c r="G938" s="208"/>
      <c r="H938" s="208"/>
      <c r="I938" s="208"/>
      <c r="J938" s="208"/>
      <c r="K938" s="208"/>
      <c r="L938" s="208"/>
      <c r="M938" s="208"/>
      <c r="N938" s="208"/>
      <c r="O938" s="208"/>
      <c r="P938" s="208"/>
      <c r="Q938" s="208"/>
      <c r="R938" s="208"/>
      <c r="S938" s="208"/>
      <c r="T938" s="208"/>
      <c r="U938" s="208"/>
      <c r="V938" s="208"/>
      <c r="W938" s="208"/>
      <c r="X938" s="208"/>
      <c r="Y938" s="208"/>
      <c r="Z938" s="208"/>
      <c r="AA938" s="208"/>
      <c r="AB938" s="208"/>
      <c r="AC938" s="208"/>
      <c r="AD938" s="208"/>
      <c r="AE938" s="208"/>
      <c r="AF938" s="208"/>
      <c r="AG938" s="208"/>
      <c r="AH938" s="208"/>
      <c r="AI938" s="208"/>
      <c r="AJ938" s="208"/>
      <c r="AK938" s="208"/>
      <c r="AL938" s="208"/>
      <c r="AM938" s="208"/>
      <c r="AN938" s="208"/>
      <c r="AO938" s="208"/>
      <c r="AP938" s="208"/>
      <c r="AQ938" s="208"/>
      <c r="AR938" s="208"/>
      <c r="AS938" s="208"/>
      <c r="AT938" s="208"/>
      <c r="AU938" s="208"/>
      <c r="AV938" s="208"/>
      <c r="AW938" s="208"/>
      <c r="AX938" s="208"/>
      <c r="AY938" s="208"/>
      <c r="AZ938" s="208"/>
      <c r="BA938" s="208"/>
    </row>
    <row r="939" ht="15.75" hidden="1" customHeight="1">
      <c r="A939" s="208"/>
      <c r="B939" s="208"/>
      <c r="C939" s="208"/>
      <c r="D939" s="208"/>
      <c r="E939" s="208"/>
      <c r="F939" s="208"/>
      <c r="G939" s="208"/>
      <c r="H939" s="208"/>
      <c r="I939" s="208"/>
      <c r="J939" s="208"/>
      <c r="K939" s="208"/>
      <c r="L939" s="208"/>
      <c r="M939" s="208"/>
      <c r="N939" s="208"/>
      <c r="O939" s="208"/>
      <c r="P939" s="208"/>
      <c r="Q939" s="208"/>
      <c r="R939" s="208"/>
      <c r="S939" s="208"/>
      <c r="T939" s="208"/>
      <c r="U939" s="208"/>
      <c r="V939" s="208"/>
      <c r="W939" s="208"/>
      <c r="X939" s="208"/>
      <c r="Y939" s="208"/>
      <c r="Z939" s="208"/>
      <c r="AA939" s="208"/>
      <c r="AB939" s="208"/>
      <c r="AC939" s="208"/>
      <c r="AD939" s="208"/>
      <c r="AE939" s="208"/>
      <c r="AF939" s="208"/>
      <c r="AG939" s="208"/>
      <c r="AH939" s="208"/>
      <c r="AI939" s="208"/>
      <c r="AJ939" s="208"/>
      <c r="AK939" s="208"/>
      <c r="AL939" s="208"/>
      <c r="AM939" s="208"/>
      <c r="AN939" s="208"/>
      <c r="AO939" s="208"/>
      <c r="AP939" s="208"/>
      <c r="AQ939" s="208"/>
      <c r="AR939" s="208"/>
      <c r="AS939" s="208"/>
      <c r="AT939" s="208"/>
      <c r="AU939" s="208"/>
      <c r="AV939" s="208"/>
      <c r="AW939" s="208"/>
      <c r="AX939" s="208"/>
      <c r="AY939" s="208"/>
      <c r="AZ939" s="208"/>
      <c r="BA939" s="208"/>
    </row>
    <row r="940" ht="15.75" hidden="1" customHeight="1">
      <c r="A940" s="208"/>
      <c r="B940" s="208"/>
      <c r="C940" s="208"/>
      <c r="D940" s="208"/>
      <c r="E940" s="208"/>
      <c r="F940" s="208"/>
      <c r="G940" s="208"/>
      <c r="H940" s="208"/>
      <c r="I940" s="208"/>
      <c r="J940" s="208"/>
      <c r="K940" s="208"/>
      <c r="L940" s="208"/>
      <c r="M940" s="208"/>
      <c r="N940" s="208"/>
      <c r="O940" s="208"/>
      <c r="P940" s="208"/>
      <c r="Q940" s="208"/>
      <c r="R940" s="208"/>
      <c r="S940" s="208"/>
      <c r="T940" s="208"/>
      <c r="U940" s="208"/>
      <c r="V940" s="208"/>
      <c r="W940" s="208"/>
      <c r="X940" s="208"/>
      <c r="Y940" s="208"/>
      <c r="Z940" s="208"/>
      <c r="AA940" s="208"/>
      <c r="AB940" s="208"/>
      <c r="AC940" s="208"/>
      <c r="AD940" s="208"/>
      <c r="AE940" s="208"/>
      <c r="AF940" s="208"/>
      <c r="AG940" s="208"/>
      <c r="AH940" s="208"/>
      <c r="AI940" s="208"/>
      <c r="AJ940" s="208"/>
      <c r="AK940" s="208"/>
      <c r="AL940" s="208"/>
      <c r="AM940" s="208"/>
      <c r="AN940" s="208"/>
      <c r="AO940" s="208"/>
      <c r="AP940" s="208"/>
      <c r="AQ940" s="208"/>
      <c r="AR940" s="208"/>
      <c r="AS940" s="208"/>
      <c r="AT940" s="208"/>
      <c r="AU940" s="208"/>
      <c r="AV940" s="208"/>
      <c r="AW940" s="208"/>
      <c r="AX940" s="208"/>
      <c r="AY940" s="208"/>
      <c r="AZ940" s="208"/>
      <c r="BA940" s="208"/>
    </row>
    <row r="941" ht="15.75" hidden="1" customHeight="1">
      <c r="A941" s="208"/>
      <c r="B941" s="208"/>
      <c r="C941" s="208"/>
      <c r="D941" s="208"/>
      <c r="E941" s="208"/>
      <c r="F941" s="208"/>
      <c r="G941" s="208"/>
      <c r="H941" s="208"/>
      <c r="I941" s="208"/>
      <c r="J941" s="208"/>
      <c r="K941" s="208"/>
      <c r="L941" s="208"/>
      <c r="M941" s="208"/>
      <c r="N941" s="208"/>
      <c r="O941" s="208"/>
      <c r="P941" s="208"/>
      <c r="Q941" s="208"/>
      <c r="R941" s="208"/>
      <c r="S941" s="208"/>
      <c r="T941" s="208"/>
      <c r="U941" s="208"/>
      <c r="V941" s="208"/>
      <c r="W941" s="208"/>
      <c r="X941" s="208"/>
      <c r="Y941" s="208"/>
      <c r="Z941" s="208"/>
      <c r="AA941" s="208"/>
      <c r="AB941" s="208"/>
      <c r="AC941" s="208"/>
      <c r="AD941" s="208"/>
      <c r="AE941" s="208"/>
      <c r="AF941" s="208"/>
      <c r="AG941" s="208"/>
      <c r="AH941" s="208"/>
      <c r="AI941" s="208"/>
      <c r="AJ941" s="208"/>
      <c r="AK941" s="208"/>
      <c r="AL941" s="208"/>
      <c r="AM941" s="208"/>
      <c r="AN941" s="208"/>
      <c r="AO941" s="208"/>
      <c r="AP941" s="208"/>
      <c r="AQ941" s="208"/>
      <c r="AR941" s="208"/>
      <c r="AS941" s="208"/>
      <c r="AT941" s="208"/>
      <c r="AU941" s="208"/>
      <c r="AV941" s="208"/>
      <c r="AW941" s="208"/>
      <c r="AX941" s="208"/>
      <c r="AY941" s="208"/>
      <c r="AZ941" s="208"/>
      <c r="BA941" s="208"/>
    </row>
    <row r="942" ht="15.75" hidden="1" customHeight="1">
      <c r="A942" s="208"/>
      <c r="B942" s="208"/>
      <c r="C942" s="208"/>
      <c r="D942" s="208"/>
      <c r="E942" s="208"/>
      <c r="F942" s="208"/>
      <c r="G942" s="208"/>
      <c r="H942" s="208"/>
      <c r="I942" s="208"/>
      <c r="J942" s="208"/>
      <c r="K942" s="208"/>
      <c r="L942" s="208"/>
      <c r="M942" s="208"/>
      <c r="N942" s="208"/>
      <c r="O942" s="208"/>
      <c r="P942" s="208"/>
      <c r="Q942" s="208"/>
      <c r="R942" s="208"/>
      <c r="S942" s="208"/>
      <c r="T942" s="208"/>
      <c r="U942" s="208"/>
      <c r="V942" s="208"/>
      <c r="W942" s="208"/>
      <c r="X942" s="208"/>
      <c r="Y942" s="208"/>
      <c r="Z942" s="208"/>
      <c r="AA942" s="208"/>
      <c r="AB942" s="208"/>
      <c r="AC942" s="208"/>
      <c r="AD942" s="208"/>
      <c r="AE942" s="208"/>
      <c r="AF942" s="208"/>
      <c r="AG942" s="208"/>
      <c r="AH942" s="208"/>
      <c r="AI942" s="208"/>
      <c r="AJ942" s="208"/>
      <c r="AK942" s="208"/>
      <c r="AL942" s="208"/>
      <c r="AM942" s="208"/>
      <c r="AN942" s="208"/>
      <c r="AO942" s="208"/>
      <c r="AP942" s="208"/>
      <c r="AQ942" s="208"/>
      <c r="AR942" s="208"/>
      <c r="AS942" s="208"/>
      <c r="AT942" s="208"/>
      <c r="AU942" s="208"/>
      <c r="AV942" s="208"/>
      <c r="AW942" s="208"/>
      <c r="AX942" s="208"/>
      <c r="AY942" s="208"/>
      <c r="AZ942" s="208"/>
      <c r="BA942" s="208"/>
    </row>
    <row r="943" ht="15.75" hidden="1" customHeight="1">
      <c r="A943" s="208"/>
      <c r="B943" s="208"/>
      <c r="C943" s="208"/>
      <c r="D943" s="208"/>
      <c r="E943" s="208"/>
      <c r="F943" s="208"/>
      <c r="G943" s="208"/>
      <c r="H943" s="208"/>
      <c r="I943" s="208"/>
      <c r="J943" s="208"/>
      <c r="K943" s="208"/>
      <c r="L943" s="208"/>
      <c r="M943" s="208"/>
      <c r="N943" s="208"/>
      <c r="O943" s="208"/>
      <c r="P943" s="208"/>
      <c r="Q943" s="208"/>
      <c r="R943" s="208"/>
      <c r="S943" s="208"/>
      <c r="T943" s="208"/>
      <c r="U943" s="208"/>
      <c r="V943" s="208"/>
      <c r="W943" s="208"/>
      <c r="X943" s="208"/>
      <c r="Y943" s="208"/>
      <c r="Z943" s="208"/>
      <c r="AA943" s="208"/>
      <c r="AB943" s="208"/>
      <c r="AC943" s="208"/>
      <c r="AD943" s="208"/>
      <c r="AE943" s="208"/>
      <c r="AF943" s="208"/>
      <c r="AG943" s="208"/>
      <c r="AH943" s="208"/>
      <c r="AI943" s="208"/>
      <c r="AJ943" s="208"/>
      <c r="AK943" s="208"/>
      <c r="AL943" s="208"/>
      <c r="AM943" s="208"/>
      <c r="AN943" s="208"/>
      <c r="AO943" s="208"/>
      <c r="AP943" s="208"/>
      <c r="AQ943" s="208"/>
      <c r="AR943" s="208"/>
      <c r="AS943" s="208"/>
      <c r="AT943" s="208"/>
      <c r="AU943" s="208"/>
      <c r="AV943" s="208"/>
      <c r="AW943" s="208"/>
      <c r="AX943" s="208"/>
      <c r="AY943" s="208"/>
      <c r="AZ943" s="208"/>
      <c r="BA943" s="208"/>
    </row>
    <row r="944" ht="15.75" hidden="1" customHeight="1">
      <c r="A944" s="208"/>
      <c r="B944" s="208"/>
      <c r="C944" s="208"/>
      <c r="D944" s="208"/>
      <c r="E944" s="208"/>
      <c r="F944" s="208"/>
      <c r="G944" s="208"/>
      <c r="H944" s="208"/>
      <c r="I944" s="208"/>
      <c r="J944" s="208"/>
      <c r="K944" s="208"/>
      <c r="L944" s="208"/>
      <c r="M944" s="208"/>
      <c r="N944" s="208"/>
      <c r="O944" s="208"/>
      <c r="P944" s="208"/>
      <c r="Q944" s="208"/>
      <c r="R944" s="208"/>
      <c r="S944" s="208"/>
      <c r="T944" s="208"/>
      <c r="U944" s="208"/>
      <c r="V944" s="208"/>
      <c r="W944" s="208"/>
      <c r="X944" s="208"/>
      <c r="Y944" s="208"/>
      <c r="Z944" s="208"/>
      <c r="AA944" s="208"/>
      <c r="AB944" s="208"/>
      <c r="AC944" s="208"/>
      <c r="AD944" s="208"/>
      <c r="AE944" s="208"/>
      <c r="AF944" s="208"/>
      <c r="AG944" s="208"/>
      <c r="AH944" s="208"/>
      <c r="AI944" s="208"/>
      <c r="AJ944" s="208"/>
      <c r="AK944" s="208"/>
      <c r="AL944" s="208"/>
      <c r="AM944" s="208"/>
      <c r="AN944" s="208"/>
      <c r="AO944" s="208"/>
      <c r="AP944" s="208"/>
      <c r="AQ944" s="208"/>
      <c r="AR944" s="208"/>
      <c r="AS944" s="208"/>
      <c r="AT944" s="208"/>
      <c r="AU944" s="208"/>
      <c r="AV944" s="208"/>
      <c r="AW944" s="208"/>
      <c r="AX944" s="208"/>
      <c r="AY944" s="208"/>
      <c r="AZ944" s="208"/>
      <c r="BA944" s="208"/>
    </row>
    <row r="945" ht="15.75" hidden="1" customHeight="1">
      <c r="A945" s="208"/>
      <c r="B945" s="208"/>
      <c r="C945" s="208"/>
      <c r="D945" s="208"/>
      <c r="E945" s="208"/>
      <c r="F945" s="208"/>
      <c r="G945" s="208"/>
      <c r="H945" s="208"/>
      <c r="I945" s="208"/>
      <c r="J945" s="208"/>
      <c r="K945" s="208"/>
      <c r="L945" s="208"/>
      <c r="M945" s="208"/>
      <c r="N945" s="208"/>
      <c r="O945" s="208"/>
      <c r="P945" s="208"/>
      <c r="Q945" s="208"/>
      <c r="R945" s="208"/>
      <c r="S945" s="208"/>
      <c r="T945" s="208"/>
      <c r="U945" s="208"/>
      <c r="V945" s="208"/>
      <c r="W945" s="208"/>
      <c r="X945" s="208"/>
      <c r="Y945" s="208"/>
      <c r="Z945" s="208"/>
      <c r="AA945" s="208"/>
      <c r="AB945" s="208"/>
      <c r="AC945" s="208"/>
      <c r="AD945" s="208"/>
      <c r="AE945" s="208"/>
      <c r="AF945" s="208"/>
      <c r="AG945" s="208"/>
      <c r="AH945" s="208"/>
      <c r="AI945" s="208"/>
      <c r="AJ945" s="208"/>
      <c r="AK945" s="208"/>
      <c r="AL945" s="208"/>
      <c r="AM945" s="208"/>
      <c r="AN945" s="208"/>
      <c r="AO945" s="208"/>
      <c r="AP945" s="208"/>
      <c r="AQ945" s="208"/>
      <c r="AR945" s="208"/>
      <c r="AS945" s="208"/>
      <c r="AT945" s="208"/>
      <c r="AU945" s="208"/>
      <c r="AV945" s="208"/>
      <c r="AW945" s="208"/>
      <c r="AX945" s="208"/>
      <c r="AY945" s="208"/>
      <c r="AZ945" s="208"/>
      <c r="BA945" s="208"/>
    </row>
    <row r="946" ht="15.75" hidden="1" customHeight="1">
      <c r="A946" s="208"/>
      <c r="B946" s="208"/>
      <c r="C946" s="208"/>
      <c r="D946" s="208"/>
      <c r="E946" s="208"/>
      <c r="F946" s="208"/>
      <c r="G946" s="208"/>
      <c r="H946" s="208"/>
      <c r="I946" s="208"/>
      <c r="J946" s="208"/>
      <c r="K946" s="208"/>
      <c r="L946" s="208"/>
      <c r="M946" s="208"/>
      <c r="N946" s="208"/>
      <c r="O946" s="208"/>
      <c r="P946" s="208"/>
      <c r="Q946" s="208"/>
      <c r="R946" s="208"/>
      <c r="S946" s="208"/>
      <c r="T946" s="208"/>
      <c r="U946" s="208"/>
      <c r="V946" s="208"/>
      <c r="W946" s="208"/>
      <c r="X946" s="208"/>
      <c r="Y946" s="208"/>
      <c r="Z946" s="208"/>
      <c r="AA946" s="208"/>
      <c r="AB946" s="208"/>
      <c r="AC946" s="208"/>
      <c r="AD946" s="208"/>
      <c r="AE946" s="208"/>
      <c r="AF946" s="208"/>
      <c r="AG946" s="208"/>
      <c r="AH946" s="208"/>
      <c r="AI946" s="208"/>
      <c r="AJ946" s="208"/>
      <c r="AK946" s="208"/>
      <c r="AL946" s="208"/>
      <c r="AM946" s="208"/>
      <c r="AN946" s="208"/>
      <c r="AO946" s="208"/>
      <c r="AP946" s="208"/>
      <c r="AQ946" s="208"/>
      <c r="AR946" s="208"/>
      <c r="AS946" s="208"/>
      <c r="AT946" s="208"/>
      <c r="AU946" s="208"/>
      <c r="AV946" s="208"/>
      <c r="AW946" s="208"/>
      <c r="AX946" s="208"/>
      <c r="AY946" s="208"/>
      <c r="AZ946" s="208"/>
      <c r="BA946" s="208"/>
    </row>
    <row r="947" ht="15.75" hidden="1" customHeight="1">
      <c r="A947" s="208"/>
      <c r="B947" s="208"/>
      <c r="C947" s="208"/>
      <c r="D947" s="208"/>
      <c r="E947" s="208"/>
      <c r="F947" s="208"/>
      <c r="G947" s="208"/>
      <c r="H947" s="208"/>
      <c r="I947" s="208"/>
      <c r="J947" s="208"/>
      <c r="K947" s="208"/>
      <c r="L947" s="208"/>
      <c r="M947" s="208"/>
      <c r="N947" s="208"/>
      <c r="O947" s="208"/>
      <c r="P947" s="208"/>
      <c r="Q947" s="208"/>
      <c r="R947" s="208"/>
      <c r="S947" s="208"/>
      <c r="T947" s="208"/>
      <c r="U947" s="208"/>
      <c r="V947" s="208"/>
      <c r="W947" s="208"/>
      <c r="X947" s="208"/>
      <c r="Y947" s="208"/>
      <c r="Z947" s="208"/>
      <c r="AA947" s="208"/>
      <c r="AB947" s="208"/>
      <c r="AC947" s="208"/>
      <c r="AD947" s="208"/>
      <c r="AE947" s="208"/>
      <c r="AF947" s="208"/>
      <c r="AG947" s="208"/>
      <c r="AH947" s="208"/>
      <c r="AI947" s="208"/>
      <c r="AJ947" s="208"/>
      <c r="AK947" s="208"/>
      <c r="AL947" s="208"/>
      <c r="AM947" s="208"/>
      <c r="AN947" s="208"/>
      <c r="AO947" s="208"/>
      <c r="AP947" s="208"/>
      <c r="AQ947" s="208"/>
      <c r="AR947" s="208"/>
      <c r="AS947" s="208"/>
      <c r="AT947" s="208"/>
      <c r="AU947" s="208"/>
      <c r="AV947" s="208"/>
      <c r="AW947" s="208"/>
      <c r="AX947" s="208"/>
      <c r="AY947" s="208"/>
      <c r="AZ947" s="208"/>
      <c r="BA947" s="208"/>
    </row>
    <row r="948" ht="15.75" hidden="1" customHeight="1">
      <c r="A948" s="208"/>
      <c r="B948" s="208"/>
      <c r="C948" s="208"/>
      <c r="D948" s="208"/>
      <c r="E948" s="208"/>
      <c r="F948" s="208"/>
      <c r="G948" s="208"/>
      <c r="H948" s="208"/>
      <c r="I948" s="208"/>
      <c r="J948" s="208"/>
      <c r="K948" s="208"/>
      <c r="L948" s="208"/>
      <c r="M948" s="208"/>
      <c r="N948" s="208"/>
      <c r="O948" s="208"/>
      <c r="P948" s="208"/>
      <c r="Q948" s="208"/>
      <c r="R948" s="208"/>
      <c r="S948" s="208"/>
      <c r="T948" s="208"/>
      <c r="U948" s="208"/>
      <c r="V948" s="208"/>
      <c r="W948" s="208"/>
      <c r="X948" s="208"/>
      <c r="Y948" s="208"/>
      <c r="Z948" s="208"/>
      <c r="AA948" s="208"/>
      <c r="AB948" s="208"/>
      <c r="AC948" s="208"/>
      <c r="AD948" s="208"/>
      <c r="AE948" s="208"/>
      <c r="AF948" s="208"/>
      <c r="AG948" s="208"/>
      <c r="AH948" s="208"/>
      <c r="AI948" s="208"/>
      <c r="AJ948" s="208"/>
      <c r="AK948" s="208"/>
      <c r="AL948" s="208"/>
      <c r="AM948" s="208"/>
      <c r="AN948" s="208"/>
      <c r="AO948" s="208"/>
      <c r="AP948" s="208"/>
      <c r="AQ948" s="208"/>
      <c r="AR948" s="208"/>
      <c r="AS948" s="208"/>
      <c r="AT948" s="208"/>
      <c r="AU948" s="208"/>
      <c r="AV948" s="208"/>
      <c r="AW948" s="208"/>
      <c r="AX948" s="208"/>
      <c r="AY948" s="208"/>
      <c r="AZ948" s="208"/>
      <c r="BA948" s="208"/>
    </row>
    <row r="949" ht="15.75" hidden="1" customHeight="1">
      <c r="A949" s="208"/>
      <c r="B949" s="208"/>
      <c r="C949" s="208"/>
      <c r="D949" s="208"/>
      <c r="E949" s="208"/>
      <c r="F949" s="208"/>
      <c r="G949" s="208"/>
      <c r="H949" s="208"/>
      <c r="I949" s="208"/>
      <c r="J949" s="208"/>
      <c r="K949" s="208"/>
      <c r="L949" s="208"/>
      <c r="M949" s="208"/>
      <c r="N949" s="208"/>
      <c r="O949" s="208"/>
      <c r="P949" s="208"/>
      <c r="Q949" s="208"/>
      <c r="R949" s="208"/>
      <c r="S949" s="208"/>
      <c r="T949" s="208"/>
      <c r="U949" s="208"/>
      <c r="V949" s="208"/>
      <c r="W949" s="208"/>
      <c r="X949" s="208"/>
      <c r="Y949" s="208"/>
      <c r="Z949" s="208"/>
      <c r="AA949" s="208"/>
      <c r="AB949" s="208"/>
      <c r="AC949" s="208"/>
      <c r="AD949" s="208"/>
      <c r="AE949" s="208"/>
      <c r="AF949" s="208"/>
      <c r="AG949" s="208"/>
      <c r="AH949" s="208"/>
      <c r="AI949" s="208"/>
      <c r="AJ949" s="208"/>
      <c r="AK949" s="208"/>
      <c r="AL949" s="208"/>
      <c r="AM949" s="208"/>
      <c r="AN949" s="208"/>
      <c r="AO949" s="208"/>
      <c r="AP949" s="208"/>
      <c r="AQ949" s="208"/>
      <c r="AR949" s="208"/>
      <c r="AS949" s="208"/>
      <c r="AT949" s="208"/>
      <c r="AU949" s="208"/>
      <c r="AV949" s="208"/>
      <c r="AW949" s="208"/>
      <c r="AX949" s="208"/>
      <c r="AY949" s="208"/>
      <c r="AZ949" s="208"/>
      <c r="BA949" s="208"/>
    </row>
    <row r="950" ht="15.75" hidden="1" customHeight="1">
      <c r="A950" s="208"/>
      <c r="B950" s="208"/>
      <c r="C950" s="208"/>
      <c r="D950" s="208"/>
      <c r="E950" s="208"/>
      <c r="F950" s="208"/>
      <c r="G950" s="208"/>
      <c r="H950" s="208"/>
      <c r="I950" s="208"/>
      <c r="J950" s="208"/>
      <c r="K950" s="208"/>
      <c r="L950" s="208"/>
      <c r="M950" s="208"/>
      <c r="N950" s="208"/>
      <c r="O950" s="208"/>
      <c r="P950" s="208"/>
      <c r="Q950" s="208"/>
      <c r="R950" s="208"/>
      <c r="S950" s="208"/>
      <c r="T950" s="208"/>
      <c r="U950" s="208"/>
      <c r="V950" s="208"/>
      <c r="W950" s="208"/>
      <c r="X950" s="208"/>
      <c r="Y950" s="208"/>
      <c r="Z950" s="208"/>
      <c r="AA950" s="208"/>
      <c r="AB950" s="208"/>
      <c r="AC950" s="208"/>
      <c r="AD950" s="208"/>
      <c r="AE950" s="208"/>
      <c r="AF950" s="208"/>
      <c r="AG950" s="208"/>
      <c r="AH950" s="208"/>
      <c r="AI950" s="208"/>
      <c r="AJ950" s="208"/>
      <c r="AK950" s="208"/>
      <c r="AL950" s="208"/>
      <c r="AM950" s="208"/>
      <c r="AN950" s="208"/>
      <c r="AO950" s="208"/>
      <c r="AP950" s="208"/>
      <c r="AQ950" s="208"/>
      <c r="AR950" s="208"/>
      <c r="AS950" s="208"/>
      <c r="AT950" s="208"/>
      <c r="AU950" s="208"/>
      <c r="AV950" s="208"/>
      <c r="AW950" s="208"/>
      <c r="AX950" s="208"/>
      <c r="AY950" s="208"/>
      <c r="AZ950" s="208"/>
      <c r="BA950" s="208"/>
    </row>
    <row r="951" ht="15.75" hidden="1" customHeight="1">
      <c r="A951" s="208"/>
      <c r="B951" s="208"/>
      <c r="C951" s="208"/>
      <c r="D951" s="208"/>
      <c r="E951" s="208"/>
      <c r="F951" s="208"/>
      <c r="G951" s="208"/>
      <c r="H951" s="208"/>
      <c r="I951" s="208"/>
      <c r="J951" s="208"/>
      <c r="K951" s="208"/>
      <c r="L951" s="208"/>
      <c r="M951" s="208"/>
      <c r="N951" s="208"/>
      <c r="O951" s="208"/>
      <c r="P951" s="208"/>
      <c r="Q951" s="208"/>
      <c r="R951" s="208"/>
      <c r="S951" s="208"/>
      <c r="T951" s="208"/>
      <c r="U951" s="208"/>
      <c r="V951" s="208"/>
      <c r="W951" s="208"/>
      <c r="X951" s="208"/>
      <c r="Y951" s="208"/>
      <c r="Z951" s="208"/>
      <c r="AA951" s="208"/>
      <c r="AB951" s="208"/>
      <c r="AC951" s="208"/>
      <c r="AD951" s="208"/>
      <c r="AE951" s="208"/>
      <c r="AF951" s="208"/>
      <c r="AG951" s="208"/>
      <c r="AH951" s="208"/>
      <c r="AI951" s="208"/>
      <c r="AJ951" s="208"/>
      <c r="AK951" s="208"/>
      <c r="AL951" s="208"/>
      <c r="AM951" s="208"/>
      <c r="AN951" s="208"/>
      <c r="AO951" s="208"/>
      <c r="AP951" s="208"/>
      <c r="AQ951" s="208"/>
      <c r="AR951" s="208"/>
      <c r="AS951" s="208"/>
      <c r="AT951" s="208"/>
      <c r="AU951" s="208"/>
      <c r="AV951" s="208"/>
      <c r="AW951" s="208"/>
      <c r="AX951" s="208"/>
      <c r="AY951" s="208"/>
      <c r="AZ951" s="208"/>
      <c r="BA951" s="208"/>
    </row>
    <row r="952" ht="15.75" hidden="1" customHeight="1">
      <c r="A952" s="208"/>
      <c r="B952" s="208"/>
      <c r="C952" s="208"/>
      <c r="D952" s="208"/>
      <c r="E952" s="208"/>
      <c r="F952" s="208"/>
      <c r="G952" s="208"/>
      <c r="H952" s="208"/>
      <c r="I952" s="208"/>
      <c r="J952" s="208"/>
      <c r="K952" s="208"/>
      <c r="L952" s="208"/>
      <c r="M952" s="208"/>
      <c r="N952" s="208"/>
      <c r="O952" s="208"/>
      <c r="P952" s="208"/>
      <c r="Q952" s="208"/>
      <c r="R952" s="208"/>
      <c r="S952" s="208"/>
      <c r="T952" s="208"/>
      <c r="U952" s="208"/>
      <c r="V952" s="208"/>
      <c r="W952" s="208"/>
      <c r="X952" s="208"/>
      <c r="Y952" s="208"/>
      <c r="Z952" s="208"/>
      <c r="AA952" s="208"/>
      <c r="AB952" s="208"/>
      <c r="AC952" s="208"/>
      <c r="AD952" s="208"/>
      <c r="AE952" s="208"/>
      <c r="AF952" s="208"/>
      <c r="AG952" s="208"/>
      <c r="AH952" s="208"/>
      <c r="AI952" s="208"/>
      <c r="AJ952" s="208"/>
      <c r="AK952" s="208"/>
      <c r="AL952" s="208"/>
      <c r="AM952" s="208"/>
      <c r="AN952" s="208"/>
      <c r="AO952" s="208"/>
      <c r="AP952" s="208"/>
      <c r="AQ952" s="208"/>
      <c r="AR952" s="208"/>
      <c r="AS952" s="208"/>
      <c r="AT952" s="208"/>
      <c r="AU952" s="208"/>
      <c r="AV952" s="208"/>
      <c r="AW952" s="208"/>
      <c r="AX952" s="208"/>
      <c r="AY952" s="208"/>
      <c r="AZ952" s="208"/>
      <c r="BA952" s="208"/>
    </row>
    <row r="953" ht="15.75" hidden="1" customHeight="1">
      <c r="A953" s="208"/>
      <c r="B953" s="208"/>
      <c r="C953" s="208"/>
      <c r="D953" s="208"/>
      <c r="E953" s="208"/>
      <c r="F953" s="208"/>
      <c r="G953" s="208"/>
      <c r="H953" s="208"/>
      <c r="I953" s="208"/>
      <c r="J953" s="208"/>
      <c r="K953" s="208"/>
      <c r="L953" s="208"/>
      <c r="M953" s="208"/>
      <c r="N953" s="208"/>
      <c r="O953" s="208"/>
      <c r="P953" s="208"/>
      <c r="Q953" s="208"/>
      <c r="R953" s="208"/>
      <c r="S953" s="208"/>
      <c r="T953" s="208"/>
      <c r="U953" s="208"/>
      <c r="V953" s="208"/>
      <c r="W953" s="208"/>
      <c r="X953" s="208"/>
      <c r="Y953" s="208"/>
      <c r="Z953" s="208"/>
      <c r="AA953" s="208"/>
      <c r="AB953" s="208"/>
      <c r="AC953" s="208"/>
      <c r="AD953" s="208"/>
      <c r="AE953" s="208"/>
      <c r="AF953" s="208"/>
      <c r="AG953" s="208"/>
      <c r="AH953" s="208"/>
      <c r="AI953" s="208"/>
      <c r="AJ953" s="208"/>
      <c r="AK953" s="208"/>
      <c r="AL953" s="208"/>
      <c r="AM953" s="208"/>
      <c r="AN953" s="208"/>
      <c r="AO953" s="208"/>
      <c r="AP953" s="208"/>
      <c r="AQ953" s="208"/>
      <c r="AR953" s="208"/>
      <c r="AS953" s="208"/>
      <c r="AT953" s="208"/>
      <c r="AU953" s="208"/>
      <c r="AV953" s="208"/>
      <c r="AW953" s="208"/>
      <c r="AX953" s="208"/>
      <c r="AY953" s="208"/>
      <c r="AZ953" s="208"/>
      <c r="BA953" s="208"/>
    </row>
    <row r="954" ht="15.75" hidden="1" customHeight="1">
      <c r="A954" s="208"/>
      <c r="B954" s="208"/>
      <c r="C954" s="208"/>
      <c r="D954" s="208"/>
      <c r="E954" s="208"/>
      <c r="F954" s="208"/>
      <c r="G954" s="208"/>
      <c r="H954" s="208"/>
      <c r="I954" s="208"/>
      <c r="J954" s="208"/>
      <c r="K954" s="208"/>
      <c r="L954" s="208"/>
      <c r="M954" s="208"/>
      <c r="N954" s="208"/>
      <c r="O954" s="208"/>
      <c r="P954" s="208"/>
      <c r="Q954" s="208"/>
      <c r="R954" s="208"/>
      <c r="S954" s="208"/>
      <c r="T954" s="208"/>
      <c r="U954" s="208"/>
      <c r="V954" s="208"/>
      <c r="W954" s="208"/>
      <c r="X954" s="208"/>
      <c r="Y954" s="208"/>
      <c r="Z954" s="208"/>
      <c r="AA954" s="208"/>
      <c r="AB954" s="208"/>
      <c r="AC954" s="208"/>
      <c r="AD954" s="208"/>
      <c r="AE954" s="208"/>
      <c r="AF954" s="208"/>
      <c r="AG954" s="208"/>
      <c r="AH954" s="208"/>
      <c r="AI954" s="208"/>
      <c r="AJ954" s="208"/>
      <c r="AK954" s="208"/>
      <c r="AL954" s="208"/>
      <c r="AM954" s="208"/>
      <c r="AN954" s="208"/>
      <c r="AO954" s="208"/>
      <c r="AP954" s="208"/>
      <c r="AQ954" s="208"/>
      <c r="AR954" s="208"/>
      <c r="AS954" s="208"/>
      <c r="AT954" s="208"/>
      <c r="AU954" s="208"/>
      <c r="AV954" s="208"/>
      <c r="AW954" s="208"/>
      <c r="AX954" s="208"/>
      <c r="AY954" s="208"/>
      <c r="AZ954" s="208"/>
      <c r="BA954" s="208"/>
    </row>
    <row r="955" ht="15.75" hidden="1" customHeight="1">
      <c r="A955" s="208"/>
      <c r="B955" s="208"/>
      <c r="C955" s="208"/>
      <c r="D955" s="208"/>
      <c r="E955" s="208"/>
      <c r="F955" s="208"/>
      <c r="G955" s="208"/>
      <c r="H955" s="208"/>
      <c r="I955" s="208"/>
      <c r="J955" s="208"/>
      <c r="K955" s="208"/>
      <c r="L955" s="208"/>
      <c r="M955" s="208"/>
      <c r="N955" s="208"/>
      <c r="O955" s="208"/>
      <c r="P955" s="208"/>
      <c r="Q955" s="208"/>
      <c r="R955" s="208"/>
      <c r="S955" s="208"/>
      <c r="T955" s="208"/>
      <c r="U955" s="208"/>
      <c r="V955" s="208"/>
      <c r="W955" s="208"/>
      <c r="X955" s="208"/>
      <c r="Y955" s="208"/>
      <c r="Z955" s="208"/>
      <c r="AA955" s="208"/>
      <c r="AB955" s="208"/>
      <c r="AC955" s="208"/>
      <c r="AD955" s="208"/>
      <c r="AE955" s="208"/>
      <c r="AF955" s="208"/>
      <c r="AG955" s="208"/>
      <c r="AH955" s="208"/>
      <c r="AI955" s="208"/>
      <c r="AJ955" s="208"/>
      <c r="AK955" s="208"/>
      <c r="AL955" s="208"/>
      <c r="AM955" s="208"/>
      <c r="AN955" s="208"/>
      <c r="AO955" s="208"/>
      <c r="AP955" s="208"/>
      <c r="AQ955" s="208"/>
      <c r="AR955" s="208"/>
      <c r="AS955" s="208"/>
      <c r="AT955" s="208"/>
      <c r="AU955" s="208"/>
      <c r="AV955" s="208"/>
      <c r="AW955" s="208"/>
      <c r="AX955" s="208"/>
      <c r="AY955" s="208"/>
      <c r="AZ955" s="208"/>
      <c r="BA955" s="208"/>
    </row>
    <row r="956" ht="15.75" hidden="1" customHeight="1">
      <c r="A956" s="208"/>
      <c r="B956" s="208"/>
      <c r="C956" s="208"/>
      <c r="D956" s="208"/>
      <c r="E956" s="208"/>
      <c r="F956" s="208"/>
      <c r="G956" s="208"/>
      <c r="H956" s="208"/>
      <c r="I956" s="208"/>
      <c r="J956" s="208"/>
      <c r="K956" s="208"/>
      <c r="L956" s="208"/>
      <c r="M956" s="208"/>
      <c r="N956" s="208"/>
      <c r="O956" s="208"/>
      <c r="P956" s="208"/>
      <c r="Q956" s="208"/>
      <c r="R956" s="208"/>
      <c r="S956" s="208"/>
      <c r="T956" s="208"/>
      <c r="U956" s="208"/>
      <c r="V956" s="208"/>
      <c r="W956" s="208"/>
      <c r="X956" s="208"/>
      <c r="Y956" s="208"/>
      <c r="Z956" s="208"/>
      <c r="AA956" s="208"/>
      <c r="AB956" s="208"/>
      <c r="AC956" s="208"/>
      <c r="AD956" s="208"/>
      <c r="AE956" s="208"/>
      <c r="AF956" s="208"/>
      <c r="AG956" s="208"/>
      <c r="AH956" s="208"/>
      <c r="AI956" s="208"/>
      <c r="AJ956" s="208"/>
      <c r="AK956" s="208"/>
      <c r="AL956" s="208"/>
      <c r="AM956" s="208"/>
      <c r="AN956" s="208"/>
      <c r="AO956" s="208"/>
      <c r="AP956" s="208"/>
      <c r="AQ956" s="208"/>
      <c r="AR956" s="208"/>
      <c r="AS956" s="208"/>
      <c r="AT956" s="208"/>
      <c r="AU956" s="208"/>
      <c r="AV956" s="208"/>
      <c r="AW956" s="208"/>
      <c r="AX956" s="208"/>
      <c r="AY956" s="208"/>
      <c r="AZ956" s="208"/>
      <c r="BA956" s="208"/>
    </row>
    <row r="957" ht="15.75" hidden="1" customHeight="1">
      <c r="A957" s="208"/>
      <c r="B957" s="208"/>
      <c r="C957" s="208"/>
      <c r="D957" s="208"/>
      <c r="E957" s="208"/>
      <c r="F957" s="208"/>
      <c r="G957" s="208"/>
      <c r="H957" s="208"/>
      <c r="I957" s="208"/>
      <c r="J957" s="208"/>
      <c r="K957" s="208"/>
      <c r="L957" s="208"/>
      <c r="M957" s="208"/>
      <c r="N957" s="208"/>
      <c r="O957" s="208"/>
      <c r="P957" s="208"/>
      <c r="Q957" s="208"/>
      <c r="R957" s="208"/>
      <c r="S957" s="208"/>
      <c r="T957" s="208"/>
      <c r="U957" s="208"/>
      <c r="V957" s="208"/>
      <c r="W957" s="208"/>
      <c r="X957" s="208"/>
      <c r="Y957" s="208"/>
      <c r="Z957" s="208"/>
      <c r="AA957" s="208"/>
      <c r="AB957" s="208"/>
      <c r="AC957" s="208"/>
      <c r="AD957" s="208"/>
      <c r="AE957" s="208"/>
      <c r="AF957" s="208"/>
      <c r="AG957" s="208"/>
      <c r="AH957" s="208"/>
      <c r="AI957" s="208"/>
      <c r="AJ957" s="208"/>
      <c r="AK957" s="208"/>
      <c r="AL957" s="208"/>
      <c r="AM957" s="208"/>
      <c r="AN957" s="208"/>
      <c r="AO957" s="208"/>
      <c r="AP957" s="208"/>
      <c r="AQ957" s="208"/>
      <c r="AR957" s="208"/>
      <c r="AS957" s="208"/>
      <c r="AT957" s="208"/>
      <c r="AU957" s="208"/>
      <c r="AV957" s="208"/>
      <c r="AW957" s="208"/>
      <c r="AX957" s="208"/>
      <c r="AY957" s="208"/>
      <c r="AZ957" s="208"/>
      <c r="BA957" s="208"/>
    </row>
    <row r="958" ht="15.75" hidden="1" customHeight="1">
      <c r="A958" s="208"/>
      <c r="B958" s="208"/>
      <c r="C958" s="208"/>
      <c r="D958" s="208"/>
      <c r="E958" s="208"/>
      <c r="F958" s="208"/>
      <c r="G958" s="208"/>
      <c r="H958" s="208"/>
      <c r="I958" s="208"/>
      <c r="J958" s="208"/>
      <c r="K958" s="208"/>
      <c r="L958" s="208"/>
      <c r="M958" s="208"/>
      <c r="N958" s="208"/>
      <c r="O958" s="208"/>
      <c r="P958" s="208"/>
      <c r="Q958" s="208"/>
      <c r="R958" s="208"/>
      <c r="S958" s="208"/>
      <c r="T958" s="208"/>
      <c r="U958" s="208"/>
      <c r="V958" s="208"/>
      <c r="W958" s="208"/>
      <c r="X958" s="208"/>
      <c r="Y958" s="208"/>
      <c r="Z958" s="208"/>
      <c r="AA958" s="208"/>
      <c r="AB958" s="208"/>
      <c r="AC958" s="208"/>
      <c r="AD958" s="208"/>
      <c r="AE958" s="208"/>
      <c r="AF958" s="208"/>
      <c r="AG958" s="208"/>
      <c r="AH958" s="208"/>
      <c r="AI958" s="208"/>
      <c r="AJ958" s="208"/>
      <c r="AK958" s="208"/>
      <c r="AL958" s="208"/>
      <c r="AM958" s="208"/>
      <c r="AN958" s="208"/>
      <c r="AO958" s="208"/>
      <c r="AP958" s="208"/>
      <c r="AQ958" s="208"/>
      <c r="AR958" s="208"/>
      <c r="AS958" s="208"/>
      <c r="AT958" s="208"/>
      <c r="AU958" s="208"/>
      <c r="AV958" s="208"/>
      <c r="AW958" s="208"/>
      <c r="AX958" s="208"/>
      <c r="AY958" s="208"/>
      <c r="AZ958" s="208"/>
      <c r="BA958" s="208"/>
    </row>
    <row r="959" ht="15.75" hidden="1" customHeight="1">
      <c r="A959" s="208"/>
      <c r="B959" s="208"/>
      <c r="C959" s="208"/>
      <c r="D959" s="208"/>
      <c r="E959" s="208"/>
      <c r="F959" s="208"/>
      <c r="G959" s="208"/>
      <c r="H959" s="208"/>
      <c r="I959" s="208"/>
      <c r="J959" s="208"/>
      <c r="K959" s="208"/>
      <c r="L959" s="208"/>
      <c r="M959" s="208"/>
      <c r="N959" s="208"/>
      <c r="O959" s="208"/>
      <c r="P959" s="208"/>
      <c r="Q959" s="208"/>
      <c r="R959" s="208"/>
      <c r="S959" s="208"/>
      <c r="T959" s="208"/>
      <c r="U959" s="208"/>
      <c r="V959" s="208"/>
      <c r="W959" s="208"/>
      <c r="X959" s="208"/>
      <c r="Y959" s="208"/>
      <c r="Z959" s="208"/>
      <c r="AA959" s="208"/>
      <c r="AB959" s="208"/>
      <c r="AC959" s="208"/>
      <c r="AD959" s="208"/>
      <c r="AE959" s="208"/>
      <c r="AF959" s="208"/>
      <c r="AG959" s="208"/>
      <c r="AH959" s="208"/>
      <c r="AI959" s="208"/>
      <c r="AJ959" s="208"/>
      <c r="AK959" s="208"/>
      <c r="AL959" s="208"/>
      <c r="AM959" s="208"/>
      <c r="AN959" s="208"/>
      <c r="AO959" s="208"/>
      <c r="AP959" s="208"/>
      <c r="AQ959" s="208"/>
      <c r="AR959" s="208"/>
      <c r="AS959" s="208"/>
      <c r="AT959" s="208"/>
      <c r="AU959" s="208"/>
      <c r="AV959" s="208"/>
      <c r="AW959" s="208"/>
      <c r="AX959" s="208"/>
      <c r="AY959" s="208"/>
      <c r="AZ959" s="208"/>
      <c r="BA959" s="208"/>
    </row>
    <row r="960" ht="15.75" hidden="1" customHeight="1">
      <c r="A960" s="208"/>
      <c r="B960" s="208"/>
      <c r="C960" s="208"/>
      <c r="D960" s="208"/>
      <c r="E960" s="208"/>
      <c r="F960" s="208"/>
      <c r="G960" s="208"/>
      <c r="H960" s="208"/>
      <c r="I960" s="208"/>
      <c r="J960" s="208"/>
      <c r="K960" s="208"/>
      <c r="L960" s="208"/>
      <c r="M960" s="208"/>
      <c r="N960" s="208"/>
      <c r="O960" s="208"/>
      <c r="P960" s="208"/>
      <c r="Q960" s="208"/>
      <c r="R960" s="208"/>
      <c r="S960" s="208"/>
      <c r="T960" s="208"/>
      <c r="U960" s="208"/>
      <c r="V960" s="208"/>
      <c r="W960" s="208"/>
      <c r="X960" s="208"/>
      <c r="Y960" s="208"/>
      <c r="Z960" s="208"/>
      <c r="AA960" s="208"/>
      <c r="AB960" s="208"/>
      <c r="AC960" s="208"/>
      <c r="AD960" s="208"/>
      <c r="AE960" s="208"/>
      <c r="AF960" s="208"/>
      <c r="AG960" s="208"/>
      <c r="AH960" s="208"/>
      <c r="AI960" s="208"/>
      <c r="AJ960" s="208"/>
      <c r="AK960" s="208"/>
      <c r="AL960" s="208"/>
      <c r="AM960" s="208"/>
      <c r="AN960" s="208"/>
      <c r="AO960" s="208"/>
      <c r="AP960" s="208"/>
      <c r="AQ960" s="208"/>
      <c r="AR960" s="208"/>
      <c r="AS960" s="208"/>
      <c r="AT960" s="208"/>
      <c r="AU960" s="208"/>
      <c r="AV960" s="208"/>
      <c r="AW960" s="208"/>
      <c r="AX960" s="208"/>
      <c r="AY960" s="208"/>
      <c r="AZ960" s="208"/>
      <c r="BA960" s="208"/>
    </row>
    <row r="961" ht="15.75" hidden="1" customHeight="1">
      <c r="A961" s="208"/>
      <c r="B961" s="208"/>
      <c r="C961" s="208"/>
      <c r="D961" s="208"/>
      <c r="E961" s="208"/>
      <c r="F961" s="208"/>
      <c r="G961" s="208"/>
      <c r="H961" s="208"/>
      <c r="I961" s="208"/>
      <c r="J961" s="208"/>
      <c r="K961" s="208"/>
      <c r="L961" s="208"/>
      <c r="M961" s="208"/>
      <c r="N961" s="208"/>
      <c r="O961" s="208"/>
      <c r="P961" s="208"/>
      <c r="Q961" s="208"/>
      <c r="R961" s="208"/>
      <c r="S961" s="208"/>
      <c r="T961" s="208"/>
      <c r="U961" s="208"/>
      <c r="V961" s="208"/>
      <c r="W961" s="208"/>
      <c r="X961" s="208"/>
      <c r="Y961" s="208"/>
      <c r="Z961" s="208"/>
      <c r="AA961" s="208"/>
      <c r="AB961" s="208"/>
      <c r="AC961" s="208"/>
      <c r="AD961" s="208"/>
      <c r="AE961" s="208"/>
      <c r="AF961" s="208"/>
      <c r="AG961" s="208"/>
      <c r="AH961" s="208"/>
      <c r="AI961" s="208"/>
      <c r="AJ961" s="208"/>
      <c r="AK961" s="208"/>
      <c r="AL961" s="208"/>
      <c r="AM961" s="208"/>
      <c r="AN961" s="208"/>
      <c r="AO961" s="208"/>
      <c r="AP961" s="208"/>
      <c r="AQ961" s="208"/>
      <c r="AR961" s="208"/>
      <c r="AS961" s="208"/>
      <c r="AT961" s="208"/>
      <c r="AU961" s="208"/>
      <c r="AV961" s="208"/>
      <c r="AW961" s="208"/>
      <c r="AX961" s="208"/>
      <c r="AY961" s="208"/>
      <c r="AZ961" s="208"/>
      <c r="BA961" s="208"/>
    </row>
    <row r="962" ht="15.75" hidden="1" customHeight="1">
      <c r="A962" s="208"/>
      <c r="B962" s="208"/>
      <c r="C962" s="208"/>
      <c r="D962" s="208"/>
      <c r="E962" s="208"/>
      <c r="F962" s="208"/>
      <c r="G962" s="208"/>
      <c r="H962" s="208"/>
      <c r="I962" s="208"/>
      <c r="J962" s="208"/>
      <c r="K962" s="208"/>
      <c r="L962" s="208"/>
      <c r="M962" s="208"/>
      <c r="N962" s="208"/>
      <c r="O962" s="208"/>
      <c r="P962" s="208"/>
      <c r="Q962" s="208"/>
      <c r="R962" s="208"/>
      <c r="S962" s="208"/>
      <c r="T962" s="208"/>
      <c r="U962" s="208"/>
      <c r="V962" s="208"/>
      <c r="W962" s="208"/>
      <c r="X962" s="208"/>
      <c r="Y962" s="208"/>
      <c r="Z962" s="208"/>
      <c r="AA962" s="208"/>
      <c r="AB962" s="208"/>
      <c r="AC962" s="208"/>
      <c r="AD962" s="208"/>
      <c r="AE962" s="208"/>
      <c r="AF962" s="208"/>
      <c r="AG962" s="208"/>
      <c r="AH962" s="208"/>
      <c r="AI962" s="208"/>
      <c r="AJ962" s="208"/>
      <c r="AK962" s="208"/>
      <c r="AL962" s="208"/>
      <c r="AM962" s="208"/>
      <c r="AN962" s="208"/>
      <c r="AO962" s="208"/>
      <c r="AP962" s="208"/>
      <c r="AQ962" s="208"/>
      <c r="AR962" s="208"/>
      <c r="AS962" s="208"/>
      <c r="AT962" s="208"/>
      <c r="AU962" s="208"/>
      <c r="AV962" s="208"/>
      <c r="AW962" s="208"/>
      <c r="AX962" s="208"/>
      <c r="AY962" s="208"/>
      <c r="AZ962" s="208"/>
      <c r="BA962" s="208"/>
    </row>
    <row r="963" ht="15.75" hidden="1" customHeight="1">
      <c r="A963" s="208"/>
      <c r="B963" s="208"/>
      <c r="C963" s="208"/>
      <c r="D963" s="208"/>
      <c r="E963" s="208"/>
      <c r="F963" s="208"/>
      <c r="G963" s="208"/>
      <c r="H963" s="208"/>
      <c r="I963" s="208"/>
      <c r="J963" s="208"/>
      <c r="K963" s="208"/>
      <c r="L963" s="208"/>
      <c r="M963" s="208"/>
      <c r="N963" s="208"/>
      <c r="O963" s="208"/>
      <c r="P963" s="208"/>
      <c r="Q963" s="208"/>
      <c r="R963" s="208"/>
      <c r="S963" s="208"/>
      <c r="T963" s="208"/>
      <c r="U963" s="208"/>
      <c r="V963" s="208"/>
      <c r="W963" s="208"/>
      <c r="X963" s="208"/>
      <c r="Y963" s="208"/>
      <c r="Z963" s="208"/>
      <c r="AA963" s="208"/>
      <c r="AB963" s="208"/>
      <c r="AC963" s="208"/>
      <c r="AD963" s="208"/>
      <c r="AE963" s="208"/>
      <c r="AF963" s="208"/>
      <c r="AG963" s="208"/>
      <c r="AH963" s="208"/>
      <c r="AI963" s="208"/>
      <c r="AJ963" s="208"/>
      <c r="AK963" s="208"/>
      <c r="AL963" s="208"/>
      <c r="AM963" s="208"/>
      <c r="AN963" s="208"/>
      <c r="AO963" s="208"/>
      <c r="AP963" s="208"/>
      <c r="AQ963" s="208"/>
      <c r="AR963" s="208"/>
      <c r="AS963" s="208"/>
      <c r="AT963" s="208"/>
      <c r="AU963" s="208"/>
      <c r="AV963" s="208"/>
      <c r="AW963" s="208"/>
      <c r="AX963" s="208"/>
      <c r="AY963" s="208"/>
      <c r="AZ963" s="208"/>
      <c r="BA963" s="208"/>
    </row>
    <row r="964" ht="15.75" hidden="1" customHeight="1">
      <c r="A964" s="208"/>
      <c r="B964" s="208"/>
      <c r="C964" s="208"/>
      <c r="D964" s="208"/>
      <c r="E964" s="208"/>
      <c r="F964" s="208"/>
      <c r="G964" s="208"/>
      <c r="H964" s="208"/>
      <c r="I964" s="208"/>
      <c r="J964" s="208"/>
      <c r="K964" s="208"/>
      <c r="L964" s="208"/>
      <c r="M964" s="208"/>
      <c r="N964" s="208"/>
      <c r="O964" s="208"/>
      <c r="P964" s="208"/>
      <c r="Q964" s="208"/>
      <c r="R964" s="208"/>
      <c r="S964" s="208"/>
      <c r="T964" s="208"/>
      <c r="U964" s="208"/>
      <c r="V964" s="208"/>
      <c r="W964" s="208"/>
      <c r="X964" s="208"/>
      <c r="Y964" s="208"/>
      <c r="Z964" s="208"/>
      <c r="AA964" s="208"/>
      <c r="AB964" s="208"/>
      <c r="AC964" s="208"/>
      <c r="AD964" s="208"/>
      <c r="AE964" s="208"/>
      <c r="AF964" s="208"/>
      <c r="AG964" s="208"/>
      <c r="AH964" s="208"/>
      <c r="AI964" s="208"/>
      <c r="AJ964" s="208"/>
      <c r="AK964" s="208"/>
      <c r="AL964" s="208"/>
      <c r="AM964" s="208"/>
      <c r="AN964" s="208"/>
      <c r="AO964" s="208"/>
      <c r="AP964" s="208"/>
      <c r="AQ964" s="208"/>
      <c r="AR964" s="208"/>
      <c r="AS964" s="208"/>
      <c r="AT964" s="208"/>
      <c r="AU964" s="208"/>
      <c r="AV964" s="208"/>
      <c r="AW964" s="208"/>
      <c r="AX964" s="208"/>
      <c r="AY964" s="208"/>
      <c r="AZ964" s="208"/>
      <c r="BA964" s="208"/>
    </row>
    <row r="965" ht="15.75" hidden="1" customHeight="1">
      <c r="A965" s="208"/>
      <c r="B965" s="208"/>
      <c r="C965" s="208"/>
      <c r="D965" s="208"/>
      <c r="E965" s="208"/>
      <c r="F965" s="208"/>
      <c r="G965" s="208"/>
      <c r="H965" s="208"/>
      <c r="I965" s="208"/>
      <c r="J965" s="208"/>
      <c r="K965" s="208"/>
      <c r="L965" s="208"/>
      <c r="M965" s="208"/>
      <c r="N965" s="208"/>
      <c r="O965" s="208"/>
      <c r="P965" s="208"/>
      <c r="Q965" s="208"/>
      <c r="R965" s="208"/>
      <c r="S965" s="208"/>
      <c r="T965" s="208"/>
      <c r="U965" s="208"/>
      <c r="V965" s="208"/>
      <c r="W965" s="208"/>
      <c r="X965" s="208"/>
      <c r="Y965" s="208"/>
      <c r="Z965" s="208"/>
      <c r="AA965" s="208"/>
      <c r="AB965" s="208"/>
      <c r="AC965" s="208"/>
      <c r="AD965" s="208"/>
      <c r="AE965" s="208"/>
      <c r="AF965" s="208"/>
      <c r="AG965" s="208"/>
      <c r="AH965" s="208"/>
      <c r="AI965" s="208"/>
      <c r="AJ965" s="208"/>
      <c r="AK965" s="208"/>
      <c r="AL965" s="208"/>
      <c r="AM965" s="208"/>
      <c r="AN965" s="208"/>
      <c r="AO965" s="208"/>
      <c r="AP965" s="208"/>
      <c r="AQ965" s="208"/>
      <c r="AR965" s="208"/>
      <c r="AS965" s="208"/>
      <c r="AT965" s="208"/>
      <c r="AU965" s="208"/>
      <c r="AV965" s="208"/>
      <c r="AW965" s="208"/>
      <c r="AX965" s="208"/>
      <c r="AY965" s="208"/>
      <c r="AZ965" s="208"/>
      <c r="BA965" s="208"/>
    </row>
    <row r="966" ht="15.75" hidden="1" customHeight="1">
      <c r="A966" s="208"/>
      <c r="B966" s="208"/>
      <c r="C966" s="208"/>
      <c r="D966" s="208"/>
      <c r="E966" s="208"/>
      <c r="F966" s="208"/>
      <c r="G966" s="208"/>
      <c r="H966" s="208"/>
      <c r="I966" s="208"/>
      <c r="J966" s="208"/>
      <c r="K966" s="208"/>
      <c r="L966" s="208"/>
      <c r="M966" s="208"/>
      <c r="N966" s="208"/>
      <c r="O966" s="208"/>
      <c r="P966" s="208"/>
      <c r="Q966" s="208"/>
      <c r="R966" s="208"/>
      <c r="S966" s="208"/>
      <c r="T966" s="208"/>
      <c r="U966" s="208"/>
      <c r="V966" s="208"/>
      <c r="W966" s="208"/>
      <c r="X966" s="208"/>
      <c r="Y966" s="208"/>
      <c r="Z966" s="208"/>
      <c r="AA966" s="208"/>
      <c r="AB966" s="208"/>
      <c r="AC966" s="208"/>
      <c r="AD966" s="208"/>
      <c r="AE966" s="208"/>
      <c r="AF966" s="208"/>
      <c r="AG966" s="208"/>
      <c r="AH966" s="208"/>
      <c r="AI966" s="208"/>
      <c r="AJ966" s="208"/>
      <c r="AK966" s="208"/>
      <c r="AL966" s="208"/>
      <c r="AM966" s="208"/>
      <c r="AN966" s="208"/>
      <c r="AO966" s="208"/>
      <c r="AP966" s="208"/>
      <c r="AQ966" s="208"/>
      <c r="AR966" s="208"/>
      <c r="AS966" s="208"/>
      <c r="AT966" s="208"/>
      <c r="AU966" s="208"/>
      <c r="AV966" s="208"/>
      <c r="AW966" s="208"/>
      <c r="AX966" s="208"/>
      <c r="AY966" s="208"/>
      <c r="AZ966" s="208"/>
      <c r="BA966" s="208"/>
    </row>
    <row r="967" ht="15.75" hidden="1" customHeight="1">
      <c r="A967" s="208"/>
      <c r="B967" s="208"/>
      <c r="C967" s="208"/>
      <c r="D967" s="208"/>
      <c r="E967" s="208"/>
      <c r="F967" s="208"/>
      <c r="G967" s="208"/>
      <c r="H967" s="208"/>
      <c r="I967" s="208"/>
      <c r="J967" s="208"/>
      <c r="K967" s="208"/>
      <c r="L967" s="208"/>
      <c r="M967" s="208"/>
      <c r="N967" s="208"/>
      <c r="O967" s="208"/>
      <c r="P967" s="208"/>
      <c r="Q967" s="208"/>
      <c r="R967" s="208"/>
      <c r="S967" s="208"/>
      <c r="T967" s="208"/>
      <c r="U967" s="208"/>
      <c r="V967" s="208"/>
      <c r="W967" s="208"/>
      <c r="X967" s="208"/>
      <c r="Y967" s="208"/>
      <c r="Z967" s="208"/>
      <c r="AA967" s="208"/>
      <c r="AB967" s="208"/>
      <c r="AC967" s="208"/>
      <c r="AD967" s="208"/>
      <c r="AE967" s="208"/>
      <c r="AF967" s="208"/>
      <c r="AG967" s="208"/>
      <c r="AH967" s="208"/>
      <c r="AI967" s="208"/>
      <c r="AJ967" s="208"/>
      <c r="AK967" s="208"/>
      <c r="AL967" s="208"/>
      <c r="AM967" s="208"/>
      <c r="AN967" s="208"/>
      <c r="AO967" s="208"/>
      <c r="AP967" s="208"/>
      <c r="AQ967" s="208"/>
      <c r="AR967" s="208"/>
      <c r="AS967" s="208"/>
      <c r="AT967" s="208"/>
      <c r="AU967" s="208"/>
      <c r="AV967" s="208"/>
      <c r="AW967" s="208"/>
      <c r="AX967" s="208"/>
      <c r="AY967" s="208"/>
      <c r="AZ967" s="208"/>
      <c r="BA967" s="208"/>
    </row>
    <row r="968" ht="15.75" hidden="1" customHeight="1">
      <c r="A968" s="208"/>
      <c r="B968" s="208"/>
      <c r="C968" s="208"/>
      <c r="D968" s="208"/>
      <c r="E968" s="208"/>
      <c r="F968" s="208"/>
      <c r="G968" s="208"/>
      <c r="H968" s="208"/>
      <c r="I968" s="208"/>
      <c r="J968" s="208"/>
      <c r="K968" s="208"/>
      <c r="L968" s="208"/>
      <c r="M968" s="208"/>
      <c r="N968" s="208"/>
      <c r="O968" s="208"/>
      <c r="P968" s="208"/>
      <c r="Q968" s="208"/>
      <c r="R968" s="208"/>
      <c r="S968" s="208"/>
      <c r="T968" s="208"/>
      <c r="U968" s="208"/>
      <c r="V968" s="208"/>
      <c r="W968" s="208"/>
      <c r="X968" s="208"/>
      <c r="Y968" s="208"/>
      <c r="Z968" s="208"/>
      <c r="AA968" s="208"/>
      <c r="AB968" s="208"/>
      <c r="AC968" s="208"/>
      <c r="AD968" s="208"/>
      <c r="AE968" s="208"/>
      <c r="AF968" s="208"/>
      <c r="AG968" s="208"/>
      <c r="AH968" s="208"/>
      <c r="AI968" s="208"/>
      <c r="AJ968" s="208"/>
      <c r="AK968" s="208"/>
      <c r="AL968" s="208"/>
      <c r="AM968" s="208"/>
      <c r="AN968" s="208"/>
      <c r="AO968" s="208"/>
      <c r="AP968" s="208"/>
      <c r="AQ968" s="208"/>
      <c r="AR968" s="208"/>
      <c r="AS968" s="208"/>
      <c r="AT968" s="208"/>
      <c r="AU968" s="208"/>
      <c r="AV968" s="208"/>
      <c r="AW968" s="208"/>
      <c r="AX968" s="208"/>
      <c r="AY968" s="208"/>
      <c r="AZ968" s="208"/>
      <c r="BA968" s="208"/>
    </row>
    <row r="969" ht="15.75" hidden="1" customHeight="1">
      <c r="A969" s="208"/>
      <c r="B969" s="208"/>
      <c r="C969" s="208"/>
      <c r="D969" s="208"/>
      <c r="E969" s="208"/>
      <c r="F969" s="208"/>
      <c r="G969" s="208"/>
      <c r="H969" s="208"/>
      <c r="I969" s="208"/>
      <c r="J969" s="208"/>
      <c r="K969" s="208"/>
      <c r="L969" s="208"/>
      <c r="M969" s="208"/>
      <c r="N969" s="208"/>
      <c r="O969" s="208"/>
      <c r="P969" s="208"/>
      <c r="Q969" s="208"/>
      <c r="R969" s="208"/>
      <c r="S969" s="208"/>
      <c r="T969" s="208"/>
      <c r="U969" s="208"/>
      <c r="V969" s="208"/>
      <c r="W969" s="208"/>
      <c r="X969" s="208"/>
      <c r="Y969" s="208"/>
      <c r="Z969" s="208"/>
      <c r="AA969" s="208"/>
      <c r="AB969" s="208"/>
      <c r="AC969" s="208"/>
      <c r="AD969" s="208"/>
      <c r="AE969" s="208"/>
      <c r="AF969" s="208"/>
      <c r="AG969" s="208"/>
      <c r="AH969" s="208"/>
      <c r="AI969" s="208"/>
      <c r="AJ969" s="208"/>
      <c r="AK969" s="208"/>
      <c r="AL969" s="208"/>
      <c r="AM969" s="208"/>
      <c r="AN969" s="208"/>
      <c r="AO969" s="208"/>
      <c r="AP969" s="208"/>
      <c r="AQ969" s="208"/>
      <c r="AR969" s="208"/>
      <c r="AS969" s="208"/>
      <c r="AT969" s="208"/>
      <c r="AU969" s="208"/>
      <c r="AV969" s="208"/>
      <c r="AW969" s="208"/>
      <c r="AX969" s="208"/>
      <c r="AY969" s="208"/>
      <c r="AZ969" s="208"/>
      <c r="BA969" s="208"/>
    </row>
    <row r="970" ht="15.75" hidden="1" customHeight="1">
      <c r="A970" s="208"/>
      <c r="B970" s="208"/>
      <c r="C970" s="208"/>
      <c r="D970" s="208"/>
      <c r="E970" s="208"/>
      <c r="F970" s="208"/>
      <c r="G970" s="208"/>
      <c r="H970" s="208"/>
      <c r="I970" s="208"/>
      <c r="J970" s="208"/>
      <c r="K970" s="208"/>
      <c r="L970" s="208"/>
      <c r="M970" s="208"/>
      <c r="N970" s="208"/>
      <c r="O970" s="208"/>
      <c r="P970" s="208"/>
      <c r="Q970" s="208"/>
      <c r="R970" s="208"/>
      <c r="S970" s="208"/>
      <c r="T970" s="208"/>
      <c r="U970" s="208"/>
      <c r="V970" s="208"/>
      <c r="W970" s="208"/>
      <c r="X970" s="208"/>
      <c r="Y970" s="208"/>
      <c r="Z970" s="208"/>
      <c r="AA970" s="208"/>
      <c r="AB970" s="208"/>
      <c r="AC970" s="208"/>
      <c r="AD970" s="208"/>
      <c r="AE970" s="208"/>
      <c r="AF970" s="208"/>
      <c r="AG970" s="208"/>
      <c r="AH970" s="208"/>
      <c r="AI970" s="208"/>
      <c r="AJ970" s="208"/>
      <c r="AK970" s="208"/>
      <c r="AL970" s="208"/>
      <c r="AM970" s="208"/>
      <c r="AN970" s="208"/>
      <c r="AO970" s="208"/>
      <c r="AP970" s="208"/>
      <c r="AQ970" s="208"/>
      <c r="AR970" s="208"/>
      <c r="AS970" s="208"/>
      <c r="AT970" s="208"/>
      <c r="AU970" s="208"/>
      <c r="AV970" s="208"/>
      <c r="AW970" s="208"/>
      <c r="AX970" s="208"/>
      <c r="AY970" s="208"/>
      <c r="AZ970" s="208"/>
      <c r="BA970" s="208"/>
    </row>
    <row r="971" ht="15.75" hidden="1" customHeight="1">
      <c r="A971" s="208"/>
      <c r="B971" s="208"/>
      <c r="C971" s="208"/>
      <c r="D971" s="208"/>
      <c r="E971" s="208"/>
      <c r="F971" s="208"/>
      <c r="G971" s="208"/>
      <c r="H971" s="208"/>
      <c r="I971" s="208"/>
      <c r="J971" s="208"/>
      <c r="K971" s="208"/>
      <c r="L971" s="208"/>
      <c r="M971" s="208"/>
      <c r="N971" s="208"/>
      <c r="O971" s="208"/>
      <c r="P971" s="208"/>
      <c r="Q971" s="208"/>
      <c r="R971" s="208"/>
      <c r="S971" s="208"/>
      <c r="T971" s="208"/>
      <c r="U971" s="208"/>
      <c r="V971" s="208"/>
      <c r="W971" s="208"/>
      <c r="X971" s="208"/>
      <c r="Y971" s="208"/>
      <c r="Z971" s="208"/>
      <c r="AA971" s="208"/>
      <c r="AB971" s="208"/>
      <c r="AC971" s="208"/>
      <c r="AD971" s="208"/>
      <c r="AE971" s="208"/>
      <c r="AF971" s="208"/>
      <c r="AG971" s="208"/>
      <c r="AH971" s="208"/>
      <c r="AI971" s="208"/>
      <c r="AJ971" s="208"/>
      <c r="AK971" s="208"/>
      <c r="AL971" s="208"/>
      <c r="AM971" s="208"/>
      <c r="AN971" s="208"/>
      <c r="AO971" s="208"/>
      <c r="AP971" s="208"/>
      <c r="AQ971" s="208"/>
      <c r="AR971" s="208"/>
      <c r="AS971" s="208"/>
      <c r="AT971" s="208"/>
      <c r="AU971" s="208"/>
      <c r="AV971" s="208"/>
      <c r="AW971" s="208"/>
      <c r="AX971" s="208"/>
      <c r="AY971" s="208"/>
      <c r="AZ971" s="208"/>
      <c r="BA971" s="208"/>
    </row>
    <row r="972" ht="15.75" hidden="1" customHeight="1">
      <c r="A972" s="208"/>
      <c r="B972" s="208"/>
      <c r="C972" s="208"/>
      <c r="D972" s="208"/>
      <c r="E972" s="208"/>
      <c r="F972" s="208"/>
      <c r="G972" s="208"/>
      <c r="H972" s="208"/>
      <c r="I972" s="208"/>
      <c r="J972" s="208"/>
      <c r="K972" s="208"/>
      <c r="L972" s="208"/>
      <c r="M972" s="208"/>
      <c r="N972" s="208"/>
      <c r="O972" s="208"/>
      <c r="P972" s="208"/>
      <c r="Q972" s="208"/>
      <c r="R972" s="208"/>
      <c r="S972" s="208"/>
      <c r="T972" s="208"/>
      <c r="U972" s="208"/>
      <c r="V972" s="208"/>
      <c r="W972" s="208"/>
      <c r="X972" s="208"/>
      <c r="Y972" s="208"/>
      <c r="Z972" s="208"/>
      <c r="AA972" s="208"/>
      <c r="AB972" s="208"/>
      <c r="AC972" s="208"/>
      <c r="AD972" s="208"/>
      <c r="AE972" s="208"/>
      <c r="AF972" s="208"/>
      <c r="AG972" s="208"/>
      <c r="AH972" s="208"/>
      <c r="AI972" s="208"/>
      <c r="AJ972" s="208"/>
      <c r="AK972" s="208"/>
      <c r="AL972" s="208"/>
      <c r="AM972" s="208"/>
      <c r="AN972" s="208"/>
      <c r="AO972" s="208"/>
      <c r="AP972" s="208"/>
      <c r="AQ972" s="208"/>
      <c r="AR972" s="208"/>
      <c r="AS972" s="208"/>
      <c r="AT972" s="208"/>
      <c r="AU972" s="208"/>
      <c r="AV972" s="208"/>
      <c r="AW972" s="208"/>
      <c r="AX972" s="208"/>
      <c r="AY972" s="208"/>
      <c r="AZ972" s="208"/>
      <c r="BA972" s="208"/>
    </row>
    <row r="973" ht="15.75" hidden="1" customHeight="1">
      <c r="A973" s="208"/>
      <c r="B973" s="208"/>
      <c r="C973" s="208"/>
      <c r="D973" s="208"/>
      <c r="E973" s="208"/>
      <c r="F973" s="208"/>
      <c r="G973" s="208"/>
      <c r="H973" s="208"/>
      <c r="I973" s="208"/>
      <c r="J973" s="208"/>
      <c r="K973" s="208"/>
      <c r="L973" s="208"/>
      <c r="M973" s="208"/>
      <c r="N973" s="208"/>
      <c r="O973" s="208"/>
      <c r="P973" s="208"/>
      <c r="Q973" s="208"/>
      <c r="R973" s="208"/>
      <c r="S973" s="208"/>
      <c r="T973" s="208"/>
      <c r="U973" s="208"/>
      <c r="V973" s="208"/>
      <c r="W973" s="208"/>
      <c r="X973" s="208"/>
      <c r="Y973" s="208"/>
      <c r="Z973" s="208"/>
      <c r="AA973" s="208"/>
      <c r="AB973" s="208"/>
      <c r="AC973" s="208"/>
      <c r="AD973" s="208"/>
      <c r="AE973" s="208"/>
      <c r="AF973" s="208"/>
      <c r="AG973" s="208"/>
      <c r="AH973" s="208"/>
      <c r="AI973" s="208"/>
      <c r="AJ973" s="208"/>
      <c r="AK973" s="208"/>
      <c r="AL973" s="208"/>
      <c r="AM973" s="208"/>
      <c r="AN973" s="208"/>
      <c r="AO973" s="208"/>
      <c r="AP973" s="208"/>
      <c r="AQ973" s="208"/>
      <c r="AR973" s="208"/>
      <c r="AS973" s="208"/>
      <c r="AT973" s="208"/>
      <c r="AU973" s="208"/>
      <c r="AV973" s="208"/>
      <c r="AW973" s="208"/>
      <c r="AX973" s="208"/>
      <c r="AY973" s="208"/>
      <c r="AZ973" s="208"/>
      <c r="BA973" s="208"/>
    </row>
    <row r="974" ht="15.75" hidden="1" customHeight="1">
      <c r="A974" s="208"/>
      <c r="B974" s="208"/>
      <c r="C974" s="208"/>
      <c r="D974" s="208"/>
      <c r="E974" s="208"/>
      <c r="F974" s="208"/>
      <c r="G974" s="208"/>
      <c r="H974" s="208"/>
      <c r="I974" s="208"/>
      <c r="J974" s="208"/>
      <c r="K974" s="208"/>
      <c r="L974" s="208"/>
      <c r="M974" s="208"/>
      <c r="N974" s="208"/>
      <c r="O974" s="208"/>
      <c r="P974" s="208"/>
      <c r="Q974" s="208"/>
      <c r="R974" s="208"/>
      <c r="S974" s="208"/>
      <c r="T974" s="208"/>
      <c r="U974" s="208"/>
      <c r="V974" s="208"/>
      <c r="W974" s="208"/>
      <c r="X974" s="208"/>
      <c r="Y974" s="208"/>
      <c r="Z974" s="208"/>
      <c r="AA974" s="208"/>
      <c r="AB974" s="208"/>
      <c r="AC974" s="208"/>
      <c r="AD974" s="208"/>
      <c r="AE974" s="208"/>
      <c r="AF974" s="208"/>
      <c r="AG974" s="208"/>
      <c r="AH974" s="208"/>
      <c r="AI974" s="208"/>
      <c r="AJ974" s="208"/>
      <c r="AK974" s="208"/>
      <c r="AL974" s="208"/>
      <c r="AM974" s="208"/>
      <c r="AN974" s="208"/>
      <c r="AO974" s="208"/>
      <c r="AP974" s="208"/>
      <c r="AQ974" s="208"/>
      <c r="AR974" s="208"/>
      <c r="AS974" s="208"/>
      <c r="AT974" s="208"/>
      <c r="AU974" s="208"/>
      <c r="AV974" s="208"/>
      <c r="AW974" s="208"/>
      <c r="AX974" s="208"/>
      <c r="AY974" s="208"/>
      <c r="AZ974" s="208"/>
      <c r="BA974" s="208"/>
    </row>
    <row r="975" ht="15.75" hidden="1" customHeight="1">
      <c r="A975" s="208"/>
      <c r="B975" s="208"/>
      <c r="C975" s="208"/>
      <c r="D975" s="208"/>
      <c r="E975" s="208"/>
      <c r="F975" s="208"/>
      <c r="G975" s="208"/>
      <c r="H975" s="208"/>
      <c r="I975" s="208"/>
      <c r="J975" s="208"/>
      <c r="K975" s="208"/>
      <c r="L975" s="208"/>
      <c r="M975" s="208"/>
      <c r="N975" s="208"/>
      <c r="O975" s="208"/>
      <c r="P975" s="208"/>
      <c r="Q975" s="208"/>
      <c r="R975" s="208"/>
      <c r="S975" s="208"/>
      <c r="T975" s="208"/>
      <c r="U975" s="208"/>
      <c r="V975" s="208"/>
      <c r="W975" s="208"/>
      <c r="X975" s="208"/>
      <c r="Y975" s="208"/>
      <c r="Z975" s="208"/>
      <c r="AA975" s="208"/>
      <c r="AB975" s="208"/>
      <c r="AC975" s="208"/>
      <c r="AD975" s="208"/>
      <c r="AE975" s="208"/>
      <c r="AF975" s="208"/>
      <c r="AG975" s="208"/>
      <c r="AH975" s="208"/>
      <c r="AI975" s="208"/>
      <c r="AJ975" s="208"/>
      <c r="AK975" s="208"/>
      <c r="AL975" s="208"/>
      <c r="AM975" s="208"/>
      <c r="AN975" s="208"/>
      <c r="AO975" s="208"/>
      <c r="AP975" s="208"/>
      <c r="AQ975" s="208"/>
      <c r="AR975" s="208"/>
      <c r="AS975" s="208"/>
      <c r="AT975" s="208"/>
      <c r="AU975" s="208"/>
      <c r="AV975" s="208"/>
      <c r="AW975" s="208"/>
      <c r="AX975" s="208"/>
      <c r="AY975" s="208"/>
      <c r="AZ975" s="208"/>
      <c r="BA975" s="208"/>
    </row>
    <row r="976" ht="15.75" hidden="1" customHeight="1">
      <c r="A976" s="208"/>
      <c r="B976" s="208"/>
      <c r="C976" s="208"/>
      <c r="D976" s="208"/>
      <c r="E976" s="208"/>
      <c r="F976" s="208"/>
      <c r="G976" s="208"/>
      <c r="H976" s="208"/>
      <c r="I976" s="208"/>
      <c r="J976" s="208"/>
      <c r="K976" s="208"/>
      <c r="L976" s="208"/>
      <c r="M976" s="208"/>
      <c r="N976" s="208"/>
      <c r="O976" s="208"/>
      <c r="P976" s="208"/>
      <c r="Q976" s="208"/>
      <c r="R976" s="208"/>
      <c r="S976" s="208"/>
      <c r="T976" s="208"/>
      <c r="U976" s="208"/>
      <c r="V976" s="208"/>
      <c r="W976" s="208"/>
      <c r="X976" s="208"/>
      <c r="Y976" s="208"/>
      <c r="Z976" s="208"/>
      <c r="AA976" s="208"/>
      <c r="AB976" s="208"/>
      <c r="AC976" s="208"/>
      <c r="AD976" s="208"/>
      <c r="AE976" s="208"/>
      <c r="AF976" s="208"/>
      <c r="AG976" s="208"/>
      <c r="AH976" s="208"/>
      <c r="AI976" s="208"/>
      <c r="AJ976" s="208"/>
      <c r="AK976" s="208"/>
      <c r="AL976" s="208"/>
      <c r="AM976" s="208"/>
      <c r="AN976" s="208"/>
      <c r="AO976" s="208"/>
      <c r="AP976" s="208"/>
      <c r="AQ976" s="208"/>
      <c r="AR976" s="208"/>
      <c r="AS976" s="208"/>
      <c r="AT976" s="208"/>
      <c r="AU976" s="208"/>
      <c r="AV976" s="208"/>
      <c r="AW976" s="208"/>
      <c r="AX976" s="208"/>
      <c r="AY976" s="208"/>
      <c r="AZ976" s="208"/>
      <c r="BA976" s="208"/>
    </row>
    <row r="977" ht="15.75" hidden="1" customHeight="1">
      <c r="A977" s="208"/>
      <c r="B977" s="208"/>
      <c r="C977" s="208"/>
      <c r="D977" s="208"/>
      <c r="E977" s="208"/>
      <c r="F977" s="208"/>
      <c r="G977" s="208"/>
      <c r="H977" s="208"/>
      <c r="I977" s="208"/>
      <c r="J977" s="208"/>
      <c r="K977" s="208"/>
      <c r="L977" s="208"/>
      <c r="M977" s="208"/>
      <c r="N977" s="208"/>
      <c r="O977" s="208"/>
      <c r="P977" s="208"/>
      <c r="Q977" s="208"/>
      <c r="R977" s="208"/>
      <c r="S977" s="208"/>
      <c r="T977" s="208"/>
      <c r="U977" s="208"/>
      <c r="V977" s="208"/>
      <c r="W977" s="208"/>
      <c r="X977" s="208"/>
      <c r="Y977" s="208"/>
      <c r="Z977" s="208"/>
      <c r="AA977" s="208"/>
      <c r="AB977" s="208"/>
      <c r="AC977" s="208"/>
      <c r="AD977" s="208"/>
      <c r="AE977" s="208"/>
      <c r="AF977" s="208"/>
      <c r="AG977" s="208"/>
      <c r="AH977" s="208"/>
      <c r="AI977" s="208"/>
      <c r="AJ977" s="208"/>
      <c r="AK977" s="208"/>
      <c r="AL977" s="208"/>
      <c r="AM977" s="208"/>
      <c r="AN977" s="208"/>
      <c r="AO977" s="208"/>
      <c r="AP977" s="208"/>
      <c r="AQ977" s="208"/>
      <c r="AR977" s="208"/>
      <c r="AS977" s="208"/>
      <c r="AT977" s="208"/>
      <c r="AU977" s="208"/>
      <c r="AV977" s="208"/>
      <c r="AW977" s="208"/>
      <c r="AX977" s="208"/>
      <c r="AY977" s="208"/>
      <c r="AZ977" s="208"/>
      <c r="BA977" s="208"/>
    </row>
    <row r="978" ht="15.75" hidden="1" customHeight="1">
      <c r="A978" s="208"/>
      <c r="B978" s="208"/>
      <c r="C978" s="208"/>
      <c r="D978" s="208"/>
      <c r="E978" s="208"/>
      <c r="F978" s="208"/>
      <c r="G978" s="208"/>
      <c r="H978" s="208"/>
      <c r="I978" s="208"/>
      <c r="J978" s="208"/>
      <c r="K978" s="208"/>
      <c r="L978" s="208"/>
      <c r="M978" s="208"/>
      <c r="N978" s="208"/>
      <c r="O978" s="208"/>
      <c r="P978" s="208"/>
      <c r="Q978" s="208"/>
      <c r="R978" s="208"/>
      <c r="S978" s="208"/>
      <c r="T978" s="208"/>
      <c r="U978" s="208"/>
      <c r="V978" s="208"/>
      <c r="W978" s="208"/>
      <c r="X978" s="208"/>
      <c r="Y978" s="208"/>
      <c r="Z978" s="208"/>
      <c r="AA978" s="208"/>
      <c r="AB978" s="208"/>
      <c r="AC978" s="208"/>
      <c r="AD978" s="208"/>
      <c r="AE978" s="208"/>
      <c r="AF978" s="208"/>
      <c r="AG978" s="208"/>
      <c r="AH978" s="208"/>
      <c r="AI978" s="208"/>
      <c r="AJ978" s="208"/>
      <c r="AK978" s="208"/>
      <c r="AL978" s="208"/>
      <c r="AM978" s="208"/>
      <c r="AN978" s="208"/>
      <c r="AO978" s="208"/>
      <c r="AP978" s="208"/>
      <c r="AQ978" s="208"/>
      <c r="AR978" s="208"/>
      <c r="AS978" s="208"/>
      <c r="AT978" s="208"/>
      <c r="AU978" s="208"/>
      <c r="AV978" s="208"/>
      <c r="AW978" s="208"/>
      <c r="AX978" s="208"/>
      <c r="AY978" s="208"/>
      <c r="AZ978" s="208"/>
      <c r="BA978" s="208"/>
    </row>
    <row r="979" ht="15.75" hidden="1" customHeight="1">
      <c r="A979" s="208"/>
      <c r="B979" s="208"/>
      <c r="C979" s="208"/>
      <c r="D979" s="208"/>
      <c r="E979" s="208"/>
      <c r="F979" s="208"/>
      <c r="G979" s="208"/>
      <c r="H979" s="208"/>
      <c r="I979" s="208"/>
      <c r="J979" s="208"/>
      <c r="K979" s="208"/>
      <c r="L979" s="208"/>
      <c r="M979" s="208"/>
      <c r="N979" s="208"/>
      <c r="O979" s="208"/>
      <c r="P979" s="208"/>
      <c r="Q979" s="208"/>
      <c r="R979" s="208"/>
      <c r="S979" s="208"/>
      <c r="T979" s="208"/>
      <c r="U979" s="208"/>
      <c r="V979" s="208"/>
      <c r="W979" s="208"/>
      <c r="X979" s="208"/>
      <c r="Y979" s="208"/>
      <c r="Z979" s="208"/>
      <c r="AA979" s="208"/>
      <c r="AB979" s="208"/>
      <c r="AC979" s="208"/>
      <c r="AD979" s="208"/>
      <c r="AE979" s="208"/>
      <c r="AF979" s="208"/>
      <c r="AG979" s="208"/>
      <c r="AH979" s="208"/>
      <c r="AI979" s="208"/>
      <c r="AJ979" s="208"/>
      <c r="AK979" s="208"/>
      <c r="AL979" s="208"/>
      <c r="AM979" s="208"/>
      <c r="AN979" s="208"/>
      <c r="AO979" s="208"/>
      <c r="AP979" s="208"/>
      <c r="AQ979" s="208"/>
      <c r="AR979" s="208"/>
      <c r="AS979" s="208"/>
      <c r="AT979" s="208"/>
      <c r="AU979" s="208"/>
      <c r="AV979" s="208"/>
      <c r="AW979" s="208"/>
      <c r="AX979" s="208"/>
      <c r="AY979" s="208"/>
      <c r="AZ979" s="208"/>
      <c r="BA979" s="208"/>
    </row>
    <row r="980" ht="15.75" hidden="1" customHeight="1">
      <c r="A980" s="208"/>
      <c r="B980" s="208"/>
      <c r="C980" s="208"/>
      <c r="D980" s="208"/>
      <c r="E980" s="208"/>
      <c r="F980" s="208"/>
      <c r="G980" s="208"/>
      <c r="H980" s="208"/>
      <c r="I980" s="208"/>
      <c r="J980" s="208"/>
      <c r="K980" s="208"/>
      <c r="L980" s="208"/>
      <c r="M980" s="208"/>
      <c r="N980" s="208"/>
      <c r="O980" s="208"/>
      <c r="P980" s="208"/>
      <c r="Q980" s="208"/>
      <c r="R980" s="208"/>
      <c r="S980" s="208"/>
      <c r="T980" s="208"/>
      <c r="U980" s="208"/>
      <c r="V980" s="208"/>
      <c r="W980" s="208"/>
      <c r="X980" s="208"/>
      <c r="Y980" s="208"/>
      <c r="Z980" s="208"/>
      <c r="AA980" s="208"/>
      <c r="AB980" s="208"/>
      <c r="AC980" s="208"/>
      <c r="AD980" s="208"/>
      <c r="AE980" s="208"/>
      <c r="AF980" s="208"/>
      <c r="AG980" s="208"/>
      <c r="AH980" s="208"/>
      <c r="AI980" s="208"/>
      <c r="AJ980" s="208"/>
      <c r="AK980" s="208"/>
      <c r="AL980" s="208"/>
      <c r="AM980" s="208"/>
      <c r="AN980" s="208"/>
      <c r="AO980" s="208"/>
      <c r="AP980" s="208"/>
      <c r="AQ980" s="208"/>
      <c r="AR980" s="208"/>
      <c r="AS980" s="208"/>
      <c r="AT980" s="208"/>
      <c r="AU980" s="208"/>
      <c r="AV980" s="208"/>
      <c r="AW980" s="208"/>
      <c r="AX980" s="208"/>
      <c r="AY980" s="208"/>
      <c r="AZ980" s="208"/>
      <c r="BA980" s="208"/>
    </row>
    <row r="981" ht="15.75" hidden="1" customHeight="1">
      <c r="A981" s="208"/>
      <c r="B981" s="208"/>
      <c r="C981" s="208"/>
      <c r="D981" s="208"/>
      <c r="E981" s="208"/>
      <c r="F981" s="208"/>
      <c r="G981" s="208"/>
      <c r="H981" s="208"/>
      <c r="I981" s="208"/>
      <c r="J981" s="208"/>
      <c r="K981" s="208"/>
      <c r="L981" s="208"/>
      <c r="M981" s="208"/>
      <c r="N981" s="208"/>
      <c r="O981" s="208"/>
      <c r="P981" s="208"/>
      <c r="Q981" s="208"/>
      <c r="R981" s="208"/>
      <c r="S981" s="208"/>
      <c r="T981" s="208"/>
      <c r="U981" s="208"/>
      <c r="V981" s="208"/>
      <c r="W981" s="208"/>
      <c r="X981" s="208"/>
      <c r="Y981" s="208"/>
      <c r="Z981" s="208"/>
      <c r="AA981" s="208"/>
      <c r="AB981" s="208"/>
      <c r="AC981" s="208"/>
      <c r="AD981" s="208"/>
      <c r="AE981" s="208"/>
      <c r="AF981" s="208"/>
      <c r="AG981" s="208"/>
      <c r="AH981" s="208"/>
      <c r="AI981" s="208"/>
      <c r="AJ981" s="208"/>
      <c r="AK981" s="208"/>
      <c r="AL981" s="208"/>
      <c r="AM981" s="208"/>
      <c r="AN981" s="208"/>
      <c r="AO981" s="208"/>
      <c r="AP981" s="208"/>
      <c r="AQ981" s="208"/>
      <c r="AR981" s="208"/>
      <c r="AS981" s="208"/>
      <c r="AT981" s="208"/>
      <c r="AU981" s="208"/>
      <c r="AV981" s="208"/>
      <c r="AW981" s="208"/>
      <c r="AX981" s="208"/>
      <c r="AY981" s="208"/>
      <c r="AZ981" s="208"/>
      <c r="BA981" s="208"/>
    </row>
    <row r="982" ht="15.75" hidden="1" customHeight="1">
      <c r="A982" s="208"/>
      <c r="B982" s="208"/>
      <c r="C982" s="208"/>
      <c r="D982" s="208"/>
      <c r="E982" s="208"/>
      <c r="F982" s="208"/>
      <c r="G982" s="208"/>
      <c r="H982" s="208"/>
      <c r="I982" s="208"/>
      <c r="J982" s="208"/>
      <c r="K982" s="208"/>
      <c r="L982" s="208"/>
      <c r="M982" s="208"/>
      <c r="N982" s="208"/>
      <c r="O982" s="208"/>
      <c r="P982" s="208"/>
      <c r="Q982" s="208"/>
      <c r="R982" s="208"/>
      <c r="S982" s="208"/>
      <c r="T982" s="208"/>
      <c r="U982" s="208"/>
      <c r="V982" s="208"/>
      <c r="W982" s="208"/>
      <c r="X982" s="208"/>
      <c r="Y982" s="208"/>
      <c r="Z982" s="208"/>
      <c r="AA982" s="208"/>
      <c r="AB982" s="208"/>
      <c r="AC982" s="208"/>
      <c r="AD982" s="208"/>
      <c r="AE982" s="208"/>
      <c r="AF982" s="208"/>
      <c r="AG982" s="208"/>
      <c r="AH982" s="208"/>
      <c r="AI982" s="208"/>
      <c r="AJ982" s="208"/>
      <c r="AK982" s="208"/>
      <c r="AL982" s="208"/>
      <c r="AM982" s="208"/>
      <c r="AN982" s="208"/>
      <c r="AO982" s="208"/>
      <c r="AP982" s="208"/>
      <c r="AQ982" s="208"/>
      <c r="AR982" s="208"/>
      <c r="AS982" s="208"/>
      <c r="AT982" s="208"/>
      <c r="AU982" s="208"/>
      <c r="AV982" s="208"/>
      <c r="AW982" s="208"/>
      <c r="AX982" s="208"/>
      <c r="AY982" s="208"/>
      <c r="AZ982" s="208"/>
      <c r="BA982" s="208"/>
    </row>
    <row r="983" ht="15.75" hidden="1" customHeight="1">
      <c r="A983" s="208"/>
      <c r="B983" s="208"/>
      <c r="C983" s="208"/>
      <c r="D983" s="208"/>
      <c r="E983" s="208"/>
      <c r="F983" s="208"/>
      <c r="G983" s="208"/>
      <c r="H983" s="208"/>
      <c r="I983" s="208"/>
      <c r="J983" s="208"/>
      <c r="K983" s="208"/>
      <c r="L983" s="208"/>
      <c r="M983" s="208"/>
      <c r="N983" s="208"/>
      <c r="O983" s="208"/>
      <c r="P983" s="208"/>
      <c r="Q983" s="208"/>
      <c r="R983" s="208"/>
      <c r="S983" s="208"/>
      <c r="T983" s="208"/>
      <c r="U983" s="208"/>
      <c r="V983" s="208"/>
      <c r="W983" s="208"/>
      <c r="X983" s="208"/>
      <c r="Y983" s="208"/>
      <c r="Z983" s="208"/>
      <c r="AA983" s="208"/>
      <c r="AB983" s="208"/>
      <c r="AC983" s="208"/>
      <c r="AD983" s="208"/>
      <c r="AE983" s="208"/>
      <c r="AF983" s="208"/>
      <c r="AG983" s="208"/>
      <c r="AH983" s="208"/>
      <c r="AI983" s="208"/>
      <c r="AJ983" s="208"/>
      <c r="AK983" s="208"/>
      <c r="AL983" s="208"/>
      <c r="AM983" s="208"/>
      <c r="AN983" s="208"/>
      <c r="AO983" s="208"/>
      <c r="AP983" s="208"/>
      <c r="AQ983" s="208"/>
      <c r="AR983" s="208"/>
      <c r="AS983" s="208"/>
      <c r="AT983" s="208"/>
      <c r="AU983" s="208"/>
      <c r="AV983" s="208"/>
      <c r="AW983" s="208"/>
      <c r="AX983" s="208"/>
      <c r="AY983" s="208"/>
      <c r="AZ983" s="208"/>
      <c r="BA983" s="208"/>
    </row>
    <row r="984" ht="15.75" hidden="1" customHeight="1">
      <c r="A984" s="208"/>
      <c r="B984" s="208"/>
      <c r="C984" s="208"/>
      <c r="D984" s="208"/>
      <c r="E984" s="208"/>
      <c r="F984" s="208"/>
      <c r="G984" s="208"/>
      <c r="H984" s="208"/>
      <c r="I984" s="208"/>
      <c r="J984" s="208"/>
      <c r="K984" s="208"/>
      <c r="L984" s="208"/>
      <c r="M984" s="208"/>
      <c r="N984" s="208"/>
      <c r="O984" s="208"/>
      <c r="P984" s="208"/>
      <c r="Q984" s="208"/>
      <c r="R984" s="208"/>
      <c r="S984" s="208"/>
      <c r="T984" s="208"/>
      <c r="U984" s="208"/>
      <c r="V984" s="208"/>
      <c r="W984" s="208"/>
      <c r="X984" s="208"/>
      <c r="Y984" s="208"/>
      <c r="Z984" s="208"/>
      <c r="AA984" s="208"/>
      <c r="AB984" s="208"/>
      <c r="AC984" s="208"/>
      <c r="AD984" s="208"/>
      <c r="AE984" s="208"/>
      <c r="AF984" s="208"/>
      <c r="AG984" s="208"/>
      <c r="AH984" s="208"/>
      <c r="AI984" s="208"/>
      <c r="AJ984" s="208"/>
      <c r="AK984" s="208"/>
      <c r="AL984" s="208"/>
      <c r="AM984" s="208"/>
      <c r="AN984" s="208"/>
      <c r="AO984" s="208"/>
      <c r="AP984" s="208"/>
      <c r="AQ984" s="208"/>
      <c r="AR984" s="208"/>
      <c r="AS984" s="208"/>
      <c r="AT984" s="208"/>
      <c r="AU984" s="208"/>
      <c r="AV984" s="208"/>
      <c r="AW984" s="208"/>
      <c r="AX984" s="208"/>
      <c r="AY984" s="208"/>
      <c r="AZ984" s="208"/>
      <c r="BA984" s="208"/>
    </row>
    <row r="985" ht="15.75" hidden="1" customHeight="1">
      <c r="A985" s="208"/>
      <c r="B985" s="208"/>
      <c r="C985" s="208"/>
      <c r="D985" s="208"/>
      <c r="E985" s="208"/>
      <c r="F985" s="208"/>
      <c r="G985" s="208"/>
      <c r="H985" s="208"/>
      <c r="I985" s="208"/>
      <c r="J985" s="208"/>
      <c r="K985" s="208"/>
      <c r="L985" s="208"/>
      <c r="M985" s="208"/>
      <c r="N985" s="208"/>
      <c r="O985" s="208"/>
      <c r="P985" s="208"/>
      <c r="Q985" s="208"/>
      <c r="R985" s="208"/>
      <c r="S985" s="208"/>
      <c r="T985" s="208"/>
      <c r="U985" s="208"/>
      <c r="V985" s="208"/>
      <c r="W985" s="208"/>
      <c r="X985" s="208"/>
      <c r="Y985" s="208"/>
      <c r="Z985" s="208"/>
      <c r="AA985" s="208"/>
      <c r="AB985" s="208"/>
      <c r="AC985" s="208"/>
      <c r="AD985" s="208"/>
      <c r="AE985" s="208"/>
      <c r="AF985" s="208"/>
      <c r="AG985" s="208"/>
      <c r="AH985" s="208"/>
      <c r="AI985" s="208"/>
      <c r="AJ985" s="208"/>
      <c r="AK985" s="208"/>
      <c r="AL985" s="208"/>
      <c r="AM985" s="208"/>
      <c r="AN985" s="208"/>
      <c r="AO985" s="208"/>
      <c r="AP985" s="208"/>
      <c r="AQ985" s="208"/>
      <c r="AR985" s="208"/>
      <c r="AS985" s="208"/>
      <c r="AT985" s="208"/>
      <c r="AU985" s="208"/>
      <c r="AV985" s="208"/>
      <c r="AW985" s="208"/>
      <c r="AX985" s="208"/>
      <c r="AY985" s="208"/>
      <c r="AZ985" s="208"/>
      <c r="BA985" s="208"/>
    </row>
    <row r="986" ht="15.75" hidden="1" customHeight="1">
      <c r="A986" s="208"/>
      <c r="B986" s="208"/>
      <c r="C986" s="208"/>
      <c r="D986" s="208"/>
      <c r="E986" s="208"/>
      <c r="F986" s="208"/>
      <c r="G986" s="208"/>
      <c r="H986" s="208"/>
      <c r="I986" s="208"/>
      <c r="J986" s="208"/>
      <c r="K986" s="208"/>
      <c r="L986" s="208"/>
      <c r="M986" s="208"/>
      <c r="N986" s="208"/>
      <c r="O986" s="208"/>
      <c r="P986" s="208"/>
      <c r="Q986" s="208"/>
      <c r="R986" s="208"/>
      <c r="S986" s="208"/>
      <c r="T986" s="208"/>
      <c r="U986" s="208"/>
      <c r="V986" s="208"/>
      <c r="W986" s="208"/>
      <c r="X986" s="208"/>
      <c r="Y986" s="208"/>
      <c r="Z986" s="208"/>
      <c r="AA986" s="208"/>
      <c r="AB986" s="208"/>
      <c r="AC986" s="208"/>
      <c r="AD986" s="208"/>
      <c r="AE986" s="208"/>
      <c r="AF986" s="208"/>
      <c r="AG986" s="208"/>
      <c r="AH986" s="208"/>
      <c r="AI986" s="208"/>
      <c r="AJ986" s="208"/>
      <c r="AK986" s="208"/>
      <c r="AL986" s="208"/>
      <c r="AM986" s="208"/>
      <c r="AN986" s="208"/>
      <c r="AO986" s="208"/>
      <c r="AP986" s="208"/>
      <c r="AQ986" s="208"/>
      <c r="AR986" s="208"/>
      <c r="AS986" s="208"/>
      <c r="AT986" s="208"/>
      <c r="AU986" s="208"/>
      <c r="AV986" s="208"/>
      <c r="AW986" s="208"/>
      <c r="AX986" s="208"/>
      <c r="AY986" s="208"/>
      <c r="AZ986" s="208"/>
      <c r="BA986" s="208"/>
    </row>
    <row r="987" ht="15.75" hidden="1" customHeight="1">
      <c r="A987" s="208"/>
      <c r="B987" s="208"/>
      <c r="C987" s="208"/>
      <c r="D987" s="208"/>
      <c r="E987" s="208"/>
      <c r="F987" s="208"/>
      <c r="G987" s="208"/>
      <c r="H987" s="208"/>
      <c r="I987" s="208"/>
      <c r="J987" s="208"/>
      <c r="K987" s="208"/>
      <c r="L987" s="208"/>
      <c r="M987" s="208"/>
      <c r="N987" s="208"/>
      <c r="O987" s="208"/>
      <c r="P987" s="208"/>
      <c r="Q987" s="208"/>
      <c r="R987" s="208"/>
      <c r="S987" s="208"/>
      <c r="T987" s="208"/>
      <c r="U987" s="208"/>
      <c r="V987" s="208"/>
      <c r="W987" s="208"/>
      <c r="X987" s="208"/>
      <c r="Y987" s="208"/>
      <c r="Z987" s="208"/>
      <c r="AA987" s="208"/>
      <c r="AB987" s="208"/>
      <c r="AC987" s="208"/>
      <c r="AD987" s="208"/>
      <c r="AE987" s="208"/>
      <c r="AF987" s="208"/>
      <c r="AG987" s="208"/>
      <c r="AH987" s="208"/>
      <c r="AI987" s="208"/>
      <c r="AJ987" s="208"/>
      <c r="AK987" s="208"/>
      <c r="AL987" s="208"/>
      <c r="AM987" s="208"/>
      <c r="AN987" s="208"/>
      <c r="AO987" s="208"/>
      <c r="AP987" s="208"/>
      <c r="AQ987" s="208"/>
      <c r="AR987" s="208"/>
      <c r="AS987" s="208"/>
      <c r="AT987" s="208"/>
      <c r="AU987" s="208"/>
      <c r="AV987" s="208"/>
      <c r="AW987" s="208"/>
      <c r="AX987" s="208"/>
      <c r="AY987" s="208"/>
      <c r="AZ987" s="208"/>
      <c r="BA987" s="208"/>
    </row>
    <row r="988" ht="15.75" hidden="1" customHeight="1">
      <c r="A988" s="208"/>
      <c r="B988" s="208"/>
      <c r="C988" s="208"/>
      <c r="D988" s="208"/>
      <c r="E988" s="208"/>
      <c r="F988" s="208"/>
      <c r="G988" s="208"/>
      <c r="H988" s="208"/>
      <c r="I988" s="208"/>
      <c r="J988" s="208"/>
      <c r="K988" s="208"/>
      <c r="L988" s="208"/>
      <c r="M988" s="208"/>
      <c r="N988" s="208"/>
      <c r="O988" s="208"/>
      <c r="P988" s="208"/>
      <c r="Q988" s="208"/>
      <c r="R988" s="208"/>
      <c r="S988" s="208"/>
      <c r="T988" s="208"/>
      <c r="U988" s="208"/>
      <c r="V988" s="208"/>
      <c r="W988" s="208"/>
      <c r="X988" s="208"/>
      <c r="Y988" s="208"/>
      <c r="Z988" s="208"/>
      <c r="AA988" s="208"/>
      <c r="AB988" s="208"/>
      <c r="AC988" s="208"/>
      <c r="AD988" s="208"/>
      <c r="AE988" s="208"/>
      <c r="AF988" s="208"/>
      <c r="AG988" s="208"/>
      <c r="AH988" s="208"/>
      <c r="AI988" s="208"/>
      <c r="AJ988" s="208"/>
      <c r="AK988" s="208"/>
      <c r="AL988" s="208"/>
      <c r="AM988" s="208"/>
      <c r="AN988" s="208"/>
      <c r="AO988" s="208"/>
      <c r="AP988" s="208"/>
      <c r="AQ988" s="208"/>
      <c r="AR988" s="208"/>
      <c r="AS988" s="208"/>
      <c r="AT988" s="208"/>
      <c r="AU988" s="208"/>
      <c r="AV988" s="208"/>
      <c r="AW988" s="208"/>
      <c r="AX988" s="208"/>
      <c r="AY988" s="208"/>
      <c r="AZ988" s="208"/>
      <c r="BA988" s="208"/>
    </row>
    <row r="989" ht="15.75" hidden="1" customHeight="1">
      <c r="A989" s="208"/>
      <c r="B989" s="208"/>
      <c r="C989" s="208"/>
      <c r="D989" s="208"/>
      <c r="E989" s="208"/>
      <c r="F989" s="208"/>
      <c r="G989" s="208"/>
      <c r="H989" s="208"/>
      <c r="I989" s="208"/>
      <c r="J989" s="208"/>
      <c r="K989" s="208"/>
      <c r="L989" s="208"/>
      <c r="M989" s="208"/>
      <c r="N989" s="208"/>
      <c r="O989" s="208"/>
      <c r="P989" s="208"/>
      <c r="Q989" s="208"/>
      <c r="R989" s="208"/>
      <c r="S989" s="208"/>
      <c r="T989" s="208"/>
      <c r="U989" s="208"/>
      <c r="V989" s="208"/>
      <c r="W989" s="208"/>
      <c r="X989" s="208"/>
      <c r="Y989" s="208"/>
      <c r="Z989" s="208"/>
      <c r="AA989" s="208"/>
      <c r="AB989" s="208"/>
      <c r="AC989" s="208"/>
      <c r="AD989" s="208"/>
      <c r="AE989" s="208"/>
      <c r="AF989" s="208"/>
      <c r="AG989" s="208"/>
      <c r="AH989" s="208"/>
      <c r="AI989" s="208"/>
      <c r="AJ989" s="208"/>
      <c r="AK989" s="208"/>
      <c r="AL989" s="208"/>
      <c r="AM989" s="208"/>
      <c r="AN989" s="208"/>
      <c r="AO989" s="208"/>
      <c r="AP989" s="208"/>
      <c r="AQ989" s="208"/>
      <c r="AR989" s="208"/>
      <c r="AS989" s="208"/>
      <c r="AT989" s="208"/>
      <c r="AU989" s="208"/>
      <c r="AV989" s="208"/>
      <c r="AW989" s="208"/>
      <c r="AX989" s="208"/>
      <c r="AY989" s="208"/>
      <c r="AZ989" s="208"/>
      <c r="BA989" s="208"/>
    </row>
    <row r="990" ht="15.75" hidden="1" customHeight="1">
      <c r="A990" s="208"/>
      <c r="B990" s="208"/>
      <c r="C990" s="208"/>
      <c r="D990" s="208"/>
      <c r="E990" s="208"/>
      <c r="F990" s="208"/>
      <c r="G990" s="208"/>
      <c r="H990" s="208"/>
      <c r="I990" s="208"/>
      <c r="J990" s="208"/>
      <c r="K990" s="208"/>
      <c r="L990" s="208"/>
      <c r="M990" s="208"/>
      <c r="N990" s="208"/>
      <c r="O990" s="208"/>
      <c r="P990" s="208"/>
      <c r="Q990" s="208"/>
      <c r="R990" s="208"/>
      <c r="S990" s="208"/>
      <c r="T990" s="208"/>
      <c r="U990" s="208"/>
      <c r="V990" s="208"/>
      <c r="W990" s="208"/>
      <c r="X990" s="208"/>
      <c r="Y990" s="208"/>
      <c r="Z990" s="208"/>
      <c r="AA990" s="208"/>
      <c r="AB990" s="208"/>
      <c r="AC990" s="208"/>
      <c r="AD990" s="208"/>
      <c r="AE990" s="208"/>
      <c r="AF990" s="208"/>
      <c r="AG990" s="208"/>
      <c r="AH990" s="208"/>
      <c r="AI990" s="208"/>
      <c r="AJ990" s="208"/>
      <c r="AK990" s="208"/>
      <c r="AL990" s="208"/>
      <c r="AM990" s="208"/>
      <c r="AN990" s="208"/>
      <c r="AO990" s="208"/>
      <c r="AP990" s="208"/>
      <c r="AQ990" s="208"/>
      <c r="AR990" s="208"/>
      <c r="AS990" s="208"/>
      <c r="AT990" s="208"/>
      <c r="AU990" s="208"/>
      <c r="AV990" s="208"/>
      <c r="AW990" s="208"/>
      <c r="AX990" s="208"/>
      <c r="AY990" s="208"/>
      <c r="AZ990" s="208"/>
      <c r="BA990" s="208"/>
    </row>
    <row r="991" ht="15.75" hidden="1" customHeight="1">
      <c r="A991" s="208"/>
      <c r="B991" s="208"/>
      <c r="C991" s="208"/>
      <c r="D991" s="208"/>
      <c r="E991" s="208"/>
      <c r="F991" s="208"/>
      <c r="G991" s="208"/>
      <c r="H991" s="208"/>
      <c r="I991" s="208"/>
      <c r="J991" s="208"/>
      <c r="K991" s="208"/>
      <c r="L991" s="208"/>
      <c r="M991" s="208"/>
      <c r="N991" s="208"/>
      <c r="O991" s="208"/>
      <c r="P991" s="208"/>
      <c r="Q991" s="208"/>
      <c r="R991" s="208"/>
      <c r="S991" s="208"/>
      <c r="T991" s="208"/>
      <c r="U991" s="208"/>
      <c r="V991" s="208"/>
      <c r="W991" s="208"/>
      <c r="X991" s="208"/>
      <c r="Y991" s="208"/>
      <c r="Z991" s="208"/>
      <c r="AA991" s="208"/>
      <c r="AB991" s="208"/>
      <c r="AC991" s="208"/>
      <c r="AD991" s="208"/>
      <c r="AE991" s="208"/>
      <c r="AF991" s="208"/>
      <c r="AG991" s="208"/>
      <c r="AH991" s="208"/>
      <c r="AI991" s="208"/>
      <c r="AJ991" s="208"/>
      <c r="AK991" s="208"/>
      <c r="AL991" s="208"/>
      <c r="AM991" s="208"/>
      <c r="AN991" s="208"/>
      <c r="AO991" s="208"/>
      <c r="AP991" s="208"/>
      <c r="AQ991" s="208"/>
      <c r="AR991" s="208"/>
      <c r="AS991" s="208"/>
      <c r="AT991" s="208"/>
      <c r="AU991" s="208"/>
      <c r="AV991" s="208"/>
      <c r="AW991" s="208"/>
      <c r="AX991" s="208"/>
      <c r="AY991" s="208"/>
      <c r="AZ991" s="208"/>
      <c r="BA991" s="208"/>
    </row>
    <row r="992" ht="15.75" hidden="1" customHeight="1">
      <c r="A992" s="208"/>
      <c r="B992" s="208"/>
      <c r="C992" s="208"/>
      <c r="D992" s="208"/>
      <c r="E992" s="208"/>
      <c r="F992" s="208"/>
      <c r="G992" s="208"/>
      <c r="H992" s="208"/>
      <c r="I992" s="208"/>
      <c r="J992" s="208"/>
      <c r="K992" s="208"/>
      <c r="L992" s="208"/>
      <c r="M992" s="208"/>
      <c r="N992" s="208"/>
      <c r="O992" s="208"/>
      <c r="P992" s="208"/>
      <c r="Q992" s="208"/>
      <c r="R992" s="208"/>
      <c r="S992" s="208"/>
      <c r="T992" s="208"/>
      <c r="U992" s="208"/>
      <c r="V992" s="208"/>
      <c r="W992" s="208"/>
      <c r="X992" s="208"/>
      <c r="Y992" s="208"/>
      <c r="Z992" s="208"/>
      <c r="AA992" s="208"/>
      <c r="AB992" s="208"/>
      <c r="AC992" s="208"/>
      <c r="AD992" s="208"/>
      <c r="AE992" s="208"/>
      <c r="AF992" s="208"/>
      <c r="AG992" s="208"/>
      <c r="AH992" s="208"/>
      <c r="AI992" s="208"/>
      <c r="AJ992" s="208"/>
      <c r="AK992" s="208"/>
      <c r="AL992" s="208"/>
      <c r="AM992" s="208"/>
      <c r="AN992" s="208"/>
      <c r="AO992" s="208"/>
      <c r="AP992" s="208"/>
      <c r="AQ992" s="208"/>
      <c r="AR992" s="208"/>
      <c r="AS992" s="208"/>
      <c r="AT992" s="208"/>
      <c r="AU992" s="208"/>
      <c r="AV992" s="208"/>
      <c r="AW992" s="208"/>
      <c r="AX992" s="208"/>
      <c r="AY992" s="208"/>
      <c r="AZ992" s="208"/>
      <c r="BA992" s="208"/>
    </row>
    <row r="993" ht="15.75" hidden="1" customHeight="1">
      <c r="A993" s="208"/>
      <c r="B993" s="208"/>
      <c r="C993" s="208"/>
      <c r="D993" s="208"/>
      <c r="E993" s="208"/>
      <c r="F993" s="208"/>
      <c r="G993" s="208"/>
      <c r="H993" s="208"/>
      <c r="I993" s="208"/>
      <c r="J993" s="208"/>
      <c r="K993" s="208"/>
      <c r="L993" s="208"/>
      <c r="M993" s="208"/>
      <c r="N993" s="208"/>
      <c r="O993" s="208"/>
      <c r="P993" s="208"/>
      <c r="Q993" s="208"/>
      <c r="R993" s="208"/>
      <c r="S993" s="208"/>
      <c r="T993" s="208"/>
      <c r="U993" s="208"/>
      <c r="V993" s="208"/>
      <c r="W993" s="208"/>
      <c r="X993" s="208"/>
      <c r="Y993" s="208"/>
      <c r="Z993" s="208"/>
      <c r="AA993" s="208"/>
      <c r="AB993" s="208"/>
      <c r="AC993" s="208"/>
      <c r="AD993" s="208"/>
      <c r="AE993" s="208"/>
      <c r="AF993" s="208"/>
      <c r="AG993" s="208"/>
      <c r="AH993" s="208"/>
      <c r="AI993" s="208"/>
      <c r="AJ993" s="208"/>
      <c r="AK993" s="208"/>
      <c r="AL993" s="208"/>
      <c r="AM993" s="208"/>
      <c r="AN993" s="208"/>
      <c r="AO993" s="208"/>
      <c r="AP993" s="208"/>
      <c r="AQ993" s="208"/>
      <c r="AR993" s="208"/>
      <c r="AS993" s="208"/>
      <c r="AT993" s="208"/>
      <c r="AU993" s="208"/>
      <c r="AV993" s="208"/>
      <c r="AW993" s="208"/>
      <c r="AX993" s="208"/>
      <c r="AY993" s="208"/>
      <c r="AZ993" s="208"/>
      <c r="BA993" s="208"/>
    </row>
    <row r="994" ht="15.75" hidden="1" customHeight="1">
      <c r="A994" s="208"/>
      <c r="B994" s="208"/>
      <c r="C994" s="208"/>
      <c r="D994" s="208"/>
      <c r="E994" s="208"/>
      <c r="F994" s="208"/>
      <c r="G994" s="208"/>
      <c r="H994" s="208"/>
      <c r="I994" s="208"/>
      <c r="J994" s="208"/>
      <c r="K994" s="208"/>
      <c r="L994" s="208"/>
      <c r="M994" s="208"/>
      <c r="N994" s="208"/>
      <c r="O994" s="208"/>
      <c r="P994" s="208"/>
      <c r="Q994" s="208"/>
      <c r="R994" s="208"/>
      <c r="S994" s="208"/>
      <c r="T994" s="208"/>
      <c r="U994" s="208"/>
      <c r="V994" s="208"/>
      <c r="W994" s="208"/>
      <c r="X994" s="208"/>
      <c r="Y994" s="208"/>
      <c r="Z994" s="208"/>
      <c r="AA994" s="208"/>
      <c r="AB994" s="208"/>
      <c r="AC994" s="208"/>
      <c r="AD994" s="208"/>
      <c r="AE994" s="208"/>
      <c r="AF994" s="208"/>
      <c r="AG994" s="208"/>
      <c r="AH994" s="208"/>
      <c r="AI994" s="208"/>
      <c r="AJ994" s="208"/>
      <c r="AK994" s="208"/>
      <c r="AL994" s="208"/>
      <c r="AM994" s="208"/>
      <c r="AN994" s="208"/>
      <c r="AO994" s="208"/>
      <c r="AP994" s="208"/>
      <c r="AQ994" s="208"/>
      <c r="AR994" s="208"/>
      <c r="AS994" s="208"/>
      <c r="AT994" s="208"/>
      <c r="AU994" s="208"/>
      <c r="AV994" s="208"/>
      <c r="AW994" s="208"/>
      <c r="AX994" s="208"/>
      <c r="AY994" s="208"/>
      <c r="AZ994" s="208"/>
      <c r="BA994" s="208"/>
    </row>
    <row r="995" ht="15.75" hidden="1" customHeight="1">
      <c r="A995" s="208"/>
      <c r="B995" s="208"/>
      <c r="C995" s="208"/>
      <c r="D995" s="208"/>
      <c r="E995" s="208"/>
      <c r="F995" s="208"/>
      <c r="G995" s="208"/>
      <c r="H995" s="208"/>
      <c r="I995" s="208"/>
      <c r="J995" s="208"/>
      <c r="K995" s="208"/>
      <c r="L995" s="208"/>
      <c r="M995" s="208"/>
      <c r="N995" s="208"/>
      <c r="O995" s="208"/>
      <c r="P995" s="208"/>
      <c r="Q995" s="208"/>
      <c r="R995" s="208"/>
      <c r="S995" s="208"/>
      <c r="T995" s="208"/>
      <c r="U995" s="208"/>
      <c r="V995" s="208"/>
      <c r="W995" s="208"/>
      <c r="X995" s="208"/>
      <c r="Y995" s="208"/>
      <c r="Z995" s="208"/>
      <c r="AA995" s="208"/>
      <c r="AB995" s="208"/>
      <c r="AC995" s="208"/>
      <c r="AD995" s="208"/>
      <c r="AE995" s="208"/>
      <c r="AF995" s="208"/>
      <c r="AG995" s="208"/>
      <c r="AH995" s="208"/>
      <c r="AI995" s="208"/>
      <c r="AJ995" s="208"/>
      <c r="AK995" s="208"/>
      <c r="AL995" s="208"/>
      <c r="AM995" s="208"/>
      <c r="AN995" s="208"/>
      <c r="AO995" s="208"/>
      <c r="AP995" s="208"/>
      <c r="AQ995" s="208"/>
      <c r="AR995" s="208"/>
      <c r="AS995" s="208"/>
      <c r="AT995" s="208"/>
      <c r="AU995" s="208"/>
      <c r="AV995" s="208"/>
      <c r="AW995" s="208"/>
      <c r="AX995" s="208"/>
      <c r="AY995" s="208"/>
      <c r="AZ995" s="208"/>
      <c r="BA995" s="208"/>
    </row>
    <row r="996" ht="15.75" hidden="1" customHeight="1">
      <c r="A996" s="208"/>
      <c r="B996" s="208"/>
      <c r="C996" s="208"/>
      <c r="D996" s="208"/>
      <c r="E996" s="208"/>
      <c r="F996" s="208"/>
      <c r="G996" s="208"/>
      <c r="H996" s="208"/>
      <c r="I996" s="208"/>
      <c r="J996" s="208"/>
      <c r="K996" s="208"/>
      <c r="L996" s="208"/>
      <c r="M996" s="208"/>
      <c r="N996" s="208"/>
      <c r="O996" s="208"/>
      <c r="P996" s="208"/>
      <c r="Q996" s="208"/>
      <c r="R996" s="208"/>
      <c r="S996" s="208"/>
      <c r="T996" s="208"/>
      <c r="U996" s="208"/>
      <c r="V996" s="208"/>
      <c r="W996" s="208"/>
      <c r="X996" s="208"/>
      <c r="Y996" s="208"/>
      <c r="Z996" s="208"/>
      <c r="AA996" s="208"/>
      <c r="AB996" s="208"/>
      <c r="AC996" s="208"/>
      <c r="AD996" s="208"/>
      <c r="AE996" s="208"/>
      <c r="AF996" s="208"/>
      <c r="AG996" s="208"/>
      <c r="AH996" s="208"/>
      <c r="AI996" s="208"/>
      <c r="AJ996" s="208"/>
      <c r="AK996" s="208"/>
      <c r="AL996" s="208"/>
      <c r="AM996" s="208"/>
      <c r="AN996" s="208"/>
      <c r="AO996" s="208"/>
      <c r="AP996" s="208"/>
      <c r="AQ996" s="208"/>
      <c r="AR996" s="208"/>
      <c r="AS996" s="208"/>
      <c r="AT996" s="208"/>
      <c r="AU996" s="208"/>
      <c r="AV996" s="208"/>
      <c r="AW996" s="208"/>
      <c r="AX996" s="208"/>
      <c r="AY996" s="208"/>
      <c r="AZ996" s="208"/>
      <c r="BA996" s="208"/>
    </row>
    <row r="997" ht="15.75" hidden="1" customHeight="1">
      <c r="A997" s="208"/>
      <c r="B997" s="208"/>
      <c r="C997" s="208"/>
      <c r="D997" s="208"/>
      <c r="E997" s="208"/>
      <c r="F997" s="208"/>
      <c r="G997" s="208"/>
      <c r="H997" s="208"/>
      <c r="I997" s="208"/>
      <c r="J997" s="208"/>
      <c r="K997" s="208"/>
      <c r="L997" s="208"/>
      <c r="M997" s="208"/>
      <c r="N997" s="208"/>
      <c r="O997" s="208"/>
      <c r="P997" s="208"/>
      <c r="Q997" s="208"/>
      <c r="R997" s="208"/>
      <c r="S997" s="208"/>
      <c r="T997" s="208"/>
      <c r="U997" s="208"/>
      <c r="V997" s="208"/>
      <c r="W997" s="208"/>
      <c r="X997" s="208"/>
      <c r="Y997" s="208"/>
      <c r="Z997" s="208"/>
      <c r="AA997" s="208"/>
      <c r="AB997" s="208"/>
      <c r="AC997" s="208"/>
      <c r="AD997" s="208"/>
      <c r="AE997" s="208"/>
      <c r="AF997" s="208"/>
      <c r="AG997" s="208"/>
      <c r="AH997" s="208"/>
      <c r="AI997" s="208"/>
      <c r="AJ997" s="208"/>
      <c r="AK997" s="208"/>
      <c r="AL997" s="208"/>
      <c r="AM997" s="208"/>
      <c r="AN997" s="208"/>
      <c r="AO997" s="208"/>
      <c r="AP997" s="208"/>
      <c r="AQ997" s="208"/>
      <c r="AR997" s="208"/>
      <c r="AS997" s="208"/>
      <c r="AT997" s="208"/>
      <c r="AU997" s="208"/>
      <c r="AV997" s="208"/>
      <c r="AW997" s="208"/>
      <c r="AX997" s="208"/>
      <c r="AY997" s="208"/>
      <c r="AZ997" s="208"/>
      <c r="BA997" s="208"/>
    </row>
    <row r="998" ht="15.75" hidden="1" customHeight="1">
      <c r="A998" s="208"/>
      <c r="B998" s="208"/>
      <c r="C998" s="208"/>
      <c r="D998" s="208"/>
      <c r="E998" s="208"/>
      <c r="F998" s="208"/>
      <c r="G998" s="208"/>
      <c r="H998" s="208"/>
      <c r="I998" s="208"/>
      <c r="J998" s="208"/>
      <c r="K998" s="208"/>
      <c r="L998" s="208"/>
      <c r="M998" s="208"/>
      <c r="N998" s="208"/>
      <c r="O998" s="208"/>
      <c r="P998" s="208"/>
      <c r="Q998" s="208"/>
      <c r="R998" s="208"/>
      <c r="S998" s="208"/>
      <c r="T998" s="208"/>
      <c r="U998" s="208"/>
      <c r="V998" s="208"/>
      <c r="W998" s="208"/>
      <c r="X998" s="208"/>
      <c r="Y998" s="208"/>
      <c r="Z998" s="208"/>
      <c r="AA998" s="208"/>
      <c r="AB998" s="208"/>
      <c r="AC998" s="208"/>
      <c r="AD998" s="208"/>
      <c r="AE998" s="208"/>
      <c r="AF998" s="208"/>
      <c r="AG998" s="208"/>
      <c r="AH998" s="208"/>
      <c r="AI998" s="208"/>
      <c r="AJ998" s="208"/>
      <c r="AK998" s="208"/>
      <c r="AL998" s="208"/>
      <c r="AM998" s="208"/>
      <c r="AN998" s="208"/>
      <c r="AO998" s="208"/>
      <c r="AP998" s="208"/>
      <c r="AQ998" s="208"/>
      <c r="AR998" s="208"/>
      <c r="AS998" s="208"/>
      <c r="AT998" s="208"/>
      <c r="AU998" s="208"/>
      <c r="AV998" s="208"/>
      <c r="AW998" s="208"/>
      <c r="AX998" s="208"/>
      <c r="AY998" s="208"/>
      <c r="AZ998" s="208"/>
      <c r="BA998" s="208"/>
    </row>
    <row r="999" ht="15.75" hidden="1" customHeight="1">
      <c r="A999" s="208"/>
      <c r="B999" s="208"/>
      <c r="C999" s="208"/>
      <c r="D999" s="208"/>
      <c r="E999" s="208"/>
      <c r="F999" s="208"/>
      <c r="G999" s="208"/>
      <c r="H999" s="208"/>
      <c r="I999" s="208"/>
      <c r="J999" s="208"/>
      <c r="K999" s="208"/>
      <c r="L999" s="208"/>
      <c r="M999" s="208"/>
      <c r="N999" s="208"/>
      <c r="O999" s="208"/>
      <c r="P999" s="208"/>
      <c r="Q999" s="208"/>
      <c r="R999" s="208"/>
      <c r="S999" s="208"/>
      <c r="T999" s="208"/>
      <c r="U999" s="208"/>
      <c r="V999" s="208"/>
      <c r="W999" s="208"/>
      <c r="X999" s="208"/>
      <c r="Y999" s="208"/>
      <c r="Z999" s="208"/>
      <c r="AA999" s="208"/>
      <c r="AB999" s="208"/>
      <c r="AC999" s="208"/>
      <c r="AD999" s="208"/>
      <c r="AE999" s="208"/>
      <c r="AF999" s="208"/>
      <c r="AG999" s="208"/>
      <c r="AH999" s="208"/>
      <c r="AI999" s="208"/>
      <c r="AJ999" s="208"/>
      <c r="AK999" s="208"/>
      <c r="AL999" s="208"/>
      <c r="AM999" s="208"/>
      <c r="AN999" s="208"/>
      <c r="AO999" s="208"/>
      <c r="AP999" s="208"/>
      <c r="AQ999" s="208"/>
      <c r="AR999" s="208"/>
      <c r="AS999" s="208"/>
      <c r="AT999" s="208"/>
      <c r="AU999" s="208"/>
      <c r="AV999" s="208"/>
      <c r="AW999" s="208"/>
      <c r="AX999" s="208"/>
      <c r="AY999" s="208"/>
      <c r="AZ999" s="208"/>
      <c r="BA999" s="208"/>
    </row>
    <row r="1000" ht="15.75" hidden="1" customHeight="1">
      <c r="A1000" s="208"/>
      <c r="B1000" s="208"/>
      <c r="C1000" s="208"/>
      <c r="D1000" s="208"/>
      <c r="E1000" s="208"/>
      <c r="F1000" s="208"/>
      <c r="G1000" s="208"/>
      <c r="H1000" s="208"/>
      <c r="I1000" s="208"/>
      <c r="J1000" s="208"/>
      <c r="K1000" s="208"/>
      <c r="L1000" s="208"/>
      <c r="M1000" s="208"/>
      <c r="N1000" s="208"/>
      <c r="O1000" s="208"/>
      <c r="P1000" s="208"/>
      <c r="Q1000" s="208"/>
      <c r="R1000" s="208"/>
      <c r="S1000" s="208"/>
      <c r="T1000" s="208"/>
      <c r="U1000" s="208"/>
      <c r="V1000" s="208"/>
      <c r="W1000" s="208"/>
      <c r="X1000" s="208"/>
      <c r="Y1000" s="208"/>
      <c r="Z1000" s="208"/>
      <c r="AA1000" s="208"/>
      <c r="AB1000" s="208"/>
      <c r="AC1000" s="208"/>
      <c r="AD1000" s="208"/>
      <c r="AE1000" s="208"/>
      <c r="AF1000" s="208"/>
      <c r="AG1000" s="208"/>
      <c r="AH1000" s="208"/>
      <c r="AI1000" s="208"/>
      <c r="AJ1000" s="208"/>
      <c r="AK1000" s="208"/>
      <c r="AL1000" s="208"/>
      <c r="AM1000" s="208"/>
      <c r="AN1000" s="208"/>
      <c r="AO1000" s="208"/>
      <c r="AP1000" s="208"/>
      <c r="AQ1000" s="208"/>
      <c r="AR1000" s="208"/>
      <c r="AS1000" s="208"/>
      <c r="AT1000" s="208"/>
      <c r="AU1000" s="208"/>
      <c r="AV1000" s="208"/>
      <c r="AW1000" s="208"/>
      <c r="AX1000" s="208"/>
      <c r="AY1000" s="208"/>
      <c r="AZ1000" s="208"/>
      <c r="BA1000" s="208"/>
    </row>
    <row r="1001" ht="15.75" hidden="1" customHeight="1">
      <c r="A1001" s="208"/>
      <c r="B1001" s="208"/>
      <c r="C1001" s="208"/>
      <c r="D1001" s="208"/>
      <c r="E1001" s="208"/>
      <c r="F1001" s="208"/>
      <c r="G1001" s="208"/>
      <c r="H1001" s="208"/>
      <c r="I1001" s="208"/>
      <c r="J1001" s="208"/>
      <c r="K1001" s="208"/>
      <c r="L1001" s="208"/>
      <c r="M1001" s="208"/>
      <c r="N1001" s="208"/>
      <c r="O1001" s="208"/>
      <c r="P1001" s="208"/>
      <c r="Q1001" s="208"/>
      <c r="R1001" s="208"/>
      <c r="S1001" s="208"/>
      <c r="T1001" s="208"/>
      <c r="U1001" s="208"/>
      <c r="V1001" s="208"/>
      <c r="W1001" s="208"/>
      <c r="X1001" s="208"/>
      <c r="Y1001" s="208"/>
      <c r="Z1001" s="208"/>
      <c r="AA1001" s="208"/>
      <c r="AB1001" s="208"/>
      <c r="AC1001" s="208"/>
      <c r="AD1001" s="208"/>
      <c r="AE1001" s="208"/>
      <c r="AF1001" s="208"/>
      <c r="AG1001" s="208"/>
      <c r="AH1001" s="208"/>
      <c r="AI1001" s="208"/>
      <c r="AJ1001" s="208"/>
      <c r="AK1001" s="208"/>
      <c r="AL1001" s="208"/>
      <c r="AM1001" s="208"/>
      <c r="AN1001" s="208"/>
      <c r="AO1001" s="208"/>
      <c r="AP1001" s="208"/>
      <c r="AQ1001" s="208"/>
      <c r="AR1001" s="208"/>
      <c r="AS1001" s="208"/>
      <c r="AT1001" s="208"/>
      <c r="AU1001" s="208"/>
      <c r="AV1001" s="208"/>
      <c r="AW1001" s="208"/>
      <c r="AX1001" s="208"/>
      <c r="AY1001" s="208"/>
      <c r="AZ1001" s="208"/>
      <c r="BA1001" s="208"/>
    </row>
  </sheetData>
  <mergeCells count="41">
    <mergeCell ref="Y3:AB3"/>
    <mergeCell ref="AC3:AF3"/>
    <mergeCell ref="AG3:AJ3"/>
    <mergeCell ref="AK3:AN3"/>
    <mergeCell ref="AO3:AR3"/>
    <mergeCell ref="AS3:AV3"/>
    <mergeCell ref="AW3:AZ3"/>
    <mergeCell ref="B2:D2"/>
    <mergeCell ref="B3:D3"/>
    <mergeCell ref="E3:H3"/>
    <mergeCell ref="I3:L3"/>
    <mergeCell ref="M3:P3"/>
    <mergeCell ref="Q3:T3"/>
    <mergeCell ref="U3:X3"/>
    <mergeCell ref="B4:B5"/>
    <mergeCell ref="C4:C5"/>
    <mergeCell ref="D4:D5"/>
    <mergeCell ref="E4:E5"/>
    <mergeCell ref="F4:H4"/>
    <mergeCell ref="I4:I5"/>
    <mergeCell ref="M4:M5"/>
    <mergeCell ref="AL4:AN4"/>
    <mergeCell ref="AP4:AR4"/>
    <mergeCell ref="AT4:AV4"/>
    <mergeCell ref="AX4:AZ4"/>
    <mergeCell ref="J4:L4"/>
    <mergeCell ref="N4:P4"/>
    <mergeCell ref="R4:T4"/>
    <mergeCell ref="V4:X4"/>
    <mergeCell ref="Z4:AB4"/>
    <mergeCell ref="AD4:AF4"/>
    <mergeCell ref="AH4:AJ4"/>
    <mergeCell ref="AS4:AS5"/>
    <mergeCell ref="AW4:AW5"/>
    <mergeCell ref="Q4:Q5"/>
    <mergeCell ref="U4:U5"/>
    <mergeCell ref="Y4:Y5"/>
    <mergeCell ref="AC4:AC5"/>
    <mergeCell ref="AG4:AG5"/>
    <mergeCell ref="AK4:AK5"/>
    <mergeCell ref="AO4:AO5"/>
  </mergeCells>
  <hyperlinks>
    <hyperlink r:id="rId1" location="gid=185841504" ref="B1"/>
  </hyperlinks>
  <printOptions/>
  <pageMargins bottom="0.75" footer="0.0" header="0.0" left="0.7" right="0.7" top="0.75"/>
  <pageSetup orientation="landscape"/>
  <drawing r:id="rId2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showGridLines="0" workbookViewId="0">
      <pane xSplit="4.0" ySplit="6.0" topLeftCell="E7" activePane="bottomRight" state="frozen"/>
      <selection activeCell="E1" sqref="E1" pane="topRight"/>
      <selection activeCell="A7" sqref="A7" pane="bottomLeft"/>
      <selection activeCell="E7" sqref="E7" pane="bottomRight"/>
    </sheetView>
  </sheetViews>
  <sheetFormatPr customHeight="1" defaultColWidth="12.63" defaultRowHeight="15.0"/>
  <cols>
    <col customWidth="1" min="1" max="1" width="0.38"/>
    <col customWidth="1" min="2" max="2" width="29.13"/>
    <col customWidth="1" min="3" max="3" width="6.75"/>
    <col customWidth="1" min="4" max="4" width="5.88"/>
    <col customWidth="1" min="5" max="5" width="7.0"/>
    <col customWidth="1" min="6" max="6" width="6.88"/>
    <col customWidth="1" min="7" max="7" width="6.0"/>
    <col customWidth="1" min="8" max="8" width="6.13"/>
    <col customWidth="1" min="9" max="9" width="7.0"/>
    <col customWidth="1" min="10" max="10" width="6.88"/>
    <col customWidth="1" min="11" max="11" width="6.0"/>
    <col customWidth="1" min="12" max="12" width="6.13"/>
    <col customWidth="1" min="13" max="13" width="7.0"/>
    <col customWidth="1" min="14" max="14" width="6.88"/>
    <col customWidth="1" min="15" max="15" width="6.0"/>
    <col customWidth="1" min="16" max="16" width="6.13"/>
    <col customWidth="1" min="17" max="17" width="7.0"/>
    <col customWidth="1" min="18" max="18" width="6.88"/>
    <col customWidth="1" min="19" max="19" width="6.0"/>
    <col customWidth="1" min="20" max="20" width="6.13"/>
    <col customWidth="1" min="21" max="21" width="7.0"/>
    <col customWidth="1" min="22" max="22" width="6.88"/>
    <col customWidth="1" min="23" max="23" width="6.0"/>
    <col customWidth="1" min="24" max="24" width="6.13"/>
    <col customWidth="1" min="25" max="25" width="7.0"/>
    <col customWidth="1" min="26" max="26" width="6.88"/>
    <col customWidth="1" min="27" max="27" width="6.0"/>
    <col customWidth="1" min="28" max="28" width="6.13"/>
    <col customWidth="1" min="29" max="29" width="7.0"/>
    <col customWidth="1" min="30" max="30" width="6.88"/>
    <col customWidth="1" min="31" max="31" width="6.0"/>
    <col customWidth="1" min="32" max="32" width="6.13"/>
    <col customWidth="1" min="33" max="33" width="7.0"/>
    <col customWidth="1" min="34" max="34" width="6.88"/>
    <col customWidth="1" min="35" max="35" width="6.0"/>
    <col customWidth="1" min="36" max="36" width="6.13"/>
    <col customWidth="1" min="37" max="37" width="7.0"/>
    <col customWidth="1" min="38" max="38" width="6.88"/>
    <col customWidth="1" min="39" max="39" width="6.0"/>
    <col customWidth="1" min="40" max="40" width="6.13"/>
    <col customWidth="1" min="41" max="41" width="7.0"/>
    <col customWidth="1" min="42" max="42" width="6.88"/>
    <col customWidth="1" min="43" max="43" width="6.0"/>
    <col customWidth="1" min="44" max="44" width="6.13"/>
    <col customWidth="1" min="45" max="45" width="7.0"/>
    <col customWidth="1" min="46" max="46" width="6.88"/>
    <col customWidth="1" min="47" max="47" width="6.0"/>
    <col customWidth="1" min="48" max="48" width="6.13"/>
    <col customWidth="1" min="49" max="49" width="7.0"/>
    <col customWidth="1" min="50" max="50" width="6.88"/>
    <col customWidth="1" min="51" max="51" width="6.0"/>
    <col customWidth="1" min="52" max="52" width="6.13"/>
    <col customWidth="1" min="53" max="53" width="0.38"/>
  </cols>
  <sheetData>
    <row r="1">
      <c r="A1" s="183"/>
      <c r="B1" s="225" t="s">
        <v>161</v>
      </c>
      <c r="C1" s="185"/>
      <c r="D1" s="185"/>
      <c r="E1" s="183"/>
      <c r="F1" s="226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</row>
    <row r="2" ht="13.5" hidden="1" customHeight="1">
      <c r="A2" s="186" t="str">
        <f>IFERROR(__xludf.DUMMYFUNCTION("IMPORTRANGE(""https://docs.google.com/spreadsheets/d/189n0SmaJxh8zZlIYujwZITQa9iurcpRjFcA0f8yVkew/edit#gid=1224100097"",""TONG!A1:AZ85"")"),"")</f>
        <v/>
      </c>
      <c r="B2" s="187"/>
      <c r="C2" s="188"/>
      <c r="D2" s="5"/>
      <c r="E2" s="189" t="str">
        <f>IFERROR(__xludf.DUMMYFUNCTION("""COMPUTED_VALUE"""),"* Lưu ý: chỉ nhập số liệu vào các ô tô MÀU VÀNG")</f>
        <v>* Lưu ý: chỉ nhập số liệu vào các ô tô MÀU VÀNG</v>
      </c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1"/>
      <c r="BA2" s="186"/>
    </row>
    <row r="3" ht="18.75" customHeight="1">
      <c r="A3" s="6"/>
      <c r="B3" s="134" t="str">
        <f>IFERROR(__xludf.DUMMYFUNCTION("""COMPUTED_VALUE"""),"BIỂU THỐNG KÊ SỐ LIỆU CẤP THCS")</f>
        <v>BIỂU THỐNG KÊ SỐ LIỆU CẤP THCS</v>
      </c>
      <c r="C3" s="8"/>
      <c r="D3" s="9"/>
      <c r="E3" s="11" t="str">
        <f>IFERROR(__xludf.DUMMYFUNCTION("""COMPUTED_VALUE"""),"Kỳ tháng 10/2023")</f>
        <v>Kỳ tháng 10/2023</v>
      </c>
      <c r="F3" s="8"/>
      <c r="G3" s="8"/>
      <c r="H3" s="9"/>
      <c r="I3" s="11" t="str">
        <f>IFERROR(__xludf.DUMMYFUNCTION("""COMPUTED_VALUE"""),"Kỳ tháng 11/2023")</f>
        <v>Kỳ tháng 11/2023</v>
      </c>
      <c r="J3" s="8"/>
      <c r="K3" s="8"/>
      <c r="L3" s="9"/>
      <c r="M3" s="11" t="str">
        <f>IFERROR(__xludf.DUMMYFUNCTION("""COMPUTED_VALUE"""),"Kỳ tháng 12/2023")</f>
        <v>Kỳ tháng 12/2023</v>
      </c>
      <c r="N3" s="8"/>
      <c r="O3" s="8"/>
      <c r="P3" s="9"/>
      <c r="Q3" s="12" t="str">
        <f>IFERROR(__xludf.DUMMYFUNCTION("""COMPUTED_VALUE"""),"Kỳ tháng 1/2024")</f>
        <v>Kỳ tháng 1/2024</v>
      </c>
      <c r="R3" s="8"/>
      <c r="S3" s="8"/>
      <c r="T3" s="9"/>
      <c r="U3" s="12" t="str">
        <f>IFERROR(__xludf.DUMMYFUNCTION("""COMPUTED_VALUE"""),"Kỳ tháng 2/2024")</f>
        <v>Kỳ tháng 2/2024</v>
      </c>
      <c r="V3" s="8"/>
      <c r="W3" s="8"/>
      <c r="X3" s="9"/>
      <c r="Y3" s="12" t="str">
        <f>IFERROR(__xludf.DUMMYFUNCTION("""COMPUTED_VALUE"""),"Kỳ tháng 3/2024")</f>
        <v>Kỳ tháng 3/2024</v>
      </c>
      <c r="Z3" s="8"/>
      <c r="AA3" s="8"/>
      <c r="AB3" s="9"/>
      <c r="AC3" s="13" t="str">
        <f>IFERROR(__xludf.DUMMYFUNCTION("""COMPUTED_VALUE"""),"Kỳ tháng 4/2024")</f>
        <v>Kỳ tháng 4/2024</v>
      </c>
      <c r="AD3" s="8"/>
      <c r="AE3" s="8"/>
      <c r="AF3" s="9"/>
      <c r="AG3" s="13" t="str">
        <f>IFERROR(__xludf.DUMMYFUNCTION("""COMPUTED_VALUE"""),"Kỳ tháng 5/2024")</f>
        <v>Kỳ tháng 5/2024</v>
      </c>
      <c r="AH3" s="8"/>
      <c r="AI3" s="8"/>
      <c r="AJ3" s="9"/>
      <c r="AK3" s="13" t="str">
        <f>IFERROR(__xludf.DUMMYFUNCTION("""COMPUTED_VALUE"""),"Kỳ tháng 6/2024")</f>
        <v>Kỳ tháng 6/2024</v>
      </c>
      <c r="AL3" s="8"/>
      <c r="AM3" s="8"/>
      <c r="AN3" s="9"/>
      <c r="AO3" s="14" t="str">
        <f>IFERROR(__xludf.DUMMYFUNCTION("""COMPUTED_VALUE"""),"Kỳ tháng 7/2024")</f>
        <v>Kỳ tháng 7/2024</v>
      </c>
      <c r="AP3" s="8"/>
      <c r="AQ3" s="8"/>
      <c r="AR3" s="9"/>
      <c r="AS3" s="14" t="str">
        <f>IFERROR(__xludf.DUMMYFUNCTION("""COMPUTED_VALUE"""),"Kỳ tháng 8/2024")</f>
        <v>Kỳ tháng 8/2024</v>
      </c>
      <c r="AT3" s="8"/>
      <c r="AU3" s="8"/>
      <c r="AV3" s="9"/>
      <c r="AW3" s="14" t="str">
        <f>IFERROR(__xludf.DUMMYFUNCTION("""COMPUTED_VALUE"""),"Kỳ tháng 9/2024")</f>
        <v>Kỳ tháng 9/2024</v>
      </c>
      <c r="AX3" s="8"/>
      <c r="AY3" s="8"/>
      <c r="AZ3" s="15"/>
      <c r="BA3" s="16"/>
    </row>
    <row r="4" ht="15.75" customHeight="1">
      <c r="A4" s="6"/>
      <c r="B4" s="17" t="str">
        <f>IFERROR(__xludf.DUMMYFUNCTION("""COMPUTED_VALUE"""),"TOÀN TỈNH")</f>
        <v>TOÀN TỈNH</v>
      </c>
      <c r="C4" s="18" t="str">
        <f>IFERROR(__xludf.DUMMYFUNCTION("""COMPUTED_VALUE"""),"Tần suất
báo cáo")</f>
        <v>Tần suất
báo cáo</v>
      </c>
      <c r="D4" s="18" t="str">
        <f>IFERROR(__xludf.DUMMYFUNCTION("""COMPUTED_VALUE"""),"Đơn vị
tính")</f>
        <v>Đơn vị
tính</v>
      </c>
      <c r="E4" s="19" t="str">
        <f>IFERROR(__xludf.DUMMYFUNCTION("""COMPUTED_VALUE"""),"Tổng số")</f>
        <v>Tổng số</v>
      </c>
      <c r="F4" s="20" t="str">
        <f>IFERROR(__xludf.DUMMYFUNCTION("""COMPUTED_VALUE"""),"Trong đó")</f>
        <v>Trong đó</v>
      </c>
      <c r="G4" s="21"/>
      <c r="H4" s="22"/>
      <c r="I4" s="19" t="str">
        <f>IFERROR(__xludf.DUMMYFUNCTION("""COMPUTED_VALUE"""),"Tổng số")</f>
        <v>Tổng số</v>
      </c>
      <c r="J4" s="20" t="str">
        <f>IFERROR(__xludf.DUMMYFUNCTION("""COMPUTED_VALUE"""),"Trong đó")</f>
        <v>Trong đó</v>
      </c>
      <c r="K4" s="21"/>
      <c r="L4" s="22"/>
      <c r="M4" s="19" t="str">
        <f>IFERROR(__xludf.DUMMYFUNCTION("""COMPUTED_VALUE"""),"Tổng số")</f>
        <v>Tổng số</v>
      </c>
      <c r="N4" s="20" t="str">
        <f>IFERROR(__xludf.DUMMYFUNCTION("""COMPUTED_VALUE"""),"Trong đó")</f>
        <v>Trong đó</v>
      </c>
      <c r="O4" s="21"/>
      <c r="P4" s="22"/>
      <c r="Q4" s="19" t="str">
        <f>IFERROR(__xludf.DUMMYFUNCTION("""COMPUTED_VALUE"""),"Tổng số")</f>
        <v>Tổng số</v>
      </c>
      <c r="R4" s="20" t="str">
        <f>IFERROR(__xludf.DUMMYFUNCTION("""COMPUTED_VALUE"""),"Trong đó")</f>
        <v>Trong đó</v>
      </c>
      <c r="S4" s="21"/>
      <c r="T4" s="22"/>
      <c r="U4" s="19" t="str">
        <f>IFERROR(__xludf.DUMMYFUNCTION("""COMPUTED_VALUE"""),"Tổng số")</f>
        <v>Tổng số</v>
      </c>
      <c r="V4" s="20" t="str">
        <f>IFERROR(__xludf.DUMMYFUNCTION("""COMPUTED_VALUE"""),"Trong đó")</f>
        <v>Trong đó</v>
      </c>
      <c r="W4" s="21"/>
      <c r="X4" s="22"/>
      <c r="Y4" s="19" t="str">
        <f>IFERROR(__xludf.DUMMYFUNCTION("""COMPUTED_VALUE"""),"Tổng số")</f>
        <v>Tổng số</v>
      </c>
      <c r="Z4" s="20" t="str">
        <f>IFERROR(__xludf.DUMMYFUNCTION("""COMPUTED_VALUE"""),"Trong đó")</f>
        <v>Trong đó</v>
      </c>
      <c r="AA4" s="21"/>
      <c r="AB4" s="22"/>
      <c r="AC4" s="19" t="str">
        <f>IFERROR(__xludf.DUMMYFUNCTION("""COMPUTED_VALUE"""),"Tổng số")</f>
        <v>Tổng số</v>
      </c>
      <c r="AD4" s="20" t="str">
        <f>IFERROR(__xludf.DUMMYFUNCTION("""COMPUTED_VALUE"""),"Trong đó")</f>
        <v>Trong đó</v>
      </c>
      <c r="AE4" s="21"/>
      <c r="AF4" s="22"/>
      <c r="AG4" s="19" t="str">
        <f>IFERROR(__xludf.DUMMYFUNCTION("""COMPUTED_VALUE"""),"Tổng số")</f>
        <v>Tổng số</v>
      </c>
      <c r="AH4" s="20" t="str">
        <f>IFERROR(__xludf.DUMMYFUNCTION("""COMPUTED_VALUE"""),"Trong đó")</f>
        <v>Trong đó</v>
      </c>
      <c r="AI4" s="21"/>
      <c r="AJ4" s="22"/>
      <c r="AK4" s="19" t="str">
        <f>IFERROR(__xludf.DUMMYFUNCTION("""COMPUTED_VALUE"""),"Tổng số")</f>
        <v>Tổng số</v>
      </c>
      <c r="AL4" s="20" t="str">
        <f>IFERROR(__xludf.DUMMYFUNCTION("""COMPUTED_VALUE"""),"Trong đó")</f>
        <v>Trong đó</v>
      </c>
      <c r="AM4" s="21"/>
      <c r="AN4" s="22"/>
      <c r="AO4" s="19" t="str">
        <f>IFERROR(__xludf.DUMMYFUNCTION("""COMPUTED_VALUE"""),"Tổng số")</f>
        <v>Tổng số</v>
      </c>
      <c r="AP4" s="20" t="str">
        <f>IFERROR(__xludf.DUMMYFUNCTION("""COMPUTED_VALUE"""),"Trong đó")</f>
        <v>Trong đó</v>
      </c>
      <c r="AQ4" s="21"/>
      <c r="AR4" s="22"/>
      <c r="AS4" s="19" t="str">
        <f>IFERROR(__xludf.DUMMYFUNCTION("""COMPUTED_VALUE"""),"Tổng số")</f>
        <v>Tổng số</v>
      </c>
      <c r="AT4" s="20" t="str">
        <f>IFERROR(__xludf.DUMMYFUNCTION("""COMPUTED_VALUE"""),"Trong đó")</f>
        <v>Trong đó</v>
      </c>
      <c r="AU4" s="21"/>
      <c r="AV4" s="22"/>
      <c r="AW4" s="19" t="str">
        <f>IFERROR(__xludf.DUMMYFUNCTION("""COMPUTED_VALUE"""),"Tổng số")</f>
        <v>Tổng số</v>
      </c>
      <c r="AX4" s="20" t="str">
        <f>IFERROR(__xludf.DUMMYFUNCTION("""COMPUTED_VALUE"""),"Trong đó")</f>
        <v>Trong đó</v>
      </c>
      <c r="AY4" s="21"/>
      <c r="AZ4" s="23"/>
      <c r="BA4" s="16"/>
    </row>
    <row r="5" ht="15.75" customHeight="1">
      <c r="A5" s="6"/>
      <c r="B5" s="24"/>
      <c r="C5" s="25"/>
      <c r="D5" s="25"/>
      <c r="E5" s="25"/>
      <c r="F5" s="26" t="str">
        <f>IFERROR(__xludf.DUMMYFUNCTION("""COMPUTED_VALUE"""),"Công lập")</f>
        <v>Công lập</v>
      </c>
      <c r="G5" s="26" t="str">
        <f>IFERROR(__xludf.DUMMYFUNCTION("""COMPUTED_VALUE"""),"Dân lập")</f>
        <v>Dân lập</v>
      </c>
      <c r="H5" s="26" t="str">
        <f>IFERROR(__xludf.DUMMYFUNCTION("""COMPUTED_VALUE"""),"Tư thục")</f>
        <v>Tư thục</v>
      </c>
      <c r="I5" s="25"/>
      <c r="J5" s="26" t="str">
        <f>IFERROR(__xludf.DUMMYFUNCTION("""COMPUTED_VALUE"""),"Công lập")</f>
        <v>Công lập</v>
      </c>
      <c r="K5" s="26" t="str">
        <f>IFERROR(__xludf.DUMMYFUNCTION("""COMPUTED_VALUE"""),"Dân lập")</f>
        <v>Dân lập</v>
      </c>
      <c r="L5" s="26" t="str">
        <f>IFERROR(__xludf.DUMMYFUNCTION("""COMPUTED_VALUE"""),"Tư thục")</f>
        <v>Tư thục</v>
      </c>
      <c r="M5" s="25"/>
      <c r="N5" s="26" t="str">
        <f>IFERROR(__xludf.DUMMYFUNCTION("""COMPUTED_VALUE"""),"Công lập")</f>
        <v>Công lập</v>
      </c>
      <c r="O5" s="26" t="str">
        <f>IFERROR(__xludf.DUMMYFUNCTION("""COMPUTED_VALUE"""),"Dân lập")</f>
        <v>Dân lập</v>
      </c>
      <c r="P5" s="26" t="str">
        <f>IFERROR(__xludf.DUMMYFUNCTION("""COMPUTED_VALUE"""),"Tư thục")</f>
        <v>Tư thục</v>
      </c>
      <c r="Q5" s="25"/>
      <c r="R5" s="26" t="str">
        <f>IFERROR(__xludf.DUMMYFUNCTION("""COMPUTED_VALUE"""),"Công lập")</f>
        <v>Công lập</v>
      </c>
      <c r="S5" s="26" t="str">
        <f>IFERROR(__xludf.DUMMYFUNCTION("""COMPUTED_VALUE"""),"Dân lập")</f>
        <v>Dân lập</v>
      </c>
      <c r="T5" s="26" t="str">
        <f>IFERROR(__xludf.DUMMYFUNCTION("""COMPUTED_VALUE"""),"Tư thục")</f>
        <v>Tư thục</v>
      </c>
      <c r="U5" s="25"/>
      <c r="V5" s="26" t="str">
        <f>IFERROR(__xludf.DUMMYFUNCTION("""COMPUTED_VALUE"""),"Công lập")</f>
        <v>Công lập</v>
      </c>
      <c r="W5" s="26" t="str">
        <f>IFERROR(__xludf.DUMMYFUNCTION("""COMPUTED_VALUE"""),"Dân lập")</f>
        <v>Dân lập</v>
      </c>
      <c r="X5" s="26" t="str">
        <f>IFERROR(__xludf.DUMMYFUNCTION("""COMPUTED_VALUE"""),"Tư thục")</f>
        <v>Tư thục</v>
      </c>
      <c r="Y5" s="25"/>
      <c r="Z5" s="26" t="str">
        <f>IFERROR(__xludf.DUMMYFUNCTION("""COMPUTED_VALUE"""),"Công lập")</f>
        <v>Công lập</v>
      </c>
      <c r="AA5" s="26" t="str">
        <f>IFERROR(__xludf.DUMMYFUNCTION("""COMPUTED_VALUE"""),"Dân lập")</f>
        <v>Dân lập</v>
      </c>
      <c r="AB5" s="26" t="str">
        <f>IFERROR(__xludf.DUMMYFUNCTION("""COMPUTED_VALUE"""),"Tư thục")</f>
        <v>Tư thục</v>
      </c>
      <c r="AC5" s="25"/>
      <c r="AD5" s="26" t="str">
        <f>IFERROR(__xludf.DUMMYFUNCTION("""COMPUTED_VALUE"""),"Công lập")</f>
        <v>Công lập</v>
      </c>
      <c r="AE5" s="26" t="str">
        <f>IFERROR(__xludf.DUMMYFUNCTION("""COMPUTED_VALUE"""),"Dân lập")</f>
        <v>Dân lập</v>
      </c>
      <c r="AF5" s="26" t="str">
        <f>IFERROR(__xludf.DUMMYFUNCTION("""COMPUTED_VALUE"""),"Tư thục")</f>
        <v>Tư thục</v>
      </c>
      <c r="AG5" s="25"/>
      <c r="AH5" s="26" t="str">
        <f>IFERROR(__xludf.DUMMYFUNCTION("""COMPUTED_VALUE"""),"Công lập")</f>
        <v>Công lập</v>
      </c>
      <c r="AI5" s="26" t="str">
        <f>IFERROR(__xludf.DUMMYFUNCTION("""COMPUTED_VALUE"""),"Dân lập")</f>
        <v>Dân lập</v>
      </c>
      <c r="AJ5" s="26" t="str">
        <f>IFERROR(__xludf.DUMMYFUNCTION("""COMPUTED_VALUE"""),"Tư thục")</f>
        <v>Tư thục</v>
      </c>
      <c r="AK5" s="25"/>
      <c r="AL5" s="26" t="str">
        <f>IFERROR(__xludf.DUMMYFUNCTION("""COMPUTED_VALUE"""),"Công lập")</f>
        <v>Công lập</v>
      </c>
      <c r="AM5" s="26" t="str">
        <f>IFERROR(__xludf.DUMMYFUNCTION("""COMPUTED_VALUE"""),"Dân lập")</f>
        <v>Dân lập</v>
      </c>
      <c r="AN5" s="26" t="str">
        <f>IFERROR(__xludf.DUMMYFUNCTION("""COMPUTED_VALUE"""),"Tư thục")</f>
        <v>Tư thục</v>
      </c>
      <c r="AO5" s="25"/>
      <c r="AP5" s="26" t="str">
        <f>IFERROR(__xludf.DUMMYFUNCTION("""COMPUTED_VALUE"""),"Công lập")</f>
        <v>Công lập</v>
      </c>
      <c r="AQ5" s="26" t="str">
        <f>IFERROR(__xludf.DUMMYFUNCTION("""COMPUTED_VALUE"""),"Dân lập")</f>
        <v>Dân lập</v>
      </c>
      <c r="AR5" s="26" t="str">
        <f>IFERROR(__xludf.DUMMYFUNCTION("""COMPUTED_VALUE"""),"Tư thục")</f>
        <v>Tư thục</v>
      </c>
      <c r="AS5" s="25"/>
      <c r="AT5" s="26" t="str">
        <f>IFERROR(__xludf.DUMMYFUNCTION("""COMPUTED_VALUE"""),"Công lập")</f>
        <v>Công lập</v>
      </c>
      <c r="AU5" s="26" t="str">
        <f>IFERROR(__xludf.DUMMYFUNCTION("""COMPUTED_VALUE"""),"Dân lập")</f>
        <v>Dân lập</v>
      </c>
      <c r="AV5" s="26" t="str">
        <f>IFERROR(__xludf.DUMMYFUNCTION("""COMPUTED_VALUE"""),"Tư thục")</f>
        <v>Tư thục</v>
      </c>
      <c r="AW5" s="25"/>
      <c r="AX5" s="26" t="str">
        <f>IFERROR(__xludf.DUMMYFUNCTION("""COMPUTED_VALUE"""),"Công lập")</f>
        <v>Công lập</v>
      </c>
      <c r="AY5" s="26" t="str">
        <f>IFERROR(__xludf.DUMMYFUNCTION("""COMPUTED_VALUE"""),"Dân lập")</f>
        <v>Dân lập</v>
      </c>
      <c r="AZ5" s="27" t="str">
        <f>IFERROR(__xludf.DUMMYFUNCTION("""COMPUTED_VALUE"""),"Tư thục")</f>
        <v>Tư thục</v>
      </c>
      <c r="BA5" s="16"/>
    </row>
    <row r="6" ht="13.5" customHeight="1">
      <c r="A6" s="6"/>
      <c r="B6" s="28" t="str">
        <f>IFERROR(__xludf.DUMMYFUNCTION("""COMPUTED_VALUE"""),"A")</f>
        <v>A</v>
      </c>
      <c r="C6" s="26" t="str">
        <f>IFERROR(__xludf.DUMMYFUNCTION("""COMPUTED_VALUE"""),"B")</f>
        <v>B</v>
      </c>
      <c r="D6" s="26" t="str">
        <f>IFERROR(__xludf.DUMMYFUNCTION("""COMPUTED_VALUE"""),"C")</f>
        <v>C</v>
      </c>
      <c r="E6" s="26" t="str">
        <f>IFERROR(__xludf.DUMMYFUNCTION("""COMPUTED_VALUE"""),"1=2+3+4")</f>
        <v>1=2+3+4</v>
      </c>
      <c r="F6" s="26">
        <f>IFERROR(__xludf.DUMMYFUNCTION("""COMPUTED_VALUE"""),2.0)</f>
        <v>2</v>
      </c>
      <c r="G6" s="26">
        <f>IFERROR(__xludf.DUMMYFUNCTION("""COMPUTED_VALUE"""),3.0)</f>
        <v>3</v>
      </c>
      <c r="H6" s="26">
        <f>IFERROR(__xludf.DUMMYFUNCTION("""COMPUTED_VALUE"""),4.0)</f>
        <v>4</v>
      </c>
      <c r="I6" s="26" t="str">
        <f>IFERROR(__xludf.DUMMYFUNCTION("""COMPUTED_VALUE"""),"1=2+3+4")</f>
        <v>1=2+3+4</v>
      </c>
      <c r="J6" s="26">
        <f>IFERROR(__xludf.DUMMYFUNCTION("""COMPUTED_VALUE"""),2.0)</f>
        <v>2</v>
      </c>
      <c r="K6" s="26">
        <f>IFERROR(__xludf.DUMMYFUNCTION("""COMPUTED_VALUE"""),3.0)</f>
        <v>3</v>
      </c>
      <c r="L6" s="26">
        <f>IFERROR(__xludf.DUMMYFUNCTION("""COMPUTED_VALUE"""),4.0)</f>
        <v>4</v>
      </c>
      <c r="M6" s="26" t="str">
        <f>IFERROR(__xludf.DUMMYFUNCTION("""COMPUTED_VALUE"""),"1=2+3+4")</f>
        <v>1=2+3+4</v>
      </c>
      <c r="N6" s="26">
        <f>IFERROR(__xludf.DUMMYFUNCTION("""COMPUTED_VALUE"""),2.0)</f>
        <v>2</v>
      </c>
      <c r="O6" s="26">
        <f>IFERROR(__xludf.DUMMYFUNCTION("""COMPUTED_VALUE"""),3.0)</f>
        <v>3</v>
      </c>
      <c r="P6" s="26">
        <f>IFERROR(__xludf.DUMMYFUNCTION("""COMPUTED_VALUE"""),4.0)</f>
        <v>4</v>
      </c>
      <c r="Q6" s="26" t="str">
        <f>IFERROR(__xludf.DUMMYFUNCTION("""COMPUTED_VALUE"""),"1=2+3+4")</f>
        <v>1=2+3+4</v>
      </c>
      <c r="R6" s="26">
        <f>IFERROR(__xludf.DUMMYFUNCTION("""COMPUTED_VALUE"""),2.0)</f>
        <v>2</v>
      </c>
      <c r="S6" s="26">
        <f>IFERROR(__xludf.DUMMYFUNCTION("""COMPUTED_VALUE"""),3.0)</f>
        <v>3</v>
      </c>
      <c r="T6" s="26">
        <f>IFERROR(__xludf.DUMMYFUNCTION("""COMPUTED_VALUE"""),4.0)</f>
        <v>4</v>
      </c>
      <c r="U6" s="26" t="str">
        <f>IFERROR(__xludf.DUMMYFUNCTION("""COMPUTED_VALUE"""),"1=2+3+4")</f>
        <v>1=2+3+4</v>
      </c>
      <c r="V6" s="26">
        <f>IFERROR(__xludf.DUMMYFUNCTION("""COMPUTED_VALUE"""),2.0)</f>
        <v>2</v>
      </c>
      <c r="W6" s="26">
        <f>IFERROR(__xludf.DUMMYFUNCTION("""COMPUTED_VALUE"""),3.0)</f>
        <v>3</v>
      </c>
      <c r="X6" s="26">
        <f>IFERROR(__xludf.DUMMYFUNCTION("""COMPUTED_VALUE"""),4.0)</f>
        <v>4</v>
      </c>
      <c r="Y6" s="26" t="str">
        <f>IFERROR(__xludf.DUMMYFUNCTION("""COMPUTED_VALUE"""),"1=2+3+4")</f>
        <v>1=2+3+4</v>
      </c>
      <c r="Z6" s="26">
        <f>IFERROR(__xludf.DUMMYFUNCTION("""COMPUTED_VALUE"""),2.0)</f>
        <v>2</v>
      </c>
      <c r="AA6" s="26">
        <f>IFERROR(__xludf.DUMMYFUNCTION("""COMPUTED_VALUE"""),3.0)</f>
        <v>3</v>
      </c>
      <c r="AB6" s="26">
        <f>IFERROR(__xludf.DUMMYFUNCTION("""COMPUTED_VALUE"""),4.0)</f>
        <v>4</v>
      </c>
      <c r="AC6" s="26" t="str">
        <f>IFERROR(__xludf.DUMMYFUNCTION("""COMPUTED_VALUE"""),"1=2+3+4")</f>
        <v>1=2+3+4</v>
      </c>
      <c r="AD6" s="26">
        <f>IFERROR(__xludf.DUMMYFUNCTION("""COMPUTED_VALUE"""),2.0)</f>
        <v>2</v>
      </c>
      <c r="AE6" s="26">
        <f>IFERROR(__xludf.DUMMYFUNCTION("""COMPUTED_VALUE"""),3.0)</f>
        <v>3</v>
      </c>
      <c r="AF6" s="26">
        <f>IFERROR(__xludf.DUMMYFUNCTION("""COMPUTED_VALUE"""),4.0)</f>
        <v>4</v>
      </c>
      <c r="AG6" s="26" t="str">
        <f>IFERROR(__xludf.DUMMYFUNCTION("""COMPUTED_VALUE"""),"1=2+3+4")</f>
        <v>1=2+3+4</v>
      </c>
      <c r="AH6" s="26">
        <f>IFERROR(__xludf.DUMMYFUNCTION("""COMPUTED_VALUE"""),2.0)</f>
        <v>2</v>
      </c>
      <c r="AI6" s="26">
        <f>IFERROR(__xludf.DUMMYFUNCTION("""COMPUTED_VALUE"""),3.0)</f>
        <v>3</v>
      </c>
      <c r="AJ6" s="26">
        <f>IFERROR(__xludf.DUMMYFUNCTION("""COMPUTED_VALUE"""),4.0)</f>
        <v>4</v>
      </c>
      <c r="AK6" s="26" t="str">
        <f>IFERROR(__xludf.DUMMYFUNCTION("""COMPUTED_VALUE"""),"1=2+3+4")</f>
        <v>1=2+3+4</v>
      </c>
      <c r="AL6" s="26">
        <f>IFERROR(__xludf.DUMMYFUNCTION("""COMPUTED_VALUE"""),2.0)</f>
        <v>2</v>
      </c>
      <c r="AM6" s="26">
        <f>IFERROR(__xludf.DUMMYFUNCTION("""COMPUTED_VALUE"""),3.0)</f>
        <v>3</v>
      </c>
      <c r="AN6" s="26">
        <f>IFERROR(__xludf.DUMMYFUNCTION("""COMPUTED_VALUE"""),4.0)</f>
        <v>4</v>
      </c>
      <c r="AO6" s="26" t="str">
        <f>IFERROR(__xludf.DUMMYFUNCTION("""COMPUTED_VALUE"""),"1=2+3+4")</f>
        <v>1=2+3+4</v>
      </c>
      <c r="AP6" s="26">
        <f>IFERROR(__xludf.DUMMYFUNCTION("""COMPUTED_VALUE"""),2.0)</f>
        <v>2</v>
      </c>
      <c r="AQ6" s="26">
        <f>IFERROR(__xludf.DUMMYFUNCTION("""COMPUTED_VALUE"""),3.0)</f>
        <v>3</v>
      </c>
      <c r="AR6" s="26">
        <f>IFERROR(__xludf.DUMMYFUNCTION("""COMPUTED_VALUE"""),4.0)</f>
        <v>4</v>
      </c>
      <c r="AS6" s="26" t="str">
        <f>IFERROR(__xludf.DUMMYFUNCTION("""COMPUTED_VALUE"""),"1=2+3+4")</f>
        <v>1=2+3+4</v>
      </c>
      <c r="AT6" s="26">
        <f>IFERROR(__xludf.DUMMYFUNCTION("""COMPUTED_VALUE"""),2.0)</f>
        <v>2</v>
      </c>
      <c r="AU6" s="26">
        <f>IFERROR(__xludf.DUMMYFUNCTION("""COMPUTED_VALUE"""),3.0)</f>
        <v>3</v>
      </c>
      <c r="AV6" s="26">
        <f>IFERROR(__xludf.DUMMYFUNCTION("""COMPUTED_VALUE"""),4.0)</f>
        <v>4</v>
      </c>
      <c r="AW6" s="26" t="str">
        <f>IFERROR(__xludf.DUMMYFUNCTION("""COMPUTED_VALUE"""),"1=2+3+4")</f>
        <v>1=2+3+4</v>
      </c>
      <c r="AX6" s="26">
        <f>IFERROR(__xludf.DUMMYFUNCTION("""COMPUTED_VALUE"""),2.0)</f>
        <v>2</v>
      </c>
      <c r="AY6" s="26">
        <f>IFERROR(__xludf.DUMMYFUNCTION("""COMPUTED_VALUE"""),3.0)</f>
        <v>3</v>
      </c>
      <c r="AZ6" s="27">
        <f>IFERROR(__xludf.DUMMYFUNCTION("""COMPUTED_VALUE"""),4.0)</f>
        <v>4</v>
      </c>
      <c r="BA6" s="16"/>
    </row>
    <row r="7" ht="15.75" customHeight="1">
      <c r="A7" s="29"/>
      <c r="B7" s="30" t="str">
        <f>IFERROR(__xludf.DUMMYFUNCTION("""COMPUTED_VALUE"""),"1. TRƯỜNG")</f>
        <v>1. TRƯỜNG</v>
      </c>
      <c r="C7" s="31" t="str">
        <f>IFERROR(__xludf.DUMMYFUNCTION("""COMPUTED_VALUE"""),"Tháng")</f>
        <v>Tháng</v>
      </c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3"/>
      <c r="BA7" s="34"/>
    </row>
    <row r="8" ht="15.75" customHeight="1">
      <c r="A8" s="29"/>
      <c r="B8" s="196" t="str">
        <f>IFERROR(__xludf.DUMMYFUNCTION("""COMPUTED_VALUE"""),"1.1. Tổng số")</f>
        <v>1.1. Tổng số</v>
      </c>
      <c r="C8" s="57"/>
      <c r="D8" s="57" t="str">
        <f>IFERROR(__xludf.DUMMYFUNCTION("""COMPUTED_VALUE"""),"Trường")</f>
        <v>Trường</v>
      </c>
      <c r="E8" s="125">
        <f>IFERROR(__xludf.DUMMYFUNCTION("""COMPUTED_VALUE"""),94.0)</f>
        <v>94</v>
      </c>
      <c r="F8" s="201">
        <f>IFERROR(__xludf.DUMMYFUNCTION("""COMPUTED_VALUE"""),94.0)</f>
        <v>94</v>
      </c>
      <c r="G8" s="201">
        <f>IFERROR(__xludf.DUMMYFUNCTION("""COMPUTED_VALUE"""),0.0)</f>
        <v>0</v>
      </c>
      <c r="H8" s="201">
        <f>IFERROR(__xludf.DUMMYFUNCTION("""COMPUTED_VALUE"""),0.0)</f>
        <v>0</v>
      </c>
      <c r="I8" s="125">
        <f>IFERROR(__xludf.DUMMYFUNCTION("""COMPUTED_VALUE"""),94.0)</f>
        <v>94</v>
      </c>
      <c r="J8" s="201">
        <f>IFERROR(__xludf.DUMMYFUNCTION("""COMPUTED_VALUE"""),94.0)</f>
        <v>94</v>
      </c>
      <c r="K8" s="201">
        <f>IFERROR(__xludf.DUMMYFUNCTION("""COMPUTED_VALUE"""),0.0)</f>
        <v>0</v>
      </c>
      <c r="L8" s="201">
        <f>IFERROR(__xludf.DUMMYFUNCTION("""COMPUTED_VALUE"""),0.0)</f>
        <v>0</v>
      </c>
      <c r="M8" s="125">
        <f>IFERROR(__xludf.DUMMYFUNCTION("""COMPUTED_VALUE"""),95.0)</f>
        <v>95</v>
      </c>
      <c r="N8" s="201">
        <f>IFERROR(__xludf.DUMMYFUNCTION("""COMPUTED_VALUE"""),95.0)</f>
        <v>95</v>
      </c>
      <c r="O8" s="201">
        <f>IFERROR(__xludf.DUMMYFUNCTION("""COMPUTED_VALUE"""),0.0)</f>
        <v>0</v>
      </c>
      <c r="P8" s="201">
        <f>IFERROR(__xludf.DUMMYFUNCTION("""COMPUTED_VALUE"""),0.0)</f>
        <v>0</v>
      </c>
      <c r="Q8" s="125">
        <f>IFERROR(__xludf.DUMMYFUNCTION("""COMPUTED_VALUE"""),95.0)</f>
        <v>95</v>
      </c>
      <c r="R8" s="201">
        <f>IFERROR(__xludf.DUMMYFUNCTION("""COMPUTED_VALUE"""),95.0)</f>
        <v>95</v>
      </c>
      <c r="S8" s="201">
        <f>IFERROR(__xludf.DUMMYFUNCTION("""COMPUTED_VALUE"""),0.0)</f>
        <v>0</v>
      </c>
      <c r="T8" s="201">
        <f>IFERROR(__xludf.DUMMYFUNCTION("""COMPUTED_VALUE"""),0.0)</f>
        <v>0</v>
      </c>
      <c r="U8" s="125">
        <f>IFERROR(__xludf.DUMMYFUNCTION("""COMPUTED_VALUE"""),95.0)</f>
        <v>95</v>
      </c>
      <c r="V8" s="201">
        <f>IFERROR(__xludf.DUMMYFUNCTION("""COMPUTED_VALUE"""),95.0)</f>
        <v>95</v>
      </c>
      <c r="W8" s="201">
        <f>IFERROR(__xludf.DUMMYFUNCTION("""COMPUTED_VALUE"""),0.0)</f>
        <v>0</v>
      </c>
      <c r="X8" s="201">
        <f>IFERROR(__xludf.DUMMYFUNCTION("""COMPUTED_VALUE"""),0.0)</f>
        <v>0</v>
      </c>
      <c r="Y8" s="125">
        <f>IFERROR(__xludf.DUMMYFUNCTION("""COMPUTED_VALUE"""),95.0)</f>
        <v>95</v>
      </c>
      <c r="Z8" s="201">
        <f>IFERROR(__xludf.DUMMYFUNCTION("""COMPUTED_VALUE"""),95.0)</f>
        <v>95</v>
      </c>
      <c r="AA8" s="201">
        <f>IFERROR(__xludf.DUMMYFUNCTION("""COMPUTED_VALUE"""),0.0)</f>
        <v>0</v>
      </c>
      <c r="AB8" s="201">
        <f>IFERROR(__xludf.DUMMYFUNCTION("""COMPUTED_VALUE"""),0.0)</f>
        <v>0</v>
      </c>
      <c r="AC8" s="125">
        <f>IFERROR(__xludf.DUMMYFUNCTION("""COMPUTED_VALUE"""),95.0)</f>
        <v>95</v>
      </c>
      <c r="AD8" s="201">
        <f>IFERROR(__xludf.DUMMYFUNCTION("""COMPUTED_VALUE"""),95.0)</f>
        <v>95</v>
      </c>
      <c r="AE8" s="201">
        <f>IFERROR(__xludf.DUMMYFUNCTION("""COMPUTED_VALUE"""),0.0)</f>
        <v>0</v>
      </c>
      <c r="AF8" s="201">
        <f>IFERROR(__xludf.DUMMYFUNCTION("""COMPUTED_VALUE"""),0.0)</f>
        <v>0</v>
      </c>
      <c r="AG8" s="125">
        <f>IFERROR(__xludf.DUMMYFUNCTION("""COMPUTED_VALUE"""),0.0)</f>
        <v>0</v>
      </c>
      <c r="AH8" s="201">
        <f>IFERROR(__xludf.DUMMYFUNCTION("""COMPUTED_VALUE"""),0.0)</f>
        <v>0</v>
      </c>
      <c r="AI8" s="201">
        <f>IFERROR(__xludf.DUMMYFUNCTION("""COMPUTED_VALUE"""),0.0)</f>
        <v>0</v>
      </c>
      <c r="AJ8" s="201">
        <f>IFERROR(__xludf.DUMMYFUNCTION("""COMPUTED_VALUE"""),0.0)</f>
        <v>0</v>
      </c>
      <c r="AK8" s="125">
        <f>IFERROR(__xludf.DUMMYFUNCTION("""COMPUTED_VALUE"""),0.0)</f>
        <v>0</v>
      </c>
      <c r="AL8" s="201">
        <f>IFERROR(__xludf.DUMMYFUNCTION("""COMPUTED_VALUE"""),0.0)</f>
        <v>0</v>
      </c>
      <c r="AM8" s="201">
        <f>IFERROR(__xludf.DUMMYFUNCTION("""COMPUTED_VALUE"""),0.0)</f>
        <v>0</v>
      </c>
      <c r="AN8" s="201">
        <f>IFERROR(__xludf.DUMMYFUNCTION("""COMPUTED_VALUE"""),0.0)</f>
        <v>0</v>
      </c>
      <c r="AO8" s="125">
        <f>IFERROR(__xludf.DUMMYFUNCTION("""COMPUTED_VALUE"""),0.0)</f>
        <v>0</v>
      </c>
      <c r="AP8" s="201">
        <f>IFERROR(__xludf.DUMMYFUNCTION("""COMPUTED_VALUE"""),0.0)</f>
        <v>0</v>
      </c>
      <c r="AQ8" s="201">
        <f>IFERROR(__xludf.DUMMYFUNCTION("""COMPUTED_VALUE"""),0.0)</f>
        <v>0</v>
      </c>
      <c r="AR8" s="201">
        <f>IFERROR(__xludf.DUMMYFUNCTION("""COMPUTED_VALUE"""),0.0)</f>
        <v>0</v>
      </c>
      <c r="AS8" s="125">
        <f>IFERROR(__xludf.DUMMYFUNCTION("""COMPUTED_VALUE"""),0.0)</f>
        <v>0</v>
      </c>
      <c r="AT8" s="201">
        <f>IFERROR(__xludf.DUMMYFUNCTION("""COMPUTED_VALUE"""),0.0)</f>
        <v>0</v>
      </c>
      <c r="AU8" s="201">
        <f>IFERROR(__xludf.DUMMYFUNCTION("""COMPUTED_VALUE"""),0.0)</f>
        <v>0</v>
      </c>
      <c r="AV8" s="201">
        <f>IFERROR(__xludf.DUMMYFUNCTION("""COMPUTED_VALUE"""),0.0)</f>
        <v>0</v>
      </c>
      <c r="AW8" s="125">
        <f>IFERROR(__xludf.DUMMYFUNCTION("""COMPUTED_VALUE"""),0.0)</f>
        <v>0</v>
      </c>
      <c r="AX8" s="201">
        <f>IFERROR(__xludf.DUMMYFUNCTION("""COMPUTED_VALUE"""),0.0)</f>
        <v>0</v>
      </c>
      <c r="AY8" s="201">
        <f>IFERROR(__xludf.DUMMYFUNCTION("""COMPUTED_VALUE"""),0.0)</f>
        <v>0</v>
      </c>
      <c r="AZ8" s="202">
        <f>IFERROR(__xludf.DUMMYFUNCTION("""COMPUTED_VALUE"""),0.0)</f>
        <v>0</v>
      </c>
      <c r="BA8" s="34"/>
    </row>
    <row r="9" ht="15.75" customHeight="1">
      <c r="A9" s="29"/>
      <c r="B9" s="48" t="str">
        <f>IFERROR(__xludf.DUMMYFUNCTION("""COMPUTED_VALUE"""),"Trong tổng số có:")</f>
        <v>Trong tổng số có:</v>
      </c>
      <c r="C9" s="49"/>
      <c r="D9" s="3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50"/>
      <c r="BA9" s="34"/>
    </row>
    <row r="10" ht="15.75" customHeight="1">
      <c r="A10" s="29"/>
      <c r="B10" s="67" t="str">
        <f>IFERROR(__xludf.DUMMYFUNCTION("""COMPUTED_VALUE"""),"1.2. Số trường có điểm lẻ")</f>
        <v>1.2. Số trường có điểm lẻ</v>
      </c>
      <c r="C10" s="31"/>
      <c r="D10" s="31" t="str">
        <f>IFERROR(__xludf.DUMMYFUNCTION("""COMPUTED_VALUE"""),"Trường")</f>
        <v>Trường</v>
      </c>
      <c r="E10" s="41">
        <f>IFERROR(__xludf.DUMMYFUNCTION("""COMPUTED_VALUE"""),11.0)</f>
        <v>11</v>
      </c>
      <c r="F10" s="197">
        <f>IFERROR(__xludf.DUMMYFUNCTION("""COMPUTED_VALUE"""),11.0)</f>
        <v>11</v>
      </c>
      <c r="G10" s="197">
        <f>IFERROR(__xludf.DUMMYFUNCTION("""COMPUTED_VALUE"""),0.0)</f>
        <v>0</v>
      </c>
      <c r="H10" s="197">
        <f>IFERROR(__xludf.DUMMYFUNCTION("""COMPUTED_VALUE"""),0.0)</f>
        <v>0</v>
      </c>
      <c r="I10" s="41">
        <f>IFERROR(__xludf.DUMMYFUNCTION("""COMPUTED_VALUE"""),11.0)</f>
        <v>11</v>
      </c>
      <c r="J10" s="197">
        <f>IFERROR(__xludf.DUMMYFUNCTION("""COMPUTED_VALUE"""),11.0)</f>
        <v>11</v>
      </c>
      <c r="K10" s="197">
        <f>IFERROR(__xludf.DUMMYFUNCTION("""COMPUTED_VALUE"""),0.0)</f>
        <v>0</v>
      </c>
      <c r="L10" s="197">
        <f>IFERROR(__xludf.DUMMYFUNCTION("""COMPUTED_VALUE"""),0.0)</f>
        <v>0</v>
      </c>
      <c r="M10" s="41">
        <f>IFERROR(__xludf.DUMMYFUNCTION("""COMPUTED_VALUE"""),11.0)</f>
        <v>11</v>
      </c>
      <c r="N10" s="197">
        <f>IFERROR(__xludf.DUMMYFUNCTION("""COMPUTED_VALUE"""),11.0)</f>
        <v>11</v>
      </c>
      <c r="O10" s="197">
        <f>IFERROR(__xludf.DUMMYFUNCTION("""COMPUTED_VALUE"""),0.0)</f>
        <v>0</v>
      </c>
      <c r="P10" s="197">
        <f>IFERROR(__xludf.DUMMYFUNCTION("""COMPUTED_VALUE"""),0.0)</f>
        <v>0</v>
      </c>
      <c r="Q10" s="41">
        <f>IFERROR(__xludf.DUMMYFUNCTION("""COMPUTED_VALUE"""),11.0)</f>
        <v>11</v>
      </c>
      <c r="R10" s="197">
        <f>IFERROR(__xludf.DUMMYFUNCTION("""COMPUTED_VALUE"""),11.0)</f>
        <v>11</v>
      </c>
      <c r="S10" s="197">
        <f>IFERROR(__xludf.DUMMYFUNCTION("""COMPUTED_VALUE"""),0.0)</f>
        <v>0</v>
      </c>
      <c r="T10" s="197">
        <f>IFERROR(__xludf.DUMMYFUNCTION("""COMPUTED_VALUE"""),0.0)</f>
        <v>0</v>
      </c>
      <c r="U10" s="41">
        <f>IFERROR(__xludf.DUMMYFUNCTION("""COMPUTED_VALUE"""),11.0)</f>
        <v>11</v>
      </c>
      <c r="V10" s="197">
        <f>IFERROR(__xludf.DUMMYFUNCTION("""COMPUTED_VALUE"""),11.0)</f>
        <v>11</v>
      </c>
      <c r="W10" s="197">
        <f>IFERROR(__xludf.DUMMYFUNCTION("""COMPUTED_VALUE"""),0.0)</f>
        <v>0</v>
      </c>
      <c r="X10" s="197">
        <f>IFERROR(__xludf.DUMMYFUNCTION("""COMPUTED_VALUE"""),0.0)</f>
        <v>0</v>
      </c>
      <c r="Y10" s="41">
        <f>IFERROR(__xludf.DUMMYFUNCTION("""COMPUTED_VALUE"""),11.0)</f>
        <v>11</v>
      </c>
      <c r="Z10" s="197">
        <f>IFERROR(__xludf.DUMMYFUNCTION("""COMPUTED_VALUE"""),11.0)</f>
        <v>11</v>
      </c>
      <c r="AA10" s="197">
        <f>IFERROR(__xludf.DUMMYFUNCTION("""COMPUTED_VALUE"""),0.0)</f>
        <v>0</v>
      </c>
      <c r="AB10" s="197">
        <f>IFERROR(__xludf.DUMMYFUNCTION("""COMPUTED_VALUE"""),0.0)</f>
        <v>0</v>
      </c>
      <c r="AC10" s="41">
        <f>IFERROR(__xludf.DUMMYFUNCTION("""COMPUTED_VALUE"""),11.0)</f>
        <v>11</v>
      </c>
      <c r="AD10" s="197">
        <f>IFERROR(__xludf.DUMMYFUNCTION("""COMPUTED_VALUE"""),11.0)</f>
        <v>11</v>
      </c>
      <c r="AE10" s="197">
        <f>IFERROR(__xludf.DUMMYFUNCTION("""COMPUTED_VALUE"""),0.0)</f>
        <v>0</v>
      </c>
      <c r="AF10" s="197">
        <f>IFERROR(__xludf.DUMMYFUNCTION("""COMPUTED_VALUE"""),0.0)</f>
        <v>0</v>
      </c>
      <c r="AG10" s="41">
        <f>IFERROR(__xludf.DUMMYFUNCTION("""COMPUTED_VALUE"""),0.0)</f>
        <v>0</v>
      </c>
      <c r="AH10" s="197">
        <f>IFERROR(__xludf.DUMMYFUNCTION("""COMPUTED_VALUE"""),0.0)</f>
        <v>0</v>
      </c>
      <c r="AI10" s="197">
        <f>IFERROR(__xludf.DUMMYFUNCTION("""COMPUTED_VALUE"""),0.0)</f>
        <v>0</v>
      </c>
      <c r="AJ10" s="197">
        <f>IFERROR(__xludf.DUMMYFUNCTION("""COMPUTED_VALUE"""),0.0)</f>
        <v>0</v>
      </c>
      <c r="AK10" s="41">
        <f>IFERROR(__xludf.DUMMYFUNCTION("""COMPUTED_VALUE"""),0.0)</f>
        <v>0</v>
      </c>
      <c r="AL10" s="197">
        <f>IFERROR(__xludf.DUMMYFUNCTION("""COMPUTED_VALUE"""),0.0)</f>
        <v>0</v>
      </c>
      <c r="AM10" s="197">
        <f>IFERROR(__xludf.DUMMYFUNCTION("""COMPUTED_VALUE"""),0.0)</f>
        <v>0</v>
      </c>
      <c r="AN10" s="197">
        <f>IFERROR(__xludf.DUMMYFUNCTION("""COMPUTED_VALUE"""),0.0)</f>
        <v>0</v>
      </c>
      <c r="AO10" s="41">
        <f>IFERROR(__xludf.DUMMYFUNCTION("""COMPUTED_VALUE"""),0.0)</f>
        <v>0</v>
      </c>
      <c r="AP10" s="197">
        <f>IFERROR(__xludf.DUMMYFUNCTION("""COMPUTED_VALUE"""),0.0)</f>
        <v>0</v>
      </c>
      <c r="AQ10" s="197">
        <f>IFERROR(__xludf.DUMMYFUNCTION("""COMPUTED_VALUE"""),0.0)</f>
        <v>0</v>
      </c>
      <c r="AR10" s="197">
        <f>IFERROR(__xludf.DUMMYFUNCTION("""COMPUTED_VALUE"""),0.0)</f>
        <v>0</v>
      </c>
      <c r="AS10" s="41">
        <f>IFERROR(__xludf.DUMMYFUNCTION("""COMPUTED_VALUE"""),0.0)</f>
        <v>0</v>
      </c>
      <c r="AT10" s="197">
        <f>IFERROR(__xludf.DUMMYFUNCTION("""COMPUTED_VALUE"""),0.0)</f>
        <v>0</v>
      </c>
      <c r="AU10" s="197">
        <f>IFERROR(__xludf.DUMMYFUNCTION("""COMPUTED_VALUE"""),0.0)</f>
        <v>0</v>
      </c>
      <c r="AV10" s="197">
        <f>IFERROR(__xludf.DUMMYFUNCTION("""COMPUTED_VALUE"""),0.0)</f>
        <v>0</v>
      </c>
      <c r="AW10" s="41">
        <f>IFERROR(__xludf.DUMMYFUNCTION("""COMPUTED_VALUE"""),0.0)</f>
        <v>0</v>
      </c>
      <c r="AX10" s="197">
        <f>IFERROR(__xludf.DUMMYFUNCTION("""COMPUTED_VALUE"""),0.0)</f>
        <v>0</v>
      </c>
      <c r="AY10" s="197">
        <f>IFERROR(__xludf.DUMMYFUNCTION("""COMPUTED_VALUE"""),0.0)</f>
        <v>0</v>
      </c>
      <c r="AZ10" s="198">
        <f>IFERROR(__xludf.DUMMYFUNCTION("""COMPUTED_VALUE"""),0.0)</f>
        <v>0</v>
      </c>
      <c r="BA10" s="34"/>
    </row>
    <row r="11" ht="15.75" customHeight="1">
      <c r="A11" s="29"/>
      <c r="B11" s="52" t="str">
        <f>IFERROR(__xludf.DUMMYFUNCTION("""COMPUTED_VALUE"""),"Tổng số điểm lẻ")</f>
        <v>Tổng số điểm lẻ</v>
      </c>
      <c r="C11" s="49"/>
      <c r="D11" s="31" t="str">
        <f>IFERROR(__xludf.DUMMYFUNCTION("""COMPUTED_VALUE"""),"Điểm")</f>
        <v>Điểm</v>
      </c>
      <c r="E11" s="41">
        <f>IFERROR(__xludf.DUMMYFUNCTION("""COMPUTED_VALUE"""),11.0)</f>
        <v>11</v>
      </c>
      <c r="F11" s="197">
        <f>IFERROR(__xludf.DUMMYFUNCTION("""COMPUTED_VALUE"""),11.0)</f>
        <v>11</v>
      </c>
      <c r="G11" s="197">
        <f>IFERROR(__xludf.DUMMYFUNCTION("""COMPUTED_VALUE"""),0.0)</f>
        <v>0</v>
      </c>
      <c r="H11" s="197">
        <f>IFERROR(__xludf.DUMMYFUNCTION("""COMPUTED_VALUE"""),0.0)</f>
        <v>0</v>
      </c>
      <c r="I11" s="41">
        <f>IFERROR(__xludf.DUMMYFUNCTION("""COMPUTED_VALUE"""),11.0)</f>
        <v>11</v>
      </c>
      <c r="J11" s="197">
        <f>IFERROR(__xludf.DUMMYFUNCTION("""COMPUTED_VALUE"""),11.0)</f>
        <v>11</v>
      </c>
      <c r="K11" s="197">
        <f>IFERROR(__xludf.DUMMYFUNCTION("""COMPUTED_VALUE"""),0.0)</f>
        <v>0</v>
      </c>
      <c r="L11" s="197">
        <f>IFERROR(__xludf.DUMMYFUNCTION("""COMPUTED_VALUE"""),0.0)</f>
        <v>0</v>
      </c>
      <c r="M11" s="41">
        <f>IFERROR(__xludf.DUMMYFUNCTION("""COMPUTED_VALUE"""),11.0)</f>
        <v>11</v>
      </c>
      <c r="N11" s="197">
        <f>IFERROR(__xludf.DUMMYFUNCTION("""COMPUTED_VALUE"""),11.0)</f>
        <v>11</v>
      </c>
      <c r="O11" s="197">
        <f>IFERROR(__xludf.DUMMYFUNCTION("""COMPUTED_VALUE"""),0.0)</f>
        <v>0</v>
      </c>
      <c r="P11" s="197">
        <f>IFERROR(__xludf.DUMMYFUNCTION("""COMPUTED_VALUE"""),0.0)</f>
        <v>0</v>
      </c>
      <c r="Q11" s="41">
        <f>IFERROR(__xludf.DUMMYFUNCTION("""COMPUTED_VALUE"""),11.0)</f>
        <v>11</v>
      </c>
      <c r="R11" s="197">
        <f>IFERROR(__xludf.DUMMYFUNCTION("""COMPUTED_VALUE"""),11.0)</f>
        <v>11</v>
      </c>
      <c r="S11" s="197">
        <f>IFERROR(__xludf.DUMMYFUNCTION("""COMPUTED_VALUE"""),0.0)</f>
        <v>0</v>
      </c>
      <c r="T11" s="197">
        <f>IFERROR(__xludf.DUMMYFUNCTION("""COMPUTED_VALUE"""),0.0)</f>
        <v>0</v>
      </c>
      <c r="U11" s="41">
        <f>IFERROR(__xludf.DUMMYFUNCTION("""COMPUTED_VALUE"""),11.0)</f>
        <v>11</v>
      </c>
      <c r="V11" s="197">
        <f>IFERROR(__xludf.DUMMYFUNCTION("""COMPUTED_VALUE"""),11.0)</f>
        <v>11</v>
      </c>
      <c r="W11" s="197">
        <f>IFERROR(__xludf.DUMMYFUNCTION("""COMPUTED_VALUE"""),0.0)</f>
        <v>0</v>
      </c>
      <c r="X11" s="197">
        <f>IFERROR(__xludf.DUMMYFUNCTION("""COMPUTED_VALUE"""),0.0)</f>
        <v>0</v>
      </c>
      <c r="Y11" s="41">
        <f>IFERROR(__xludf.DUMMYFUNCTION("""COMPUTED_VALUE"""),11.0)</f>
        <v>11</v>
      </c>
      <c r="Z11" s="197">
        <f>IFERROR(__xludf.DUMMYFUNCTION("""COMPUTED_VALUE"""),11.0)</f>
        <v>11</v>
      </c>
      <c r="AA11" s="197">
        <f>IFERROR(__xludf.DUMMYFUNCTION("""COMPUTED_VALUE"""),0.0)</f>
        <v>0</v>
      </c>
      <c r="AB11" s="197">
        <f>IFERROR(__xludf.DUMMYFUNCTION("""COMPUTED_VALUE"""),0.0)</f>
        <v>0</v>
      </c>
      <c r="AC11" s="41">
        <f>IFERROR(__xludf.DUMMYFUNCTION("""COMPUTED_VALUE"""),11.0)</f>
        <v>11</v>
      </c>
      <c r="AD11" s="197">
        <f>IFERROR(__xludf.DUMMYFUNCTION("""COMPUTED_VALUE"""),11.0)</f>
        <v>11</v>
      </c>
      <c r="AE11" s="197">
        <f>IFERROR(__xludf.DUMMYFUNCTION("""COMPUTED_VALUE"""),0.0)</f>
        <v>0</v>
      </c>
      <c r="AF11" s="197">
        <f>IFERROR(__xludf.DUMMYFUNCTION("""COMPUTED_VALUE"""),0.0)</f>
        <v>0</v>
      </c>
      <c r="AG11" s="41">
        <f>IFERROR(__xludf.DUMMYFUNCTION("""COMPUTED_VALUE"""),0.0)</f>
        <v>0</v>
      </c>
      <c r="AH11" s="197">
        <f>IFERROR(__xludf.DUMMYFUNCTION("""COMPUTED_VALUE"""),0.0)</f>
        <v>0</v>
      </c>
      <c r="AI11" s="197">
        <f>IFERROR(__xludf.DUMMYFUNCTION("""COMPUTED_VALUE"""),0.0)</f>
        <v>0</v>
      </c>
      <c r="AJ11" s="197">
        <f>IFERROR(__xludf.DUMMYFUNCTION("""COMPUTED_VALUE"""),0.0)</f>
        <v>0</v>
      </c>
      <c r="AK11" s="41">
        <f>IFERROR(__xludf.DUMMYFUNCTION("""COMPUTED_VALUE"""),0.0)</f>
        <v>0</v>
      </c>
      <c r="AL11" s="197">
        <f>IFERROR(__xludf.DUMMYFUNCTION("""COMPUTED_VALUE"""),0.0)</f>
        <v>0</v>
      </c>
      <c r="AM11" s="197">
        <f>IFERROR(__xludf.DUMMYFUNCTION("""COMPUTED_VALUE"""),0.0)</f>
        <v>0</v>
      </c>
      <c r="AN11" s="197">
        <f>IFERROR(__xludf.DUMMYFUNCTION("""COMPUTED_VALUE"""),0.0)</f>
        <v>0</v>
      </c>
      <c r="AO11" s="41">
        <f>IFERROR(__xludf.DUMMYFUNCTION("""COMPUTED_VALUE"""),0.0)</f>
        <v>0</v>
      </c>
      <c r="AP11" s="197">
        <f>IFERROR(__xludf.DUMMYFUNCTION("""COMPUTED_VALUE"""),0.0)</f>
        <v>0</v>
      </c>
      <c r="AQ11" s="197">
        <f>IFERROR(__xludf.DUMMYFUNCTION("""COMPUTED_VALUE"""),0.0)</f>
        <v>0</v>
      </c>
      <c r="AR11" s="197">
        <f>IFERROR(__xludf.DUMMYFUNCTION("""COMPUTED_VALUE"""),0.0)</f>
        <v>0</v>
      </c>
      <c r="AS11" s="41">
        <f>IFERROR(__xludf.DUMMYFUNCTION("""COMPUTED_VALUE"""),0.0)</f>
        <v>0</v>
      </c>
      <c r="AT11" s="197">
        <f>IFERROR(__xludf.DUMMYFUNCTION("""COMPUTED_VALUE"""),0.0)</f>
        <v>0</v>
      </c>
      <c r="AU11" s="197">
        <f>IFERROR(__xludf.DUMMYFUNCTION("""COMPUTED_VALUE"""),0.0)</f>
        <v>0</v>
      </c>
      <c r="AV11" s="197">
        <f>IFERROR(__xludf.DUMMYFUNCTION("""COMPUTED_VALUE"""),0.0)</f>
        <v>0</v>
      </c>
      <c r="AW11" s="41">
        <f>IFERROR(__xludf.DUMMYFUNCTION("""COMPUTED_VALUE"""),0.0)</f>
        <v>0</v>
      </c>
      <c r="AX11" s="197">
        <f>IFERROR(__xludf.DUMMYFUNCTION("""COMPUTED_VALUE"""),0.0)</f>
        <v>0</v>
      </c>
      <c r="AY11" s="197">
        <f>IFERROR(__xludf.DUMMYFUNCTION("""COMPUTED_VALUE"""),0.0)</f>
        <v>0</v>
      </c>
      <c r="AZ11" s="198">
        <f>IFERROR(__xludf.DUMMYFUNCTION("""COMPUTED_VALUE"""),0.0)</f>
        <v>0</v>
      </c>
      <c r="BA11" s="34"/>
    </row>
    <row r="12" ht="15.75" customHeight="1">
      <c r="A12" s="29"/>
      <c r="B12" s="67" t="str">
        <f>IFERROR(__xludf.DUMMYFUNCTION("""COMPUTED_VALUE"""),"1.3. Số trường đạt chuẩn quốc gia")</f>
        <v>1.3. Số trường đạt chuẩn quốc gia</v>
      </c>
      <c r="C12" s="31"/>
      <c r="D12" s="31" t="str">
        <f>IFERROR(__xludf.DUMMYFUNCTION("""COMPUTED_VALUE"""),"Trường")</f>
        <v>Trường</v>
      </c>
      <c r="E12" s="41">
        <f>IFERROR(__xludf.DUMMYFUNCTION("""COMPUTED_VALUE"""),78.0)</f>
        <v>78</v>
      </c>
      <c r="F12" s="197">
        <f>IFERROR(__xludf.DUMMYFUNCTION("""COMPUTED_VALUE"""),78.0)</f>
        <v>78</v>
      </c>
      <c r="G12" s="197">
        <f>IFERROR(__xludf.DUMMYFUNCTION("""COMPUTED_VALUE"""),0.0)</f>
        <v>0</v>
      </c>
      <c r="H12" s="197">
        <f>IFERROR(__xludf.DUMMYFUNCTION("""COMPUTED_VALUE"""),0.0)</f>
        <v>0</v>
      </c>
      <c r="I12" s="41">
        <f>IFERROR(__xludf.DUMMYFUNCTION("""COMPUTED_VALUE"""),79.0)</f>
        <v>79</v>
      </c>
      <c r="J12" s="197">
        <f>IFERROR(__xludf.DUMMYFUNCTION("""COMPUTED_VALUE"""),79.0)</f>
        <v>79</v>
      </c>
      <c r="K12" s="197">
        <f>IFERROR(__xludf.DUMMYFUNCTION("""COMPUTED_VALUE"""),0.0)</f>
        <v>0</v>
      </c>
      <c r="L12" s="197">
        <f>IFERROR(__xludf.DUMMYFUNCTION("""COMPUTED_VALUE"""),0.0)</f>
        <v>0</v>
      </c>
      <c r="M12" s="41">
        <f>IFERROR(__xludf.DUMMYFUNCTION("""COMPUTED_VALUE"""),77.0)</f>
        <v>77</v>
      </c>
      <c r="N12" s="197">
        <f>IFERROR(__xludf.DUMMYFUNCTION("""COMPUTED_VALUE"""),77.0)</f>
        <v>77</v>
      </c>
      <c r="O12" s="197">
        <f>IFERROR(__xludf.DUMMYFUNCTION("""COMPUTED_VALUE"""),0.0)</f>
        <v>0</v>
      </c>
      <c r="P12" s="197">
        <f>IFERROR(__xludf.DUMMYFUNCTION("""COMPUTED_VALUE"""),0.0)</f>
        <v>0</v>
      </c>
      <c r="Q12" s="41">
        <f>IFERROR(__xludf.DUMMYFUNCTION("""COMPUTED_VALUE"""),81.0)</f>
        <v>81</v>
      </c>
      <c r="R12" s="197">
        <f>IFERROR(__xludf.DUMMYFUNCTION("""COMPUTED_VALUE"""),81.0)</f>
        <v>81</v>
      </c>
      <c r="S12" s="197">
        <f>IFERROR(__xludf.DUMMYFUNCTION("""COMPUTED_VALUE"""),0.0)</f>
        <v>0</v>
      </c>
      <c r="T12" s="197">
        <f>IFERROR(__xludf.DUMMYFUNCTION("""COMPUTED_VALUE"""),0.0)</f>
        <v>0</v>
      </c>
      <c r="U12" s="41">
        <f>IFERROR(__xludf.DUMMYFUNCTION("""COMPUTED_VALUE"""),81.0)</f>
        <v>81</v>
      </c>
      <c r="V12" s="197">
        <f>IFERROR(__xludf.DUMMYFUNCTION("""COMPUTED_VALUE"""),81.0)</f>
        <v>81</v>
      </c>
      <c r="W12" s="197">
        <f>IFERROR(__xludf.DUMMYFUNCTION("""COMPUTED_VALUE"""),0.0)</f>
        <v>0</v>
      </c>
      <c r="X12" s="197">
        <f>IFERROR(__xludf.DUMMYFUNCTION("""COMPUTED_VALUE"""),0.0)</f>
        <v>0</v>
      </c>
      <c r="Y12" s="41">
        <f>IFERROR(__xludf.DUMMYFUNCTION("""COMPUTED_VALUE"""),76.0)</f>
        <v>76</v>
      </c>
      <c r="Z12" s="197">
        <f>IFERROR(__xludf.DUMMYFUNCTION("""COMPUTED_VALUE"""),76.0)</f>
        <v>76</v>
      </c>
      <c r="AA12" s="197">
        <f>IFERROR(__xludf.DUMMYFUNCTION("""COMPUTED_VALUE"""),0.0)</f>
        <v>0</v>
      </c>
      <c r="AB12" s="197">
        <f>IFERROR(__xludf.DUMMYFUNCTION("""COMPUTED_VALUE"""),0.0)</f>
        <v>0</v>
      </c>
      <c r="AC12" s="41">
        <f>IFERROR(__xludf.DUMMYFUNCTION("""COMPUTED_VALUE"""),76.0)</f>
        <v>76</v>
      </c>
      <c r="AD12" s="197">
        <f>IFERROR(__xludf.DUMMYFUNCTION("""COMPUTED_VALUE"""),76.0)</f>
        <v>76</v>
      </c>
      <c r="AE12" s="197">
        <f>IFERROR(__xludf.DUMMYFUNCTION("""COMPUTED_VALUE"""),0.0)</f>
        <v>0</v>
      </c>
      <c r="AF12" s="197">
        <f>IFERROR(__xludf.DUMMYFUNCTION("""COMPUTED_VALUE"""),0.0)</f>
        <v>0</v>
      </c>
      <c r="AG12" s="41">
        <f>IFERROR(__xludf.DUMMYFUNCTION("""COMPUTED_VALUE"""),0.0)</f>
        <v>0</v>
      </c>
      <c r="AH12" s="197">
        <f>IFERROR(__xludf.DUMMYFUNCTION("""COMPUTED_VALUE"""),0.0)</f>
        <v>0</v>
      </c>
      <c r="AI12" s="197">
        <f>IFERROR(__xludf.DUMMYFUNCTION("""COMPUTED_VALUE"""),0.0)</f>
        <v>0</v>
      </c>
      <c r="AJ12" s="197">
        <f>IFERROR(__xludf.DUMMYFUNCTION("""COMPUTED_VALUE"""),0.0)</f>
        <v>0</v>
      </c>
      <c r="AK12" s="41">
        <f>IFERROR(__xludf.DUMMYFUNCTION("""COMPUTED_VALUE"""),0.0)</f>
        <v>0</v>
      </c>
      <c r="AL12" s="197">
        <f>IFERROR(__xludf.DUMMYFUNCTION("""COMPUTED_VALUE"""),0.0)</f>
        <v>0</v>
      </c>
      <c r="AM12" s="197">
        <f>IFERROR(__xludf.DUMMYFUNCTION("""COMPUTED_VALUE"""),0.0)</f>
        <v>0</v>
      </c>
      <c r="AN12" s="197">
        <f>IFERROR(__xludf.DUMMYFUNCTION("""COMPUTED_VALUE"""),0.0)</f>
        <v>0</v>
      </c>
      <c r="AO12" s="41">
        <f>IFERROR(__xludf.DUMMYFUNCTION("""COMPUTED_VALUE"""),0.0)</f>
        <v>0</v>
      </c>
      <c r="AP12" s="197">
        <f>IFERROR(__xludf.DUMMYFUNCTION("""COMPUTED_VALUE"""),0.0)</f>
        <v>0</v>
      </c>
      <c r="AQ12" s="197">
        <f>IFERROR(__xludf.DUMMYFUNCTION("""COMPUTED_VALUE"""),0.0)</f>
        <v>0</v>
      </c>
      <c r="AR12" s="197">
        <f>IFERROR(__xludf.DUMMYFUNCTION("""COMPUTED_VALUE"""),0.0)</f>
        <v>0</v>
      </c>
      <c r="AS12" s="41">
        <f>IFERROR(__xludf.DUMMYFUNCTION("""COMPUTED_VALUE"""),0.0)</f>
        <v>0</v>
      </c>
      <c r="AT12" s="197">
        <f>IFERROR(__xludf.DUMMYFUNCTION("""COMPUTED_VALUE"""),0.0)</f>
        <v>0</v>
      </c>
      <c r="AU12" s="197">
        <f>IFERROR(__xludf.DUMMYFUNCTION("""COMPUTED_VALUE"""),0.0)</f>
        <v>0</v>
      </c>
      <c r="AV12" s="197">
        <f>IFERROR(__xludf.DUMMYFUNCTION("""COMPUTED_VALUE"""),0.0)</f>
        <v>0</v>
      </c>
      <c r="AW12" s="41">
        <f>IFERROR(__xludf.DUMMYFUNCTION("""COMPUTED_VALUE"""),0.0)</f>
        <v>0</v>
      </c>
      <c r="AX12" s="197">
        <f>IFERROR(__xludf.DUMMYFUNCTION("""COMPUTED_VALUE"""),0.0)</f>
        <v>0</v>
      </c>
      <c r="AY12" s="197">
        <f>IFERROR(__xludf.DUMMYFUNCTION("""COMPUTED_VALUE"""),0.0)</f>
        <v>0</v>
      </c>
      <c r="AZ12" s="198">
        <f>IFERROR(__xludf.DUMMYFUNCTION("""COMPUTED_VALUE"""),0.0)</f>
        <v>0</v>
      </c>
      <c r="BA12" s="34"/>
    </row>
    <row r="13" ht="15.75" customHeight="1">
      <c r="A13" s="29"/>
      <c r="B13" s="67" t="str">
        <f>IFERROR(__xludf.DUMMYFUNCTION("""COMPUTED_VALUE"""),"1.4. Số trường ở vùng đặc biệt khó khăn")</f>
        <v>1.4. Số trường ở vùng đặc biệt khó khăn</v>
      </c>
      <c r="C13" s="31"/>
      <c r="D13" s="31" t="str">
        <f>IFERROR(__xludf.DUMMYFUNCTION("""COMPUTED_VALUE"""),"Trường")</f>
        <v>Trường</v>
      </c>
      <c r="E13" s="41">
        <f>IFERROR(__xludf.DUMMYFUNCTION("""COMPUTED_VALUE"""),22.0)</f>
        <v>22</v>
      </c>
      <c r="F13" s="197">
        <f>IFERROR(__xludf.DUMMYFUNCTION("""COMPUTED_VALUE"""),22.0)</f>
        <v>22</v>
      </c>
      <c r="G13" s="197">
        <f>IFERROR(__xludf.DUMMYFUNCTION("""COMPUTED_VALUE"""),0.0)</f>
        <v>0</v>
      </c>
      <c r="H13" s="197">
        <f>IFERROR(__xludf.DUMMYFUNCTION("""COMPUTED_VALUE"""),0.0)</f>
        <v>0</v>
      </c>
      <c r="I13" s="41">
        <f>IFERROR(__xludf.DUMMYFUNCTION("""COMPUTED_VALUE"""),22.0)</f>
        <v>22</v>
      </c>
      <c r="J13" s="197">
        <f>IFERROR(__xludf.DUMMYFUNCTION("""COMPUTED_VALUE"""),22.0)</f>
        <v>22</v>
      </c>
      <c r="K13" s="197">
        <f>IFERROR(__xludf.DUMMYFUNCTION("""COMPUTED_VALUE"""),0.0)</f>
        <v>0</v>
      </c>
      <c r="L13" s="197">
        <f>IFERROR(__xludf.DUMMYFUNCTION("""COMPUTED_VALUE"""),0.0)</f>
        <v>0</v>
      </c>
      <c r="M13" s="41">
        <f>IFERROR(__xludf.DUMMYFUNCTION("""COMPUTED_VALUE"""),22.0)</f>
        <v>22</v>
      </c>
      <c r="N13" s="197">
        <f>IFERROR(__xludf.DUMMYFUNCTION("""COMPUTED_VALUE"""),22.0)</f>
        <v>22</v>
      </c>
      <c r="O13" s="197">
        <f>IFERROR(__xludf.DUMMYFUNCTION("""COMPUTED_VALUE"""),0.0)</f>
        <v>0</v>
      </c>
      <c r="P13" s="197">
        <f>IFERROR(__xludf.DUMMYFUNCTION("""COMPUTED_VALUE"""),0.0)</f>
        <v>0</v>
      </c>
      <c r="Q13" s="41">
        <f>IFERROR(__xludf.DUMMYFUNCTION("""COMPUTED_VALUE"""),21.0)</f>
        <v>21</v>
      </c>
      <c r="R13" s="197">
        <f>IFERROR(__xludf.DUMMYFUNCTION("""COMPUTED_VALUE"""),21.0)</f>
        <v>21</v>
      </c>
      <c r="S13" s="197">
        <f>IFERROR(__xludf.DUMMYFUNCTION("""COMPUTED_VALUE"""),0.0)</f>
        <v>0</v>
      </c>
      <c r="T13" s="197">
        <f>IFERROR(__xludf.DUMMYFUNCTION("""COMPUTED_VALUE"""),0.0)</f>
        <v>0</v>
      </c>
      <c r="U13" s="41">
        <f>IFERROR(__xludf.DUMMYFUNCTION("""COMPUTED_VALUE"""),21.0)</f>
        <v>21</v>
      </c>
      <c r="V13" s="197">
        <f>IFERROR(__xludf.DUMMYFUNCTION("""COMPUTED_VALUE"""),21.0)</f>
        <v>21</v>
      </c>
      <c r="W13" s="197">
        <f>IFERROR(__xludf.DUMMYFUNCTION("""COMPUTED_VALUE"""),0.0)</f>
        <v>0</v>
      </c>
      <c r="X13" s="197">
        <f>IFERROR(__xludf.DUMMYFUNCTION("""COMPUTED_VALUE"""),0.0)</f>
        <v>0</v>
      </c>
      <c r="Y13" s="41">
        <f>IFERROR(__xludf.DUMMYFUNCTION("""COMPUTED_VALUE"""),21.0)</f>
        <v>21</v>
      </c>
      <c r="Z13" s="197">
        <f>IFERROR(__xludf.DUMMYFUNCTION("""COMPUTED_VALUE"""),21.0)</f>
        <v>21</v>
      </c>
      <c r="AA13" s="197">
        <f>IFERROR(__xludf.DUMMYFUNCTION("""COMPUTED_VALUE"""),0.0)</f>
        <v>0</v>
      </c>
      <c r="AB13" s="197">
        <f>IFERROR(__xludf.DUMMYFUNCTION("""COMPUTED_VALUE"""),0.0)</f>
        <v>0</v>
      </c>
      <c r="AC13" s="41">
        <f>IFERROR(__xludf.DUMMYFUNCTION("""COMPUTED_VALUE"""),21.0)</f>
        <v>21</v>
      </c>
      <c r="AD13" s="197">
        <f>IFERROR(__xludf.DUMMYFUNCTION("""COMPUTED_VALUE"""),21.0)</f>
        <v>21</v>
      </c>
      <c r="AE13" s="197">
        <f>IFERROR(__xludf.DUMMYFUNCTION("""COMPUTED_VALUE"""),0.0)</f>
        <v>0</v>
      </c>
      <c r="AF13" s="197">
        <f>IFERROR(__xludf.DUMMYFUNCTION("""COMPUTED_VALUE"""),0.0)</f>
        <v>0</v>
      </c>
      <c r="AG13" s="41">
        <f>IFERROR(__xludf.DUMMYFUNCTION("""COMPUTED_VALUE"""),0.0)</f>
        <v>0</v>
      </c>
      <c r="AH13" s="197">
        <f>IFERROR(__xludf.DUMMYFUNCTION("""COMPUTED_VALUE"""),0.0)</f>
        <v>0</v>
      </c>
      <c r="AI13" s="197">
        <f>IFERROR(__xludf.DUMMYFUNCTION("""COMPUTED_VALUE"""),0.0)</f>
        <v>0</v>
      </c>
      <c r="AJ13" s="197">
        <f>IFERROR(__xludf.DUMMYFUNCTION("""COMPUTED_VALUE"""),0.0)</f>
        <v>0</v>
      </c>
      <c r="AK13" s="41">
        <f>IFERROR(__xludf.DUMMYFUNCTION("""COMPUTED_VALUE"""),0.0)</f>
        <v>0</v>
      </c>
      <c r="AL13" s="197">
        <f>IFERROR(__xludf.DUMMYFUNCTION("""COMPUTED_VALUE"""),0.0)</f>
        <v>0</v>
      </c>
      <c r="AM13" s="197">
        <f>IFERROR(__xludf.DUMMYFUNCTION("""COMPUTED_VALUE"""),0.0)</f>
        <v>0</v>
      </c>
      <c r="AN13" s="197">
        <f>IFERROR(__xludf.DUMMYFUNCTION("""COMPUTED_VALUE"""),0.0)</f>
        <v>0</v>
      </c>
      <c r="AO13" s="41">
        <f>IFERROR(__xludf.DUMMYFUNCTION("""COMPUTED_VALUE"""),0.0)</f>
        <v>0</v>
      </c>
      <c r="AP13" s="197">
        <f>IFERROR(__xludf.DUMMYFUNCTION("""COMPUTED_VALUE"""),0.0)</f>
        <v>0</v>
      </c>
      <c r="AQ13" s="197">
        <f>IFERROR(__xludf.DUMMYFUNCTION("""COMPUTED_VALUE"""),0.0)</f>
        <v>0</v>
      </c>
      <c r="AR13" s="197">
        <f>IFERROR(__xludf.DUMMYFUNCTION("""COMPUTED_VALUE"""),0.0)</f>
        <v>0</v>
      </c>
      <c r="AS13" s="41">
        <f>IFERROR(__xludf.DUMMYFUNCTION("""COMPUTED_VALUE"""),0.0)</f>
        <v>0</v>
      </c>
      <c r="AT13" s="197">
        <f>IFERROR(__xludf.DUMMYFUNCTION("""COMPUTED_VALUE"""),0.0)</f>
        <v>0</v>
      </c>
      <c r="AU13" s="197">
        <f>IFERROR(__xludf.DUMMYFUNCTION("""COMPUTED_VALUE"""),0.0)</f>
        <v>0</v>
      </c>
      <c r="AV13" s="197">
        <f>IFERROR(__xludf.DUMMYFUNCTION("""COMPUTED_VALUE"""),0.0)</f>
        <v>0</v>
      </c>
      <c r="AW13" s="41">
        <f>IFERROR(__xludf.DUMMYFUNCTION("""COMPUTED_VALUE"""),0.0)</f>
        <v>0</v>
      </c>
      <c r="AX13" s="197">
        <f>IFERROR(__xludf.DUMMYFUNCTION("""COMPUTED_VALUE"""),0.0)</f>
        <v>0</v>
      </c>
      <c r="AY13" s="197">
        <f>IFERROR(__xludf.DUMMYFUNCTION("""COMPUTED_VALUE"""),0.0)</f>
        <v>0</v>
      </c>
      <c r="AZ13" s="198">
        <f>IFERROR(__xludf.DUMMYFUNCTION("""COMPUTED_VALUE"""),0.0)</f>
        <v>0</v>
      </c>
      <c r="BA13" s="34"/>
    </row>
    <row r="14" ht="15.75" customHeight="1">
      <c r="A14" s="29"/>
      <c r="B14" s="30" t="str">
        <f>IFERROR(__xludf.DUMMYFUNCTION("""COMPUTED_VALUE"""),"2. LỚP")</f>
        <v>2. LỚP</v>
      </c>
      <c r="C14" s="31" t="str">
        <f>IFERROR(__xludf.DUMMYFUNCTION("""COMPUTED_VALUE"""),"Tháng")</f>
        <v>Tháng</v>
      </c>
      <c r="D14" s="3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50"/>
      <c r="BA14" s="34"/>
    </row>
    <row r="15" ht="15.75" customHeight="1">
      <c r="A15" s="29"/>
      <c r="B15" s="196" t="str">
        <f>IFERROR(__xludf.DUMMYFUNCTION("""COMPUTED_VALUE"""),"Tổng số")</f>
        <v>Tổng số</v>
      </c>
      <c r="C15" s="57"/>
      <c r="D15" s="57" t="str">
        <f>IFERROR(__xludf.DUMMYFUNCTION("""COMPUTED_VALUE"""),"Lớp")</f>
        <v>Lớp</v>
      </c>
      <c r="E15" s="125">
        <f>IFERROR(__xludf.DUMMYFUNCTION("""COMPUTED_VALUE"""),1656.0)</f>
        <v>1656</v>
      </c>
      <c r="F15" s="125">
        <f>IFERROR(__xludf.DUMMYFUNCTION("""COMPUTED_VALUE"""),1656.0)</f>
        <v>1656</v>
      </c>
      <c r="G15" s="125">
        <f>IFERROR(__xludf.DUMMYFUNCTION("""COMPUTED_VALUE"""),0.0)</f>
        <v>0</v>
      </c>
      <c r="H15" s="125">
        <f>IFERROR(__xludf.DUMMYFUNCTION("""COMPUTED_VALUE"""),0.0)</f>
        <v>0</v>
      </c>
      <c r="I15" s="125">
        <f>IFERROR(__xludf.DUMMYFUNCTION("""COMPUTED_VALUE"""),1655.0)</f>
        <v>1655</v>
      </c>
      <c r="J15" s="125">
        <f>IFERROR(__xludf.DUMMYFUNCTION("""COMPUTED_VALUE"""),1655.0)</f>
        <v>1655</v>
      </c>
      <c r="K15" s="125">
        <f>IFERROR(__xludf.DUMMYFUNCTION("""COMPUTED_VALUE"""),0.0)</f>
        <v>0</v>
      </c>
      <c r="L15" s="125">
        <f>IFERROR(__xludf.DUMMYFUNCTION("""COMPUTED_VALUE"""),0.0)</f>
        <v>0</v>
      </c>
      <c r="M15" s="125">
        <f>IFERROR(__xludf.DUMMYFUNCTION("""COMPUTED_VALUE"""),1645.0)</f>
        <v>1645</v>
      </c>
      <c r="N15" s="125">
        <f>IFERROR(__xludf.DUMMYFUNCTION("""COMPUTED_VALUE"""),1645.0)</f>
        <v>1645</v>
      </c>
      <c r="O15" s="125">
        <f>IFERROR(__xludf.DUMMYFUNCTION("""COMPUTED_VALUE"""),0.0)</f>
        <v>0</v>
      </c>
      <c r="P15" s="125">
        <f>IFERROR(__xludf.DUMMYFUNCTION("""COMPUTED_VALUE"""),0.0)</f>
        <v>0</v>
      </c>
      <c r="Q15" s="125">
        <f>IFERROR(__xludf.DUMMYFUNCTION("""COMPUTED_VALUE"""),1645.0)</f>
        <v>1645</v>
      </c>
      <c r="R15" s="125">
        <f>IFERROR(__xludf.DUMMYFUNCTION("""COMPUTED_VALUE"""),1645.0)</f>
        <v>1645</v>
      </c>
      <c r="S15" s="125">
        <f>IFERROR(__xludf.DUMMYFUNCTION("""COMPUTED_VALUE"""),0.0)</f>
        <v>0</v>
      </c>
      <c r="T15" s="125">
        <f>IFERROR(__xludf.DUMMYFUNCTION("""COMPUTED_VALUE"""),0.0)</f>
        <v>0</v>
      </c>
      <c r="U15" s="125">
        <f>IFERROR(__xludf.DUMMYFUNCTION("""COMPUTED_VALUE"""),1655.0)</f>
        <v>1655</v>
      </c>
      <c r="V15" s="125">
        <f>IFERROR(__xludf.DUMMYFUNCTION("""COMPUTED_VALUE"""),1655.0)</f>
        <v>1655</v>
      </c>
      <c r="W15" s="125">
        <f>IFERROR(__xludf.DUMMYFUNCTION("""COMPUTED_VALUE"""),0.0)</f>
        <v>0</v>
      </c>
      <c r="X15" s="125">
        <f>IFERROR(__xludf.DUMMYFUNCTION("""COMPUTED_VALUE"""),0.0)</f>
        <v>0</v>
      </c>
      <c r="Y15" s="125">
        <f>IFERROR(__xludf.DUMMYFUNCTION("""COMPUTED_VALUE"""),1655.0)</f>
        <v>1655</v>
      </c>
      <c r="Z15" s="125">
        <f>IFERROR(__xludf.DUMMYFUNCTION("""COMPUTED_VALUE"""),1655.0)</f>
        <v>1655</v>
      </c>
      <c r="AA15" s="125">
        <f>IFERROR(__xludf.DUMMYFUNCTION("""COMPUTED_VALUE"""),0.0)</f>
        <v>0</v>
      </c>
      <c r="AB15" s="125">
        <f>IFERROR(__xludf.DUMMYFUNCTION("""COMPUTED_VALUE"""),0.0)</f>
        <v>0</v>
      </c>
      <c r="AC15" s="125">
        <f>IFERROR(__xludf.DUMMYFUNCTION("""COMPUTED_VALUE"""),1657.0)</f>
        <v>1657</v>
      </c>
      <c r="AD15" s="125">
        <f>IFERROR(__xludf.DUMMYFUNCTION("""COMPUTED_VALUE"""),1657.0)</f>
        <v>1657</v>
      </c>
      <c r="AE15" s="125">
        <f>IFERROR(__xludf.DUMMYFUNCTION("""COMPUTED_VALUE"""),0.0)</f>
        <v>0</v>
      </c>
      <c r="AF15" s="125">
        <f>IFERROR(__xludf.DUMMYFUNCTION("""COMPUTED_VALUE"""),0.0)</f>
        <v>0</v>
      </c>
      <c r="AG15" s="125">
        <f>IFERROR(__xludf.DUMMYFUNCTION("""COMPUTED_VALUE"""),0.0)</f>
        <v>0</v>
      </c>
      <c r="AH15" s="125">
        <f>IFERROR(__xludf.DUMMYFUNCTION("""COMPUTED_VALUE"""),0.0)</f>
        <v>0</v>
      </c>
      <c r="AI15" s="125">
        <f>IFERROR(__xludf.DUMMYFUNCTION("""COMPUTED_VALUE"""),0.0)</f>
        <v>0</v>
      </c>
      <c r="AJ15" s="125">
        <f>IFERROR(__xludf.DUMMYFUNCTION("""COMPUTED_VALUE"""),0.0)</f>
        <v>0</v>
      </c>
      <c r="AK15" s="125">
        <f>IFERROR(__xludf.DUMMYFUNCTION("""COMPUTED_VALUE"""),0.0)</f>
        <v>0</v>
      </c>
      <c r="AL15" s="125">
        <f>IFERROR(__xludf.DUMMYFUNCTION("""COMPUTED_VALUE"""),0.0)</f>
        <v>0</v>
      </c>
      <c r="AM15" s="125">
        <f>IFERROR(__xludf.DUMMYFUNCTION("""COMPUTED_VALUE"""),0.0)</f>
        <v>0</v>
      </c>
      <c r="AN15" s="125">
        <f>IFERROR(__xludf.DUMMYFUNCTION("""COMPUTED_VALUE"""),0.0)</f>
        <v>0</v>
      </c>
      <c r="AO15" s="125">
        <f>IFERROR(__xludf.DUMMYFUNCTION("""COMPUTED_VALUE"""),0.0)</f>
        <v>0</v>
      </c>
      <c r="AP15" s="125">
        <f>IFERROR(__xludf.DUMMYFUNCTION("""COMPUTED_VALUE"""),0.0)</f>
        <v>0</v>
      </c>
      <c r="AQ15" s="125">
        <f>IFERROR(__xludf.DUMMYFUNCTION("""COMPUTED_VALUE"""),0.0)</f>
        <v>0</v>
      </c>
      <c r="AR15" s="125">
        <f>IFERROR(__xludf.DUMMYFUNCTION("""COMPUTED_VALUE"""),0.0)</f>
        <v>0</v>
      </c>
      <c r="AS15" s="125">
        <f>IFERROR(__xludf.DUMMYFUNCTION("""COMPUTED_VALUE"""),0.0)</f>
        <v>0</v>
      </c>
      <c r="AT15" s="125">
        <f>IFERROR(__xludf.DUMMYFUNCTION("""COMPUTED_VALUE"""),0.0)</f>
        <v>0</v>
      </c>
      <c r="AU15" s="125">
        <f>IFERROR(__xludf.DUMMYFUNCTION("""COMPUTED_VALUE"""),0.0)</f>
        <v>0</v>
      </c>
      <c r="AV15" s="125">
        <f>IFERROR(__xludf.DUMMYFUNCTION("""COMPUTED_VALUE"""),0.0)</f>
        <v>0</v>
      </c>
      <c r="AW15" s="125">
        <f>IFERROR(__xludf.DUMMYFUNCTION("""COMPUTED_VALUE"""),0.0)</f>
        <v>0</v>
      </c>
      <c r="AX15" s="125">
        <f>IFERROR(__xludf.DUMMYFUNCTION("""COMPUTED_VALUE"""),0.0)</f>
        <v>0</v>
      </c>
      <c r="AY15" s="125">
        <f>IFERROR(__xludf.DUMMYFUNCTION("""COMPUTED_VALUE"""),0.0)</f>
        <v>0</v>
      </c>
      <c r="AZ15" s="127">
        <f>IFERROR(__xludf.DUMMYFUNCTION("""COMPUTED_VALUE"""),0.0)</f>
        <v>0</v>
      </c>
      <c r="BA15" s="34"/>
    </row>
    <row r="16" ht="15.75" customHeight="1">
      <c r="A16" s="29"/>
      <c r="B16" s="48" t="str">
        <f>IFERROR(__xludf.DUMMYFUNCTION("""COMPUTED_VALUE"""),"Chia ra:")</f>
        <v>Chia ra:</v>
      </c>
      <c r="C16" s="49"/>
      <c r="D16" s="3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50"/>
      <c r="BA16" s="34"/>
    </row>
    <row r="17" ht="15.75" customHeight="1">
      <c r="A17" s="29"/>
      <c r="B17" s="67" t="str">
        <f>IFERROR(__xludf.DUMMYFUNCTION("""COMPUTED_VALUE""")," + Số lớp 6")</f>
        <v> + Số lớp 6</v>
      </c>
      <c r="C17" s="31"/>
      <c r="D17" s="31" t="str">
        <f>IFERROR(__xludf.DUMMYFUNCTION("""COMPUTED_VALUE"""),"""")</f>
        <v>"</v>
      </c>
      <c r="E17" s="41">
        <f>IFERROR(__xludf.DUMMYFUNCTION("""COMPUTED_VALUE"""),521.0)</f>
        <v>521</v>
      </c>
      <c r="F17" s="197">
        <f>IFERROR(__xludf.DUMMYFUNCTION("""COMPUTED_VALUE"""),521.0)</f>
        <v>521</v>
      </c>
      <c r="G17" s="197">
        <f>IFERROR(__xludf.DUMMYFUNCTION("""COMPUTED_VALUE"""),0.0)</f>
        <v>0</v>
      </c>
      <c r="H17" s="197">
        <f>IFERROR(__xludf.DUMMYFUNCTION("""COMPUTED_VALUE"""),0.0)</f>
        <v>0</v>
      </c>
      <c r="I17" s="41">
        <f>IFERROR(__xludf.DUMMYFUNCTION("""COMPUTED_VALUE"""),521.0)</f>
        <v>521</v>
      </c>
      <c r="J17" s="197">
        <f>IFERROR(__xludf.DUMMYFUNCTION("""COMPUTED_VALUE"""),521.0)</f>
        <v>521</v>
      </c>
      <c r="K17" s="197">
        <f>IFERROR(__xludf.DUMMYFUNCTION("""COMPUTED_VALUE"""),0.0)</f>
        <v>0</v>
      </c>
      <c r="L17" s="197">
        <f>IFERROR(__xludf.DUMMYFUNCTION("""COMPUTED_VALUE"""),0.0)</f>
        <v>0</v>
      </c>
      <c r="M17" s="41">
        <f>IFERROR(__xludf.DUMMYFUNCTION("""COMPUTED_VALUE"""),518.0)</f>
        <v>518</v>
      </c>
      <c r="N17" s="197">
        <f>IFERROR(__xludf.DUMMYFUNCTION("""COMPUTED_VALUE"""),518.0)</f>
        <v>518</v>
      </c>
      <c r="O17" s="197">
        <f>IFERROR(__xludf.DUMMYFUNCTION("""COMPUTED_VALUE"""),0.0)</f>
        <v>0</v>
      </c>
      <c r="P17" s="197">
        <f>IFERROR(__xludf.DUMMYFUNCTION("""COMPUTED_VALUE"""),0.0)</f>
        <v>0</v>
      </c>
      <c r="Q17" s="41">
        <f>IFERROR(__xludf.DUMMYFUNCTION("""COMPUTED_VALUE"""),518.0)</f>
        <v>518</v>
      </c>
      <c r="R17" s="197">
        <f>IFERROR(__xludf.DUMMYFUNCTION("""COMPUTED_VALUE"""),518.0)</f>
        <v>518</v>
      </c>
      <c r="S17" s="197">
        <f>IFERROR(__xludf.DUMMYFUNCTION("""COMPUTED_VALUE"""),0.0)</f>
        <v>0</v>
      </c>
      <c r="T17" s="197">
        <f>IFERROR(__xludf.DUMMYFUNCTION("""COMPUTED_VALUE"""),0.0)</f>
        <v>0</v>
      </c>
      <c r="U17" s="41">
        <f>IFERROR(__xludf.DUMMYFUNCTION("""COMPUTED_VALUE"""),521.0)</f>
        <v>521</v>
      </c>
      <c r="V17" s="197">
        <f>IFERROR(__xludf.DUMMYFUNCTION("""COMPUTED_VALUE"""),521.0)</f>
        <v>521</v>
      </c>
      <c r="W17" s="197">
        <f>IFERROR(__xludf.DUMMYFUNCTION("""COMPUTED_VALUE"""),0.0)</f>
        <v>0</v>
      </c>
      <c r="X17" s="197">
        <f>IFERROR(__xludf.DUMMYFUNCTION("""COMPUTED_VALUE"""),0.0)</f>
        <v>0</v>
      </c>
      <c r="Y17" s="41">
        <f>IFERROR(__xludf.DUMMYFUNCTION("""COMPUTED_VALUE"""),521.0)</f>
        <v>521</v>
      </c>
      <c r="Z17" s="197">
        <f>IFERROR(__xludf.DUMMYFUNCTION("""COMPUTED_VALUE"""),521.0)</f>
        <v>521</v>
      </c>
      <c r="AA17" s="197">
        <f>IFERROR(__xludf.DUMMYFUNCTION("""COMPUTED_VALUE"""),0.0)</f>
        <v>0</v>
      </c>
      <c r="AB17" s="197">
        <f>IFERROR(__xludf.DUMMYFUNCTION("""COMPUTED_VALUE"""),0.0)</f>
        <v>0</v>
      </c>
      <c r="AC17" s="41">
        <f>IFERROR(__xludf.DUMMYFUNCTION("""COMPUTED_VALUE"""),521.0)</f>
        <v>521</v>
      </c>
      <c r="AD17" s="197">
        <f>IFERROR(__xludf.DUMMYFUNCTION("""COMPUTED_VALUE"""),521.0)</f>
        <v>521</v>
      </c>
      <c r="AE17" s="197">
        <f>IFERROR(__xludf.DUMMYFUNCTION("""COMPUTED_VALUE"""),0.0)</f>
        <v>0</v>
      </c>
      <c r="AF17" s="197">
        <f>IFERROR(__xludf.DUMMYFUNCTION("""COMPUTED_VALUE"""),0.0)</f>
        <v>0</v>
      </c>
      <c r="AG17" s="41">
        <f>IFERROR(__xludf.DUMMYFUNCTION("""COMPUTED_VALUE"""),0.0)</f>
        <v>0</v>
      </c>
      <c r="AH17" s="197">
        <f>IFERROR(__xludf.DUMMYFUNCTION("""COMPUTED_VALUE"""),0.0)</f>
        <v>0</v>
      </c>
      <c r="AI17" s="197">
        <f>IFERROR(__xludf.DUMMYFUNCTION("""COMPUTED_VALUE"""),0.0)</f>
        <v>0</v>
      </c>
      <c r="AJ17" s="197">
        <f>IFERROR(__xludf.DUMMYFUNCTION("""COMPUTED_VALUE"""),0.0)</f>
        <v>0</v>
      </c>
      <c r="AK17" s="41">
        <f>IFERROR(__xludf.DUMMYFUNCTION("""COMPUTED_VALUE"""),0.0)</f>
        <v>0</v>
      </c>
      <c r="AL17" s="197">
        <f>IFERROR(__xludf.DUMMYFUNCTION("""COMPUTED_VALUE"""),0.0)</f>
        <v>0</v>
      </c>
      <c r="AM17" s="197">
        <f>IFERROR(__xludf.DUMMYFUNCTION("""COMPUTED_VALUE"""),0.0)</f>
        <v>0</v>
      </c>
      <c r="AN17" s="197">
        <f>IFERROR(__xludf.DUMMYFUNCTION("""COMPUTED_VALUE"""),0.0)</f>
        <v>0</v>
      </c>
      <c r="AO17" s="41">
        <f>IFERROR(__xludf.DUMMYFUNCTION("""COMPUTED_VALUE"""),0.0)</f>
        <v>0</v>
      </c>
      <c r="AP17" s="197">
        <f>IFERROR(__xludf.DUMMYFUNCTION("""COMPUTED_VALUE"""),0.0)</f>
        <v>0</v>
      </c>
      <c r="AQ17" s="197">
        <f>IFERROR(__xludf.DUMMYFUNCTION("""COMPUTED_VALUE"""),0.0)</f>
        <v>0</v>
      </c>
      <c r="AR17" s="197">
        <f>IFERROR(__xludf.DUMMYFUNCTION("""COMPUTED_VALUE"""),0.0)</f>
        <v>0</v>
      </c>
      <c r="AS17" s="41">
        <f>IFERROR(__xludf.DUMMYFUNCTION("""COMPUTED_VALUE"""),0.0)</f>
        <v>0</v>
      </c>
      <c r="AT17" s="197">
        <f>IFERROR(__xludf.DUMMYFUNCTION("""COMPUTED_VALUE"""),0.0)</f>
        <v>0</v>
      </c>
      <c r="AU17" s="197">
        <f>IFERROR(__xludf.DUMMYFUNCTION("""COMPUTED_VALUE"""),0.0)</f>
        <v>0</v>
      </c>
      <c r="AV17" s="197">
        <f>IFERROR(__xludf.DUMMYFUNCTION("""COMPUTED_VALUE"""),0.0)</f>
        <v>0</v>
      </c>
      <c r="AW17" s="41">
        <f>IFERROR(__xludf.DUMMYFUNCTION("""COMPUTED_VALUE"""),0.0)</f>
        <v>0</v>
      </c>
      <c r="AX17" s="197">
        <f>IFERROR(__xludf.DUMMYFUNCTION("""COMPUTED_VALUE"""),0.0)</f>
        <v>0</v>
      </c>
      <c r="AY17" s="197">
        <f>IFERROR(__xludf.DUMMYFUNCTION("""COMPUTED_VALUE"""),0.0)</f>
        <v>0</v>
      </c>
      <c r="AZ17" s="198">
        <f>IFERROR(__xludf.DUMMYFUNCTION("""COMPUTED_VALUE"""),0.0)</f>
        <v>0</v>
      </c>
      <c r="BA17" s="34"/>
    </row>
    <row r="18" ht="15.75" customHeight="1">
      <c r="A18" s="29"/>
      <c r="B18" s="67" t="str">
        <f>IFERROR(__xludf.DUMMYFUNCTION("""COMPUTED_VALUE""")," + Số lớp 7")</f>
        <v> + Số lớp 7</v>
      </c>
      <c r="C18" s="31"/>
      <c r="D18" s="31" t="str">
        <f>IFERROR(__xludf.DUMMYFUNCTION("""COMPUTED_VALUE"""),"""")</f>
        <v>"</v>
      </c>
      <c r="E18" s="41">
        <f>IFERROR(__xludf.DUMMYFUNCTION("""COMPUTED_VALUE"""),437.0)</f>
        <v>437</v>
      </c>
      <c r="F18" s="197">
        <f>IFERROR(__xludf.DUMMYFUNCTION("""COMPUTED_VALUE"""),437.0)</f>
        <v>437</v>
      </c>
      <c r="G18" s="197">
        <f>IFERROR(__xludf.DUMMYFUNCTION("""COMPUTED_VALUE"""),0.0)</f>
        <v>0</v>
      </c>
      <c r="H18" s="197">
        <f>IFERROR(__xludf.DUMMYFUNCTION("""COMPUTED_VALUE"""),0.0)</f>
        <v>0</v>
      </c>
      <c r="I18" s="41">
        <f>IFERROR(__xludf.DUMMYFUNCTION("""COMPUTED_VALUE"""),437.0)</f>
        <v>437</v>
      </c>
      <c r="J18" s="197">
        <f>IFERROR(__xludf.DUMMYFUNCTION("""COMPUTED_VALUE"""),437.0)</f>
        <v>437</v>
      </c>
      <c r="K18" s="197">
        <f>IFERROR(__xludf.DUMMYFUNCTION("""COMPUTED_VALUE"""),0.0)</f>
        <v>0</v>
      </c>
      <c r="L18" s="197">
        <f>IFERROR(__xludf.DUMMYFUNCTION("""COMPUTED_VALUE"""),0.0)</f>
        <v>0</v>
      </c>
      <c r="M18" s="41">
        <f>IFERROR(__xludf.DUMMYFUNCTION("""COMPUTED_VALUE"""),434.0)</f>
        <v>434</v>
      </c>
      <c r="N18" s="197">
        <f>IFERROR(__xludf.DUMMYFUNCTION("""COMPUTED_VALUE"""),434.0)</f>
        <v>434</v>
      </c>
      <c r="O18" s="197">
        <f>IFERROR(__xludf.DUMMYFUNCTION("""COMPUTED_VALUE"""),0.0)</f>
        <v>0</v>
      </c>
      <c r="P18" s="197">
        <f>IFERROR(__xludf.DUMMYFUNCTION("""COMPUTED_VALUE"""),0.0)</f>
        <v>0</v>
      </c>
      <c r="Q18" s="41">
        <f>IFERROR(__xludf.DUMMYFUNCTION("""COMPUTED_VALUE"""),434.0)</f>
        <v>434</v>
      </c>
      <c r="R18" s="197">
        <f>IFERROR(__xludf.DUMMYFUNCTION("""COMPUTED_VALUE"""),434.0)</f>
        <v>434</v>
      </c>
      <c r="S18" s="197">
        <f>IFERROR(__xludf.DUMMYFUNCTION("""COMPUTED_VALUE"""),0.0)</f>
        <v>0</v>
      </c>
      <c r="T18" s="197">
        <f>IFERROR(__xludf.DUMMYFUNCTION("""COMPUTED_VALUE"""),0.0)</f>
        <v>0</v>
      </c>
      <c r="U18" s="41">
        <f>IFERROR(__xludf.DUMMYFUNCTION("""COMPUTED_VALUE"""),437.0)</f>
        <v>437</v>
      </c>
      <c r="V18" s="197">
        <f>IFERROR(__xludf.DUMMYFUNCTION("""COMPUTED_VALUE"""),437.0)</f>
        <v>437</v>
      </c>
      <c r="W18" s="197">
        <f>IFERROR(__xludf.DUMMYFUNCTION("""COMPUTED_VALUE"""),0.0)</f>
        <v>0</v>
      </c>
      <c r="X18" s="197">
        <f>IFERROR(__xludf.DUMMYFUNCTION("""COMPUTED_VALUE"""),0.0)</f>
        <v>0</v>
      </c>
      <c r="Y18" s="41">
        <f>IFERROR(__xludf.DUMMYFUNCTION("""COMPUTED_VALUE"""),437.0)</f>
        <v>437</v>
      </c>
      <c r="Z18" s="197">
        <f>IFERROR(__xludf.DUMMYFUNCTION("""COMPUTED_VALUE"""),437.0)</f>
        <v>437</v>
      </c>
      <c r="AA18" s="197">
        <f>IFERROR(__xludf.DUMMYFUNCTION("""COMPUTED_VALUE"""),0.0)</f>
        <v>0</v>
      </c>
      <c r="AB18" s="197">
        <f>IFERROR(__xludf.DUMMYFUNCTION("""COMPUTED_VALUE"""),0.0)</f>
        <v>0</v>
      </c>
      <c r="AC18" s="41">
        <f>IFERROR(__xludf.DUMMYFUNCTION("""COMPUTED_VALUE"""),437.0)</f>
        <v>437</v>
      </c>
      <c r="AD18" s="197">
        <f>IFERROR(__xludf.DUMMYFUNCTION("""COMPUTED_VALUE"""),437.0)</f>
        <v>437</v>
      </c>
      <c r="AE18" s="197">
        <f>IFERROR(__xludf.DUMMYFUNCTION("""COMPUTED_VALUE"""),0.0)</f>
        <v>0</v>
      </c>
      <c r="AF18" s="197">
        <f>IFERROR(__xludf.DUMMYFUNCTION("""COMPUTED_VALUE"""),0.0)</f>
        <v>0</v>
      </c>
      <c r="AG18" s="41">
        <f>IFERROR(__xludf.DUMMYFUNCTION("""COMPUTED_VALUE"""),0.0)</f>
        <v>0</v>
      </c>
      <c r="AH18" s="197">
        <f>IFERROR(__xludf.DUMMYFUNCTION("""COMPUTED_VALUE"""),0.0)</f>
        <v>0</v>
      </c>
      <c r="AI18" s="197">
        <f>IFERROR(__xludf.DUMMYFUNCTION("""COMPUTED_VALUE"""),0.0)</f>
        <v>0</v>
      </c>
      <c r="AJ18" s="197">
        <f>IFERROR(__xludf.DUMMYFUNCTION("""COMPUTED_VALUE"""),0.0)</f>
        <v>0</v>
      </c>
      <c r="AK18" s="41">
        <f>IFERROR(__xludf.DUMMYFUNCTION("""COMPUTED_VALUE"""),0.0)</f>
        <v>0</v>
      </c>
      <c r="AL18" s="197">
        <f>IFERROR(__xludf.DUMMYFUNCTION("""COMPUTED_VALUE"""),0.0)</f>
        <v>0</v>
      </c>
      <c r="AM18" s="197">
        <f>IFERROR(__xludf.DUMMYFUNCTION("""COMPUTED_VALUE"""),0.0)</f>
        <v>0</v>
      </c>
      <c r="AN18" s="197">
        <f>IFERROR(__xludf.DUMMYFUNCTION("""COMPUTED_VALUE"""),0.0)</f>
        <v>0</v>
      </c>
      <c r="AO18" s="41">
        <f>IFERROR(__xludf.DUMMYFUNCTION("""COMPUTED_VALUE"""),0.0)</f>
        <v>0</v>
      </c>
      <c r="AP18" s="197">
        <f>IFERROR(__xludf.DUMMYFUNCTION("""COMPUTED_VALUE"""),0.0)</f>
        <v>0</v>
      </c>
      <c r="AQ18" s="197">
        <f>IFERROR(__xludf.DUMMYFUNCTION("""COMPUTED_VALUE"""),0.0)</f>
        <v>0</v>
      </c>
      <c r="AR18" s="197">
        <f>IFERROR(__xludf.DUMMYFUNCTION("""COMPUTED_VALUE"""),0.0)</f>
        <v>0</v>
      </c>
      <c r="AS18" s="41">
        <f>IFERROR(__xludf.DUMMYFUNCTION("""COMPUTED_VALUE"""),0.0)</f>
        <v>0</v>
      </c>
      <c r="AT18" s="197">
        <f>IFERROR(__xludf.DUMMYFUNCTION("""COMPUTED_VALUE"""),0.0)</f>
        <v>0</v>
      </c>
      <c r="AU18" s="197">
        <f>IFERROR(__xludf.DUMMYFUNCTION("""COMPUTED_VALUE"""),0.0)</f>
        <v>0</v>
      </c>
      <c r="AV18" s="197">
        <f>IFERROR(__xludf.DUMMYFUNCTION("""COMPUTED_VALUE"""),0.0)</f>
        <v>0</v>
      </c>
      <c r="AW18" s="41">
        <f>IFERROR(__xludf.DUMMYFUNCTION("""COMPUTED_VALUE"""),0.0)</f>
        <v>0</v>
      </c>
      <c r="AX18" s="197">
        <f>IFERROR(__xludf.DUMMYFUNCTION("""COMPUTED_VALUE"""),0.0)</f>
        <v>0</v>
      </c>
      <c r="AY18" s="197">
        <f>IFERROR(__xludf.DUMMYFUNCTION("""COMPUTED_VALUE"""),0.0)</f>
        <v>0</v>
      </c>
      <c r="AZ18" s="198">
        <f>IFERROR(__xludf.DUMMYFUNCTION("""COMPUTED_VALUE"""),0.0)</f>
        <v>0</v>
      </c>
      <c r="BA18" s="34"/>
    </row>
    <row r="19" ht="15.75" customHeight="1">
      <c r="A19" s="29"/>
      <c r="B19" s="67" t="str">
        <f>IFERROR(__xludf.DUMMYFUNCTION("""COMPUTED_VALUE""")," + Số lớp 8")</f>
        <v> + Số lớp 8</v>
      </c>
      <c r="C19" s="31"/>
      <c r="D19" s="31" t="str">
        <f>IFERROR(__xludf.DUMMYFUNCTION("""COMPUTED_VALUE"""),"""")</f>
        <v>"</v>
      </c>
      <c r="E19" s="41">
        <f>IFERROR(__xludf.DUMMYFUNCTION("""COMPUTED_VALUE"""),332.0)</f>
        <v>332</v>
      </c>
      <c r="F19" s="197">
        <f>IFERROR(__xludf.DUMMYFUNCTION("""COMPUTED_VALUE"""),332.0)</f>
        <v>332</v>
      </c>
      <c r="G19" s="197">
        <f>IFERROR(__xludf.DUMMYFUNCTION("""COMPUTED_VALUE"""),0.0)</f>
        <v>0</v>
      </c>
      <c r="H19" s="197">
        <f>IFERROR(__xludf.DUMMYFUNCTION("""COMPUTED_VALUE"""),0.0)</f>
        <v>0</v>
      </c>
      <c r="I19" s="41">
        <f>IFERROR(__xludf.DUMMYFUNCTION("""COMPUTED_VALUE"""),331.0)</f>
        <v>331</v>
      </c>
      <c r="J19" s="197">
        <f>IFERROR(__xludf.DUMMYFUNCTION("""COMPUTED_VALUE"""),331.0)</f>
        <v>331</v>
      </c>
      <c r="K19" s="197">
        <f>IFERROR(__xludf.DUMMYFUNCTION("""COMPUTED_VALUE"""),0.0)</f>
        <v>0</v>
      </c>
      <c r="L19" s="197">
        <f>IFERROR(__xludf.DUMMYFUNCTION("""COMPUTED_VALUE"""),0.0)</f>
        <v>0</v>
      </c>
      <c r="M19" s="41">
        <f>IFERROR(__xludf.DUMMYFUNCTION("""COMPUTED_VALUE"""),329.0)</f>
        <v>329</v>
      </c>
      <c r="N19" s="197">
        <f>IFERROR(__xludf.DUMMYFUNCTION("""COMPUTED_VALUE"""),329.0)</f>
        <v>329</v>
      </c>
      <c r="O19" s="197">
        <f>IFERROR(__xludf.DUMMYFUNCTION("""COMPUTED_VALUE"""),0.0)</f>
        <v>0</v>
      </c>
      <c r="P19" s="197">
        <f>IFERROR(__xludf.DUMMYFUNCTION("""COMPUTED_VALUE"""),0.0)</f>
        <v>0</v>
      </c>
      <c r="Q19" s="41">
        <f>IFERROR(__xludf.DUMMYFUNCTION("""COMPUTED_VALUE"""),329.0)</f>
        <v>329</v>
      </c>
      <c r="R19" s="197">
        <f>IFERROR(__xludf.DUMMYFUNCTION("""COMPUTED_VALUE"""),329.0)</f>
        <v>329</v>
      </c>
      <c r="S19" s="197">
        <f>IFERROR(__xludf.DUMMYFUNCTION("""COMPUTED_VALUE"""),0.0)</f>
        <v>0</v>
      </c>
      <c r="T19" s="197">
        <f>IFERROR(__xludf.DUMMYFUNCTION("""COMPUTED_VALUE"""),0.0)</f>
        <v>0</v>
      </c>
      <c r="U19" s="41">
        <f>IFERROR(__xludf.DUMMYFUNCTION("""COMPUTED_VALUE"""),331.0)</f>
        <v>331</v>
      </c>
      <c r="V19" s="197">
        <f>IFERROR(__xludf.DUMMYFUNCTION("""COMPUTED_VALUE"""),331.0)</f>
        <v>331</v>
      </c>
      <c r="W19" s="197">
        <f>IFERROR(__xludf.DUMMYFUNCTION("""COMPUTED_VALUE"""),0.0)</f>
        <v>0</v>
      </c>
      <c r="X19" s="197">
        <f>IFERROR(__xludf.DUMMYFUNCTION("""COMPUTED_VALUE"""),0.0)</f>
        <v>0</v>
      </c>
      <c r="Y19" s="41">
        <f>IFERROR(__xludf.DUMMYFUNCTION("""COMPUTED_VALUE"""),331.0)</f>
        <v>331</v>
      </c>
      <c r="Z19" s="197">
        <f>IFERROR(__xludf.DUMMYFUNCTION("""COMPUTED_VALUE"""),331.0)</f>
        <v>331</v>
      </c>
      <c r="AA19" s="197">
        <f>IFERROR(__xludf.DUMMYFUNCTION("""COMPUTED_VALUE"""),0.0)</f>
        <v>0</v>
      </c>
      <c r="AB19" s="197">
        <f>IFERROR(__xludf.DUMMYFUNCTION("""COMPUTED_VALUE"""),0.0)</f>
        <v>0</v>
      </c>
      <c r="AC19" s="41">
        <f>IFERROR(__xludf.DUMMYFUNCTION("""COMPUTED_VALUE"""),331.0)</f>
        <v>331</v>
      </c>
      <c r="AD19" s="197">
        <f>IFERROR(__xludf.DUMMYFUNCTION("""COMPUTED_VALUE"""),331.0)</f>
        <v>331</v>
      </c>
      <c r="AE19" s="197">
        <f>IFERROR(__xludf.DUMMYFUNCTION("""COMPUTED_VALUE"""),0.0)</f>
        <v>0</v>
      </c>
      <c r="AF19" s="197">
        <f>IFERROR(__xludf.DUMMYFUNCTION("""COMPUTED_VALUE"""),0.0)</f>
        <v>0</v>
      </c>
      <c r="AG19" s="41">
        <f>IFERROR(__xludf.DUMMYFUNCTION("""COMPUTED_VALUE"""),0.0)</f>
        <v>0</v>
      </c>
      <c r="AH19" s="197">
        <f>IFERROR(__xludf.DUMMYFUNCTION("""COMPUTED_VALUE"""),0.0)</f>
        <v>0</v>
      </c>
      <c r="AI19" s="197">
        <f>IFERROR(__xludf.DUMMYFUNCTION("""COMPUTED_VALUE"""),0.0)</f>
        <v>0</v>
      </c>
      <c r="AJ19" s="197">
        <f>IFERROR(__xludf.DUMMYFUNCTION("""COMPUTED_VALUE"""),0.0)</f>
        <v>0</v>
      </c>
      <c r="AK19" s="41">
        <f>IFERROR(__xludf.DUMMYFUNCTION("""COMPUTED_VALUE"""),0.0)</f>
        <v>0</v>
      </c>
      <c r="AL19" s="197">
        <f>IFERROR(__xludf.DUMMYFUNCTION("""COMPUTED_VALUE"""),0.0)</f>
        <v>0</v>
      </c>
      <c r="AM19" s="197">
        <f>IFERROR(__xludf.DUMMYFUNCTION("""COMPUTED_VALUE"""),0.0)</f>
        <v>0</v>
      </c>
      <c r="AN19" s="197">
        <f>IFERROR(__xludf.DUMMYFUNCTION("""COMPUTED_VALUE"""),0.0)</f>
        <v>0</v>
      </c>
      <c r="AO19" s="41">
        <f>IFERROR(__xludf.DUMMYFUNCTION("""COMPUTED_VALUE"""),0.0)</f>
        <v>0</v>
      </c>
      <c r="AP19" s="197">
        <f>IFERROR(__xludf.DUMMYFUNCTION("""COMPUTED_VALUE"""),0.0)</f>
        <v>0</v>
      </c>
      <c r="AQ19" s="197">
        <f>IFERROR(__xludf.DUMMYFUNCTION("""COMPUTED_VALUE"""),0.0)</f>
        <v>0</v>
      </c>
      <c r="AR19" s="197">
        <f>IFERROR(__xludf.DUMMYFUNCTION("""COMPUTED_VALUE"""),0.0)</f>
        <v>0</v>
      </c>
      <c r="AS19" s="41">
        <f>IFERROR(__xludf.DUMMYFUNCTION("""COMPUTED_VALUE"""),0.0)</f>
        <v>0</v>
      </c>
      <c r="AT19" s="197">
        <f>IFERROR(__xludf.DUMMYFUNCTION("""COMPUTED_VALUE"""),0.0)</f>
        <v>0</v>
      </c>
      <c r="AU19" s="197">
        <f>IFERROR(__xludf.DUMMYFUNCTION("""COMPUTED_VALUE"""),0.0)</f>
        <v>0</v>
      </c>
      <c r="AV19" s="197">
        <f>IFERROR(__xludf.DUMMYFUNCTION("""COMPUTED_VALUE"""),0.0)</f>
        <v>0</v>
      </c>
      <c r="AW19" s="41">
        <f>IFERROR(__xludf.DUMMYFUNCTION("""COMPUTED_VALUE"""),0.0)</f>
        <v>0</v>
      </c>
      <c r="AX19" s="197">
        <f>IFERROR(__xludf.DUMMYFUNCTION("""COMPUTED_VALUE"""),0.0)</f>
        <v>0</v>
      </c>
      <c r="AY19" s="197">
        <f>IFERROR(__xludf.DUMMYFUNCTION("""COMPUTED_VALUE"""),0.0)</f>
        <v>0</v>
      </c>
      <c r="AZ19" s="198">
        <f>IFERROR(__xludf.DUMMYFUNCTION("""COMPUTED_VALUE"""),0.0)</f>
        <v>0</v>
      </c>
      <c r="BA19" s="34"/>
    </row>
    <row r="20" ht="15.75" customHeight="1">
      <c r="A20" s="29"/>
      <c r="B20" s="67" t="str">
        <f>IFERROR(__xludf.DUMMYFUNCTION("""COMPUTED_VALUE""")," + Số lớp 9")</f>
        <v> + Số lớp 9</v>
      </c>
      <c r="C20" s="31"/>
      <c r="D20" s="31" t="str">
        <f>IFERROR(__xludf.DUMMYFUNCTION("""COMPUTED_VALUE"""),"""")</f>
        <v>"</v>
      </c>
      <c r="E20" s="41">
        <f>IFERROR(__xludf.DUMMYFUNCTION("""COMPUTED_VALUE"""),366.0)</f>
        <v>366</v>
      </c>
      <c r="F20" s="197">
        <f>IFERROR(__xludf.DUMMYFUNCTION("""COMPUTED_VALUE"""),366.0)</f>
        <v>366</v>
      </c>
      <c r="G20" s="197">
        <f>IFERROR(__xludf.DUMMYFUNCTION("""COMPUTED_VALUE"""),0.0)</f>
        <v>0</v>
      </c>
      <c r="H20" s="197">
        <f>IFERROR(__xludf.DUMMYFUNCTION("""COMPUTED_VALUE"""),0.0)</f>
        <v>0</v>
      </c>
      <c r="I20" s="41">
        <f>IFERROR(__xludf.DUMMYFUNCTION("""COMPUTED_VALUE"""),366.0)</f>
        <v>366</v>
      </c>
      <c r="J20" s="197">
        <f>IFERROR(__xludf.DUMMYFUNCTION("""COMPUTED_VALUE"""),366.0)</f>
        <v>366</v>
      </c>
      <c r="K20" s="197">
        <f>IFERROR(__xludf.DUMMYFUNCTION("""COMPUTED_VALUE"""),0.0)</f>
        <v>0</v>
      </c>
      <c r="L20" s="197">
        <f>IFERROR(__xludf.DUMMYFUNCTION("""COMPUTED_VALUE"""),0.0)</f>
        <v>0</v>
      </c>
      <c r="M20" s="41">
        <f>IFERROR(__xludf.DUMMYFUNCTION("""COMPUTED_VALUE"""),364.0)</f>
        <v>364</v>
      </c>
      <c r="N20" s="197">
        <f>IFERROR(__xludf.DUMMYFUNCTION("""COMPUTED_VALUE"""),364.0)</f>
        <v>364</v>
      </c>
      <c r="O20" s="197">
        <f>IFERROR(__xludf.DUMMYFUNCTION("""COMPUTED_VALUE"""),0.0)</f>
        <v>0</v>
      </c>
      <c r="P20" s="197">
        <f>IFERROR(__xludf.DUMMYFUNCTION("""COMPUTED_VALUE"""),0.0)</f>
        <v>0</v>
      </c>
      <c r="Q20" s="41">
        <f>IFERROR(__xludf.DUMMYFUNCTION("""COMPUTED_VALUE"""),364.0)</f>
        <v>364</v>
      </c>
      <c r="R20" s="197">
        <f>IFERROR(__xludf.DUMMYFUNCTION("""COMPUTED_VALUE"""),364.0)</f>
        <v>364</v>
      </c>
      <c r="S20" s="197">
        <f>IFERROR(__xludf.DUMMYFUNCTION("""COMPUTED_VALUE"""),0.0)</f>
        <v>0</v>
      </c>
      <c r="T20" s="197">
        <f>IFERROR(__xludf.DUMMYFUNCTION("""COMPUTED_VALUE"""),0.0)</f>
        <v>0</v>
      </c>
      <c r="U20" s="41">
        <f>IFERROR(__xludf.DUMMYFUNCTION("""COMPUTED_VALUE"""),366.0)</f>
        <v>366</v>
      </c>
      <c r="V20" s="197">
        <f>IFERROR(__xludf.DUMMYFUNCTION("""COMPUTED_VALUE"""),366.0)</f>
        <v>366</v>
      </c>
      <c r="W20" s="197">
        <f>IFERROR(__xludf.DUMMYFUNCTION("""COMPUTED_VALUE"""),0.0)</f>
        <v>0</v>
      </c>
      <c r="X20" s="197">
        <f>IFERROR(__xludf.DUMMYFUNCTION("""COMPUTED_VALUE"""),0.0)</f>
        <v>0</v>
      </c>
      <c r="Y20" s="41">
        <f>IFERROR(__xludf.DUMMYFUNCTION("""COMPUTED_VALUE"""),366.0)</f>
        <v>366</v>
      </c>
      <c r="Z20" s="197">
        <f>IFERROR(__xludf.DUMMYFUNCTION("""COMPUTED_VALUE"""),366.0)</f>
        <v>366</v>
      </c>
      <c r="AA20" s="197">
        <f>IFERROR(__xludf.DUMMYFUNCTION("""COMPUTED_VALUE"""),0.0)</f>
        <v>0</v>
      </c>
      <c r="AB20" s="197">
        <f>IFERROR(__xludf.DUMMYFUNCTION("""COMPUTED_VALUE"""),0.0)</f>
        <v>0</v>
      </c>
      <c r="AC20" s="41">
        <f>IFERROR(__xludf.DUMMYFUNCTION("""COMPUTED_VALUE"""),366.0)</f>
        <v>366</v>
      </c>
      <c r="AD20" s="197">
        <f>IFERROR(__xludf.DUMMYFUNCTION("""COMPUTED_VALUE"""),366.0)</f>
        <v>366</v>
      </c>
      <c r="AE20" s="197">
        <f>IFERROR(__xludf.DUMMYFUNCTION("""COMPUTED_VALUE"""),0.0)</f>
        <v>0</v>
      </c>
      <c r="AF20" s="197">
        <f>IFERROR(__xludf.DUMMYFUNCTION("""COMPUTED_VALUE"""),0.0)</f>
        <v>0</v>
      </c>
      <c r="AG20" s="41">
        <f>IFERROR(__xludf.DUMMYFUNCTION("""COMPUTED_VALUE"""),0.0)</f>
        <v>0</v>
      </c>
      <c r="AH20" s="197">
        <f>IFERROR(__xludf.DUMMYFUNCTION("""COMPUTED_VALUE"""),0.0)</f>
        <v>0</v>
      </c>
      <c r="AI20" s="197">
        <f>IFERROR(__xludf.DUMMYFUNCTION("""COMPUTED_VALUE"""),0.0)</f>
        <v>0</v>
      </c>
      <c r="AJ20" s="197">
        <f>IFERROR(__xludf.DUMMYFUNCTION("""COMPUTED_VALUE"""),0.0)</f>
        <v>0</v>
      </c>
      <c r="AK20" s="41">
        <f>IFERROR(__xludf.DUMMYFUNCTION("""COMPUTED_VALUE"""),0.0)</f>
        <v>0</v>
      </c>
      <c r="AL20" s="197">
        <f>IFERROR(__xludf.DUMMYFUNCTION("""COMPUTED_VALUE"""),0.0)</f>
        <v>0</v>
      </c>
      <c r="AM20" s="197">
        <f>IFERROR(__xludf.DUMMYFUNCTION("""COMPUTED_VALUE"""),0.0)</f>
        <v>0</v>
      </c>
      <c r="AN20" s="197">
        <f>IFERROR(__xludf.DUMMYFUNCTION("""COMPUTED_VALUE"""),0.0)</f>
        <v>0</v>
      </c>
      <c r="AO20" s="41">
        <f>IFERROR(__xludf.DUMMYFUNCTION("""COMPUTED_VALUE"""),0.0)</f>
        <v>0</v>
      </c>
      <c r="AP20" s="197">
        <f>IFERROR(__xludf.DUMMYFUNCTION("""COMPUTED_VALUE"""),0.0)</f>
        <v>0</v>
      </c>
      <c r="AQ20" s="197">
        <f>IFERROR(__xludf.DUMMYFUNCTION("""COMPUTED_VALUE"""),0.0)</f>
        <v>0</v>
      </c>
      <c r="AR20" s="197">
        <f>IFERROR(__xludf.DUMMYFUNCTION("""COMPUTED_VALUE"""),0.0)</f>
        <v>0</v>
      </c>
      <c r="AS20" s="41">
        <f>IFERROR(__xludf.DUMMYFUNCTION("""COMPUTED_VALUE"""),0.0)</f>
        <v>0</v>
      </c>
      <c r="AT20" s="197">
        <f>IFERROR(__xludf.DUMMYFUNCTION("""COMPUTED_VALUE"""),0.0)</f>
        <v>0</v>
      </c>
      <c r="AU20" s="197">
        <f>IFERROR(__xludf.DUMMYFUNCTION("""COMPUTED_VALUE"""),0.0)</f>
        <v>0</v>
      </c>
      <c r="AV20" s="197">
        <f>IFERROR(__xludf.DUMMYFUNCTION("""COMPUTED_VALUE"""),0.0)</f>
        <v>0</v>
      </c>
      <c r="AW20" s="41">
        <f>IFERROR(__xludf.DUMMYFUNCTION("""COMPUTED_VALUE"""),0.0)</f>
        <v>0</v>
      </c>
      <c r="AX20" s="197">
        <f>IFERROR(__xludf.DUMMYFUNCTION("""COMPUTED_VALUE"""),0.0)</f>
        <v>0</v>
      </c>
      <c r="AY20" s="197">
        <f>IFERROR(__xludf.DUMMYFUNCTION("""COMPUTED_VALUE"""),0.0)</f>
        <v>0</v>
      </c>
      <c r="AZ20" s="198">
        <f>IFERROR(__xludf.DUMMYFUNCTION("""COMPUTED_VALUE"""),0.0)</f>
        <v>0</v>
      </c>
      <c r="BA20" s="34"/>
    </row>
    <row r="21" ht="15.75" customHeight="1">
      <c r="A21" s="29"/>
      <c r="B21" s="67" t="str">
        <f>IFERROR(__xludf.DUMMYFUNCTION("""COMPUTED_VALUE""")," + Số lớp ghép")</f>
        <v> + Số lớp ghép</v>
      </c>
      <c r="C21" s="31"/>
      <c r="D21" s="31" t="str">
        <f>IFERROR(__xludf.DUMMYFUNCTION("""COMPUTED_VALUE"""),"""")</f>
        <v>"</v>
      </c>
      <c r="E21" s="41">
        <f>IFERROR(__xludf.DUMMYFUNCTION("""COMPUTED_VALUE"""),0.0)</f>
        <v>0</v>
      </c>
      <c r="F21" s="197">
        <f>IFERROR(__xludf.DUMMYFUNCTION("""COMPUTED_VALUE"""),0.0)</f>
        <v>0</v>
      </c>
      <c r="G21" s="197">
        <f>IFERROR(__xludf.DUMMYFUNCTION("""COMPUTED_VALUE"""),0.0)</f>
        <v>0</v>
      </c>
      <c r="H21" s="197">
        <f>IFERROR(__xludf.DUMMYFUNCTION("""COMPUTED_VALUE"""),0.0)</f>
        <v>0</v>
      </c>
      <c r="I21" s="41">
        <f>IFERROR(__xludf.DUMMYFUNCTION("""COMPUTED_VALUE"""),0.0)</f>
        <v>0</v>
      </c>
      <c r="J21" s="197">
        <f>IFERROR(__xludf.DUMMYFUNCTION("""COMPUTED_VALUE"""),0.0)</f>
        <v>0</v>
      </c>
      <c r="K21" s="197">
        <f>IFERROR(__xludf.DUMMYFUNCTION("""COMPUTED_VALUE"""),0.0)</f>
        <v>0</v>
      </c>
      <c r="L21" s="197">
        <f>IFERROR(__xludf.DUMMYFUNCTION("""COMPUTED_VALUE"""),0.0)</f>
        <v>0</v>
      </c>
      <c r="M21" s="41">
        <f>IFERROR(__xludf.DUMMYFUNCTION("""COMPUTED_VALUE"""),0.0)</f>
        <v>0</v>
      </c>
      <c r="N21" s="197">
        <f>IFERROR(__xludf.DUMMYFUNCTION("""COMPUTED_VALUE"""),0.0)</f>
        <v>0</v>
      </c>
      <c r="O21" s="197">
        <f>IFERROR(__xludf.DUMMYFUNCTION("""COMPUTED_VALUE"""),0.0)</f>
        <v>0</v>
      </c>
      <c r="P21" s="197">
        <f>IFERROR(__xludf.DUMMYFUNCTION("""COMPUTED_VALUE"""),0.0)</f>
        <v>0</v>
      </c>
      <c r="Q21" s="41">
        <f>IFERROR(__xludf.DUMMYFUNCTION("""COMPUTED_VALUE"""),0.0)</f>
        <v>0</v>
      </c>
      <c r="R21" s="197">
        <f>IFERROR(__xludf.DUMMYFUNCTION("""COMPUTED_VALUE"""),0.0)</f>
        <v>0</v>
      </c>
      <c r="S21" s="197">
        <f>IFERROR(__xludf.DUMMYFUNCTION("""COMPUTED_VALUE"""),0.0)</f>
        <v>0</v>
      </c>
      <c r="T21" s="197">
        <f>IFERROR(__xludf.DUMMYFUNCTION("""COMPUTED_VALUE"""),0.0)</f>
        <v>0</v>
      </c>
      <c r="U21" s="41">
        <f>IFERROR(__xludf.DUMMYFUNCTION("""COMPUTED_VALUE"""),0.0)</f>
        <v>0</v>
      </c>
      <c r="V21" s="197">
        <f>IFERROR(__xludf.DUMMYFUNCTION("""COMPUTED_VALUE"""),0.0)</f>
        <v>0</v>
      </c>
      <c r="W21" s="197">
        <f>IFERROR(__xludf.DUMMYFUNCTION("""COMPUTED_VALUE"""),0.0)</f>
        <v>0</v>
      </c>
      <c r="X21" s="197">
        <f>IFERROR(__xludf.DUMMYFUNCTION("""COMPUTED_VALUE"""),0.0)</f>
        <v>0</v>
      </c>
      <c r="Y21" s="41">
        <f>IFERROR(__xludf.DUMMYFUNCTION("""COMPUTED_VALUE"""),0.0)</f>
        <v>0</v>
      </c>
      <c r="Z21" s="197">
        <f>IFERROR(__xludf.DUMMYFUNCTION("""COMPUTED_VALUE"""),0.0)</f>
        <v>0</v>
      </c>
      <c r="AA21" s="197">
        <f>IFERROR(__xludf.DUMMYFUNCTION("""COMPUTED_VALUE"""),0.0)</f>
        <v>0</v>
      </c>
      <c r="AB21" s="197">
        <f>IFERROR(__xludf.DUMMYFUNCTION("""COMPUTED_VALUE"""),0.0)</f>
        <v>0</v>
      </c>
      <c r="AC21" s="41">
        <f>IFERROR(__xludf.DUMMYFUNCTION("""COMPUTED_VALUE"""),2.0)</f>
        <v>2</v>
      </c>
      <c r="AD21" s="197">
        <f>IFERROR(__xludf.DUMMYFUNCTION("""COMPUTED_VALUE"""),2.0)</f>
        <v>2</v>
      </c>
      <c r="AE21" s="197">
        <f>IFERROR(__xludf.DUMMYFUNCTION("""COMPUTED_VALUE"""),0.0)</f>
        <v>0</v>
      </c>
      <c r="AF21" s="197">
        <f>IFERROR(__xludf.DUMMYFUNCTION("""COMPUTED_VALUE"""),0.0)</f>
        <v>0</v>
      </c>
      <c r="AG21" s="41">
        <f>IFERROR(__xludf.DUMMYFUNCTION("""COMPUTED_VALUE"""),0.0)</f>
        <v>0</v>
      </c>
      <c r="AH21" s="197">
        <f>IFERROR(__xludf.DUMMYFUNCTION("""COMPUTED_VALUE"""),0.0)</f>
        <v>0</v>
      </c>
      <c r="AI21" s="197">
        <f>IFERROR(__xludf.DUMMYFUNCTION("""COMPUTED_VALUE"""),0.0)</f>
        <v>0</v>
      </c>
      <c r="AJ21" s="197">
        <f>IFERROR(__xludf.DUMMYFUNCTION("""COMPUTED_VALUE"""),0.0)</f>
        <v>0</v>
      </c>
      <c r="AK21" s="41">
        <f>IFERROR(__xludf.DUMMYFUNCTION("""COMPUTED_VALUE"""),0.0)</f>
        <v>0</v>
      </c>
      <c r="AL21" s="197">
        <f>IFERROR(__xludf.DUMMYFUNCTION("""COMPUTED_VALUE"""),0.0)</f>
        <v>0</v>
      </c>
      <c r="AM21" s="197">
        <f>IFERROR(__xludf.DUMMYFUNCTION("""COMPUTED_VALUE"""),0.0)</f>
        <v>0</v>
      </c>
      <c r="AN21" s="197">
        <f>IFERROR(__xludf.DUMMYFUNCTION("""COMPUTED_VALUE"""),0.0)</f>
        <v>0</v>
      </c>
      <c r="AO21" s="41">
        <f>IFERROR(__xludf.DUMMYFUNCTION("""COMPUTED_VALUE"""),0.0)</f>
        <v>0</v>
      </c>
      <c r="AP21" s="197">
        <f>IFERROR(__xludf.DUMMYFUNCTION("""COMPUTED_VALUE"""),0.0)</f>
        <v>0</v>
      </c>
      <c r="AQ21" s="197">
        <f>IFERROR(__xludf.DUMMYFUNCTION("""COMPUTED_VALUE"""),0.0)</f>
        <v>0</v>
      </c>
      <c r="AR21" s="197">
        <f>IFERROR(__xludf.DUMMYFUNCTION("""COMPUTED_VALUE"""),0.0)</f>
        <v>0</v>
      </c>
      <c r="AS21" s="41">
        <f>IFERROR(__xludf.DUMMYFUNCTION("""COMPUTED_VALUE"""),0.0)</f>
        <v>0</v>
      </c>
      <c r="AT21" s="197">
        <f>IFERROR(__xludf.DUMMYFUNCTION("""COMPUTED_VALUE"""),0.0)</f>
        <v>0</v>
      </c>
      <c r="AU21" s="197">
        <f>IFERROR(__xludf.DUMMYFUNCTION("""COMPUTED_VALUE"""),0.0)</f>
        <v>0</v>
      </c>
      <c r="AV21" s="197">
        <f>IFERROR(__xludf.DUMMYFUNCTION("""COMPUTED_VALUE"""),0.0)</f>
        <v>0</v>
      </c>
      <c r="AW21" s="41">
        <f>IFERROR(__xludf.DUMMYFUNCTION("""COMPUTED_VALUE"""),0.0)</f>
        <v>0</v>
      </c>
      <c r="AX21" s="197">
        <f>IFERROR(__xludf.DUMMYFUNCTION("""COMPUTED_VALUE"""),0.0)</f>
        <v>0</v>
      </c>
      <c r="AY21" s="197">
        <f>IFERROR(__xludf.DUMMYFUNCTION("""COMPUTED_VALUE"""),0.0)</f>
        <v>0</v>
      </c>
      <c r="AZ21" s="198">
        <f>IFERROR(__xludf.DUMMYFUNCTION("""COMPUTED_VALUE"""),0.0)</f>
        <v>0</v>
      </c>
      <c r="BA21" s="34"/>
    </row>
    <row r="22" ht="15.75" customHeight="1">
      <c r="A22" s="29"/>
      <c r="B22" s="30" t="str">
        <f>IFERROR(__xludf.DUMMYFUNCTION("""COMPUTED_VALUE"""),"3. HỌC SINH")</f>
        <v>3. HỌC SINH</v>
      </c>
      <c r="C22" s="31" t="str">
        <f>IFERROR(__xludf.DUMMYFUNCTION("""COMPUTED_VALUE"""),"Tháng")</f>
        <v>Tháng</v>
      </c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3"/>
      <c r="BA22" s="34"/>
    </row>
    <row r="23" ht="15.75" customHeight="1">
      <c r="A23" s="29"/>
      <c r="B23" s="196" t="str">
        <f>IFERROR(__xludf.DUMMYFUNCTION("""COMPUTED_VALUE"""),"3.1. Tổng số")</f>
        <v>3.1. Tổng số</v>
      </c>
      <c r="C23" s="57"/>
      <c r="D23" s="57" t="str">
        <f>IFERROR(__xludf.DUMMYFUNCTION("""COMPUTED_VALUE"""),"Người")</f>
        <v>Người</v>
      </c>
      <c r="E23" s="125">
        <f>IFERROR(__xludf.DUMMYFUNCTION("""COMPUTED_VALUE"""),63662.0)</f>
        <v>63662</v>
      </c>
      <c r="F23" s="125">
        <f>IFERROR(__xludf.DUMMYFUNCTION("""COMPUTED_VALUE"""),63662.0)</f>
        <v>63662</v>
      </c>
      <c r="G23" s="125">
        <f>IFERROR(__xludf.DUMMYFUNCTION("""COMPUTED_VALUE"""),0.0)</f>
        <v>0</v>
      </c>
      <c r="H23" s="125">
        <f>IFERROR(__xludf.DUMMYFUNCTION("""COMPUTED_VALUE"""),0.0)</f>
        <v>0</v>
      </c>
      <c r="I23" s="125">
        <f>IFERROR(__xludf.DUMMYFUNCTION("""COMPUTED_VALUE"""),63605.0)</f>
        <v>63605</v>
      </c>
      <c r="J23" s="125">
        <f>IFERROR(__xludf.DUMMYFUNCTION("""COMPUTED_VALUE"""),63605.0)</f>
        <v>63605</v>
      </c>
      <c r="K23" s="125">
        <f>IFERROR(__xludf.DUMMYFUNCTION("""COMPUTED_VALUE"""),0.0)</f>
        <v>0</v>
      </c>
      <c r="L23" s="125">
        <f>IFERROR(__xludf.DUMMYFUNCTION("""COMPUTED_VALUE"""),0.0)</f>
        <v>0</v>
      </c>
      <c r="M23" s="125">
        <f>IFERROR(__xludf.DUMMYFUNCTION("""COMPUTED_VALUE"""),63136.0)</f>
        <v>63136</v>
      </c>
      <c r="N23" s="125">
        <f>IFERROR(__xludf.DUMMYFUNCTION("""COMPUTED_VALUE"""),63136.0)</f>
        <v>63136</v>
      </c>
      <c r="O23" s="125">
        <f>IFERROR(__xludf.DUMMYFUNCTION("""COMPUTED_VALUE"""),0.0)</f>
        <v>0</v>
      </c>
      <c r="P23" s="125">
        <f>IFERROR(__xludf.DUMMYFUNCTION("""COMPUTED_VALUE"""),0.0)</f>
        <v>0</v>
      </c>
      <c r="Q23" s="125">
        <f>IFERROR(__xludf.DUMMYFUNCTION("""COMPUTED_VALUE"""),62679.0)</f>
        <v>62679</v>
      </c>
      <c r="R23" s="125">
        <f>IFERROR(__xludf.DUMMYFUNCTION("""COMPUTED_VALUE"""),62679.0)</f>
        <v>62679</v>
      </c>
      <c r="S23" s="125">
        <f>IFERROR(__xludf.DUMMYFUNCTION("""COMPUTED_VALUE"""),0.0)</f>
        <v>0</v>
      </c>
      <c r="T23" s="125">
        <f>IFERROR(__xludf.DUMMYFUNCTION("""COMPUTED_VALUE"""),0.0)</f>
        <v>0</v>
      </c>
      <c r="U23" s="125">
        <f>IFERROR(__xludf.DUMMYFUNCTION("""COMPUTED_VALUE"""),62940.0)</f>
        <v>62940</v>
      </c>
      <c r="V23" s="125">
        <f>IFERROR(__xludf.DUMMYFUNCTION("""COMPUTED_VALUE"""),62940.0)</f>
        <v>62940</v>
      </c>
      <c r="W23" s="125">
        <f>IFERROR(__xludf.DUMMYFUNCTION("""COMPUTED_VALUE"""),0.0)</f>
        <v>0</v>
      </c>
      <c r="X23" s="125">
        <f>IFERROR(__xludf.DUMMYFUNCTION("""COMPUTED_VALUE"""),0.0)</f>
        <v>0</v>
      </c>
      <c r="Y23" s="125">
        <f>IFERROR(__xludf.DUMMYFUNCTION("""COMPUTED_VALUE"""),54248.367)</f>
        <v>54248.367</v>
      </c>
      <c r="Z23" s="125">
        <f>IFERROR(__xludf.DUMMYFUNCTION("""COMPUTED_VALUE"""),54248.367)</f>
        <v>54248.367</v>
      </c>
      <c r="AA23" s="125">
        <f>IFERROR(__xludf.DUMMYFUNCTION("""COMPUTED_VALUE"""),0.0)</f>
        <v>0</v>
      </c>
      <c r="AB23" s="125">
        <f>IFERROR(__xludf.DUMMYFUNCTION("""COMPUTED_VALUE"""),0.0)</f>
        <v>0</v>
      </c>
      <c r="AC23" s="125">
        <f>IFERROR(__xludf.DUMMYFUNCTION("""COMPUTED_VALUE"""),54107.326)</f>
        <v>54107.326</v>
      </c>
      <c r="AD23" s="125">
        <f>IFERROR(__xludf.DUMMYFUNCTION("""COMPUTED_VALUE"""),54107.326)</f>
        <v>54107.326</v>
      </c>
      <c r="AE23" s="125">
        <f>IFERROR(__xludf.DUMMYFUNCTION("""COMPUTED_VALUE"""),0.0)</f>
        <v>0</v>
      </c>
      <c r="AF23" s="125">
        <f>IFERROR(__xludf.DUMMYFUNCTION("""COMPUTED_VALUE"""),0.0)</f>
        <v>0</v>
      </c>
      <c r="AG23" s="125">
        <f>IFERROR(__xludf.DUMMYFUNCTION("""COMPUTED_VALUE"""),0.0)</f>
        <v>0</v>
      </c>
      <c r="AH23" s="125">
        <f>IFERROR(__xludf.DUMMYFUNCTION("""COMPUTED_VALUE"""),0.0)</f>
        <v>0</v>
      </c>
      <c r="AI23" s="125">
        <f>IFERROR(__xludf.DUMMYFUNCTION("""COMPUTED_VALUE"""),0.0)</f>
        <v>0</v>
      </c>
      <c r="AJ23" s="125">
        <f>IFERROR(__xludf.DUMMYFUNCTION("""COMPUTED_VALUE"""),0.0)</f>
        <v>0</v>
      </c>
      <c r="AK23" s="125">
        <f>IFERROR(__xludf.DUMMYFUNCTION("""COMPUTED_VALUE"""),0.0)</f>
        <v>0</v>
      </c>
      <c r="AL23" s="125">
        <f>IFERROR(__xludf.DUMMYFUNCTION("""COMPUTED_VALUE"""),0.0)</f>
        <v>0</v>
      </c>
      <c r="AM23" s="125">
        <f>IFERROR(__xludf.DUMMYFUNCTION("""COMPUTED_VALUE"""),0.0)</f>
        <v>0</v>
      </c>
      <c r="AN23" s="125">
        <f>IFERROR(__xludf.DUMMYFUNCTION("""COMPUTED_VALUE"""),0.0)</f>
        <v>0</v>
      </c>
      <c r="AO23" s="125">
        <f>IFERROR(__xludf.DUMMYFUNCTION("""COMPUTED_VALUE"""),0.0)</f>
        <v>0</v>
      </c>
      <c r="AP23" s="125">
        <f>IFERROR(__xludf.DUMMYFUNCTION("""COMPUTED_VALUE"""),0.0)</f>
        <v>0</v>
      </c>
      <c r="AQ23" s="125">
        <f>IFERROR(__xludf.DUMMYFUNCTION("""COMPUTED_VALUE"""),0.0)</f>
        <v>0</v>
      </c>
      <c r="AR23" s="125">
        <f>IFERROR(__xludf.DUMMYFUNCTION("""COMPUTED_VALUE"""),0.0)</f>
        <v>0</v>
      </c>
      <c r="AS23" s="125">
        <f>IFERROR(__xludf.DUMMYFUNCTION("""COMPUTED_VALUE"""),0.0)</f>
        <v>0</v>
      </c>
      <c r="AT23" s="125">
        <f>IFERROR(__xludf.DUMMYFUNCTION("""COMPUTED_VALUE"""),0.0)</f>
        <v>0</v>
      </c>
      <c r="AU23" s="125">
        <f>IFERROR(__xludf.DUMMYFUNCTION("""COMPUTED_VALUE"""),0.0)</f>
        <v>0</v>
      </c>
      <c r="AV23" s="125">
        <f>IFERROR(__xludf.DUMMYFUNCTION("""COMPUTED_VALUE"""),0.0)</f>
        <v>0</v>
      </c>
      <c r="AW23" s="125">
        <f>IFERROR(__xludf.DUMMYFUNCTION("""COMPUTED_VALUE"""),0.0)</f>
        <v>0</v>
      </c>
      <c r="AX23" s="125">
        <f>IFERROR(__xludf.DUMMYFUNCTION("""COMPUTED_VALUE"""),0.0)</f>
        <v>0</v>
      </c>
      <c r="AY23" s="125">
        <f>IFERROR(__xludf.DUMMYFUNCTION("""COMPUTED_VALUE"""),0.0)</f>
        <v>0</v>
      </c>
      <c r="AZ23" s="127">
        <f>IFERROR(__xludf.DUMMYFUNCTION("""COMPUTED_VALUE"""),0.0)</f>
        <v>0</v>
      </c>
      <c r="BA23" s="34"/>
    </row>
    <row r="24" ht="15.75" customHeight="1">
      <c r="A24" s="29"/>
      <c r="B24" s="48" t="str">
        <f>IFERROR(__xludf.DUMMYFUNCTION("""COMPUTED_VALUE"""),"Chia ra:")</f>
        <v>Chia ra:</v>
      </c>
      <c r="C24" s="49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3"/>
      <c r="BA24" s="34"/>
    </row>
    <row r="25" ht="15.75" customHeight="1">
      <c r="A25" s="29"/>
      <c r="B25" s="67" t="str">
        <f>IFERROR(__xludf.DUMMYFUNCTION("""COMPUTED_VALUE""")," + Lớp 6")</f>
        <v> + Lớp 6</v>
      </c>
      <c r="C25" s="31"/>
      <c r="D25" s="31" t="str">
        <f>IFERROR(__xludf.DUMMYFUNCTION("""COMPUTED_VALUE"""),"""")</f>
        <v>"</v>
      </c>
      <c r="E25" s="41">
        <f>IFERROR(__xludf.DUMMYFUNCTION("""COMPUTED_VALUE"""),21164.0)</f>
        <v>21164</v>
      </c>
      <c r="F25" s="197">
        <f>IFERROR(__xludf.DUMMYFUNCTION("""COMPUTED_VALUE"""),21164.0)</f>
        <v>21164</v>
      </c>
      <c r="G25" s="197">
        <f>IFERROR(__xludf.DUMMYFUNCTION("""COMPUTED_VALUE"""),0.0)</f>
        <v>0</v>
      </c>
      <c r="H25" s="197">
        <f>IFERROR(__xludf.DUMMYFUNCTION("""COMPUTED_VALUE"""),0.0)</f>
        <v>0</v>
      </c>
      <c r="I25" s="41">
        <f>IFERROR(__xludf.DUMMYFUNCTION("""COMPUTED_VALUE"""),21152.0)</f>
        <v>21152</v>
      </c>
      <c r="J25" s="197">
        <f>IFERROR(__xludf.DUMMYFUNCTION("""COMPUTED_VALUE"""),21152.0)</f>
        <v>21152</v>
      </c>
      <c r="K25" s="197">
        <f>IFERROR(__xludf.DUMMYFUNCTION("""COMPUTED_VALUE"""),0.0)</f>
        <v>0</v>
      </c>
      <c r="L25" s="197">
        <f>IFERROR(__xludf.DUMMYFUNCTION("""COMPUTED_VALUE"""),0.0)</f>
        <v>0</v>
      </c>
      <c r="M25" s="41">
        <f>IFERROR(__xludf.DUMMYFUNCTION("""COMPUTED_VALUE"""),21002.0)</f>
        <v>21002</v>
      </c>
      <c r="N25" s="197">
        <f>IFERROR(__xludf.DUMMYFUNCTION("""COMPUTED_VALUE"""),21002.0)</f>
        <v>21002</v>
      </c>
      <c r="O25" s="197">
        <f>IFERROR(__xludf.DUMMYFUNCTION("""COMPUTED_VALUE"""),0.0)</f>
        <v>0</v>
      </c>
      <c r="P25" s="197">
        <f>IFERROR(__xludf.DUMMYFUNCTION("""COMPUTED_VALUE"""),0.0)</f>
        <v>0</v>
      </c>
      <c r="Q25" s="41">
        <f>IFERROR(__xludf.DUMMYFUNCTION("""COMPUTED_VALUE"""),20891.0)</f>
        <v>20891</v>
      </c>
      <c r="R25" s="197">
        <f>IFERROR(__xludf.DUMMYFUNCTION("""COMPUTED_VALUE"""),20891.0)</f>
        <v>20891</v>
      </c>
      <c r="S25" s="197">
        <f>IFERROR(__xludf.DUMMYFUNCTION("""COMPUTED_VALUE"""),0.0)</f>
        <v>0</v>
      </c>
      <c r="T25" s="197">
        <f>IFERROR(__xludf.DUMMYFUNCTION("""COMPUTED_VALUE"""),0.0)</f>
        <v>0</v>
      </c>
      <c r="U25" s="41">
        <f>IFERROR(__xludf.DUMMYFUNCTION("""COMPUTED_VALUE"""),20975.0)</f>
        <v>20975</v>
      </c>
      <c r="V25" s="197">
        <f>IFERROR(__xludf.DUMMYFUNCTION("""COMPUTED_VALUE"""),20975.0)</f>
        <v>20975</v>
      </c>
      <c r="W25" s="197">
        <f>IFERROR(__xludf.DUMMYFUNCTION("""COMPUTED_VALUE"""),0.0)</f>
        <v>0</v>
      </c>
      <c r="X25" s="197">
        <f>IFERROR(__xludf.DUMMYFUNCTION("""COMPUTED_VALUE"""),0.0)</f>
        <v>0</v>
      </c>
      <c r="Y25" s="41">
        <f>IFERROR(__xludf.DUMMYFUNCTION("""COMPUTED_VALUE"""),18207.658)</f>
        <v>18207.658</v>
      </c>
      <c r="Z25" s="197">
        <f>IFERROR(__xludf.DUMMYFUNCTION("""COMPUTED_VALUE"""),18207.658)</f>
        <v>18207.658</v>
      </c>
      <c r="AA25" s="197">
        <f>IFERROR(__xludf.DUMMYFUNCTION("""COMPUTED_VALUE"""),0.0)</f>
        <v>0</v>
      </c>
      <c r="AB25" s="197">
        <f>IFERROR(__xludf.DUMMYFUNCTION("""COMPUTED_VALUE"""),0.0)</f>
        <v>0</v>
      </c>
      <c r="AC25" s="41">
        <f>IFERROR(__xludf.DUMMYFUNCTION("""COMPUTED_VALUE"""),18172.645)</f>
        <v>18172.645</v>
      </c>
      <c r="AD25" s="197">
        <f>IFERROR(__xludf.DUMMYFUNCTION("""COMPUTED_VALUE"""),18172.645)</f>
        <v>18172.645</v>
      </c>
      <c r="AE25" s="197">
        <f>IFERROR(__xludf.DUMMYFUNCTION("""COMPUTED_VALUE"""),0.0)</f>
        <v>0</v>
      </c>
      <c r="AF25" s="197">
        <f>IFERROR(__xludf.DUMMYFUNCTION("""COMPUTED_VALUE"""),0.0)</f>
        <v>0</v>
      </c>
      <c r="AG25" s="41">
        <f>IFERROR(__xludf.DUMMYFUNCTION("""COMPUTED_VALUE"""),0.0)</f>
        <v>0</v>
      </c>
      <c r="AH25" s="197">
        <f>IFERROR(__xludf.DUMMYFUNCTION("""COMPUTED_VALUE"""),0.0)</f>
        <v>0</v>
      </c>
      <c r="AI25" s="197">
        <f>IFERROR(__xludf.DUMMYFUNCTION("""COMPUTED_VALUE"""),0.0)</f>
        <v>0</v>
      </c>
      <c r="AJ25" s="197">
        <f>IFERROR(__xludf.DUMMYFUNCTION("""COMPUTED_VALUE"""),0.0)</f>
        <v>0</v>
      </c>
      <c r="AK25" s="41">
        <f>IFERROR(__xludf.DUMMYFUNCTION("""COMPUTED_VALUE"""),0.0)</f>
        <v>0</v>
      </c>
      <c r="AL25" s="197">
        <f>IFERROR(__xludf.DUMMYFUNCTION("""COMPUTED_VALUE"""),0.0)</f>
        <v>0</v>
      </c>
      <c r="AM25" s="197">
        <f>IFERROR(__xludf.DUMMYFUNCTION("""COMPUTED_VALUE"""),0.0)</f>
        <v>0</v>
      </c>
      <c r="AN25" s="197">
        <f>IFERROR(__xludf.DUMMYFUNCTION("""COMPUTED_VALUE"""),0.0)</f>
        <v>0</v>
      </c>
      <c r="AO25" s="41">
        <f>IFERROR(__xludf.DUMMYFUNCTION("""COMPUTED_VALUE"""),0.0)</f>
        <v>0</v>
      </c>
      <c r="AP25" s="197">
        <f>IFERROR(__xludf.DUMMYFUNCTION("""COMPUTED_VALUE"""),0.0)</f>
        <v>0</v>
      </c>
      <c r="AQ25" s="197">
        <f>IFERROR(__xludf.DUMMYFUNCTION("""COMPUTED_VALUE"""),0.0)</f>
        <v>0</v>
      </c>
      <c r="AR25" s="197">
        <f>IFERROR(__xludf.DUMMYFUNCTION("""COMPUTED_VALUE"""),0.0)</f>
        <v>0</v>
      </c>
      <c r="AS25" s="41">
        <f>IFERROR(__xludf.DUMMYFUNCTION("""COMPUTED_VALUE"""),0.0)</f>
        <v>0</v>
      </c>
      <c r="AT25" s="197">
        <f>IFERROR(__xludf.DUMMYFUNCTION("""COMPUTED_VALUE"""),0.0)</f>
        <v>0</v>
      </c>
      <c r="AU25" s="197">
        <f>IFERROR(__xludf.DUMMYFUNCTION("""COMPUTED_VALUE"""),0.0)</f>
        <v>0</v>
      </c>
      <c r="AV25" s="197">
        <f>IFERROR(__xludf.DUMMYFUNCTION("""COMPUTED_VALUE"""),0.0)</f>
        <v>0</v>
      </c>
      <c r="AW25" s="41">
        <f>IFERROR(__xludf.DUMMYFUNCTION("""COMPUTED_VALUE"""),0.0)</f>
        <v>0</v>
      </c>
      <c r="AX25" s="197">
        <f>IFERROR(__xludf.DUMMYFUNCTION("""COMPUTED_VALUE"""),0.0)</f>
        <v>0</v>
      </c>
      <c r="AY25" s="197">
        <f>IFERROR(__xludf.DUMMYFUNCTION("""COMPUTED_VALUE"""),0.0)</f>
        <v>0</v>
      </c>
      <c r="AZ25" s="198">
        <f>IFERROR(__xludf.DUMMYFUNCTION("""COMPUTED_VALUE"""),0.0)</f>
        <v>0</v>
      </c>
      <c r="BA25" s="34"/>
    </row>
    <row r="26" ht="15.75" customHeight="1">
      <c r="A26" s="29"/>
      <c r="B26" s="67" t="str">
        <f>IFERROR(__xludf.DUMMYFUNCTION("""COMPUTED_VALUE""")," + Lớp 7")</f>
        <v> + Lớp 7</v>
      </c>
      <c r="C26" s="31"/>
      <c r="D26" s="31" t="str">
        <f>IFERROR(__xludf.DUMMYFUNCTION("""COMPUTED_VALUE"""),"""")</f>
        <v>"</v>
      </c>
      <c r="E26" s="41">
        <f>IFERROR(__xludf.DUMMYFUNCTION("""COMPUTED_VALUE"""),16716.0)</f>
        <v>16716</v>
      </c>
      <c r="F26" s="197">
        <f>IFERROR(__xludf.DUMMYFUNCTION("""COMPUTED_VALUE"""),16716.0)</f>
        <v>16716</v>
      </c>
      <c r="G26" s="197">
        <f>IFERROR(__xludf.DUMMYFUNCTION("""COMPUTED_VALUE"""),0.0)</f>
        <v>0</v>
      </c>
      <c r="H26" s="197">
        <f>IFERROR(__xludf.DUMMYFUNCTION("""COMPUTED_VALUE"""),0.0)</f>
        <v>0</v>
      </c>
      <c r="I26" s="41">
        <f>IFERROR(__xludf.DUMMYFUNCTION("""COMPUTED_VALUE"""),16701.0)</f>
        <v>16701</v>
      </c>
      <c r="J26" s="197">
        <f>IFERROR(__xludf.DUMMYFUNCTION("""COMPUTED_VALUE"""),16701.0)</f>
        <v>16701</v>
      </c>
      <c r="K26" s="197">
        <f>IFERROR(__xludf.DUMMYFUNCTION("""COMPUTED_VALUE"""),0.0)</f>
        <v>0</v>
      </c>
      <c r="L26" s="197">
        <f>IFERROR(__xludf.DUMMYFUNCTION("""COMPUTED_VALUE"""),0.0)</f>
        <v>0</v>
      </c>
      <c r="M26" s="41">
        <f>IFERROR(__xludf.DUMMYFUNCTION("""COMPUTED_VALUE"""),16572.0)</f>
        <v>16572</v>
      </c>
      <c r="N26" s="197">
        <f>IFERROR(__xludf.DUMMYFUNCTION("""COMPUTED_VALUE"""),16572.0)</f>
        <v>16572</v>
      </c>
      <c r="O26" s="197">
        <f>IFERROR(__xludf.DUMMYFUNCTION("""COMPUTED_VALUE"""),0.0)</f>
        <v>0</v>
      </c>
      <c r="P26" s="197">
        <f>IFERROR(__xludf.DUMMYFUNCTION("""COMPUTED_VALUE"""),0.0)</f>
        <v>0</v>
      </c>
      <c r="Q26" s="41">
        <f>IFERROR(__xludf.DUMMYFUNCTION("""COMPUTED_VALUE"""),16421.0)</f>
        <v>16421</v>
      </c>
      <c r="R26" s="197">
        <f>IFERROR(__xludf.DUMMYFUNCTION("""COMPUTED_VALUE"""),16421.0)</f>
        <v>16421</v>
      </c>
      <c r="S26" s="197">
        <f>IFERROR(__xludf.DUMMYFUNCTION("""COMPUTED_VALUE"""),0.0)</f>
        <v>0</v>
      </c>
      <c r="T26" s="197">
        <f>IFERROR(__xludf.DUMMYFUNCTION("""COMPUTED_VALUE"""),0.0)</f>
        <v>0</v>
      </c>
      <c r="U26" s="41">
        <f>IFERROR(__xludf.DUMMYFUNCTION("""COMPUTED_VALUE"""),16492.0)</f>
        <v>16492</v>
      </c>
      <c r="V26" s="197">
        <f>IFERROR(__xludf.DUMMYFUNCTION("""COMPUTED_VALUE"""),16492.0)</f>
        <v>16492</v>
      </c>
      <c r="W26" s="197">
        <f>IFERROR(__xludf.DUMMYFUNCTION("""COMPUTED_VALUE"""),0.0)</f>
        <v>0</v>
      </c>
      <c r="X26" s="197">
        <f>IFERROR(__xludf.DUMMYFUNCTION("""COMPUTED_VALUE"""),0.0)</f>
        <v>0</v>
      </c>
      <c r="Y26" s="41">
        <f>IFERROR(__xludf.DUMMYFUNCTION("""COMPUTED_VALUE"""),14283.143)</f>
        <v>14283.143</v>
      </c>
      <c r="Z26" s="197">
        <f>IFERROR(__xludf.DUMMYFUNCTION("""COMPUTED_VALUE"""),14283.143)</f>
        <v>14283.143</v>
      </c>
      <c r="AA26" s="197">
        <f>IFERROR(__xludf.DUMMYFUNCTION("""COMPUTED_VALUE"""),0.0)</f>
        <v>0</v>
      </c>
      <c r="AB26" s="197">
        <f>IFERROR(__xludf.DUMMYFUNCTION("""COMPUTED_VALUE"""),0.0)</f>
        <v>0</v>
      </c>
      <c r="AC26" s="41">
        <f>IFERROR(__xludf.DUMMYFUNCTION("""COMPUTED_VALUE"""),14234.137999999999)</f>
        <v>14234.138</v>
      </c>
      <c r="AD26" s="197">
        <f>IFERROR(__xludf.DUMMYFUNCTION("""COMPUTED_VALUE"""),14234.137999999999)</f>
        <v>14234.138</v>
      </c>
      <c r="AE26" s="197">
        <f>IFERROR(__xludf.DUMMYFUNCTION("""COMPUTED_VALUE"""),0.0)</f>
        <v>0</v>
      </c>
      <c r="AF26" s="197">
        <f>IFERROR(__xludf.DUMMYFUNCTION("""COMPUTED_VALUE"""),0.0)</f>
        <v>0</v>
      </c>
      <c r="AG26" s="41">
        <f>IFERROR(__xludf.DUMMYFUNCTION("""COMPUTED_VALUE"""),0.0)</f>
        <v>0</v>
      </c>
      <c r="AH26" s="197">
        <f>IFERROR(__xludf.DUMMYFUNCTION("""COMPUTED_VALUE"""),0.0)</f>
        <v>0</v>
      </c>
      <c r="AI26" s="197">
        <f>IFERROR(__xludf.DUMMYFUNCTION("""COMPUTED_VALUE"""),0.0)</f>
        <v>0</v>
      </c>
      <c r="AJ26" s="197">
        <f>IFERROR(__xludf.DUMMYFUNCTION("""COMPUTED_VALUE"""),0.0)</f>
        <v>0</v>
      </c>
      <c r="AK26" s="41">
        <f>IFERROR(__xludf.DUMMYFUNCTION("""COMPUTED_VALUE"""),0.0)</f>
        <v>0</v>
      </c>
      <c r="AL26" s="197">
        <f>IFERROR(__xludf.DUMMYFUNCTION("""COMPUTED_VALUE"""),0.0)</f>
        <v>0</v>
      </c>
      <c r="AM26" s="197">
        <f>IFERROR(__xludf.DUMMYFUNCTION("""COMPUTED_VALUE"""),0.0)</f>
        <v>0</v>
      </c>
      <c r="AN26" s="197">
        <f>IFERROR(__xludf.DUMMYFUNCTION("""COMPUTED_VALUE"""),0.0)</f>
        <v>0</v>
      </c>
      <c r="AO26" s="41">
        <f>IFERROR(__xludf.DUMMYFUNCTION("""COMPUTED_VALUE"""),0.0)</f>
        <v>0</v>
      </c>
      <c r="AP26" s="197">
        <f>IFERROR(__xludf.DUMMYFUNCTION("""COMPUTED_VALUE"""),0.0)</f>
        <v>0</v>
      </c>
      <c r="AQ26" s="197">
        <f>IFERROR(__xludf.DUMMYFUNCTION("""COMPUTED_VALUE"""),0.0)</f>
        <v>0</v>
      </c>
      <c r="AR26" s="197">
        <f>IFERROR(__xludf.DUMMYFUNCTION("""COMPUTED_VALUE"""),0.0)</f>
        <v>0</v>
      </c>
      <c r="AS26" s="41">
        <f>IFERROR(__xludf.DUMMYFUNCTION("""COMPUTED_VALUE"""),0.0)</f>
        <v>0</v>
      </c>
      <c r="AT26" s="197">
        <f>IFERROR(__xludf.DUMMYFUNCTION("""COMPUTED_VALUE"""),0.0)</f>
        <v>0</v>
      </c>
      <c r="AU26" s="197">
        <f>IFERROR(__xludf.DUMMYFUNCTION("""COMPUTED_VALUE"""),0.0)</f>
        <v>0</v>
      </c>
      <c r="AV26" s="197">
        <f>IFERROR(__xludf.DUMMYFUNCTION("""COMPUTED_VALUE"""),0.0)</f>
        <v>0</v>
      </c>
      <c r="AW26" s="41">
        <f>IFERROR(__xludf.DUMMYFUNCTION("""COMPUTED_VALUE"""),0.0)</f>
        <v>0</v>
      </c>
      <c r="AX26" s="197">
        <f>IFERROR(__xludf.DUMMYFUNCTION("""COMPUTED_VALUE"""),0.0)</f>
        <v>0</v>
      </c>
      <c r="AY26" s="197">
        <f>IFERROR(__xludf.DUMMYFUNCTION("""COMPUTED_VALUE"""),0.0)</f>
        <v>0</v>
      </c>
      <c r="AZ26" s="198">
        <f>IFERROR(__xludf.DUMMYFUNCTION("""COMPUTED_VALUE"""),0.0)</f>
        <v>0</v>
      </c>
      <c r="BA26" s="34"/>
    </row>
    <row r="27" ht="15.75" customHeight="1">
      <c r="A27" s="29"/>
      <c r="B27" s="67" t="str">
        <f>IFERROR(__xludf.DUMMYFUNCTION("""COMPUTED_VALUE""")," + Lớp 8")</f>
        <v> + Lớp 8</v>
      </c>
      <c r="C27" s="31"/>
      <c r="D27" s="31" t="str">
        <f>IFERROR(__xludf.DUMMYFUNCTION("""COMPUTED_VALUE"""),"""")</f>
        <v>"</v>
      </c>
      <c r="E27" s="41">
        <f>IFERROR(__xludf.DUMMYFUNCTION("""COMPUTED_VALUE"""),12144.0)</f>
        <v>12144</v>
      </c>
      <c r="F27" s="197">
        <f>IFERROR(__xludf.DUMMYFUNCTION("""COMPUTED_VALUE"""),12144.0)</f>
        <v>12144</v>
      </c>
      <c r="G27" s="197">
        <f>IFERROR(__xludf.DUMMYFUNCTION("""COMPUTED_VALUE"""),0.0)</f>
        <v>0</v>
      </c>
      <c r="H27" s="197">
        <f>IFERROR(__xludf.DUMMYFUNCTION("""COMPUTED_VALUE"""),0.0)</f>
        <v>0</v>
      </c>
      <c r="I27" s="41">
        <f>IFERROR(__xludf.DUMMYFUNCTION("""COMPUTED_VALUE"""),12136.0)</f>
        <v>12136</v>
      </c>
      <c r="J27" s="197">
        <f>IFERROR(__xludf.DUMMYFUNCTION("""COMPUTED_VALUE"""),12136.0)</f>
        <v>12136</v>
      </c>
      <c r="K27" s="197">
        <f>IFERROR(__xludf.DUMMYFUNCTION("""COMPUTED_VALUE"""),0.0)</f>
        <v>0</v>
      </c>
      <c r="L27" s="197">
        <f>IFERROR(__xludf.DUMMYFUNCTION("""COMPUTED_VALUE"""),0.0)</f>
        <v>0</v>
      </c>
      <c r="M27" s="41">
        <f>IFERROR(__xludf.DUMMYFUNCTION("""COMPUTED_VALUE"""),12027.0)</f>
        <v>12027</v>
      </c>
      <c r="N27" s="197">
        <f>IFERROR(__xludf.DUMMYFUNCTION("""COMPUTED_VALUE"""),12027.0)</f>
        <v>12027</v>
      </c>
      <c r="O27" s="197">
        <f>IFERROR(__xludf.DUMMYFUNCTION("""COMPUTED_VALUE"""),0.0)</f>
        <v>0</v>
      </c>
      <c r="P27" s="197">
        <f>IFERROR(__xludf.DUMMYFUNCTION("""COMPUTED_VALUE"""),0.0)</f>
        <v>0</v>
      </c>
      <c r="Q27" s="41">
        <f>IFERROR(__xludf.DUMMYFUNCTION("""COMPUTED_VALUE"""),11921.0)</f>
        <v>11921</v>
      </c>
      <c r="R27" s="197">
        <f>IFERROR(__xludf.DUMMYFUNCTION("""COMPUTED_VALUE"""),11921.0)</f>
        <v>11921</v>
      </c>
      <c r="S27" s="197">
        <f>IFERROR(__xludf.DUMMYFUNCTION("""COMPUTED_VALUE"""),0.0)</f>
        <v>0</v>
      </c>
      <c r="T27" s="197">
        <f>IFERROR(__xludf.DUMMYFUNCTION("""COMPUTED_VALUE"""),0.0)</f>
        <v>0</v>
      </c>
      <c r="U27" s="41">
        <f>IFERROR(__xludf.DUMMYFUNCTION("""COMPUTED_VALUE"""),11984.0)</f>
        <v>11984</v>
      </c>
      <c r="V27" s="197">
        <f>IFERROR(__xludf.DUMMYFUNCTION("""COMPUTED_VALUE"""),11984.0)</f>
        <v>11984</v>
      </c>
      <c r="W27" s="197">
        <f>IFERROR(__xludf.DUMMYFUNCTION("""COMPUTED_VALUE"""),0.0)</f>
        <v>0</v>
      </c>
      <c r="X27" s="197">
        <f>IFERROR(__xludf.DUMMYFUNCTION("""COMPUTED_VALUE"""),0.0)</f>
        <v>0</v>
      </c>
      <c r="Y27" s="41">
        <f>IFERROR(__xludf.DUMMYFUNCTION("""COMPUTED_VALUE"""),10351.55)</f>
        <v>10351.55</v>
      </c>
      <c r="Z27" s="197">
        <f>IFERROR(__xludf.DUMMYFUNCTION("""COMPUTED_VALUE"""),10351.55)</f>
        <v>10351.55</v>
      </c>
      <c r="AA27" s="197">
        <f>IFERROR(__xludf.DUMMYFUNCTION("""COMPUTED_VALUE"""),0.0)</f>
        <v>0</v>
      </c>
      <c r="AB27" s="197">
        <f>IFERROR(__xludf.DUMMYFUNCTION("""COMPUTED_VALUE"""),0.0)</f>
        <v>0</v>
      </c>
      <c r="AC27" s="41">
        <f>IFERROR(__xludf.DUMMYFUNCTION("""COMPUTED_VALUE"""),10318.535)</f>
        <v>10318.535</v>
      </c>
      <c r="AD27" s="197">
        <f>IFERROR(__xludf.DUMMYFUNCTION("""COMPUTED_VALUE"""),10318.535)</f>
        <v>10318.535</v>
      </c>
      <c r="AE27" s="197">
        <f>IFERROR(__xludf.DUMMYFUNCTION("""COMPUTED_VALUE"""),0.0)</f>
        <v>0</v>
      </c>
      <c r="AF27" s="197">
        <f>IFERROR(__xludf.DUMMYFUNCTION("""COMPUTED_VALUE"""),0.0)</f>
        <v>0</v>
      </c>
      <c r="AG27" s="41">
        <f>IFERROR(__xludf.DUMMYFUNCTION("""COMPUTED_VALUE"""),0.0)</f>
        <v>0</v>
      </c>
      <c r="AH27" s="197">
        <f>IFERROR(__xludf.DUMMYFUNCTION("""COMPUTED_VALUE"""),0.0)</f>
        <v>0</v>
      </c>
      <c r="AI27" s="197">
        <f>IFERROR(__xludf.DUMMYFUNCTION("""COMPUTED_VALUE"""),0.0)</f>
        <v>0</v>
      </c>
      <c r="AJ27" s="197">
        <f>IFERROR(__xludf.DUMMYFUNCTION("""COMPUTED_VALUE"""),0.0)</f>
        <v>0</v>
      </c>
      <c r="AK27" s="41">
        <f>IFERROR(__xludf.DUMMYFUNCTION("""COMPUTED_VALUE"""),0.0)</f>
        <v>0</v>
      </c>
      <c r="AL27" s="197">
        <f>IFERROR(__xludf.DUMMYFUNCTION("""COMPUTED_VALUE"""),0.0)</f>
        <v>0</v>
      </c>
      <c r="AM27" s="197">
        <f>IFERROR(__xludf.DUMMYFUNCTION("""COMPUTED_VALUE"""),0.0)</f>
        <v>0</v>
      </c>
      <c r="AN27" s="197">
        <f>IFERROR(__xludf.DUMMYFUNCTION("""COMPUTED_VALUE"""),0.0)</f>
        <v>0</v>
      </c>
      <c r="AO27" s="41">
        <f>IFERROR(__xludf.DUMMYFUNCTION("""COMPUTED_VALUE"""),0.0)</f>
        <v>0</v>
      </c>
      <c r="AP27" s="197">
        <f>IFERROR(__xludf.DUMMYFUNCTION("""COMPUTED_VALUE"""),0.0)</f>
        <v>0</v>
      </c>
      <c r="AQ27" s="197">
        <f>IFERROR(__xludf.DUMMYFUNCTION("""COMPUTED_VALUE"""),0.0)</f>
        <v>0</v>
      </c>
      <c r="AR27" s="197">
        <f>IFERROR(__xludf.DUMMYFUNCTION("""COMPUTED_VALUE"""),0.0)</f>
        <v>0</v>
      </c>
      <c r="AS27" s="41">
        <f>IFERROR(__xludf.DUMMYFUNCTION("""COMPUTED_VALUE"""),0.0)</f>
        <v>0</v>
      </c>
      <c r="AT27" s="197">
        <f>IFERROR(__xludf.DUMMYFUNCTION("""COMPUTED_VALUE"""),0.0)</f>
        <v>0</v>
      </c>
      <c r="AU27" s="197">
        <f>IFERROR(__xludf.DUMMYFUNCTION("""COMPUTED_VALUE"""),0.0)</f>
        <v>0</v>
      </c>
      <c r="AV27" s="197">
        <f>IFERROR(__xludf.DUMMYFUNCTION("""COMPUTED_VALUE"""),0.0)</f>
        <v>0</v>
      </c>
      <c r="AW27" s="41">
        <f>IFERROR(__xludf.DUMMYFUNCTION("""COMPUTED_VALUE"""),0.0)</f>
        <v>0</v>
      </c>
      <c r="AX27" s="197">
        <f>IFERROR(__xludf.DUMMYFUNCTION("""COMPUTED_VALUE"""),0.0)</f>
        <v>0</v>
      </c>
      <c r="AY27" s="197">
        <f>IFERROR(__xludf.DUMMYFUNCTION("""COMPUTED_VALUE"""),0.0)</f>
        <v>0</v>
      </c>
      <c r="AZ27" s="198">
        <f>IFERROR(__xludf.DUMMYFUNCTION("""COMPUTED_VALUE"""),0.0)</f>
        <v>0</v>
      </c>
      <c r="BA27" s="34"/>
    </row>
    <row r="28" ht="15.75" customHeight="1">
      <c r="A28" s="29"/>
      <c r="B28" s="67" t="str">
        <f>IFERROR(__xludf.DUMMYFUNCTION("""COMPUTED_VALUE""")," + Lớp 9")</f>
        <v> + Lớp 9</v>
      </c>
      <c r="C28" s="31"/>
      <c r="D28" s="31" t="str">
        <f>IFERROR(__xludf.DUMMYFUNCTION("""COMPUTED_VALUE"""),"""")</f>
        <v>"</v>
      </c>
      <c r="E28" s="41">
        <f>IFERROR(__xludf.DUMMYFUNCTION("""COMPUTED_VALUE"""),13638.0)</f>
        <v>13638</v>
      </c>
      <c r="F28" s="197">
        <f>IFERROR(__xludf.DUMMYFUNCTION("""COMPUTED_VALUE"""),13638.0)</f>
        <v>13638</v>
      </c>
      <c r="G28" s="197">
        <f>IFERROR(__xludf.DUMMYFUNCTION("""COMPUTED_VALUE"""),0.0)</f>
        <v>0</v>
      </c>
      <c r="H28" s="197">
        <f>IFERROR(__xludf.DUMMYFUNCTION("""COMPUTED_VALUE"""),0.0)</f>
        <v>0</v>
      </c>
      <c r="I28" s="41">
        <f>IFERROR(__xludf.DUMMYFUNCTION("""COMPUTED_VALUE"""),13616.0)</f>
        <v>13616</v>
      </c>
      <c r="J28" s="197">
        <f>IFERROR(__xludf.DUMMYFUNCTION("""COMPUTED_VALUE"""),13616.0)</f>
        <v>13616</v>
      </c>
      <c r="K28" s="197">
        <f>IFERROR(__xludf.DUMMYFUNCTION("""COMPUTED_VALUE"""),0.0)</f>
        <v>0</v>
      </c>
      <c r="L28" s="197">
        <f>IFERROR(__xludf.DUMMYFUNCTION("""COMPUTED_VALUE"""),0.0)</f>
        <v>0</v>
      </c>
      <c r="M28" s="41">
        <f>IFERROR(__xludf.DUMMYFUNCTION("""COMPUTED_VALUE"""),13535.0)</f>
        <v>13535</v>
      </c>
      <c r="N28" s="197">
        <f>IFERROR(__xludf.DUMMYFUNCTION("""COMPUTED_VALUE"""),13535.0)</f>
        <v>13535</v>
      </c>
      <c r="O28" s="197">
        <f>IFERROR(__xludf.DUMMYFUNCTION("""COMPUTED_VALUE"""),0.0)</f>
        <v>0</v>
      </c>
      <c r="P28" s="197">
        <f>IFERROR(__xludf.DUMMYFUNCTION("""COMPUTED_VALUE"""),0.0)</f>
        <v>0</v>
      </c>
      <c r="Q28" s="41">
        <f>IFERROR(__xludf.DUMMYFUNCTION("""COMPUTED_VALUE"""),13446.0)</f>
        <v>13446</v>
      </c>
      <c r="R28" s="197">
        <f>IFERROR(__xludf.DUMMYFUNCTION("""COMPUTED_VALUE"""),13446.0)</f>
        <v>13446</v>
      </c>
      <c r="S28" s="197">
        <f>IFERROR(__xludf.DUMMYFUNCTION("""COMPUTED_VALUE"""),0.0)</f>
        <v>0</v>
      </c>
      <c r="T28" s="197">
        <f>IFERROR(__xludf.DUMMYFUNCTION("""COMPUTED_VALUE"""),0.0)</f>
        <v>0</v>
      </c>
      <c r="U28" s="41">
        <f>IFERROR(__xludf.DUMMYFUNCTION("""COMPUTED_VALUE"""),13489.0)</f>
        <v>13489</v>
      </c>
      <c r="V28" s="197">
        <f>IFERROR(__xludf.DUMMYFUNCTION("""COMPUTED_VALUE"""),13489.0)</f>
        <v>13489</v>
      </c>
      <c r="W28" s="197">
        <f>IFERROR(__xludf.DUMMYFUNCTION("""COMPUTED_VALUE"""),0.0)</f>
        <v>0</v>
      </c>
      <c r="X28" s="197">
        <f>IFERROR(__xludf.DUMMYFUNCTION("""COMPUTED_VALUE"""),0.0)</f>
        <v>0</v>
      </c>
      <c r="Y28" s="41">
        <f>IFERROR(__xludf.DUMMYFUNCTION("""COMPUTED_VALUE"""),11406.016)</f>
        <v>11406.016</v>
      </c>
      <c r="Z28" s="197">
        <f>IFERROR(__xludf.DUMMYFUNCTION("""COMPUTED_VALUE"""),11406.016)</f>
        <v>11406.016</v>
      </c>
      <c r="AA28" s="197">
        <f>IFERROR(__xludf.DUMMYFUNCTION("""COMPUTED_VALUE"""),0.0)</f>
        <v>0</v>
      </c>
      <c r="AB28" s="197">
        <f>IFERROR(__xludf.DUMMYFUNCTION("""COMPUTED_VALUE"""),0.0)</f>
        <v>0</v>
      </c>
      <c r="AC28" s="41">
        <f>IFERROR(__xludf.DUMMYFUNCTION("""COMPUTED_VALUE"""),11382.008)</f>
        <v>11382.008</v>
      </c>
      <c r="AD28" s="197">
        <f>IFERROR(__xludf.DUMMYFUNCTION("""COMPUTED_VALUE"""),11382.008)</f>
        <v>11382.008</v>
      </c>
      <c r="AE28" s="197">
        <f>IFERROR(__xludf.DUMMYFUNCTION("""COMPUTED_VALUE"""),0.0)</f>
        <v>0</v>
      </c>
      <c r="AF28" s="197">
        <f>IFERROR(__xludf.DUMMYFUNCTION("""COMPUTED_VALUE"""),0.0)</f>
        <v>0</v>
      </c>
      <c r="AG28" s="41">
        <f>IFERROR(__xludf.DUMMYFUNCTION("""COMPUTED_VALUE"""),0.0)</f>
        <v>0</v>
      </c>
      <c r="AH28" s="197">
        <f>IFERROR(__xludf.DUMMYFUNCTION("""COMPUTED_VALUE"""),0.0)</f>
        <v>0</v>
      </c>
      <c r="AI28" s="197">
        <f>IFERROR(__xludf.DUMMYFUNCTION("""COMPUTED_VALUE"""),0.0)</f>
        <v>0</v>
      </c>
      <c r="AJ28" s="197">
        <f>IFERROR(__xludf.DUMMYFUNCTION("""COMPUTED_VALUE"""),0.0)</f>
        <v>0</v>
      </c>
      <c r="AK28" s="41">
        <f>IFERROR(__xludf.DUMMYFUNCTION("""COMPUTED_VALUE"""),0.0)</f>
        <v>0</v>
      </c>
      <c r="AL28" s="197">
        <f>IFERROR(__xludf.DUMMYFUNCTION("""COMPUTED_VALUE"""),0.0)</f>
        <v>0</v>
      </c>
      <c r="AM28" s="197">
        <f>IFERROR(__xludf.DUMMYFUNCTION("""COMPUTED_VALUE"""),0.0)</f>
        <v>0</v>
      </c>
      <c r="AN28" s="197">
        <f>IFERROR(__xludf.DUMMYFUNCTION("""COMPUTED_VALUE"""),0.0)</f>
        <v>0</v>
      </c>
      <c r="AO28" s="41">
        <f>IFERROR(__xludf.DUMMYFUNCTION("""COMPUTED_VALUE"""),0.0)</f>
        <v>0</v>
      </c>
      <c r="AP28" s="197">
        <f>IFERROR(__xludf.DUMMYFUNCTION("""COMPUTED_VALUE"""),0.0)</f>
        <v>0</v>
      </c>
      <c r="AQ28" s="197">
        <f>IFERROR(__xludf.DUMMYFUNCTION("""COMPUTED_VALUE"""),0.0)</f>
        <v>0</v>
      </c>
      <c r="AR28" s="197">
        <f>IFERROR(__xludf.DUMMYFUNCTION("""COMPUTED_VALUE"""),0.0)</f>
        <v>0</v>
      </c>
      <c r="AS28" s="41">
        <f>IFERROR(__xludf.DUMMYFUNCTION("""COMPUTED_VALUE"""),0.0)</f>
        <v>0</v>
      </c>
      <c r="AT28" s="197">
        <f>IFERROR(__xludf.DUMMYFUNCTION("""COMPUTED_VALUE"""),0.0)</f>
        <v>0</v>
      </c>
      <c r="AU28" s="197">
        <f>IFERROR(__xludf.DUMMYFUNCTION("""COMPUTED_VALUE"""),0.0)</f>
        <v>0</v>
      </c>
      <c r="AV28" s="197">
        <f>IFERROR(__xludf.DUMMYFUNCTION("""COMPUTED_VALUE"""),0.0)</f>
        <v>0</v>
      </c>
      <c r="AW28" s="41">
        <f>IFERROR(__xludf.DUMMYFUNCTION("""COMPUTED_VALUE"""),0.0)</f>
        <v>0</v>
      </c>
      <c r="AX28" s="197">
        <f>IFERROR(__xludf.DUMMYFUNCTION("""COMPUTED_VALUE"""),0.0)</f>
        <v>0</v>
      </c>
      <c r="AY28" s="197">
        <f>IFERROR(__xludf.DUMMYFUNCTION("""COMPUTED_VALUE"""),0.0)</f>
        <v>0</v>
      </c>
      <c r="AZ28" s="198">
        <f>IFERROR(__xludf.DUMMYFUNCTION("""COMPUTED_VALUE"""),0.0)</f>
        <v>0</v>
      </c>
      <c r="BA28" s="34"/>
    </row>
    <row r="29" ht="15.75" customHeight="1">
      <c r="A29" s="29"/>
      <c r="B29" s="67" t="str">
        <f>IFERROR(__xludf.DUMMYFUNCTION("""COMPUTED_VALUE""")," + Lớp ghép")</f>
        <v> + Lớp ghép</v>
      </c>
      <c r="C29" s="31"/>
      <c r="D29" s="31" t="str">
        <f>IFERROR(__xludf.DUMMYFUNCTION("""COMPUTED_VALUE"""),"""")</f>
        <v>"</v>
      </c>
      <c r="E29" s="41">
        <f>IFERROR(__xludf.DUMMYFUNCTION("""COMPUTED_VALUE"""),0.0)</f>
        <v>0</v>
      </c>
      <c r="F29" s="197">
        <f>IFERROR(__xludf.DUMMYFUNCTION("""COMPUTED_VALUE"""),0.0)</f>
        <v>0</v>
      </c>
      <c r="G29" s="197">
        <f>IFERROR(__xludf.DUMMYFUNCTION("""COMPUTED_VALUE"""),0.0)</f>
        <v>0</v>
      </c>
      <c r="H29" s="197">
        <f>IFERROR(__xludf.DUMMYFUNCTION("""COMPUTED_VALUE"""),0.0)</f>
        <v>0</v>
      </c>
      <c r="I29" s="41">
        <f>IFERROR(__xludf.DUMMYFUNCTION("""COMPUTED_VALUE"""),0.0)</f>
        <v>0</v>
      </c>
      <c r="J29" s="197">
        <f>IFERROR(__xludf.DUMMYFUNCTION("""COMPUTED_VALUE"""),0.0)</f>
        <v>0</v>
      </c>
      <c r="K29" s="197">
        <f>IFERROR(__xludf.DUMMYFUNCTION("""COMPUTED_VALUE"""),0.0)</f>
        <v>0</v>
      </c>
      <c r="L29" s="197">
        <f>IFERROR(__xludf.DUMMYFUNCTION("""COMPUTED_VALUE"""),0.0)</f>
        <v>0</v>
      </c>
      <c r="M29" s="41">
        <f>IFERROR(__xludf.DUMMYFUNCTION("""COMPUTED_VALUE"""),0.0)</f>
        <v>0</v>
      </c>
      <c r="N29" s="197">
        <f>IFERROR(__xludf.DUMMYFUNCTION("""COMPUTED_VALUE"""),0.0)</f>
        <v>0</v>
      </c>
      <c r="O29" s="197">
        <f>IFERROR(__xludf.DUMMYFUNCTION("""COMPUTED_VALUE"""),0.0)</f>
        <v>0</v>
      </c>
      <c r="P29" s="197">
        <f>IFERROR(__xludf.DUMMYFUNCTION("""COMPUTED_VALUE"""),0.0)</f>
        <v>0</v>
      </c>
      <c r="Q29" s="41">
        <f>IFERROR(__xludf.DUMMYFUNCTION("""COMPUTED_VALUE"""),0.0)</f>
        <v>0</v>
      </c>
      <c r="R29" s="197">
        <f>IFERROR(__xludf.DUMMYFUNCTION("""COMPUTED_VALUE"""),0.0)</f>
        <v>0</v>
      </c>
      <c r="S29" s="197">
        <f>IFERROR(__xludf.DUMMYFUNCTION("""COMPUTED_VALUE"""),0.0)</f>
        <v>0</v>
      </c>
      <c r="T29" s="197">
        <f>IFERROR(__xludf.DUMMYFUNCTION("""COMPUTED_VALUE"""),0.0)</f>
        <v>0</v>
      </c>
      <c r="U29" s="41">
        <f>IFERROR(__xludf.DUMMYFUNCTION("""COMPUTED_VALUE"""),0.0)</f>
        <v>0</v>
      </c>
      <c r="V29" s="197">
        <f>IFERROR(__xludf.DUMMYFUNCTION("""COMPUTED_VALUE"""),0.0)</f>
        <v>0</v>
      </c>
      <c r="W29" s="197">
        <f>IFERROR(__xludf.DUMMYFUNCTION("""COMPUTED_VALUE"""),0.0)</f>
        <v>0</v>
      </c>
      <c r="X29" s="197">
        <f>IFERROR(__xludf.DUMMYFUNCTION("""COMPUTED_VALUE"""),0.0)</f>
        <v>0</v>
      </c>
      <c r="Y29" s="41">
        <f>IFERROR(__xludf.DUMMYFUNCTION("""COMPUTED_VALUE"""),0.0)</f>
        <v>0</v>
      </c>
      <c r="Z29" s="197">
        <f>IFERROR(__xludf.DUMMYFUNCTION("""COMPUTED_VALUE"""),0.0)</f>
        <v>0</v>
      </c>
      <c r="AA29" s="197">
        <f>IFERROR(__xludf.DUMMYFUNCTION("""COMPUTED_VALUE"""),0.0)</f>
        <v>0</v>
      </c>
      <c r="AB29" s="197">
        <f>IFERROR(__xludf.DUMMYFUNCTION("""COMPUTED_VALUE"""),0.0)</f>
        <v>0</v>
      </c>
      <c r="AC29" s="41">
        <f>IFERROR(__xludf.DUMMYFUNCTION("""COMPUTED_VALUE"""),0.0)</f>
        <v>0</v>
      </c>
      <c r="AD29" s="197">
        <f>IFERROR(__xludf.DUMMYFUNCTION("""COMPUTED_VALUE"""),0.0)</f>
        <v>0</v>
      </c>
      <c r="AE29" s="197">
        <f>IFERROR(__xludf.DUMMYFUNCTION("""COMPUTED_VALUE"""),0.0)</f>
        <v>0</v>
      </c>
      <c r="AF29" s="197">
        <f>IFERROR(__xludf.DUMMYFUNCTION("""COMPUTED_VALUE"""),0.0)</f>
        <v>0</v>
      </c>
      <c r="AG29" s="41">
        <f>IFERROR(__xludf.DUMMYFUNCTION("""COMPUTED_VALUE"""),0.0)</f>
        <v>0</v>
      </c>
      <c r="AH29" s="197">
        <f>IFERROR(__xludf.DUMMYFUNCTION("""COMPUTED_VALUE"""),0.0)</f>
        <v>0</v>
      </c>
      <c r="AI29" s="197">
        <f>IFERROR(__xludf.DUMMYFUNCTION("""COMPUTED_VALUE"""),0.0)</f>
        <v>0</v>
      </c>
      <c r="AJ29" s="197">
        <f>IFERROR(__xludf.DUMMYFUNCTION("""COMPUTED_VALUE"""),0.0)</f>
        <v>0</v>
      </c>
      <c r="AK29" s="41">
        <f>IFERROR(__xludf.DUMMYFUNCTION("""COMPUTED_VALUE"""),0.0)</f>
        <v>0</v>
      </c>
      <c r="AL29" s="197">
        <f>IFERROR(__xludf.DUMMYFUNCTION("""COMPUTED_VALUE"""),0.0)</f>
        <v>0</v>
      </c>
      <c r="AM29" s="197">
        <f>IFERROR(__xludf.DUMMYFUNCTION("""COMPUTED_VALUE"""),0.0)</f>
        <v>0</v>
      </c>
      <c r="AN29" s="197">
        <f>IFERROR(__xludf.DUMMYFUNCTION("""COMPUTED_VALUE"""),0.0)</f>
        <v>0</v>
      </c>
      <c r="AO29" s="41">
        <f>IFERROR(__xludf.DUMMYFUNCTION("""COMPUTED_VALUE"""),0.0)</f>
        <v>0</v>
      </c>
      <c r="AP29" s="197">
        <f>IFERROR(__xludf.DUMMYFUNCTION("""COMPUTED_VALUE"""),0.0)</f>
        <v>0</v>
      </c>
      <c r="AQ29" s="197">
        <f>IFERROR(__xludf.DUMMYFUNCTION("""COMPUTED_VALUE"""),0.0)</f>
        <v>0</v>
      </c>
      <c r="AR29" s="197">
        <f>IFERROR(__xludf.DUMMYFUNCTION("""COMPUTED_VALUE"""),0.0)</f>
        <v>0</v>
      </c>
      <c r="AS29" s="41">
        <f>IFERROR(__xludf.DUMMYFUNCTION("""COMPUTED_VALUE"""),0.0)</f>
        <v>0</v>
      </c>
      <c r="AT29" s="197">
        <f>IFERROR(__xludf.DUMMYFUNCTION("""COMPUTED_VALUE"""),0.0)</f>
        <v>0</v>
      </c>
      <c r="AU29" s="197">
        <f>IFERROR(__xludf.DUMMYFUNCTION("""COMPUTED_VALUE"""),0.0)</f>
        <v>0</v>
      </c>
      <c r="AV29" s="197">
        <f>IFERROR(__xludf.DUMMYFUNCTION("""COMPUTED_VALUE"""),0.0)</f>
        <v>0</v>
      </c>
      <c r="AW29" s="41">
        <f>IFERROR(__xludf.DUMMYFUNCTION("""COMPUTED_VALUE"""),0.0)</f>
        <v>0</v>
      </c>
      <c r="AX29" s="197">
        <f>IFERROR(__xludf.DUMMYFUNCTION("""COMPUTED_VALUE"""),0.0)</f>
        <v>0</v>
      </c>
      <c r="AY29" s="197">
        <f>IFERROR(__xludf.DUMMYFUNCTION("""COMPUTED_VALUE"""),0.0)</f>
        <v>0</v>
      </c>
      <c r="AZ29" s="198">
        <f>IFERROR(__xludf.DUMMYFUNCTION("""COMPUTED_VALUE"""),0.0)</f>
        <v>0</v>
      </c>
      <c r="BA29" s="34"/>
    </row>
    <row r="30" ht="15.75" customHeight="1">
      <c r="A30" s="92"/>
      <c r="B30" s="93" t="str">
        <f>IFERROR(__xludf.DUMMYFUNCTION("""COMPUTED_VALUE"""),"3.2. Trong tổng số có")</f>
        <v>3.2. Trong tổng số có</v>
      </c>
      <c r="C30" s="94"/>
      <c r="D30" s="87"/>
      <c r="E30" s="88">
        <f>IFERROR(__xludf.DUMMYFUNCTION("""COMPUTED_VALUE"""),63662.0)</f>
        <v>63662</v>
      </c>
      <c r="F30" s="88">
        <f>IFERROR(__xludf.DUMMYFUNCTION("""COMPUTED_VALUE"""),63662.0)</f>
        <v>63662</v>
      </c>
      <c r="G30" s="88">
        <f>IFERROR(__xludf.DUMMYFUNCTION("""COMPUTED_VALUE"""),0.0)</f>
        <v>0</v>
      </c>
      <c r="H30" s="88">
        <f>IFERROR(__xludf.DUMMYFUNCTION("""COMPUTED_VALUE"""),0.0)</f>
        <v>0</v>
      </c>
      <c r="I30" s="88">
        <f>IFERROR(__xludf.DUMMYFUNCTION("""COMPUTED_VALUE"""),63605.0)</f>
        <v>63605</v>
      </c>
      <c r="J30" s="88">
        <f>IFERROR(__xludf.DUMMYFUNCTION("""COMPUTED_VALUE"""),63605.0)</f>
        <v>63605</v>
      </c>
      <c r="K30" s="88">
        <f>IFERROR(__xludf.DUMMYFUNCTION("""COMPUTED_VALUE"""),0.0)</f>
        <v>0</v>
      </c>
      <c r="L30" s="88">
        <f>IFERROR(__xludf.DUMMYFUNCTION("""COMPUTED_VALUE"""),0.0)</f>
        <v>0</v>
      </c>
      <c r="M30" s="88">
        <f>IFERROR(__xludf.DUMMYFUNCTION("""COMPUTED_VALUE"""),63136.0)</f>
        <v>63136</v>
      </c>
      <c r="N30" s="88">
        <f>IFERROR(__xludf.DUMMYFUNCTION("""COMPUTED_VALUE"""),63136.0)</f>
        <v>63136</v>
      </c>
      <c r="O30" s="88">
        <f>IFERROR(__xludf.DUMMYFUNCTION("""COMPUTED_VALUE"""),0.0)</f>
        <v>0</v>
      </c>
      <c r="P30" s="88">
        <f>IFERROR(__xludf.DUMMYFUNCTION("""COMPUTED_VALUE"""),0.0)</f>
        <v>0</v>
      </c>
      <c r="Q30" s="88">
        <f>IFERROR(__xludf.DUMMYFUNCTION("""COMPUTED_VALUE"""),62679.0)</f>
        <v>62679</v>
      </c>
      <c r="R30" s="88">
        <f>IFERROR(__xludf.DUMMYFUNCTION("""COMPUTED_VALUE"""),62679.0)</f>
        <v>62679</v>
      </c>
      <c r="S30" s="88">
        <f>IFERROR(__xludf.DUMMYFUNCTION("""COMPUTED_VALUE"""),0.0)</f>
        <v>0</v>
      </c>
      <c r="T30" s="88">
        <f>IFERROR(__xludf.DUMMYFUNCTION("""COMPUTED_VALUE"""),0.0)</f>
        <v>0</v>
      </c>
      <c r="U30" s="88">
        <f>IFERROR(__xludf.DUMMYFUNCTION("""COMPUTED_VALUE"""),62940.0)</f>
        <v>62940</v>
      </c>
      <c r="V30" s="88">
        <f>IFERROR(__xludf.DUMMYFUNCTION("""COMPUTED_VALUE"""),62940.0)</f>
        <v>62940</v>
      </c>
      <c r="W30" s="88">
        <f>IFERROR(__xludf.DUMMYFUNCTION("""COMPUTED_VALUE"""),0.0)</f>
        <v>0</v>
      </c>
      <c r="X30" s="88">
        <f>IFERROR(__xludf.DUMMYFUNCTION("""COMPUTED_VALUE"""),0.0)</f>
        <v>0</v>
      </c>
      <c r="Y30" s="88">
        <f>IFERROR(__xludf.DUMMYFUNCTION("""COMPUTED_VALUE"""),54248.367)</f>
        <v>54248.367</v>
      </c>
      <c r="Z30" s="88">
        <f>IFERROR(__xludf.DUMMYFUNCTION("""COMPUTED_VALUE"""),54248.367)</f>
        <v>54248.367</v>
      </c>
      <c r="AA30" s="88">
        <f>IFERROR(__xludf.DUMMYFUNCTION("""COMPUTED_VALUE"""),0.0)</f>
        <v>0</v>
      </c>
      <c r="AB30" s="88">
        <f>IFERROR(__xludf.DUMMYFUNCTION("""COMPUTED_VALUE"""),0.0)</f>
        <v>0</v>
      </c>
      <c r="AC30" s="88">
        <f>IFERROR(__xludf.DUMMYFUNCTION("""COMPUTED_VALUE"""),54107.326)</f>
        <v>54107.326</v>
      </c>
      <c r="AD30" s="88">
        <f>IFERROR(__xludf.DUMMYFUNCTION("""COMPUTED_VALUE"""),54107.326)</f>
        <v>54107.326</v>
      </c>
      <c r="AE30" s="88">
        <f>IFERROR(__xludf.DUMMYFUNCTION("""COMPUTED_VALUE"""),0.0)</f>
        <v>0</v>
      </c>
      <c r="AF30" s="88">
        <f>IFERROR(__xludf.DUMMYFUNCTION("""COMPUTED_VALUE"""),0.0)</f>
        <v>0</v>
      </c>
      <c r="AG30" s="88">
        <f>IFERROR(__xludf.DUMMYFUNCTION("""COMPUTED_VALUE"""),0.0)</f>
        <v>0</v>
      </c>
      <c r="AH30" s="88">
        <f>IFERROR(__xludf.DUMMYFUNCTION("""COMPUTED_VALUE"""),0.0)</f>
        <v>0</v>
      </c>
      <c r="AI30" s="88">
        <f>IFERROR(__xludf.DUMMYFUNCTION("""COMPUTED_VALUE"""),0.0)</f>
        <v>0</v>
      </c>
      <c r="AJ30" s="88">
        <f>IFERROR(__xludf.DUMMYFUNCTION("""COMPUTED_VALUE"""),0.0)</f>
        <v>0</v>
      </c>
      <c r="AK30" s="88">
        <f>IFERROR(__xludf.DUMMYFUNCTION("""COMPUTED_VALUE"""),0.0)</f>
        <v>0</v>
      </c>
      <c r="AL30" s="88">
        <f>IFERROR(__xludf.DUMMYFUNCTION("""COMPUTED_VALUE"""),0.0)</f>
        <v>0</v>
      </c>
      <c r="AM30" s="88">
        <f>IFERROR(__xludf.DUMMYFUNCTION("""COMPUTED_VALUE"""),0.0)</f>
        <v>0</v>
      </c>
      <c r="AN30" s="88">
        <f>IFERROR(__xludf.DUMMYFUNCTION("""COMPUTED_VALUE"""),0.0)</f>
        <v>0</v>
      </c>
      <c r="AO30" s="88">
        <f>IFERROR(__xludf.DUMMYFUNCTION("""COMPUTED_VALUE"""),0.0)</f>
        <v>0</v>
      </c>
      <c r="AP30" s="88">
        <f>IFERROR(__xludf.DUMMYFUNCTION("""COMPUTED_VALUE"""),0.0)</f>
        <v>0</v>
      </c>
      <c r="AQ30" s="88">
        <f>IFERROR(__xludf.DUMMYFUNCTION("""COMPUTED_VALUE"""),0.0)</f>
        <v>0</v>
      </c>
      <c r="AR30" s="88">
        <f>IFERROR(__xludf.DUMMYFUNCTION("""COMPUTED_VALUE"""),0.0)</f>
        <v>0</v>
      </c>
      <c r="AS30" s="88">
        <f>IFERROR(__xludf.DUMMYFUNCTION("""COMPUTED_VALUE"""),0.0)</f>
        <v>0</v>
      </c>
      <c r="AT30" s="88">
        <f>IFERROR(__xludf.DUMMYFUNCTION("""COMPUTED_VALUE"""),0.0)</f>
        <v>0</v>
      </c>
      <c r="AU30" s="88">
        <f>IFERROR(__xludf.DUMMYFUNCTION("""COMPUTED_VALUE"""),0.0)</f>
        <v>0</v>
      </c>
      <c r="AV30" s="88">
        <f>IFERROR(__xludf.DUMMYFUNCTION("""COMPUTED_VALUE"""),0.0)</f>
        <v>0</v>
      </c>
      <c r="AW30" s="88">
        <f>IFERROR(__xludf.DUMMYFUNCTION("""COMPUTED_VALUE"""),0.0)</f>
        <v>0</v>
      </c>
      <c r="AX30" s="88">
        <f>IFERROR(__xludf.DUMMYFUNCTION("""COMPUTED_VALUE"""),0.0)</f>
        <v>0</v>
      </c>
      <c r="AY30" s="88">
        <f>IFERROR(__xludf.DUMMYFUNCTION("""COMPUTED_VALUE"""),0.0)</f>
        <v>0</v>
      </c>
      <c r="AZ30" s="95">
        <f>IFERROR(__xludf.DUMMYFUNCTION("""COMPUTED_VALUE"""),0.0)</f>
        <v>0</v>
      </c>
      <c r="BA30" s="96"/>
    </row>
    <row r="31" ht="15.75" customHeight="1">
      <c r="A31" s="29"/>
      <c r="B31" s="67" t="str">
        <f>IFERROR(__xludf.DUMMYFUNCTION("""COMPUTED_VALUE""")," + Nữ")</f>
        <v> + Nữ</v>
      </c>
      <c r="C31" s="31"/>
      <c r="D31" s="31" t="str">
        <f>IFERROR(__xludf.DUMMYFUNCTION("""COMPUTED_VALUE""")," Người")</f>
        <v> Người</v>
      </c>
      <c r="E31" s="41">
        <f>IFERROR(__xludf.DUMMYFUNCTION("""COMPUTED_VALUE"""),31344.0)</f>
        <v>31344</v>
      </c>
      <c r="F31" s="197">
        <f>IFERROR(__xludf.DUMMYFUNCTION("""COMPUTED_VALUE"""),31344.0)</f>
        <v>31344</v>
      </c>
      <c r="G31" s="197">
        <f>IFERROR(__xludf.DUMMYFUNCTION("""COMPUTED_VALUE"""),0.0)</f>
        <v>0</v>
      </c>
      <c r="H31" s="197">
        <f>IFERROR(__xludf.DUMMYFUNCTION("""COMPUTED_VALUE"""),0.0)</f>
        <v>0</v>
      </c>
      <c r="I31" s="41">
        <f>IFERROR(__xludf.DUMMYFUNCTION("""COMPUTED_VALUE"""),31279.0)</f>
        <v>31279</v>
      </c>
      <c r="J31" s="197">
        <f>IFERROR(__xludf.DUMMYFUNCTION("""COMPUTED_VALUE"""),31279.0)</f>
        <v>31279</v>
      </c>
      <c r="K31" s="197">
        <f>IFERROR(__xludf.DUMMYFUNCTION("""COMPUTED_VALUE"""),0.0)</f>
        <v>0</v>
      </c>
      <c r="L31" s="197">
        <f>IFERROR(__xludf.DUMMYFUNCTION("""COMPUTED_VALUE"""),0.0)</f>
        <v>0</v>
      </c>
      <c r="M31" s="41">
        <f>IFERROR(__xludf.DUMMYFUNCTION("""COMPUTED_VALUE"""),31219.0)</f>
        <v>31219</v>
      </c>
      <c r="N31" s="197">
        <f>IFERROR(__xludf.DUMMYFUNCTION("""COMPUTED_VALUE"""),31219.0)</f>
        <v>31219</v>
      </c>
      <c r="O31" s="197">
        <f>IFERROR(__xludf.DUMMYFUNCTION("""COMPUTED_VALUE"""),0.0)</f>
        <v>0</v>
      </c>
      <c r="P31" s="197">
        <f>IFERROR(__xludf.DUMMYFUNCTION("""COMPUTED_VALUE"""),0.0)</f>
        <v>0</v>
      </c>
      <c r="Q31" s="41">
        <f>IFERROR(__xludf.DUMMYFUNCTION("""COMPUTED_VALUE"""),31068.0)</f>
        <v>31068</v>
      </c>
      <c r="R31" s="197">
        <f>IFERROR(__xludf.DUMMYFUNCTION("""COMPUTED_VALUE"""),31068.0)</f>
        <v>31068</v>
      </c>
      <c r="S31" s="197">
        <f>IFERROR(__xludf.DUMMYFUNCTION("""COMPUTED_VALUE"""),0.0)</f>
        <v>0</v>
      </c>
      <c r="T31" s="197">
        <f>IFERROR(__xludf.DUMMYFUNCTION("""COMPUTED_VALUE"""),0.0)</f>
        <v>0</v>
      </c>
      <c r="U31" s="41">
        <f>IFERROR(__xludf.DUMMYFUNCTION("""COMPUTED_VALUE"""),31193.0)</f>
        <v>31193</v>
      </c>
      <c r="V31" s="197">
        <f>IFERROR(__xludf.DUMMYFUNCTION("""COMPUTED_VALUE"""),31193.0)</f>
        <v>31193</v>
      </c>
      <c r="W31" s="197">
        <f>IFERROR(__xludf.DUMMYFUNCTION("""COMPUTED_VALUE"""),0.0)</f>
        <v>0</v>
      </c>
      <c r="X31" s="197">
        <f>IFERROR(__xludf.DUMMYFUNCTION("""COMPUTED_VALUE"""),0.0)</f>
        <v>0</v>
      </c>
      <c r="Y31" s="41">
        <f>IFERROR(__xludf.DUMMYFUNCTION("""COMPUTED_VALUE"""),30341.134)</f>
        <v>30341.134</v>
      </c>
      <c r="Z31" s="197">
        <f>IFERROR(__xludf.DUMMYFUNCTION("""COMPUTED_VALUE"""),26743.134)</f>
        <v>26743.134</v>
      </c>
      <c r="AA31" s="197">
        <f>IFERROR(__xludf.DUMMYFUNCTION("""COMPUTED_VALUE"""),3598.0)</f>
        <v>3598</v>
      </c>
      <c r="AB31" s="197">
        <f>IFERROR(__xludf.DUMMYFUNCTION("""COMPUTED_VALUE"""),0.0)</f>
        <v>0</v>
      </c>
      <c r="AC31" s="41">
        <f>IFERROR(__xludf.DUMMYFUNCTION("""COMPUTED_VALUE"""),26656.118000000002)</f>
        <v>26656.118</v>
      </c>
      <c r="AD31" s="197">
        <f>IFERROR(__xludf.DUMMYFUNCTION("""COMPUTED_VALUE"""),26656.118000000002)</f>
        <v>26656.118</v>
      </c>
      <c r="AE31" s="197">
        <f>IFERROR(__xludf.DUMMYFUNCTION("""COMPUTED_VALUE"""),0.0)</f>
        <v>0</v>
      </c>
      <c r="AF31" s="197">
        <f>IFERROR(__xludf.DUMMYFUNCTION("""COMPUTED_VALUE"""),0.0)</f>
        <v>0</v>
      </c>
      <c r="AG31" s="41">
        <f>IFERROR(__xludf.DUMMYFUNCTION("""COMPUTED_VALUE"""),0.0)</f>
        <v>0</v>
      </c>
      <c r="AH31" s="197">
        <f>IFERROR(__xludf.DUMMYFUNCTION("""COMPUTED_VALUE"""),0.0)</f>
        <v>0</v>
      </c>
      <c r="AI31" s="197">
        <f>IFERROR(__xludf.DUMMYFUNCTION("""COMPUTED_VALUE"""),0.0)</f>
        <v>0</v>
      </c>
      <c r="AJ31" s="197">
        <f>IFERROR(__xludf.DUMMYFUNCTION("""COMPUTED_VALUE"""),0.0)</f>
        <v>0</v>
      </c>
      <c r="AK31" s="41">
        <f>IFERROR(__xludf.DUMMYFUNCTION("""COMPUTED_VALUE"""),0.0)</f>
        <v>0</v>
      </c>
      <c r="AL31" s="197">
        <f>IFERROR(__xludf.DUMMYFUNCTION("""COMPUTED_VALUE"""),0.0)</f>
        <v>0</v>
      </c>
      <c r="AM31" s="197">
        <f>IFERROR(__xludf.DUMMYFUNCTION("""COMPUTED_VALUE"""),0.0)</f>
        <v>0</v>
      </c>
      <c r="AN31" s="197">
        <f>IFERROR(__xludf.DUMMYFUNCTION("""COMPUTED_VALUE"""),0.0)</f>
        <v>0</v>
      </c>
      <c r="AO31" s="41">
        <f>IFERROR(__xludf.DUMMYFUNCTION("""COMPUTED_VALUE"""),0.0)</f>
        <v>0</v>
      </c>
      <c r="AP31" s="197">
        <f>IFERROR(__xludf.DUMMYFUNCTION("""COMPUTED_VALUE"""),0.0)</f>
        <v>0</v>
      </c>
      <c r="AQ31" s="197">
        <f>IFERROR(__xludf.DUMMYFUNCTION("""COMPUTED_VALUE"""),0.0)</f>
        <v>0</v>
      </c>
      <c r="AR31" s="197">
        <f>IFERROR(__xludf.DUMMYFUNCTION("""COMPUTED_VALUE"""),0.0)</f>
        <v>0</v>
      </c>
      <c r="AS31" s="41">
        <f>IFERROR(__xludf.DUMMYFUNCTION("""COMPUTED_VALUE"""),0.0)</f>
        <v>0</v>
      </c>
      <c r="AT31" s="197">
        <f>IFERROR(__xludf.DUMMYFUNCTION("""COMPUTED_VALUE"""),0.0)</f>
        <v>0</v>
      </c>
      <c r="AU31" s="197">
        <f>IFERROR(__xludf.DUMMYFUNCTION("""COMPUTED_VALUE"""),0.0)</f>
        <v>0</v>
      </c>
      <c r="AV31" s="197">
        <f>IFERROR(__xludf.DUMMYFUNCTION("""COMPUTED_VALUE"""),0.0)</f>
        <v>0</v>
      </c>
      <c r="AW31" s="41">
        <f>IFERROR(__xludf.DUMMYFUNCTION("""COMPUTED_VALUE"""),0.0)</f>
        <v>0</v>
      </c>
      <c r="AX31" s="197">
        <f>IFERROR(__xludf.DUMMYFUNCTION("""COMPUTED_VALUE"""),0.0)</f>
        <v>0</v>
      </c>
      <c r="AY31" s="197">
        <f>IFERROR(__xludf.DUMMYFUNCTION("""COMPUTED_VALUE"""),0.0)</f>
        <v>0</v>
      </c>
      <c r="AZ31" s="198">
        <f>IFERROR(__xludf.DUMMYFUNCTION("""COMPUTED_VALUE"""),0.0)</f>
        <v>0</v>
      </c>
      <c r="BA31" s="34"/>
    </row>
    <row r="32" ht="15.75" customHeight="1">
      <c r="A32" s="29"/>
      <c r="B32" s="67" t="str">
        <f>IFERROR(__xludf.DUMMYFUNCTION("""COMPUTED_VALUE""")," + Dân tộc thiểu số")</f>
        <v> + Dân tộc thiểu số</v>
      </c>
      <c r="C32" s="31"/>
      <c r="D32" s="31" t="str">
        <f>IFERROR(__xludf.DUMMYFUNCTION("""COMPUTED_VALUE"""),"""")</f>
        <v>"</v>
      </c>
      <c r="E32" s="41">
        <f>IFERROR(__xludf.DUMMYFUNCTION("""COMPUTED_VALUE"""),25499.0)</f>
        <v>25499</v>
      </c>
      <c r="F32" s="197">
        <f>IFERROR(__xludf.DUMMYFUNCTION("""COMPUTED_VALUE"""),25499.0)</f>
        <v>25499</v>
      </c>
      <c r="G32" s="197">
        <f>IFERROR(__xludf.DUMMYFUNCTION("""COMPUTED_VALUE"""),0.0)</f>
        <v>0</v>
      </c>
      <c r="H32" s="197">
        <f>IFERROR(__xludf.DUMMYFUNCTION("""COMPUTED_VALUE"""),0.0)</f>
        <v>0</v>
      </c>
      <c r="I32" s="41">
        <f>IFERROR(__xludf.DUMMYFUNCTION("""COMPUTED_VALUE"""),24384.0)</f>
        <v>24384</v>
      </c>
      <c r="J32" s="197">
        <f>IFERROR(__xludf.DUMMYFUNCTION("""COMPUTED_VALUE"""),24384.0)</f>
        <v>24384</v>
      </c>
      <c r="K32" s="197">
        <f>IFERROR(__xludf.DUMMYFUNCTION("""COMPUTED_VALUE"""),0.0)</f>
        <v>0</v>
      </c>
      <c r="L32" s="197">
        <f>IFERROR(__xludf.DUMMYFUNCTION("""COMPUTED_VALUE"""),0.0)</f>
        <v>0</v>
      </c>
      <c r="M32" s="41">
        <f>IFERROR(__xludf.DUMMYFUNCTION("""COMPUTED_VALUE"""),24209.0)</f>
        <v>24209</v>
      </c>
      <c r="N32" s="197">
        <f>IFERROR(__xludf.DUMMYFUNCTION("""COMPUTED_VALUE"""),24209.0)</f>
        <v>24209</v>
      </c>
      <c r="O32" s="197">
        <f>IFERROR(__xludf.DUMMYFUNCTION("""COMPUTED_VALUE"""),0.0)</f>
        <v>0</v>
      </c>
      <c r="P32" s="197">
        <f>IFERROR(__xludf.DUMMYFUNCTION("""COMPUTED_VALUE"""),0.0)</f>
        <v>0</v>
      </c>
      <c r="Q32" s="41">
        <f>IFERROR(__xludf.DUMMYFUNCTION("""COMPUTED_VALUE"""),23936.0)</f>
        <v>23936</v>
      </c>
      <c r="R32" s="197">
        <f>IFERROR(__xludf.DUMMYFUNCTION("""COMPUTED_VALUE"""),23936.0)</f>
        <v>23936</v>
      </c>
      <c r="S32" s="197">
        <f>IFERROR(__xludf.DUMMYFUNCTION("""COMPUTED_VALUE"""),0.0)</f>
        <v>0</v>
      </c>
      <c r="T32" s="197">
        <f>IFERROR(__xludf.DUMMYFUNCTION("""COMPUTED_VALUE"""),0.0)</f>
        <v>0</v>
      </c>
      <c r="U32" s="41">
        <f>IFERROR(__xludf.DUMMYFUNCTION("""COMPUTED_VALUE"""),23980.0)</f>
        <v>23980</v>
      </c>
      <c r="V32" s="197">
        <f>IFERROR(__xludf.DUMMYFUNCTION("""COMPUTED_VALUE"""),23980.0)</f>
        <v>23980</v>
      </c>
      <c r="W32" s="197">
        <f>IFERROR(__xludf.DUMMYFUNCTION("""COMPUTED_VALUE"""),0.0)</f>
        <v>0</v>
      </c>
      <c r="X32" s="197">
        <f>IFERROR(__xludf.DUMMYFUNCTION("""COMPUTED_VALUE"""),0.0)</f>
        <v>0</v>
      </c>
      <c r="Y32" s="41">
        <f>IFERROR(__xludf.DUMMYFUNCTION("""COMPUTED_VALUE"""),24987.853)</f>
        <v>24987.853</v>
      </c>
      <c r="Z32" s="197">
        <f>IFERROR(__xludf.DUMMYFUNCTION("""COMPUTED_VALUE"""),20972.853)</f>
        <v>20972.853</v>
      </c>
      <c r="AA32" s="197">
        <f>IFERROR(__xludf.DUMMYFUNCTION("""COMPUTED_VALUE"""),4015.0)</f>
        <v>4015</v>
      </c>
      <c r="AB32" s="197">
        <f>IFERROR(__xludf.DUMMYFUNCTION("""COMPUTED_VALUE"""),0.0)</f>
        <v>0</v>
      </c>
      <c r="AC32" s="41">
        <f>IFERROR(__xludf.DUMMYFUNCTION("""COMPUTED_VALUE"""),19775.837)</f>
        <v>19775.837</v>
      </c>
      <c r="AD32" s="197">
        <f>IFERROR(__xludf.DUMMYFUNCTION("""COMPUTED_VALUE"""),19775.837)</f>
        <v>19775.837</v>
      </c>
      <c r="AE32" s="197">
        <f>IFERROR(__xludf.DUMMYFUNCTION("""COMPUTED_VALUE"""),0.0)</f>
        <v>0</v>
      </c>
      <c r="AF32" s="197">
        <f>IFERROR(__xludf.DUMMYFUNCTION("""COMPUTED_VALUE"""),0.0)</f>
        <v>0</v>
      </c>
      <c r="AG32" s="41">
        <f>IFERROR(__xludf.DUMMYFUNCTION("""COMPUTED_VALUE"""),0.0)</f>
        <v>0</v>
      </c>
      <c r="AH32" s="197">
        <f>IFERROR(__xludf.DUMMYFUNCTION("""COMPUTED_VALUE"""),0.0)</f>
        <v>0</v>
      </c>
      <c r="AI32" s="197">
        <f>IFERROR(__xludf.DUMMYFUNCTION("""COMPUTED_VALUE"""),0.0)</f>
        <v>0</v>
      </c>
      <c r="AJ32" s="197">
        <f>IFERROR(__xludf.DUMMYFUNCTION("""COMPUTED_VALUE"""),0.0)</f>
        <v>0</v>
      </c>
      <c r="AK32" s="41">
        <f>IFERROR(__xludf.DUMMYFUNCTION("""COMPUTED_VALUE"""),0.0)</f>
        <v>0</v>
      </c>
      <c r="AL32" s="197">
        <f>IFERROR(__xludf.DUMMYFUNCTION("""COMPUTED_VALUE"""),0.0)</f>
        <v>0</v>
      </c>
      <c r="AM32" s="197">
        <f>IFERROR(__xludf.DUMMYFUNCTION("""COMPUTED_VALUE"""),0.0)</f>
        <v>0</v>
      </c>
      <c r="AN32" s="197">
        <f>IFERROR(__xludf.DUMMYFUNCTION("""COMPUTED_VALUE"""),0.0)</f>
        <v>0</v>
      </c>
      <c r="AO32" s="41">
        <f>IFERROR(__xludf.DUMMYFUNCTION("""COMPUTED_VALUE"""),0.0)</f>
        <v>0</v>
      </c>
      <c r="AP32" s="197">
        <f>IFERROR(__xludf.DUMMYFUNCTION("""COMPUTED_VALUE"""),0.0)</f>
        <v>0</v>
      </c>
      <c r="AQ32" s="197">
        <f>IFERROR(__xludf.DUMMYFUNCTION("""COMPUTED_VALUE"""),0.0)</f>
        <v>0</v>
      </c>
      <c r="AR32" s="197">
        <f>IFERROR(__xludf.DUMMYFUNCTION("""COMPUTED_VALUE"""),0.0)</f>
        <v>0</v>
      </c>
      <c r="AS32" s="41">
        <f>IFERROR(__xludf.DUMMYFUNCTION("""COMPUTED_VALUE"""),0.0)</f>
        <v>0</v>
      </c>
      <c r="AT32" s="197">
        <f>IFERROR(__xludf.DUMMYFUNCTION("""COMPUTED_VALUE"""),0.0)</f>
        <v>0</v>
      </c>
      <c r="AU32" s="197">
        <f>IFERROR(__xludf.DUMMYFUNCTION("""COMPUTED_VALUE"""),0.0)</f>
        <v>0</v>
      </c>
      <c r="AV32" s="197">
        <f>IFERROR(__xludf.DUMMYFUNCTION("""COMPUTED_VALUE"""),0.0)</f>
        <v>0</v>
      </c>
      <c r="AW32" s="41">
        <f>IFERROR(__xludf.DUMMYFUNCTION("""COMPUTED_VALUE"""),0.0)</f>
        <v>0</v>
      </c>
      <c r="AX32" s="197">
        <f>IFERROR(__xludf.DUMMYFUNCTION("""COMPUTED_VALUE"""),0.0)</f>
        <v>0</v>
      </c>
      <c r="AY32" s="197">
        <f>IFERROR(__xludf.DUMMYFUNCTION("""COMPUTED_VALUE"""),0.0)</f>
        <v>0</v>
      </c>
      <c r="AZ32" s="198">
        <f>IFERROR(__xludf.DUMMYFUNCTION("""COMPUTED_VALUE"""),0.0)</f>
        <v>0</v>
      </c>
      <c r="BA32" s="34"/>
    </row>
    <row r="33" ht="15.75" customHeight="1">
      <c r="A33" s="29"/>
      <c r="B33" s="67" t="str">
        <f>IFERROR(__xludf.DUMMYFUNCTION("""COMPUTED_VALUE""")," + Nữ dân tộc thiểu số")</f>
        <v> + Nữ dân tộc thiểu số</v>
      </c>
      <c r="C33" s="31"/>
      <c r="D33" s="31" t="str">
        <f>IFERROR(__xludf.DUMMYFUNCTION("""COMPUTED_VALUE"""),"""")</f>
        <v>"</v>
      </c>
      <c r="E33" s="41">
        <f>IFERROR(__xludf.DUMMYFUNCTION("""COMPUTED_VALUE"""),12518.0)</f>
        <v>12518</v>
      </c>
      <c r="F33" s="197">
        <f>IFERROR(__xludf.DUMMYFUNCTION("""COMPUTED_VALUE"""),12518.0)</f>
        <v>12518</v>
      </c>
      <c r="G33" s="197">
        <f>IFERROR(__xludf.DUMMYFUNCTION("""COMPUTED_VALUE"""),0.0)</f>
        <v>0</v>
      </c>
      <c r="H33" s="197">
        <f>IFERROR(__xludf.DUMMYFUNCTION("""COMPUTED_VALUE"""),0.0)</f>
        <v>0</v>
      </c>
      <c r="I33" s="41">
        <f>IFERROR(__xludf.DUMMYFUNCTION("""COMPUTED_VALUE"""),12055.0)</f>
        <v>12055</v>
      </c>
      <c r="J33" s="197">
        <f>IFERROR(__xludf.DUMMYFUNCTION("""COMPUTED_VALUE"""),12055.0)</f>
        <v>12055</v>
      </c>
      <c r="K33" s="197">
        <f>IFERROR(__xludf.DUMMYFUNCTION("""COMPUTED_VALUE"""),0.0)</f>
        <v>0</v>
      </c>
      <c r="L33" s="197">
        <f>IFERROR(__xludf.DUMMYFUNCTION("""COMPUTED_VALUE"""),0.0)</f>
        <v>0</v>
      </c>
      <c r="M33" s="41">
        <f>IFERROR(__xludf.DUMMYFUNCTION("""COMPUTED_VALUE"""),11983.0)</f>
        <v>11983</v>
      </c>
      <c r="N33" s="197">
        <f>IFERROR(__xludf.DUMMYFUNCTION("""COMPUTED_VALUE"""),11983.0)</f>
        <v>11983</v>
      </c>
      <c r="O33" s="197">
        <f>IFERROR(__xludf.DUMMYFUNCTION("""COMPUTED_VALUE"""),0.0)</f>
        <v>0</v>
      </c>
      <c r="P33" s="197">
        <f>IFERROR(__xludf.DUMMYFUNCTION("""COMPUTED_VALUE"""),0.0)</f>
        <v>0</v>
      </c>
      <c r="Q33" s="41">
        <f>IFERROR(__xludf.DUMMYFUNCTION("""COMPUTED_VALUE"""),11904.0)</f>
        <v>11904</v>
      </c>
      <c r="R33" s="197">
        <f>IFERROR(__xludf.DUMMYFUNCTION("""COMPUTED_VALUE"""),11904.0)</f>
        <v>11904</v>
      </c>
      <c r="S33" s="197">
        <f>IFERROR(__xludf.DUMMYFUNCTION("""COMPUTED_VALUE"""),0.0)</f>
        <v>0</v>
      </c>
      <c r="T33" s="197">
        <f>IFERROR(__xludf.DUMMYFUNCTION("""COMPUTED_VALUE"""),0.0)</f>
        <v>0</v>
      </c>
      <c r="U33" s="41">
        <f>IFERROR(__xludf.DUMMYFUNCTION("""COMPUTED_VALUE"""),11830.0)</f>
        <v>11830</v>
      </c>
      <c r="V33" s="197">
        <f>IFERROR(__xludf.DUMMYFUNCTION("""COMPUTED_VALUE"""),11830.0)</f>
        <v>11830</v>
      </c>
      <c r="W33" s="197">
        <f>IFERROR(__xludf.DUMMYFUNCTION("""COMPUTED_VALUE"""),0.0)</f>
        <v>0</v>
      </c>
      <c r="X33" s="197">
        <f>IFERROR(__xludf.DUMMYFUNCTION("""COMPUTED_VALUE"""),0.0)</f>
        <v>0</v>
      </c>
      <c r="Y33" s="41">
        <f>IFERROR(__xludf.DUMMYFUNCTION("""COMPUTED_VALUE"""),12893.427)</f>
        <v>12893.427</v>
      </c>
      <c r="Z33" s="197">
        <f>IFERROR(__xludf.DUMMYFUNCTION("""COMPUTED_VALUE"""),10314.427)</f>
        <v>10314.427</v>
      </c>
      <c r="AA33" s="197">
        <f>IFERROR(__xludf.DUMMYFUNCTION("""COMPUTED_VALUE"""),2579.0)</f>
        <v>2579</v>
      </c>
      <c r="AB33" s="197">
        <f>IFERROR(__xludf.DUMMYFUNCTION("""COMPUTED_VALUE"""),0.0)</f>
        <v>0</v>
      </c>
      <c r="AC33" s="41">
        <f>IFERROR(__xludf.DUMMYFUNCTION("""COMPUTED_VALUE"""),10271.419)</f>
        <v>10271.419</v>
      </c>
      <c r="AD33" s="197">
        <f>IFERROR(__xludf.DUMMYFUNCTION("""COMPUTED_VALUE"""),10271.419)</f>
        <v>10271.419</v>
      </c>
      <c r="AE33" s="197">
        <f>IFERROR(__xludf.DUMMYFUNCTION("""COMPUTED_VALUE"""),0.0)</f>
        <v>0</v>
      </c>
      <c r="AF33" s="197">
        <f>IFERROR(__xludf.DUMMYFUNCTION("""COMPUTED_VALUE"""),0.0)</f>
        <v>0</v>
      </c>
      <c r="AG33" s="41">
        <f>IFERROR(__xludf.DUMMYFUNCTION("""COMPUTED_VALUE"""),0.0)</f>
        <v>0</v>
      </c>
      <c r="AH33" s="197">
        <f>IFERROR(__xludf.DUMMYFUNCTION("""COMPUTED_VALUE"""),0.0)</f>
        <v>0</v>
      </c>
      <c r="AI33" s="197">
        <f>IFERROR(__xludf.DUMMYFUNCTION("""COMPUTED_VALUE"""),0.0)</f>
        <v>0</v>
      </c>
      <c r="AJ33" s="197">
        <f>IFERROR(__xludf.DUMMYFUNCTION("""COMPUTED_VALUE"""),0.0)</f>
        <v>0</v>
      </c>
      <c r="AK33" s="41">
        <f>IFERROR(__xludf.DUMMYFUNCTION("""COMPUTED_VALUE"""),0.0)</f>
        <v>0</v>
      </c>
      <c r="AL33" s="197">
        <f>IFERROR(__xludf.DUMMYFUNCTION("""COMPUTED_VALUE"""),0.0)</f>
        <v>0</v>
      </c>
      <c r="AM33" s="197">
        <f>IFERROR(__xludf.DUMMYFUNCTION("""COMPUTED_VALUE"""),0.0)</f>
        <v>0</v>
      </c>
      <c r="AN33" s="197">
        <f>IFERROR(__xludf.DUMMYFUNCTION("""COMPUTED_VALUE"""),0.0)</f>
        <v>0</v>
      </c>
      <c r="AO33" s="41">
        <f>IFERROR(__xludf.DUMMYFUNCTION("""COMPUTED_VALUE"""),0.0)</f>
        <v>0</v>
      </c>
      <c r="AP33" s="197">
        <f>IFERROR(__xludf.DUMMYFUNCTION("""COMPUTED_VALUE"""),0.0)</f>
        <v>0</v>
      </c>
      <c r="AQ33" s="197">
        <f>IFERROR(__xludf.DUMMYFUNCTION("""COMPUTED_VALUE"""),0.0)</f>
        <v>0</v>
      </c>
      <c r="AR33" s="197">
        <f>IFERROR(__xludf.DUMMYFUNCTION("""COMPUTED_VALUE"""),0.0)</f>
        <v>0</v>
      </c>
      <c r="AS33" s="41">
        <f>IFERROR(__xludf.DUMMYFUNCTION("""COMPUTED_VALUE"""),0.0)</f>
        <v>0</v>
      </c>
      <c r="AT33" s="197">
        <f>IFERROR(__xludf.DUMMYFUNCTION("""COMPUTED_VALUE"""),0.0)</f>
        <v>0</v>
      </c>
      <c r="AU33" s="197">
        <f>IFERROR(__xludf.DUMMYFUNCTION("""COMPUTED_VALUE"""),0.0)</f>
        <v>0</v>
      </c>
      <c r="AV33" s="197">
        <f>IFERROR(__xludf.DUMMYFUNCTION("""COMPUTED_VALUE"""),0.0)</f>
        <v>0</v>
      </c>
      <c r="AW33" s="41">
        <f>IFERROR(__xludf.DUMMYFUNCTION("""COMPUTED_VALUE"""),0.0)</f>
        <v>0</v>
      </c>
      <c r="AX33" s="197">
        <f>IFERROR(__xludf.DUMMYFUNCTION("""COMPUTED_VALUE"""),0.0)</f>
        <v>0</v>
      </c>
      <c r="AY33" s="197">
        <f>IFERROR(__xludf.DUMMYFUNCTION("""COMPUTED_VALUE"""),0.0)</f>
        <v>0</v>
      </c>
      <c r="AZ33" s="198">
        <f>IFERROR(__xludf.DUMMYFUNCTION("""COMPUTED_VALUE"""),0.0)</f>
        <v>0</v>
      </c>
      <c r="BA33" s="34"/>
    </row>
    <row r="34" ht="15.75" customHeight="1">
      <c r="A34" s="29"/>
      <c r="B34" s="67" t="str">
        <f>IFERROR(__xludf.DUMMYFUNCTION("""COMPUTED_VALUE""")," + Khuyết tật")</f>
        <v> + Khuyết tật</v>
      </c>
      <c r="C34" s="31"/>
      <c r="D34" s="31" t="str">
        <f>IFERROR(__xludf.DUMMYFUNCTION("""COMPUTED_VALUE"""),"""")</f>
        <v>"</v>
      </c>
      <c r="E34" s="41">
        <f>IFERROR(__xludf.DUMMYFUNCTION("""COMPUTED_VALUE"""),1483.0)</f>
        <v>1483</v>
      </c>
      <c r="F34" s="197">
        <f>IFERROR(__xludf.DUMMYFUNCTION("""COMPUTED_VALUE"""),1483.0)</f>
        <v>1483</v>
      </c>
      <c r="G34" s="197">
        <f>IFERROR(__xludf.DUMMYFUNCTION("""COMPUTED_VALUE"""),0.0)</f>
        <v>0</v>
      </c>
      <c r="H34" s="197">
        <f>IFERROR(__xludf.DUMMYFUNCTION("""COMPUTED_VALUE"""),0.0)</f>
        <v>0</v>
      </c>
      <c r="I34" s="41">
        <f>IFERROR(__xludf.DUMMYFUNCTION("""COMPUTED_VALUE"""),27.0)</f>
        <v>27</v>
      </c>
      <c r="J34" s="197">
        <f>IFERROR(__xludf.DUMMYFUNCTION("""COMPUTED_VALUE"""),27.0)</f>
        <v>27</v>
      </c>
      <c r="K34" s="197">
        <f>IFERROR(__xludf.DUMMYFUNCTION("""COMPUTED_VALUE"""),0.0)</f>
        <v>0</v>
      </c>
      <c r="L34" s="197">
        <f>IFERROR(__xludf.DUMMYFUNCTION("""COMPUTED_VALUE"""),0.0)</f>
        <v>0</v>
      </c>
      <c r="M34" s="41">
        <f>IFERROR(__xludf.DUMMYFUNCTION("""COMPUTED_VALUE"""),27.0)</f>
        <v>27</v>
      </c>
      <c r="N34" s="197">
        <f>IFERROR(__xludf.DUMMYFUNCTION("""COMPUTED_VALUE"""),27.0)</f>
        <v>27</v>
      </c>
      <c r="O34" s="197">
        <f>IFERROR(__xludf.DUMMYFUNCTION("""COMPUTED_VALUE"""),0.0)</f>
        <v>0</v>
      </c>
      <c r="P34" s="197">
        <f>IFERROR(__xludf.DUMMYFUNCTION("""COMPUTED_VALUE"""),0.0)</f>
        <v>0</v>
      </c>
      <c r="Q34" s="41">
        <f>IFERROR(__xludf.DUMMYFUNCTION("""COMPUTED_VALUE"""),25.0)</f>
        <v>25</v>
      </c>
      <c r="R34" s="197">
        <f>IFERROR(__xludf.DUMMYFUNCTION("""COMPUTED_VALUE"""),25.0)</f>
        <v>25</v>
      </c>
      <c r="S34" s="197">
        <f>IFERROR(__xludf.DUMMYFUNCTION("""COMPUTED_VALUE"""),0.0)</f>
        <v>0</v>
      </c>
      <c r="T34" s="197">
        <f>IFERROR(__xludf.DUMMYFUNCTION("""COMPUTED_VALUE"""),0.0)</f>
        <v>0</v>
      </c>
      <c r="U34" s="41">
        <f>IFERROR(__xludf.DUMMYFUNCTION("""COMPUTED_VALUE"""),24.0)</f>
        <v>24</v>
      </c>
      <c r="V34" s="197">
        <f>IFERROR(__xludf.DUMMYFUNCTION("""COMPUTED_VALUE"""),24.0)</f>
        <v>24</v>
      </c>
      <c r="W34" s="197">
        <f>IFERROR(__xludf.DUMMYFUNCTION("""COMPUTED_VALUE"""),0.0)</f>
        <v>0</v>
      </c>
      <c r="X34" s="197">
        <f>IFERROR(__xludf.DUMMYFUNCTION("""COMPUTED_VALUE"""),0.0)</f>
        <v>0</v>
      </c>
      <c r="Y34" s="41">
        <f>IFERROR(__xludf.DUMMYFUNCTION("""COMPUTED_VALUE"""),32.0)</f>
        <v>32</v>
      </c>
      <c r="Z34" s="197">
        <f>IFERROR(__xludf.DUMMYFUNCTION("""COMPUTED_VALUE"""),23.0)</f>
        <v>23</v>
      </c>
      <c r="AA34" s="197">
        <f>IFERROR(__xludf.DUMMYFUNCTION("""COMPUTED_VALUE"""),9.0)</f>
        <v>9</v>
      </c>
      <c r="AB34" s="197">
        <f>IFERROR(__xludf.DUMMYFUNCTION("""COMPUTED_VALUE"""),0.0)</f>
        <v>0</v>
      </c>
      <c r="AC34" s="41">
        <f>IFERROR(__xludf.DUMMYFUNCTION("""COMPUTED_VALUE"""),25.0)</f>
        <v>25</v>
      </c>
      <c r="AD34" s="197">
        <f>IFERROR(__xludf.DUMMYFUNCTION("""COMPUTED_VALUE"""),25.0)</f>
        <v>25</v>
      </c>
      <c r="AE34" s="197">
        <f>IFERROR(__xludf.DUMMYFUNCTION("""COMPUTED_VALUE"""),0.0)</f>
        <v>0</v>
      </c>
      <c r="AF34" s="197">
        <f>IFERROR(__xludf.DUMMYFUNCTION("""COMPUTED_VALUE"""),0.0)</f>
        <v>0</v>
      </c>
      <c r="AG34" s="41">
        <f>IFERROR(__xludf.DUMMYFUNCTION("""COMPUTED_VALUE"""),0.0)</f>
        <v>0</v>
      </c>
      <c r="AH34" s="197">
        <f>IFERROR(__xludf.DUMMYFUNCTION("""COMPUTED_VALUE"""),0.0)</f>
        <v>0</v>
      </c>
      <c r="AI34" s="197">
        <f>IFERROR(__xludf.DUMMYFUNCTION("""COMPUTED_VALUE"""),0.0)</f>
        <v>0</v>
      </c>
      <c r="AJ34" s="197">
        <f>IFERROR(__xludf.DUMMYFUNCTION("""COMPUTED_VALUE"""),0.0)</f>
        <v>0</v>
      </c>
      <c r="AK34" s="41">
        <f>IFERROR(__xludf.DUMMYFUNCTION("""COMPUTED_VALUE"""),0.0)</f>
        <v>0</v>
      </c>
      <c r="AL34" s="197">
        <f>IFERROR(__xludf.DUMMYFUNCTION("""COMPUTED_VALUE"""),0.0)</f>
        <v>0</v>
      </c>
      <c r="AM34" s="197">
        <f>IFERROR(__xludf.DUMMYFUNCTION("""COMPUTED_VALUE"""),0.0)</f>
        <v>0</v>
      </c>
      <c r="AN34" s="197">
        <f>IFERROR(__xludf.DUMMYFUNCTION("""COMPUTED_VALUE"""),0.0)</f>
        <v>0</v>
      </c>
      <c r="AO34" s="41">
        <f>IFERROR(__xludf.DUMMYFUNCTION("""COMPUTED_VALUE"""),0.0)</f>
        <v>0</v>
      </c>
      <c r="AP34" s="197">
        <f>IFERROR(__xludf.DUMMYFUNCTION("""COMPUTED_VALUE"""),0.0)</f>
        <v>0</v>
      </c>
      <c r="AQ34" s="197">
        <f>IFERROR(__xludf.DUMMYFUNCTION("""COMPUTED_VALUE"""),0.0)</f>
        <v>0</v>
      </c>
      <c r="AR34" s="197">
        <f>IFERROR(__xludf.DUMMYFUNCTION("""COMPUTED_VALUE"""),0.0)</f>
        <v>0</v>
      </c>
      <c r="AS34" s="41">
        <f>IFERROR(__xludf.DUMMYFUNCTION("""COMPUTED_VALUE"""),0.0)</f>
        <v>0</v>
      </c>
      <c r="AT34" s="197">
        <f>IFERROR(__xludf.DUMMYFUNCTION("""COMPUTED_VALUE"""),0.0)</f>
        <v>0</v>
      </c>
      <c r="AU34" s="197">
        <f>IFERROR(__xludf.DUMMYFUNCTION("""COMPUTED_VALUE"""),0.0)</f>
        <v>0</v>
      </c>
      <c r="AV34" s="197">
        <f>IFERROR(__xludf.DUMMYFUNCTION("""COMPUTED_VALUE"""),0.0)</f>
        <v>0</v>
      </c>
      <c r="AW34" s="41">
        <f>IFERROR(__xludf.DUMMYFUNCTION("""COMPUTED_VALUE"""),0.0)</f>
        <v>0</v>
      </c>
      <c r="AX34" s="197">
        <f>IFERROR(__xludf.DUMMYFUNCTION("""COMPUTED_VALUE"""),0.0)</f>
        <v>0</v>
      </c>
      <c r="AY34" s="197">
        <f>IFERROR(__xludf.DUMMYFUNCTION("""COMPUTED_VALUE"""),0.0)</f>
        <v>0</v>
      </c>
      <c r="AZ34" s="198">
        <f>IFERROR(__xludf.DUMMYFUNCTION("""COMPUTED_VALUE"""),0.0)</f>
        <v>0</v>
      </c>
      <c r="BA34" s="34"/>
    </row>
    <row r="35" ht="15.75" customHeight="1">
      <c r="A35" s="29"/>
      <c r="B35" s="67" t="str">
        <f>IFERROR(__xludf.DUMMYFUNCTION("""COMPUTED_VALUE""")," + Nhóm tuổi (từ 11 đến 14 tuổi)")</f>
        <v> + Nhóm tuổi (từ 11 đến 14 tuổi)</v>
      </c>
      <c r="C35" s="31"/>
      <c r="D35" s="31" t="str">
        <f>IFERROR(__xludf.DUMMYFUNCTION("""COMPUTED_VALUE""")," Người")</f>
        <v> Người</v>
      </c>
      <c r="E35" s="41">
        <f>IFERROR(__xludf.DUMMYFUNCTION("""COMPUTED_VALUE"""),44636.0)</f>
        <v>44636</v>
      </c>
      <c r="F35" s="197">
        <f>IFERROR(__xludf.DUMMYFUNCTION("""COMPUTED_VALUE"""),44636.0)</f>
        <v>44636</v>
      </c>
      <c r="G35" s="197">
        <f>IFERROR(__xludf.DUMMYFUNCTION("""COMPUTED_VALUE"""),0.0)</f>
        <v>0</v>
      </c>
      <c r="H35" s="197">
        <f>IFERROR(__xludf.DUMMYFUNCTION("""COMPUTED_VALUE"""),0.0)</f>
        <v>0</v>
      </c>
      <c r="I35" s="41">
        <f>IFERROR(__xludf.DUMMYFUNCTION("""COMPUTED_VALUE"""),54399.0)</f>
        <v>54399</v>
      </c>
      <c r="J35" s="197">
        <f>IFERROR(__xludf.DUMMYFUNCTION("""COMPUTED_VALUE"""),54399.0)</f>
        <v>54399</v>
      </c>
      <c r="K35" s="197">
        <f>IFERROR(__xludf.DUMMYFUNCTION("""COMPUTED_VALUE"""),0.0)</f>
        <v>0</v>
      </c>
      <c r="L35" s="197">
        <f>IFERROR(__xludf.DUMMYFUNCTION("""COMPUTED_VALUE"""),0.0)</f>
        <v>0</v>
      </c>
      <c r="M35" s="41">
        <f>IFERROR(__xludf.DUMMYFUNCTION("""COMPUTED_VALUE"""),53376.0)</f>
        <v>53376</v>
      </c>
      <c r="N35" s="197">
        <f>IFERROR(__xludf.DUMMYFUNCTION("""COMPUTED_VALUE"""),53376.0)</f>
        <v>53376</v>
      </c>
      <c r="O35" s="197">
        <f>IFERROR(__xludf.DUMMYFUNCTION("""COMPUTED_VALUE"""),0.0)</f>
        <v>0</v>
      </c>
      <c r="P35" s="197">
        <f>IFERROR(__xludf.DUMMYFUNCTION("""COMPUTED_VALUE"""),0.0)</f>
        <v>0</v>
      </c>
      <c r="Q35" s="41">
        <f>IFERROR(__xludf.DUMMYFUNCTION("""COMPUTED_VALUE"""),50906.0)</f>
        <v>50906</v>
      </c>
      <c r="R35" s="197">
        <f>IFERROR(__xludf.DUMMYFUNCTION("""COMPUTED_VALUE"""),50906.0)</f>
        <v>50906</v>
      </c>
      <c r="S35" s="197">
        <f>IFERROR(__xludf.DUMMYFUNCTION("""COMPUTED_VALUE"""),0.0)</f>
        <v>0</v>
      </c>
      <c r="T35" s="197">
        <f>IFERROR(__xludf.DUMMYFUNCTION("""COMPUTED_VALUE"""),0.0)</f>
        <v>0</v>
      </c>
      <c r="U35" s="41">
        <f>IFERROR(__xludf.DUMMYFUNCTION("""COMPUTED_VALUE"""),49370.0)</f>
        <v>49370</v>
      </c>
      <c r="V35" s="197">
        <f>IFERROR(__xludf.DUMMYFUNCTION("""COMPUTED_VALUE"""),49370.0)</f>
        <v>49370</v>
      </c>
      <c r="W35" s="197">
        <f>IFERROR(__xludf.DUMMYFUNCTION("""COMPUTED_VALUE"""),0.0)</f>
        <v>0</v>
      </c>
      <c r="X35" s="197">
        <f>IFERROR(__xludf.DUMMYFUNCTION("""COMPUTED_VALUE"""),0.0)</f>
        <v>0</v>
      </c>
      <c r="Y35" s="41">
        <f>IFERROR(__xludf.DUMMYFUNCTION("""COMPUTED_VALUE"""),48798.945)</f>
        <v>48798.945</v>
      </c>
      <c r="Z35" s="197">
        <f>IFERROR(__xludf.DUMMYFUNCTION("""COMPUTED_VALUE"""),44259.945)</f>
        <v>44259.945</v>
      </c>
      <c r="AA35" s="197">
        <f>IFERROR(__xludf.DUMMYFUNCTION("""COMPUTED_VALUE"""),4539.0)</f>
        <v>4539</v>
      </c>
      <c r="AB35" s="197">
        <f>IFERROR(__xludf.DUMMYFUNCTION("""COMPUTED_VALUE"""),0.0)</f>
        <v>0</v>
      </c>
      <c r="AC35" s="41">
        <f>IFERROR(__xludf.DUMMYFUNCTION("""COMPUTED_VALUE"""),38222.919)</f>
        <v>38222.919</v>
      </c>
      <c r="AD35" s="197">
        <f>IFERROR(__xludf.DUMMYFUNCTION("""COMPUTED_VALUE"""),38222.919)</f>
        <v>38222.919</v>
      </c>
      <c r="AE35" s="197">
        <f>IFERROR(__xludf.DUMMYFUNCTION("""COMPUTED_VALUE"""),0.0)</f>
        <v>0</v>
      </c>
      <c r="AF35" s="197">
        <f>IFERROR(__xludf.DUMMYFUNCTION("""COMPUTED_VALUE"""),0.0)</f>
        <v>0</v>
      </c>
      <c r="AG35" s="41">
        <f>IFERROR(__xludf.DUMMYFUNCTION("""COMPUTED_VALUE"""),0.0)</f>
        <v>0</v>
      </c>
      <c r="AH35" s="197">
        <f>IFERROR(__xludf.DUMMYFUNCTION("""COMPUTED_VALUE"""),0.0)</f>
        <v>0</v>
      </c>
      <c r="AI35" s="197">
        <f>IFERROR(__xludf.DUMMYFUNCTION("""COMPUTED_VALUE"""),0.0)</f>
        <v>0</v>
      </c>
      <c r="AJ35" s="197">
        <f>IFERROR(__xludf.DUMMYFUNCTION("""COMPUTED_VALUE"""),0.0)</f>
        <v>0</v>
      </c>
      <c r="AK35" s="41">
        <f>IFERROR(__xludf.DUMMYFUNCTION("""COMPUTED_VALUE"""),0.0)</f>
        <v>0</v>
      </c>
      <c r="AL35" s="197">
        <f>IFERROR(__xludf.DUMMYFUNCTION("""COMPUTED_VALUE"""),0.0)</f>
        <v>0</v>
      </c>
      <c r="AM35" s="197">
        <f>IFERROR(__xludf.DUMMYFUNCTION("""COMPUTED_VALUE"""),0.0)</f>
        <v>0</v>
      </c>
      <c r="AN35" s="197">
        <f>IFERROR(__xludf.DUMMYFUNCTION("""COMPUTED_VALUE"""),0.0)</f>
        <v>0</v>
      </c>
      <c r="AO35" s="41">
        <f>IFERROR(__xludf.DUMMYFUNCTION("""COMPUTED_VALUE"""),0.0)</f>
        <v>0</v>
      </c>
      <c r="AP35" s="197">
        <f>IFERROR(__xludf.DUMMYFUNCTION("""COMPUTED_VALUE"""),0.0)</f>
        <v>0</v>
      </c>
      <c r="AQ35" s="197">
        <f>IFERROR(__xludf.DUMMYFUNCTION("""COMPUTED_VALUE"""),0.0)</f>
        <v>0</v>
      </c>
      <c r="AR35" s="197">
        <f>IFERROR(__xludf.DUMMYFUNCTION("""COMPUTED_VALUE"""),0.0)</f>
        <v>0</v>
      </c>
      <c r="AS35" s="41">
        <f>IFERROR(__xludf.DUMMYFUNCTION("""COMPUTED_VALUE"""),0.0)</f>
        <v>0</v>
      </c>
      <c r="AT35" s="197">
        <f>IFERROR(__xludf.DUMMYFUNCTION("""COMPUTED_VALUE"""),0.0)</f>
        <v>0</v>
      </c>
      <c r="AU35" s="197">
        <f>IFERROR(__xludf.DUMMYFUNCTION("""COMPUTED_VALUE"""),0.0)</f>
        <v>0</v>
      </c>
      <c r="AV35" s="197">
        <f>IFERROR(__xludf.DUMMYFUNCTION("""COMPUTED_VALUE"""),0.0)</f>
        <v>0</v>
      </c>
      <c r="AW35" s="41">
        <f>IFERROR(__xludf.DUMMYFUNCTION("""COMPUTED_VALUE"""),0.0)</f>
        <v>0</v>
      </c>
      <c r="AX35" s="197">
        <f>IFERROR(__xludf.DUMMYFUNCTION("""COMPUTED_VALUE"""),0.0)</f>
        <v>0</v>
      </c>
      <c r="AY35" s="197">
        <f>IFERROR(__xludf.DUMMYFUNCTION("""COMPUTED_VALUE"""),0.0)</f>
        <v>0</v>
      </c>
      <c r="AZ35" s="198">
        <f>IFERROR(__xludf.DUMMYFUNCTION("""COMPUTED_VALUE"""),0.0)</f>
        <v>0</v>
      </c>
      <c r="BA35" s="34"/>
    </row>
    <row r="36" ht="15.75" customHeight="1">
      <c r="A36" s="214"/>
      <c r="B36" s="215" t="str">
        <f>IFERROR(__xludf.DUMMYFUNCTION("""COMPUTED_VALUE"""),"4. Tỷ lệ học sinh đi học")</f>
        <v>4. Tỷ lệ học sinh đi học</v>
      </c>
      <c r="C36" s="216"/>
      <c r="D36" s="216" t="str">
        <f>IFERROR(__xludf.DUMMYFUNCTION("""COMPUTED_VALUE"""),"%")</f>
        <v>%</v>
      </c>
      <c r="E36" s="217">
        <f>IFERROR(__xludf.DUMMYFUNCTION("""COMPUTED_VALUE"""),0.009999826029470608)</f>
        <v>0.009999826029</v>
      </c>
      <c r="F36" s="218" t="str">
        <f>IFERROR(__xludf.DUMMYFUNCTION("""COMPUTED_VALUE"""),"X")</f>
        <v>X</v>
      </c>
      <c r="G36" s="218" t="str">
        <f>IFERROR(__xludf.DUMMYFUNCTION("""COMPUTED_VALUE"""),"X")</f>
        <v>X</v>
      </c>
      <c r="H36" s="218" t="str">
        <f>IFERROR(__xludf.DUMMYFUNCTION("""COMPUTED_VALUE"""),"X")</f>
        <v>X</v>
      </c>
      <c r="I36" s="217">
        <f>IFERROR(__xludf.DUMMYFUNCTION("""COMPUTED_VALUE"""),0.0)</f>
        <v>0</v>
      </c>
      <c r="J36" s="218" t="str">
        <f>IFERROR(__xludf.DUMMYFUNCTION("""COMPUTED_VALUE"""),"X")</f>
        <v>X</v>
      </c>
      <c r="K36" s="218" t="str">
        <f>IFERROR(__xludf.DUMMYFUNCTION("""COMPUTED_VALUE"""),"X")</f>
        <v>X</v>
      </c>
      <c r="L36" s="218" t="str">
        <f>IFERROR(__xludf.DUMMYFUNCTION("""COMPUTED_VALUE"""),"X")</f>
        <v>X</v>
      </c>
      <c r="M36" s="217">
        <f>IFERROR(__xludf.DUMMYFUNCTION("""COMPUTED_VALUE"""),0.0)</f>
        <v>0</v>
      </c>
      <c r="N36" s="218" t="str">
        <f>IFERROR(__xludf.DUMMYFUNCTION("""COMPUTED_VALUE"""),"X")</f>
        <v>X</v>
      </c>
      <c r="O36" s="218" t="str">
        <f>IFERROR(__xludf.DUMMYFUNCTION("""COMPUTED_VALUE"""),"X")</f>
        <v>X</v>
      </c>
      <c r="P36" s="218" t="str">
        <f>IFERROR(__xludf.DUMMYFUNCTION("""COMPUTED_VALUE"""),"X")</f>
        <v>X</v>
      </c>
      <c r="Q36" s="217">
        <f>IFERROR(__xludf.DUMMYFUNCTION("""COMPUTED_VALUE"""),0.0)</f>
        <v>0</v>
      </c>
      <c r="R36" s="218" t="str">
        <f>IFERROR(__xludf.DUMMYFUNCTION("""COMPUTED_VALUE"""),"X")</f>
        <v>X</v>
      </c>
      <c r="S36" s="218" t="str">
        <f>IFERROR(__xludf.DUMMYFUNCTION("""COMPUTED_VALUE"""),"X")</f>
        <v>X</v>
      </c>
      <c r="T36" s="218" t="str">
        <f>IFERROR(__xludf.DUMMYFUNCTION("""COMPUTED_VALUE"""),"X")</f>
        <v>X</v>
      </c>
      <c r="U36" s="217">
        <f>IFERROR(__xludf.DUMMYFUNCTION("""COMPUTED_VALUE"""),0.0)</f>
        <v>0</v>
      </c>
      <c r="V36" s="218" t="str">
        <f>IFERROR(__xludf.DUMMYFUNCTION("""COMPUTED_VALUE"""),"X")</f>
        <v>X</v>
      </c>
      <c r="W36" s="218" t="str">
        <f>IFERROR(__xludf.DUMMYFUNCTION("""COMPUTED_VALUE"""),"X")</f>
        <v>X</v>
      </c>
      <c r="X36" s="218" t="str">
        <f>IFERROR(__xludf.DUMMYFUNCTION("""COMPUTED_VALUE"""),"X")</f>
        <v>X</v>
      </c>
      <c r="Y36" s="217">
        <f>IFERROR(__xludf.DUMMYFUNCTION("""COMPUTED_VALUE"""),0.0)</f>
        <v>0</v>
      </c>
      <c r="Z36" s="218" t="str">
        <f>IFERROR(__xludf.DUMMYFUNCTION("""COMPUTED_VALUE"""),"X")</f>
        <v>X</v>
      </c>
      <c r="AA36" s="218" t="str">
        <f>IFERROR(__xludf.DUMMYFUNCTION("""COMPUTED_VALUE"""),"X")</f>
        <v>X</v>
      </c>
      <c r="AB36" s="218" t="str">
        <f>IFERROR(__xludf.DUMMYFUNCTION("""COMPUTED_VALUE"""),"X")</f>
        <v>X</v>
      </c>
      <c r="AC36" s="217">
        <f>IFERROR(__xludf.DUMMYFUNCTION("""COMPUTED_VALUE"""),0.0)</f>
        <v>0</v>
      </c>
      <c r="AD36" s="218" t="str">
        <f>IFERROR(__xludf.DUMMYFUNCTION("""COMPUTED_VALUE"""),"X")</f>
        <v>X</v>
      </c>
      <c r="AE36" s="218" t="str">
        <f>IFERROR(__xludf.DUMMYFUNCTION("""COMPUTED_VALUE"""),"X")</f>
        <v>X</v>
      </c>
      <c r="AF36" s="218" t="str">
        <f>IFERROR(__xludf.DUMMYFUNCTION("""COMPUTED_VALUE"""),"X")</f>
        <v>X</v>
      </c>
      <c r="AG36" s="217" t="str">
        <f>IFERROR(__xludf.DUMMYFUNCTION("""COMPUTED_VALUE"""),"#DIV/0!")</f>
        <v>#DIV/0!</v>
      </c>
      <c r="AH36" s="218" t="str">
        <f>IFERROR(__xludf.DUMMYFUNCTION("""COMPUTED_VALUE"""),"X")</f>
        <v>X</v>
      </c>
      <c r="AI36" s="218" t="str">
        <f>IFERROR(__xludf.DUMMYFUNCTION("""COMPUTED_VALUE"""),"X")</f>
        <v>X</v>
      </c>
      <c r="AJ36" s="218" t="str">
        <f>IFERROR(__xludf.DUMMYFUNCTION("""COMPUTED_VALUE"""),"X")</f>
        <v>X</v>
      </c>
      <c r="AK36" s="217" t="str">
        <f>IFERROR(__xludf.DUMMYFUNCTION("""COMPUTED_VALUE"""),"#DIV/0!")</f>
        <v>#DIV/0!</v>
      </c>
      <c r="AL36" s="218" t="str">
        <f>IFERROR(__xludf.DUMMYFUNCTION("""COMPUTED_VALUE"""),"X")</f>
        <v>X</v>
      </c>
      <c r="AM36" s="218" t="str">
        <f>IFERROR(__xludf.DUMMYFUNCTION("""COMPUTED_VALUE"""),"X")</f>
        <v>X</v>
      </c>
      <c r="AN36" s="218" t="str">
        <f>IFERROR(__xludf.DUMMYFUNCTION("""COMPUTED_VALUE"""),"X")</f>
        <v>X</v>
      </c>
      <c r="AO36" s="217" t="str">
        <f>IFERROR(__xludf.DUMMYFUNCTION("""COMPUTED_VALUE"""),"#DIV/0!")</f>
        <v>#DIV/0!</v>
      </c>
      <c r="AP36" s="218" t="str">
        <f>IFERROR(__xludf.DUMMYFUNCTION("""COMPUTED_VALUE"""),"X")</f>
        <v>X</v>
      </c>
      <c r="AQ36" s="218" t="str">
        <f>IFERROR(__xludf.DUMMYFUNCTION("""COMPUTED_VALUE"""),"X")</f>
        <v>X</v>
      </c>
      <c r="AR36" s="218" t="str">
        <f>IFERROR(__xludf.DUMMYFUNCTION("""COMPUTED_VALUE"""),"X")</f>
        <v>X</v>
      </c>
      <c r="AS36" s="217" t="str">
        <f>IFERROR(__xludf.DUMMYFUNCTION("""COMPUTED_VALUE"""),"#DIV/0!")</f>
        <v>#DIV/0!</v>
      </c>
      <c r="AT36" s="218" t="str">
        <f>IFERROR(__xludf.DUMMYFUNCTION("""COMPUTED_VALUE"""),"X")</f>
        <v>X</v>
      </c>
      <c r="AU36" s="218" t="str">
        <f>IFERROR(__xludf.DUMMYFUNCTION("""COMPUTED_VALUE"""),"X")</f>
        <v>X</v>
      </c>
      <c r="AV36" s="218" t="str">
        <f>IFERROR(__xludf.DUMMYFUNCTION("""COMPUTED_VALUE"""),"X")</f>
        <v>X</v>
      </c>
      <c r="AW36" s="217" t="str">
        <f>IFERROR(__xludf.DUMMYFUNCTION("""COMPUTED_VALUE"""),"#DIV/0!")</f>
        <v>#DIV/0!</v>
      </c>
      <c r="AX36" s="218" t="str">
        <f>IFERROR(__xludf.DUMMYFUNCTION("""COMPUTED_VALUE"""),"X")</f>
        <v>X</v>
      </c>
      <c r="AY36" s="218" t="str">
        <f>IFERROR(__xludf.DUMMYFUNCTION("""COMPUTED_VALUE"""),"X")</f>
        <v>X</v>
      </c>
      <c r="AZ36" s="219" t="str">
        <f>IFERROR(__xludf.DUMMYFUNCTION("""COMPUTED_VALUE"""),"X")</f>
        <v>X</v>
      </c>
      <c r="BA36" s="227"/>
    </row>
    <row r="37" ht="15.75" customHeight="1">
      <c r="A37" s="29"/>
      <c r="B37" s="30" t="str">
        <f>IFERROR(__xludf.DUMMYFUNCTION("""COMPUTED_VALUE"""),"5. ĐỘI NGŨ")</f>
        <v>5. ĐỘI NGŨ</v>
      </c>
      <c r="C37" s="31" t="str">
        <f>IFERROR(__xludf.DUMMYFUNCTION("""COMPUTED_VALUE"""),"Quí")</f>
        <v>Quí</v>
      </c>
      <c r="D37" s="31" t="str">
        <f>IFERROR(__xludf.DUMMYFUNCTION("""COMPUTED_VALUE"""),"Người")</f>
        <v>Người</v>
      </c>
      <c r="E37" s="32">
        <f>IFERROR(__xludf.DUMMYFUNCTION("""COMPUTED_VALUE"""),3820.0)</f>
        <v>3820</v>
      </c>
      <c r="F37" s="32">
        <f>IFERROR(__xludf.DUMMYFUNCTION("""COMPUTED_VALUE"""),3820.0)</f>
        <v>3820</v>
      </c>
      <c r="G37" s="32">
        <f>IFERROR(__xludf.DUMMYFUNCTION("""COMPUTED_VALUE"""),0.0)</f>
        <v>0</v>
      </c>
      <c r="H37" s="32">
        <f>IFERROR(__xludf.DUMMYFUNCTION("""COMPUTED_VALUE"""),0.0)</f>
        <v>0</v>
      </c>
      <c r="I37" s="32">
        <f>IFERROR(__xludf.DUMMYFUNCTION("""COMPUTED_VALUE"""),3820.0)</f>
        <v>3820</v>
      </c>
      <c r="J37" s="32">
        <f>IFERROR(__xludf.DUMMYFUNCTION("""COMPUTED_VALUE"""),3820.0)</f>
        <v>3820</v>
      </c>
      <c r="K37" s="32">
        <f>IFERROR(__xludf.DUMMYFUNCTION("""COMPUTED_VALUE"""),0.0)</f>
        <v>0</v>
      </c>
      <c r="L37" s="32">
        <f>IFERROR(__xludf.DUMMYFUNCTION("""COMPUTED_VALUE"""),0.0)</f>
        <v>0</v>
      </c>
      <c r="M37" s="32">
        <f>IFERROR(__xludf.DUMMYFUNCTION("""COMPUTED_VALUE"""),3789.0)</f>
        <v>3789</v>
      </c>
      <c r="N37" s="32">
        <f>IFERROR(__xludf.DUMMYFUNCTION("""COMPUTED_VALUE"""),3789.0)</f>
        <v>3789</v>
      </c>
      <c r="O37" s="32">
        <f>IFERROR(__xludf.DUMMYFUNCTION("""COMPUTED_VALUE"""),0.0)</f>
        <v>0</v>
      </c>
      <c r="P37" s="32">
        <f>IFERROR(__xludf.DUMMYFUNCTION("""COMPUTED_VALUE"""),0.0)</f>
        <v>0</v>
      </c>
      <c r="Q37" s="32">
        <f>IFERROR(__xludf.DUMMYFUNCTION("""COMPUTED_VALUE"""),3802.0)</f>
        <v>3802</v>
      </c>
      <c r="R37" s="32">
        <f>IFERROR(__xludf.DUMMYFUNCTION("""COMPUTED_VALUE"""),3802.0)</f>
        <v>3802</v>
      </c>
      <c r="S37" s="32">
        <f>IFERROR(__xludf.DUMMYFUNCTION("""COMPUTED_VALUE"""),0.0)</f>
        <v>0</v>
      </c>
      <c r="T37" s="32">
        <f>IFERROR(__xludf.DUMMYFUNCTION("""COMPUTED_VALUE"""),0.0)</f>
        <v>0</v>
      </c>
      <c r="U37" s="32">
        <f>IFERROR(__xludf.DUMMYFUNCTION("""COMPUTED_VALUE"""),3831.0)</f>
        <v>3831</v>
      </c>
      <c r="V37" s="32">
        <f>IFERROR(__xludf.DUMMYFUNCTION("""COMPUTED_VALUE"""),3831.0)</f>
        <v>3831</v>
      </c>
      <c r="W37" s="32">
        <f>IFERROR(__xludf.DUMMYFUNCTION("""COMPUTED_VALUE"""),0.0)</f>
        <v>0</v>
      </c>
      <c r="X37" s="32">
        <f>IFERROR(__xludf.DUMMYFUNCTION("""COMPUTED_VALUE"""),0.0)</f>
        <v>0</v>
      </c>
      <c r="Y37" s="32">
        <f>IFERROR(__xludf.DUMMYFUNCTION("""COMPUTED_VALUE"""),3828.0)</f>
        <v>3828</v>
      </c>
      <c r="Z37" s="32">
        <f>IFERROR(__xludf.DUMMYFUNCTION("""COMPUTED_VALUE"""),3828.0)</f>
        <v>3828</v>
      </c>
      <c r="AA37" s="32">
        <f>IFERROR(__xludf.DUMMYFUNCTION("""COMPUTED_VALUE"""),0.0)</f>
        <v>0</v>
      </c>
      <c r="AB37" s="32">
        <f>IFERROR(__xludf.DUMMYFUNCTION("""COMPUTED_VALUE"""),0.0)</f>
        <v>0</v>
      </c>
      <c r="AC37" s="32">
        <f>IFERROR(__xludf.DUMMYFUNCTION("""COMPUTED_VALUE"""),3605.0)</f>
        <v>3605</v>
      </c>
      <c r="AD37" s="32">
        <f>IFERROR(__xludf.DUMMYFUNCTION("""COMPUTED_VALUE"""),3605.0)</f>
        <v>3605</v>
      </c>
      <c r="AE37" s="32">
        <f>IFERROR(__xludf.DUMMYFUNCTION("""COMPUTED_VALUE"""),0.0)</f>
        <v>0</v>
      </c>
      <c r="AF37" s="32">
        <f>IFERROR(__xludf.DUMMYFUNCTION("""COMPUTED_VALUE"""),0.0)</f>
        <v>0</v>
      </c>
      <c r="AG37" s="32">
        <f>IFERROR(__xludf.DUMMYFUNCTION("""COMPUTED_VALUE"""),0.0)</f>
        <v>0</v>
      </c>
      <c r="AH37" s="32">
        <f>IFERROR(__xludf.DUMMYFUNCTION("""COMPUTED_VALUE"""),0.0)</f>
        <v>0</v>
      </c>
      <c r="AI37" s="32">
        <f>IFERROR(__xludf.DUMMYFUNCTION("""COMPUTED_VALUE"""),0.0)</f>
        <v>0</v>
      </c>
      <c r="AJ37" s="32">
        <f>IFERROR(__xludf.DUMMYFUNCTION("""COMPUTED_VALUE"""),0.0)</f>
        <v>0</v>
      </c>
      <c r="AK37" s="32">
        <f>IFERROR(__xludf.DUMMYFUNCTION("""COMPUTED_VALUE"""),0.0)</f>
        <v>0</v>
      </c>
      <c r="AL37" s="32">
        <f>IFERROR(__xludf.DUMMYFUNCTION("""COMPUTED_VALUE"""),0.0)</f>
        <v>0</v>
      </c>
      <c r="AM37" s="32">
        <f>IFERROR(__xludf.DUMMYFUNCTION("""COMPUTED_VALUE"""),0.0)</f>
        <v>0</v>
      </c>
      <c r="AN37" s="32">
        <f>IFERROR(__xludf.DUMMYFUNCTION("""COMPUTED_VALUE"""),0.0)</f>
        <v>0</v>
      </c>
      <c r="AO37" s="32">
        <f>IFERROR(__xludf.DUMMYFUNCTION("""COMPUTED_VALUE"""),0.0)</f>
        <v>0</v>
      </c>
      <c r="AP37" s="32">
        <f>IFERROR(__xludf.DUMMYFUNCTION("""COMPUTED_VALUE"""),0.0)</f>
        <v>0</v>
      </c>
      <c r="AQ37" s="32">
        <f>IFERROR(__xludf.DUMMYFUNCTION("""COMPUTED_VALUE"""),0.0)</f>
        <v>0</v>
      </c>
      <c r="AR37" s="32">
        <f>IFERROR(__xludf.DUMMYFUNCTION("""COMPUTED_VALUE"""),0.0)</f>
        <v>0</v>
      </c>
      <c r="AS37" s="32">
        <f>IFERROR(__xludf.DUMMYFUNCTION("""COMPUTED_VALUE"""),0.0)</f>
        <v>0</v>
      </c>
      <c r="AT37" s="32">
        <f>IFERROR(__xludf.DUMMYFUNCTION("""COMPUTED_VALUE"""),0.0)</f>
        <v>0</v>
      </c>
      <c r="AU37" s="32">
        <f>IFERROR(__xludf.DUMMYFUNCTION("""COMPUTED_VALUE"""),0.0)</f>
        <v>0</v>
      </c>
      <c r="AV37" s="32">
        <f>IFERROR(__xludf.DUMMYFUNCTION("""COMPUTED_VALUE"""),0.0)</f>
        <v>0</v>
      </c>
      <c r="AW37" s="32">
        <f>IFERROR(__xludf.DUMMYFUNCTION("""COMPUTED_VALUE"""),0.0)</f>
        <v>0</v>
      </c>
      <c r="AX37" s="32">
        <f>IFERROR(__xludf.DUMMYFUNCTION("""COMPUTED_VALUE"""),0.0)</f>
        <v>0</v>
      </c>
      <c r="AY37" s="32">
        <f>IFERROR(__xludf.DUMMYFUNCTION("""COMPUTED_VALUE"""),0.0)</f>
        <v>0</v>
      </c>
      <c r="AZ37" s="33">
        <f>IFERROR(__xludf.DUMMYFUNCTION("""COMPUTED_VALUE"""),0.0)</f>
        <v>0</v>
      </c>
      <c r="BA37" s="34"/>
    </row>
    <row r="38" ht="15.75" customHeight="1">
      <c r="A38" s="29"/>
      <c r="B38" s="196" t="str">
        <f>IFERROR(__xludf.DUMMYFUNCTION("""COMPUTED_VALUE"""),"5.1. Tổng số cán bộ quản lí (C.chức+V.chức)")</f>
        <v>5.1. Tổng số cán bộ quản lí (C.chức+V.chức)</v>
      </c>
      <c r="C38" s="57"/>
      <c r="D38" s="57" t="str">
        <f>IFERROR(__xludf.DUMMYFUNCTION("""COMPUTED_VALUE""")," Người")</f>
        <v> Người</v>
      </c>
      <c r="E38" s="125">
        <f>IFERROR(__xludf.DUMMYFUNCTION("""COMPUTED_VALUE"""),201.0)</f>
        <v>201</v>
      </c>
      <c r="F38" s="201">
        <f>IFERROR(__xludf.DUMMYFUNCTION("""COMPUTED_VALUE"""),201.0)</f>
        <v>201</v>
      </c>
      <c r="G38" s="201">
        <f>IFERROR(__xludf.DUMMYFUNCTION("""COMPUTED_VALUE"""),0.0)</f>
        <v>0</v>
      </c>
      <c r="H38" s="201">
        <f>IFERROR(__xludf.DUMMYFUNCTION("""COMPUTED_VALUE"""),0.0)</f>
        <v>0</v>
      </c>
      <c r="I38" s="125">
        <f>IFERROR(__xludf.DUMMYFUNCTION("""COMPUTED_VALUE"""),200.0)</f>
        <v>200</v>
      </c>
      <c r="J38" s="201">
        <f>IFERROR(__xludf.DUMMYFUNCTION("""COMPUTED_VALUE"""),200.0)</f>
        <v>200</v>
      </c>
      <c r="K38" s="201">
        <f>IFERROR(__xludf.DUMMYFUNCTION("""COMPUTED_VALUE"""),0.0)</f>
        <v>0</v>
      </c>
      <c r="L38" s="201">
        <f>IFERROR(__xludf.DUMMYFUNCTION("""COMPUTED_VALUE"""),0.0)</f>
        <v>0</v>
      </c>
      <c r="M38" s="125">
        <f>IFERROR(__xludf.DUMMYFUNCTION("""COMPUTED_VALUE"""),197.0)</f>
        <v>197</v>
      </c>
      <c r="N38" s="201">
        <f>IFERROR(__xludf.DUMMYFUNCTION("""COMPUTED_VALUE"""),197.0)</f>
        <v>197</v>
      </c>
      <c r="O38" s="201">
        <f>IFERROR(__xludf.DUMMYFUNCTION("""COMPUTED_VALUE"""),0.0)</f>
        <v>0</v>
      </c>
      <c r="P38" s="201">
        <f>IFERROR(__xludf.DUMMYFUNCTION("""COMPUTED_VALUE"""),0.0)</f>
        <v>0</v>
      </c>
      <c r="Q38" s="125">
        <f>IFERROR(__xludf.DUMMYFUNCTION("""COMPUTED_VALUE"""),196.0)</f>
        <v>196</v>
      </c>
      <c r="R38" s="201">
        <f>IFERROR(__xludf.DUMMYFUNCTION("""COMPUTED_VALUE"""),196.0)</f>
        <v>196</v>
      </c>
      <c r="S38" s="201">
        <f>IFERROR(__xludf.DUMMYFUNCTION("""COMPUTED_VALUE"""),0.0)</f>
        <v>0</v>
      </c>
      <c r="T38" s="201">
        <f>IFERROR(__xludf.DUMMYFUNCTION("""COMPUTED_VALUE"""),0.0)</f>
        <v>0</v>
      </c>
      <c r="U38" s="125">
        <f>IFERROR(__xludf.DUMMYFUNCTION("""COMPUTED_VALUE"""),199.0)</f>
        <v>199</v>
      </c>
      <c r="V38" s="201">
        <f>IFERROR(__xludf.DUMMYFUNCTION("""COMPUTED_VALUE"""),199.0)</f>
        <v>199</v>
      </c>
      <c r="W38" s="201">
        <f>IFERROR(__xludf.DUMMYFUNCTION("""COMPUTED_VALUE"""),0.0)</f>
        <v>0</v>
      </c>
      <c r="X38" s="201">
        <f>IFERROR(__xludf.DUMMYFUNCTION("""COMPUTED_VALUE"""),0.0)</f>
        <v>0</v>
      </c>
      <c r="Y38" s="125">
        <f>IFERROR(__xludf.DUMMYFUNCTION("""COMPUTED_VALUE"""),199.0)</f>
        <v>199</v>
      </c>
      <c r="Z38" s="201">
        <f>IFERROR(__xludf.DUMMYFUNCTION("""COMPUTED_VALUE"""),199.0)</f>
        <v>199</v>
      </c>
      <c r="AA38" s="201">
        <f>IFERROR(__xludf.DUMMYFUNCTION("""COMPUTED_VALUE"""),0.0)</f>
        <v>0</v>
      </c>
      <c r="AB38" s="201">
        <f>IFERROR(__xludf.DUMMYFUNCTION("""COMPUTED_VALUE"""),0.0)</f>
        <v>0</v>
      </c>
      <c r="AC38" s="125">
        <f>IFERROR(__xludf.DUMMYFUNCTION("""COMPUTED_VALUE"""),198.0)</f>
        <v>198</v>
      </c>
      <c r="AD38" s="201">
        <f>IFERROR(__xludf.DUMMYFUNCTION("""COMPUTED_VALUE"""),198.0)</f>
        <v>198</v>
      </c>
      <c r="AE38" s="201">
        <f>IFERROR(__xludf.DUMMYFUNCTION("""COMPUTED_VALUE"""),0.0)</f>
        <v>0</v>
      </c>
      <c r="AF38" s="201">
        <f>IFERROR(__xludf.DUMMYFUNCTION("""COMPUTED_VALUE"""),0.0)</f>
        <v>0</v>
      </c>
      <c r="AG38" s="125">
        <f>IFERROR(__xludf.DUMMYFUNCTION("""COMPUTED_VALUE"""),0.0)</f>
        <v>0</v>
      </c>
      <c r="AH38" s="201">
        <f>IFERROR(__xludf.DUMMYFUNCTION("""COMPUTED_VALUE"""),0.0)</f>
        <v>0</v>
      </c>
      <c r="AI38" s="201">
        <f>IFERROR(__xludf.DUMMYFUNCTION("""COMPUTED_VALUE"""),0.0)</f>
        <v>0</v>
      </c>
      <c r="AJ38" s="201">
        <f>IFERROR(__xludf.DUMMYFUNCTION("""COMPUTED_VALUE"""),0.0)</f>
        <v>0</v>
      </c>
      <c r="AK38" s="125">
        <f>IFERROR(__xludf.DUMMYFUNCTION("""COMPUTED_VALUE"""),0.0)</f>
        <v>0</v>
      </c>
      <c r="AL38" s="201">
        <f>IFERROR(__xludf.DUMMYFUNCTION("""COMPUTED_VALUE"""),0.0)</f>
        <v>0</v>
      </c>
      <c r="AM38" s="201">
        <f>IFERROR(__xludf.DUMMYFUNCTION("""COMPUTED_VALUE"""),0.0)</f>
        <v>0</v>
      </c>
      <c r="AN38" s="201">
        <f>IFERROR(__xludf.DUMMYFUNCTION("""COMPUTED_VALUE"""),0.0)</f>
        <v>0</v>
      </c>
      <c r="AO38" s="125">
        <f>IFERROR(__xludf.DUMMYFUNCTION("""COMPUTED_VALUE"""),0.0)</f>
        <v>0</v>
      </c>
      <c r="AP38" s="201">
        <f>IFERROR(__xludf.DUMMYFUNCTION("""COMPUTED_VALUE"""),0.0)</f>
        <v>0</v>
      </c>
      <c r="AQ38" s="201">
        <f>IFERROR(__xludf.DUMMYFUNCTION("""COMPUTED_VALUE"""),0.0)</f>
        <v>0</v>
      </c>
      <c r="AR38" s="201">
        <f>IFERROR(__xludf.DUMMYFUNCTION("""COMPUTED_VALUE"""),0.0)</f>
        <v>0</v>
      </c>
      <c r="AS38" s="125">
        <f>IFERROR(__xludf.DUMMYFUNCTION("""COMPUTED_VALUE"""),0.0)</f>
        <v>0</v>
      </c>
      <c r="AT38" s="201">
        <f>IFERROR(__xludf.DUMMYFUNCTION("""COMPUTED_VALUE"""),0.0)</f>
        <v>0</v>
      </c>
      <c r="AU38" s="201">
        <f>IFERROR(__xludf.DUMMYFUNCTION("""COMPUTED_VALUE"""),0.0)</f>
        <v>0</v>
      </c>
      <c r="AV38" s="201">
        <f>IFERROR(__xludf.DUMMYFUNCTION("""COMPUTED_VALUE"""),0.0)</f>
        <v>0</v>
      </c>
      <c r="AW38" s="125">
        <f>IFERROR(__xludf.DUMMYFUNCTION("""COMPUTED_VALUE"""),0.0)</f>
        <v>0</v>
      </c>
      <c r="AX38" s="201">
        <f>IFERROR(__xludf.DUMMYFUNCTION("""COMPUTED_VALUE"""),0.0)</f>
        <v>0</v>
      </c>
      <c r="AY38" s="201">
        <f>IFERROR(__xludf.DUMMYFUNCTION("""COMPUTED_VALUE"""),0.0)</f>
        <v>0</v>
      </c>
      <c r="AZ38" s="202">
        <f>IFERROR(__xludf.DUMMYFUNCTION("""COMPUTED_VALUE"""),0.0)</f>
        <v>0</v>
      </c>
      <c r="BA38" s="34"/>
    </row>
    <row r="39" ht="15.75" customHeight="1">
      <c r="A39" s="29"/>
      <c r="B39" s="196" t="str">
        <f>IFERROR(__xludf.DUMMYFUNCTION("""COMPUTED_VALUE"""),"5.2. Tổng số giáo viên biên chế")</f>
        <v>5.2. Tổng số giáo viên biên chế</v>
      </c>
      <c r="C39" s="57"/>
      <c r="D39" s="57" t="str">
        <f>IFERROR(__xludf.DUMMYFUNCTION("""COMPUTED_VALUE""")," Người")</f>
        <v> Người</v>
      </c>
      <c r="E39" s="125">
        <f>IFERROR(__xludf.DUMMYFUNCTION("""COMPUTED_VALUE"""),3178.0)</f>
        <v>3178</v>
      </c>
      <c r="F39" s="201">
        <f>IFERROR(__xludf.DUMMYFUNCTION("""COMPUTED_VALUE"""),3178.0)</f>
        <v>3178</v>
      </c>
      <c r="G39" s="201">
        <f>IFERROR(__xludf.DUMMYFUNCTION("""COMPUTED_VALUE"""),0.0)</f>
        <v>0</v>
      </c>
      <c r="H39" s="201">
        <f>IFERROR(__xludf.DUMMYFUNCTION("""COMPUTED_VALUE"""),0.0)</f>
        <v>0</v>
      </c>
      <c r="I39" s="125">
        <f>IFERROR(__xludf.DUMMYFUNCTION("""COMPUTED_VALUE"""),3172.0)</f>
        <v>3172</v>
      </c>
      <c r="J39" s="201">
        <f>IFERROR(__xludf.DUMMYFUNCTION("""COMPUTED_VALUE"""),3172.0)</f>
        <v>3172</v>
      </c>
      <c r="K39" s="201">
        <f>IFERROR(__xludf.DUMMYFUNCTION("""COMPUTED_VALUE"""),0.0)</f>
        <v>0</v>
      </c>
      <c r="L39" s="201">
        <f>IFERROR(__xludf.DUMMYFUNCTION("""COMPUTED_VALUE"""),0.0)</f>
        <v>0</v>
      </c>
      <c r="M39" s="125">
        <f>IFERROR(__xludf.DUMMYFUNCTION("""COMPUTED_VALUE"""),3168.0)</f>
        <v>3168</v>
      </c>
      <c r="N39" s="201">
        <f>IFERROR(__xludf.DUMMYFUNCTION("""COMPUTED_VALUE"""),3168.0)</f>
        <v>3168</v>
      </c>
      <c r="O39" s="201">
        <f>IFERROR(__xludf.DUMMYFUNCTION("""COMPUTED_VALUE"""),0.0)</f>
        <v>0</v>
      </c>
      <c r="P39" s="201">
        <f>IFERROR(__xludf.DUMMYFUNCTION("""COMPUTED_VALUE"""),0.0)</f>
        <v>0</v>
      </c>
      <c r="Q39" s="125">
        <f>IFERROR(__xludf.DUMMYFUNCTION("""COMPUTED_VALUE"""),3166.0)</f>
        <v>3166</v>
      </c>
      <c r="R39" s="201">
        <f>IFERROR(__xludf.DUMMYFUNCTION("""COMPUTED_VALUE"""),3166.0)</f>
        <v>3166</v>
      </c>
      <c r="S39" s="201">
        <f>IFERROR(__xludf.DUMMYFUNCTION("""COMPUTED_VALUE"""),0.0)</f>
        <v>0</v>
      </c>
      <c r="T39" s="201">
        <f>IFERROR(__xludf.DUMMYFUNCTION("""COMPUTED_VALUE"""),0.0)</f>
        <v>0</v>
      </c>
      <c r="U39" s="125">
        <f>IFERROR(__xludf.DUMMYFUNCTION("""COMPUTED_VALUE"""),3194.0)</f>
        <v>3194</v>
      </c>
      <c r="V39" s="201">
        <f>IFERROR(__xludf.DUMMYFUNCTION("""COMPUTED_VALUE"""),3194.0)</f>
        <v>3194</v>
      </c>
      <c r="W39" s="201">
        <f>IFERROR(__xludf.DUMMYFUNCTION("""COMPUTED_VALUE"""),0.0)</f>
        <v>0</v>
      </c>
      <c r="X39" s="201">
        <f>IFERROR(__xludf.DUMMYFUNCTION("""COMPUTED_VALUE"""),0.0)</f>
        <v>0</v>
      </c>
      <c r="Y39" s="125">
        <f>IFERROR(__xludf.DUMMYFUNCTION("""COMPUTED_VALUE"""),3194.0)</f>
        <v>3194</v>
      </c>
      <c r="Z39" s="201">
        <f>IFERROR(__xludf.DUMMYFUNCTION("""COMPUTED_VALUE"""),3194.0)</f>
        <v>3194</v>
      </c>
      <c r="AA39" s="201">
        <f>IFERROR(__xludf.DUMMYFUNCTION("""COMPUTED_VALUE"""),0.0)</f>
        <v>0</v>
      </c>
      <c r="AB39" s="201">
        <f>IFERROR(__xludf.DUMMYFUNCTION("""COMPUTED_VALUE"""),0.0)</f>
        <v>0</v>
      </c>
      <c r="AC39" s="125">
        <f>IFERROR(__xludf.DUMMYFUNCTION("""COMPUTED_VALUE"""),3091.0)</f>
        <v>3091</v>
      </c>
      <c r="AD39" s="201">
        <f>IFERROR(__xludf.DUMMYFUNCTION("""COMPUTED_VALUE"""),3091.0)</f>
        <v>3091</v>
      </c>
      <c r="AE39" s="201">
        <f>IFERROR(__xludf.DUMMYFUNCTION("""COMPUTED_VALUE"""),0.0)</f>
        <v>0</v>
      </c>
      <c r="AF39" s="201">
        <f>IFERROR(__xludf.DUMMYFUNCTION("""COMPUTED_VALUE"""),0.0)</f>
        <v>0</v>
      </c>
      <c r="AG39" s="125">
        <f>IFERROR(__xludf.DUMMYFUNCTION("""COMPUTED_VALUE"""),0.0)</f>
        <v>0</v>
      </c>
      <c r="AH39" s="201">
        <f>IFERROR(__xludf.DUMMYFUNCTION("""COMPUTED_VALUE"""),0.0)</f>
        <v>0</v>
      </c>
      <c r="AI39" s="201">
        <f>IFERROR(__xludf.DUMMYFUNCTION("""COMPUTED_VALUE"""),0.0)</f>
        <v>0</v>
      </c>
      <c r="AJ39" s="201">
        <f>IFERROR(__xludf.DUMMYFUNCTION("""COMPUTED_VALUE"""),0.0)</f>
        <v>0</v>
      </c>
      <c r="AK39" s="125">
        <f>IFERROR(__xludf.DUMMYFUNCTION("""COMPUTED_VALUE"""),0.0)</f>
        <v>0</v>
      </c>
      <c r="AL39" s="201">
        <f>IFERROR(__xludf.DUMMYFUNCTION("""COMPUTED_VALUE"""),0.0)</f>
        <v>0</v>
      </c>
      <c r="AM39" s="201">
        <f>IFERROR(__xludf.DUMMYFUNCTION("""COMPUTED_VALUE"""),0.0)</f>
        <v>0</v>
      </c>
      <c r="AN39" s="201">
        <f>IFERROR(__xludf.DUMMYFUNCTION("""COMPUTED_VALUE"""),0.0)</f>
        <v>0</v>
      </c>
      <c r="AO39" s="125">
        <f>IFERROR(__xludf.DUMMYFUNCTION("""COMPUTED_VALUE"""),0.0)</f>
        <v>0</v>
      </c>
      <c r="AP39" s="201">
        <f>IFERROR(__xludf.DUMMYFUNCTION("""COMPUTED_VALUE"""),0.0)</f>
        <v>0</v>
      </c>
      <c r="AQ39" s="201">
        <f>IFERROR(__xludf.DUMMYFUNCTION("""COMPUTED_VALUE"""),0.0)</f>
        <v>0</v>
      </c>
      <c r="AR39" s="201">
        <f>IFERROR(__xludf.DUMMYFUNCTION("""COMPUTED_VALUE"""),0.0)</f>
        <v>0</v>
      </c>
      <c r="AS39" s="125">
        <f>IFERROR(__xludf.DUMMYFUNCTION("""COMPUTED_VALUE"""),0.0)</f>
        <v>0</v>
      </c>
      <c r="AT39" s="201">
        <f>IFERROR(__xludf.DUMMYFUNCTION("""COMPUTED_VALUE"""),0.0)</f>
        <v>0</v>
      </c>
      <c r="AU39" s="201">
        <f>IFERROR(__xludf.DUMMYFUNCTION("""COMPUTED_VALUE"""),0.0)</f>
        <v>0</v>
      </c>
      <c r="AV39" s="201">
        <f>IFERROR(__xludf.DUMMYFUNCTION("""COMPUTED_VALUE"""),0.0)</f>
        <v>0</v>
      </c>
      <c r="AW39" s="125">
        <f>IFERROR(__xludf.DUMMYFUNCTION("""COMPUTED_VALUE"""),0.0)</f>
        <v>0</v>
      </c>
      <c r="AX39" s="201">
        <f>IFERROR(__xludf.DUMMYFUNCTION("""COMPUTED_VALUE"""),0.0)</f>
        <v>0</v>
      </c>
      <c r="AY39" s="201">
        <f>IFERROR(__xludf.DUMMYFUNCTION("""COMPUTED_VALUE"""),0.0)</f>
        <v>0</v>
      </c>
      <c r="AZ39" s="202">
        <f>IFERROR(__xludf.DUMMYFUNCTION("""COMPUTED_VALUE"""),0.0)</f>
        <v>0</v>
      </c>
      <c r="BA39" s="34"/>
    </row>
    <row r="40" ht="15.75" customHeight="1">
      <c r="A40" s="29"/>
      <c r="B40" s="48" t="str">
        <f>IFERROR(__xludf.DUMMYFUNCTION("""COMPUTED_VALUE"""),"Chia ra:")</f>
        <v>Chia ra:</v>
      </c>
      <c r="C40" s="49"/>
      <c r="D40" s="3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50"/>
      <c r="BA40" s="34"/>
    </row>
    <row r="41" ht="15.75" customHeight="1">
      <c r="A41" s="29"/>
      <c r="B41" s="67" t="str">
        <f>IFERROR(__xludf.DUMMYFUNCTION("""COMPUTED_VALUE""")," + Chưa đạt chuẩn")</f>
        <v> + Chưa đạt chuẩn</v>
      </c>
      <c r="C41" s="31"/>
      <c r="D41" s="31" t="str">
        <f>IFERROR(__xludf.DUMMYFUNCTION("""COMPUTED_VALUE""")," Người")</f>
        <v> Người</v>
      </c>
      <c r="E41" s="41">
        <f>IFERROR(__xludf.DUMMYFUNCTION("""COMPUTED_VALUE"""),161.0)</f>
        <v>161</v>
      </c>
      <c r="F41" s="197">
        <f>IFERROR(__xludf.DUMMYFUNCTION("""COMPUTED_VALUE"""),161.0)</f>
        <v>161</v>
      </c>
      <c r="G41" s="197">
        <f>IFERROR(__xludf.DUMMYFUNCTION("""COMPUTED_VALUE"""),0.0)</f>
        <v>0</v>
      </c>
      <c r="H41" s="197">
        <f>IFERROR(__xludf.DUMMYFUNCTION("""COMPUTED_VALUE"""),0.0)</f>
        <v>0</v>
      </c>
      <c r="I41" s="41">
        <f>IFERROR(__xludf.DUMMYFUNCTION("""COMPUTED_VALUE"""),160.0)</f>
        <v>160</v>
      </c>
      <c r="J41" s="197">
        <f>IFERROR(__xludf.DUMMYFUNCTION("""COMPUTED_VALUE"""),160.0)</f>
        <v>160</v>
      </c>
      <c r="K41" s="197">
        <f>IFERROR(__xludf.DUMMYFUNCTION("""COMPUTED_VALUE"""),0.0)</f>
        <v>0</v>
      </c>
      <c r="L41" s="197">
        <f>IFERROR(__xludf.DUMMYFUNCTION("""COMPUTED_VALUE"""),0.0)</f>
        <v>0</v>
      </c>
      <c r="M41" s="41">
        <f>IFERROR(__xludf.DUMMYFUNCTION("""COMPUTED_VALUE"""),158.0)</f>
        <v>158</v>
      </c>
      <c r="N41" s="197">
        <f>IFERROR(__xludf.DUMMYFUNCTION("""COMPUTED_VALUE"""),158.0)</f>
        <v>158</v>
      </c>
      <c r="O41" s="197">
        <f>IFERROR(__xludf.DUMMYFUNCTION("""COMPUTED_VALUE"""),0.0)</f>
        <v>0</v>
      </c>
      <c r="P41" s="197">
        <f>IFERROR(__xludf.DUMMYFUNCTION("""COMPUTED_VALUE"""),0.0)</f>
        <v>0</v>
      </c>
      <c r="Q41" s="41">
        <f>IFERROR(__xludf.DUMMYFUNCTION("""COMPUTED_VALUE"""),159.0)</f>
        <v>159</v>
      </c>
      <c r="R41" s="197">
        <f>IFERROR(__xludf.DUMMYFUNCTION("""COMPUTED_VALUE"""),159.0)</f>
        <v>159</v>
      </c>
      <c r="S41" s="197">
        <f>IFERROR(__xludf.DUMMYFUNCTION("""COMPUTED_VALUE"""),0.0)</f>
        <v>0</v>
      </c>
      <c r="T41" s="197">
        <f>IFERROR(__xludf.DUMMYFUNCTION("""COMPUTED_VALUE"""),0.0)</f>
        <v>0</v>
      </c>
      <c r="U41" s="41">
        <f>IFERROR(__xludf.DUMMYFUNCTION("""COMPUTED_VALUE"""),160.0)</f>
        <v>160</v>
      </c>
      <c r="V41" s="197">
        <f>IFERROR(__xludf.DUMMYFUNCTION("""COMPUTED_VALUE"""),160.0)</f>
        <v>160</v>
      </c>
      <c r="W41" s="197">
        <f>IFERROR(__xludf.DUMMYFUNCTION("""COMPUTED_VALUE"""),0.0)</f>
        <v>0</v>
      </c>
      <c r="X41" s="197">
        <f>IFERROR(__xludf.DUMMYFUNCTION("""COMPUTED_VALUE"""),0.0)</f>
        <v>0</v>
      </c>
      <c r="Y41" s="41">
        <f>IFERROR(__xludf.DUMMYFUNCTION("""COMPUTED_VALUE"""),154.0)</f>
        <v>154</v>
      </c>
      <c r="Z41" s="197">
        <f>IFERROR(__xludf.DUMMYFUNCTION("""COMPUTED_VALUE"""),154.0)</f>
        <v>154</v>
      </c>
      <c r="AA41" s="197">
        <f>IFERROR(__xludf.DUMMYFUNCTION("""COMPUTED_VALUE"""),0.0)</f>
        <v>0</v>
      </c>
      <c r="AB41" s="197">
        <f>IFERROR(__xludf.DUMMYFUNCTION("""COMPUTED_VALUE"""),0.0)</f>
        <v>0</v>
      </c>
      <c r="AC41" s="41">
        <f>IFERROR(__xludf.DUMMYFUNCTION("""COMPUTED_VALUE"""),156.0)</f>
        <v>156</v>
      </c>
      <c r="AD41" s="197">
        <f>IFERROR(__xludf.DUMMYFUNCTION("""COMPUTED_VALUE"""),156.0)</f>
        <v>156</v>
      </c>
      <c r="AE41" s="197">
        <f>IFERROR(__xludf.DUMMYFUNCTION("""COMPUTED_VALUE"""),0.0)</f>
        <v>0</v>
      </c>
      <c r="AF41" s="197">
        <f>IFERROR(__xludf.DUMMYFUNCTION("""COMPUTED_VALUE"""),0.0)</f>
        <v>0</v>
      </c>
      <c r="AG41" s="41">
        <f>IFERROR(__xludf.DUMMYFUNCTION("""COMPUTED_VALUE"""),0.0)</f>
        <v>0</v>
      </c>
      <c r="AH41" s="197">
        <f>IFERROR(__xludf.DUMMYFUNCTION("""COMPUTED_VALUE"""),0.0)</f>
        <v>0</v>
      </c>
      <c r="AI41" s="197">
        <f>IFERROR(__xludf.DUMMYFUNCTION("""COMPUTED_VALUE"""),0.0)</f>
        <v>0</v>
      </c>
      <c r="AJ41" s="197">
        <f>IFERROR(__xludf.DUMMYFUNCTION("""COMPUTED_VALUE"""),0.0)</f>
        <v>0</v>
      </c>
      <c r="AK41" s="41">
        <f>IFERROR(__xludf.DUMMYFUNCTION("""COMPUTED_VALUE"""),0.0)</f>
        <v>0</v>
      </c>
      <c r="AL41" s="197">
        <f>IFERROR(__xludf.DUMMYFUNCTION("""COMPUTED_VALUE"""),0.0)</f>
        <v>0</v>
      </c>
      <c r="AM41" s="197">
        <f>IFERROR(__xludf.DUMMYFUNCTION("""COMPUTED_VALUE"""),0.0)</f>
        <v>0</v>
      </c>
      <c r="AN41" s="197">
        <f>IFERROR(__xludf.DUMMYFUNCTION("""COMPUTED_VALUE"""),0.0)</f>
        <v>0</v>
      </c>
      <c r="AO41" s="41">
        <f>IFERROR(__xludf.DUMMYFUNCTION("""COMPUTED_VALUE"""),0.0)</f>
        <v>0</v>
      </c>
      <c r="AP41" s="197">
        <f>IFERROR(__xludf.DUMMYFUNCTION("""COMPUTED_VALUE"""),0.0)</f>
        <v>0</v>
      </c>
      <c r="AQ41" s="197">
        <f>IFERROR(__xludf.DUMMYFUNCTION("""COMPUTED_VALUE"""),0.0)</f>
        <v>0</v>
      </c>
      <c r="AR41" s="197">
        <f>IFERROR(__xludf.DUMMYFUNCTION("""COMPUTED_VALUE"""),0.0)</f>
        <v>0</v>
      </c>
      <c r="AS41" s="41">
        <f>IFERROR(__xludf.DUMMYFUNCTION("""COMPUTED_VALUE"""),0.0)</f>
        <v>0</v>
      </c>
      <c r="AT41" s="197">
        <f>IFERROR(__xludf.DUMMYFUNCTION("""COMPUTED_VALUE"""),0.0)</f>
        <v>0</v>
      </c>
      <c r="AU41" s="197">
        <f>IFERROR(__xludf.DUMMYFUNCTION("""COMPUTED_VALUE"""),0.0)</f>
        <v>0</v>
      </c>
      <c r="AV41" s="197">
        <f>IFERROR(__xludf.DUMMYFUNCTION("""COMPUTED_VALUE"""),0.0)</f>
        <v>0</v>
      </c>
      <c r="AW41" s="41">
        <f>IFERROR(__xludf.DUMMYFUNCTION("""COMPUTED_VALUE"""),0.0)</f>
        <v>0</v>
      </c>
      <c r="AX41" s="197">
        <f>IFERROR(__xludf.DUMMYFUNCTION("""COMPUTED_VALUE"""),0.0)</f>
        <v>0</v>
      </c>
      <c r="AY41" s="197">
        <f>IFERROR(__xludf.DUMMYFUNCTION("""COMPUTED_VALUE"""),0.0)</f>
        <v>0</v>
      </c>
      <c r="AZ41" s="198">
        <f>IFERROR(__xludf.DUMMYFUNCTION("""COMPUTED_VALUE"""),0.0)</f>
        <v>0</v>
      </c>
      <c r="BA41" s="34"/>
    </row>
    <row r="42" ht="15.75" customHeight="1">
      <c r="A42" s="29"/>
      <c r="B42" s="67" t="str">
        <f>IFERROR(__xludf.DUMMYFUNCTION("""COMPUTED_VALUE""")," + Đạt chuẩn")</f>
        <v> + Đạt chuẩn</v>
      </c>
      <c r="C42" s="31"/>
      <c r="D42" s="31" t="str">
        <f>IFERROR(__xludf.DUMMYFUNCTION("""COMPUTED_VALUE"""),"""")</f>
        <v>"</v>
      </c>
      <c r="E42" s="41">
        <f>IFERROR(__xludf.DUMMYFUNCTION("""COMPUTED_VALUE"""),2995.0)</f>
        <v>2995</v>
      </c>
      <c r="F42" s="197">
        <f>IFERROR(__xludf.DUMMYFUNCTION("""COMPUTED_VALUE"""),2995.0)</f>
        <v>2995</v>
      </c>
      <c r="G42" s="197">
        <f>IFERROR(__xludf.DUMMYFUNCTION("""COMPUTED_VALUE"""),0.0)</f>
        <v>0</v>
      </c>
      <c r="H42" s="197">
        <f>IFERROR(__xludf.DUMMYFUNCTION("""COMPUTED_VALUE"""),0.0)</f>
        <v>0</v>
      </c>
      <c r="I42" s="41">
        <f>IFERROR(__xludf.DUMMYFUNCTION("""COMPUTED_VALUE"""),2991.0)</f>
        <v>2991</v>
      </c>
      <c r="J42" s="197">
        <f>IFERROR(__xludf.DUMMYFUNCTION("""COMPUTED_VALUE"""),2991.0)</f>
        <v>2991</v>
      </c>
      <c r="K42" s="197">
        <f>IFERROR(__xludf.DUMMYFUNCTION("""COMPUTED_VALUE"""),0.0)</f>
        <v>0</v>
      </c>
      <c r="L42" s="197">
        <f>IFERROR(__xludf.DUMMYFUNCTION("""COMPUTED_VALUE"""),0.0)</f>
        <v>0</v>
      </c>
      <c r="M42" s="41">
        <f>IFERROR(__xludf.DUMMYFUNCTION("""COMPUTED_VALUE"""),2952.0)</f>
        <v>2952</v>
      </c>
      <c r="N42" s="197">
        <f>IFERROR(__xludf.DUMMYFUNCTION("""COMPUTED_VALUE"""),2952.0)</f>
        <v>2952</v>
      </c>
      <c r="O42" s="197">
        <f>IFERROR(__xludf.DUMMYFUNCTION("""COMPUTED_VALUE"""),0.0)</f>
        <v>0</v>
      </c>
      <c r="P42" s="197">
        <f>IFERROR(__xludf.DUMMYFUNCTION("""COMPUTED_VALUE"""),0.0)</f>
        <v>0</v>
      </c>
      <c r="Q42" s="41">
        <f>IFERROR(__xludf.DUMMYFUNCTION("""COMPUTED_VALUE"""),2985.0)</f>
        <v>2985</v>
      </c>
      <c r="R42" s="197">
        <f>IFERROR(__xludf.DUMMYFUNCTION("""COMPUTED_VALUE"""),2985.0)</f>
        <v>2985</v>
      </c>
      <c r="S42" s="197">
        <f>IFERROR(__xludf.DUMMYFUNCTION("""COMPUTED_VALUE"""),0.0)</f>
        <v>0</v>
      </c>
      <c r="T42" s="197">
        <f>IFERROR(__xludf.DUMMYFUNCTION("""COMPUTED_VALUE"""),0.0)</f>
        <v>0</v>
      </c>
      <c r="U42" s="41">
        <f>IFERROR(__xludf.DUMMYFUNCTION("""COMPUTED_VALUE"""),3008.0)</f>
        <v>3008</v>
      </c>
      <c r="V42" s="197">
        <f>IFERROR(__xludf.DUMMYFUNCTION("""COMPUTED_VALUE"""),3008.0)</f>
        <v>3008</v>
      </c>
      <c r="W42" s="197">
        <f>IFERROR(__xludf.DUMMYFUNCTION("""COMPUTED_VALUE"""),0.0)</f>
        <v>0</v>
      </c>
      <c r="X42" s="197">
        <f>IFERROR(__xludf.DUMMYFUNCTION("""COMPUTED_VALUE"""),0.0)</f>
        <v>0</v>
      </c>
      <c r="Y42" s="41">
        <f>IFERROR(__xludf.DUMMYFUNCTION("""COMPUTED_VALUE"""),2962.0)</f>
        <v>2962</v>
      </c>
      <c r="Z42" s="197">
        <f>IFERROR(__xludf.DUMMYFUNCTION("""COMPUTED_VALUE"""),2962.0)</f>
        <v>2962</v>
      </c>
      <c r="AA42" s="197">
        <f>IFERROR(__xludf.DUMMYFUNCTION("""COMPUTED_VALUE"""),0.0)</f>
        <v>0</v>
      </c>
      <c r="AB42" s="197">
        <f>IFERROR(__xludf.DUMMYFUNCTION("""COMPUTED_VALUE"""),0.0)</f>
        <v>0</v>
      </c>
      <c r="AC42" s="41">
        <f>IFERROR(__xludf.DUMMYFUNCTION("""COMPUTED_VALUE"""),2967.0)</f>
        <v>2967</v>
      </c>
      <c r="AD42" s="197">
        <f>IFERROR(__xludf.DUMMYFUNCTION("""COMPUTED_VALUE"""),2967.0)</f>
        <v>2967</v>
      </c>
      <c r="AE42" s="197">
        <f>IFERROR(__xludf.DUMMYFUNCTION("""COMPUTED_VALUE"""),0.0)</f>
        <v>0</v>
      </c>
      <c r="AF42" s="197">
        <f>IFERROR(__xludf.DUMMYFUNCTION("""COMPUTED_VALUE"""),0.0)</f>
        <v>0</v>
      </c>
      <c r="AG42" s="41">
        <f>IFERROR(__xludf.DUMMYFUNCTION("""COMPUTED_VALUE"""),0.0)</f>
        <v>0</v>
      </c>
      <c r="AH42" s="197">
        <f>IFERROR(__xludf.DUMMYFUNCTION("""COMPUTED_VALUE"""),0.0)</f>
        <v>0</v>
      </c>
      <c r="AI42" s="197">
        <f>IFERROR(__xludf.DUMMYFUNCTION("""COMPUTED_VALUE"""),0.0)</f>
        <v>0</v>
      </c>
      <c r="AJ42" s="197">
        <f>IFERROR(__xludf.DUMMYFUNCTION("""COMPUTED_VALUE"""),0.0)</f>
        <v>0</v>
      </c>
      <c r="AK42" s="41">
        <f>IFERROR(__xludf.DUMMYFUNCTION("""COMPUTED_VALUE"""),0.0)</f>
        <v>0</v>
      </c>
      <c r="AL42" s="197">
        <f>IFERROR(__xludf.DUMMYFUNCTION("""COMPUTED_VALUE"""),0.0)</f>
        <v>0</v>
      </c>
      <c r="AM42" s="197">
        <f>IFERROR(__xludf.DUMMYFUNCTION("""COMPUTED_VALUE"""),0.0)</f>
        <v>0</v>
      </c>
      <c r="AN42" s="197">
        <f>IFERROR(__xludf.DUMMYFUNCTION("""COMPUTED_VALUE"""),0.0)</f>
        <v>0</v>
      </c>
      <c r="AO42" s="41">
        <f>IFERROR(__xludf.DUMMYFUNCTION("""COMPUTED_VALUE"""),0.0)</f>
        <v>0</v>
      </c>
      <c r="AP42" s="197">
        <f>IFERROR(__xludf.DUMMYFUNCTION("""COMPUTED_VALUE"""),0.0)</f>
        <v>0</v>
      </c>
      <c r="AQ42" s="197">
        <f>IFERROR(__xludf.DUMMYFUNCTION("""COMPUTED_VALUE"""),0.0)</f>
        <v>0</v>
      </c>
      <c r="AR42" s="197">
        <f>IFERROR(__xludf.DUMMYFUNCTION("""COMPUTED_VALUE"""),0.0)</f>
        <v>0</v>
      </c>
      <c r="AS42" s="41">
        <f>IFERROR(__xludf.DUMMYFUNCTION("""COMPUTED_VALUE"""),0.0)</f>
        <v>0</v>
      </c>
      <c r="AT42" s="197">
        <f>IFERROR(__xludf.DUMMYFUNCTION("""COMPUTED_VALUE"""),0.0)</f>
        <v>0</v>
      </c>
      <c r="AU42" s="197">
        <f>IFERROR(__xludf.DUMMYFUNCTION("""COMPUTED_VALUE"""),0.0)</f>
        <v>0</v>
      </c>
      <c r="AV42" s="197">
        <f>IFERROR(__xludf.DUMMYFUNCTION("""COMPUTED_VALUE"""),0.0)</f>
        <v>0</v>
      </c>
      <c r="AW42" s="41">
        <f>IFERROR(__xludf.DUMMYFUNCTION("""COMPUTED_VALUE"""),0.0)</f>
        <v>0</v>
      </c>
      <c r="AX42" s="197">
        <f>IFERROR(__xludf.DUMMYFUNCTION("""COMPUTED_VALUE"""),0.0)</f>
        <v>0</v>
      </c>
      <c r="AY42" s="197">
        <f>IFERROR(__xludf.DUMMYFUNCTION("""COMPUTED_VALUE"""),0.0)</f>
        <v>0</v>
      </c>
      <c r="AZ42" s="198">
        <f>IFERROR(__xludf.DUMMYFUNCTION("""COMPUTED_VALUE"""),0.0)</f>
        <v>0</v>
      </c>
      <c r="BA42" s="34"/>
    </row>
    <row r="43" ht="15.75" customHeight="1">
      <c r="A43" s="29"/>
      <c r="B43" s="67" t="str">
        <f>IFERROR(__xludf.DUMMYFUNCTION("""COMPUTED_VALUE""")," + Trên chuẩn")</f>
        <v> + Trên chuẩn</v>
      </c>
      <c r="C43" s="31"/>
      <c r="D43" s="31" t="str">
        <f>IFERROR(__xludf.DUMMYFUNCTION("""COMPUTED_VALUE"""),"""")</f>
        <v>"</v>
      </c>
      <c r="E43" s="41">
        <f>IFERROR(__xludf.DUMMYFUNCTION("""COMPUTED_VALUE"""),22.0)</f>
        <v>22</v>
      </c>
      <c r="F43" s="197">
        <f>IFERROR(__xludf.DUMMYFUNCTION("""COMPUTED_VALUE"""),22.0)</f>
        <v>22</v>
      </c>
      <c r="G43" s="197">
        <f>IFERROR(__xludf.DUMMYFUNCTION("""COMPUTED_VALUE"""),0.0)</f>
        <v>0</v>
      </c>
      <c r="H43" s="197">
        <f>IFERROR(__xludf.DUMMYFUNCTION("""COMPUTED_VALUE"""),0.0)</f>
        <v>0</v>
      </c>
      <c r="I43" s="41">
        <f>IFERROR(__xludf.DUMMYFUNCTION("""COMPUTED_VALUE"""),25.0)</f>
        <v>25</v>
      </c>
      <c r="J43" s="197">
        <f>IFERROR(__xludf.DUMMYFUNCTION("""COMPUTED_VALUE"""),25.0)</f>
        <v>25</v>
      </c>
      <c r="K43" s="197">
        <f>IFERROR(__xludf.DUMMYFUNCTION("""COMPUTED_VALUE"""),0.0)</f>
        <v>0</v>
      </c>
      <c r="L43" s="197">
        <f>IFERROR(__xludf.DUMMYFUNCTION("""COMPUTED_VALUE"""),0.0)</f>
        <v>0</v>
      </c>
      <c r="M43" s="41">
        <f>IFERROR(__xludf.DUMMYFUNCTION("""COMPUTED_VALUE"""),21.0)</f>
        <v>21</v>
      </c>
      <c r="N43" s="197">
        <f>IFERROR(__xludf.DUMMYFUNCTION("""COMPUTED_VALUE"""),21.0)</f>
        <v>21</v>
      </c>
      <c r="O43" s="197">
        <f>IFERROR(__xludf.DUMMYFUNCTION("""COMPUTED_VALUE"""),0.0)</f>
        <v>0</v>
      </c>
      <c r="P43" s="197">
        <f>IFERROR(__xludf.DUMMYFUNCTION("""COMPUTED_VALUE"""),0.0)</f>
        <v>0</v>
      </c>
      <c r="Q43" s="41">
        <f>IFERROR(__xludf.DUMMYFUNCTION("""COMPUTED_VALUE"""),21.0)</f>
        <v>21</v>
      </c>
      <c r="R43" s="197">
        <f>IFERROR(__xludf.DUMMYFUNCTION("""COMPUTED_VALUE"""),21.0)</f>
        <v>21</v>
      </c>
      <c r="S43" s="197">
        <f>IFERROR(__xludf.DUMMYFUNCTION("""COMPUTED_VALUE"""),0.0)</f>
        <v>0</v>
      </c>
      <c r="T43" s="197">
        <f>IFERROR(__xludf.DUMMYFUNCTION("""COMPUTED_VALUE"""),0.0)</f>
        <v>0</v>
      </c>
      <c r="U43" s="41">
        <f>IFERROR(__xludf.DUMMYFUNCTION("""COMPUTED_VALUE"""),21.0)</f>
        <v>21</v>
      </c>
      <c r="V43" s="197">
        <f>IFERROR(__xludf.DUMMYFUNCTION("""COMPUTED_VALUE"""),21.0)</f>
        <v>21</v>
      </c>
      <c r="W43" s="197">
        <f>IFERROR(__xludf.DUMMYFUNCTION("""COMPUTED_VALUE"""),0.0)</f>
        <v>0</v>
      </c>
      <c r="X43" s="197">
        <f>IFERROR(__xludf.DUMMYFUNCTION("""COMPUTED_VALUE"""),0.0)</f>
        <v>0</v>
      </c>
      <c r="Y43" s="41">
        <f>IFERROR(__xludf.DUMMYFUNCTION("""COMPUTED_VALUE"""),22.0)</f>
        <v>22</v>
      </c>
      <c r="Z43" s="197">
        <f>IFERROR(__xludf.DUMMYFUNCTION("""COMPUTED_VALUE"""),22.0)</f>
        <v>22</v>
      </c>
      <c r="AA43" s="197">
        <f>IFERROR(__xludf.DUMMYFUNCTION("""COMPUTED_VALUE"""),0.0)</f>
        <v>0</v>
      </c>
      <c r="AB43" s="197">
        <f>IFERROR(__xludf.DUMMYFUNCTION("""COMPUTED_VALUE"""),0.0)</f>
        <v>0</v>
      </c>
      <c r="AC43" s="41">
        <f>IFERROR(__xludf.DUMMYFUNCTION("""COMPUTED_VALUE"""),22.0)</f>
        <v>22</v>
      </c>
      <c r="AD43" s="197">
        <f>IFERROR(__xludf.DUMMYFUNCTION("""COMPUTED_VALUE"""),22.0)</f>
        <v>22</v>
      </c>
      <c r="AE43" s="197">
        <f>IFERROR(__xludf.DUMMYFUNCTION("""COMPUTED_VALUE"""),0.0)</f>
        <v>0</v>
      </c>
      <c r="AF43" s="197">
        <f>IFERROR(__xludf.DUMMYFUNCTION("""COMPUTED_VALUE"""),0.0)</f>
        <v>0</v>
      </c>
      <c r="AG43" s="41">
        <f>IFERROR(__xludf.DUMMYFUNCTION("""COMPUTED_VALUE"""),0.0)</f>
        <v>0</v>
      </c>
      <c r="AH43" s="197">
        <f>IFERROR(__xludf.DUMMYFUNCTION("""COMPUTED_VALUE"""),0.0)</f>
        <v>0</v>
      </c>
      <c r="AI43" s="197">
        <f>IFERROR(__xludf.DUMMYFUNCTION("""COMPUTED_VALUE"""),0.0)</f>
        <v>0</v>
      </c>
      <c r="AJ43" s="197">
        <f>IFERROR(__xludf.DUMMYFUNCTION("""COMPUTED_VALUE"""),0.0)</f>
        <v>0</v>
      </c>
      <c r="AK43" s="41">
        <f>IFERROR(__xludf.DUMMYFUNCTION("""COMPUTED_VALUE"""),0.0)</f>
        <v>0</v>
      </c>
      <c r="AL43" s="197">
        <f>IFERROR(__xludf.DUMMYFUNCTION("""COMPUTED_VALUE"""),0.0)</f>
        <v>0</v>
      </c>
      <c r="AM43" s="197">
        <f>IFERROR(__xludf.DUMMYFUNCTION("""COMPUTED_VALUE"""),0.0)</f>
        <v>0</v>
      </c>
      <c r="AN43" s="197">
        <f>IFERROR(__xludf.DUMMYFUNCTION("""COMPUTED_VALUE"""),0.0)</f>
        <v>0</v>
      </c>
      <c r="AO43" s="41">
        <f>IFERROR(__xludf.DUMMYFUNCTION("""COMPUTED_VALUE"""),0.0)</f>
        <v>0</v>
      </c>
      <c r="AP43" s="197">
        <f>IFERROR(__xludf.DUMMYFUNCTION("""COMPUTED_VALUE"""),0.0)</f>
        <v>0</v>
      </c>
      <c r="AQ43" s="197">
        <f>IFERROR(__xludf.DUMMYFUNCTION("""COMPUTED_VALUE"""),0.0)</f>
        <v>0</v>
      </c>
      <c r="AR43" s="197">
        <f>IFERROR(__xludf.DUMMYFUNCTION("""COMPUTED_VALUE"""),0.0)</f>
        <v>0</v>
      </c>
      <c r="AS43" s="41">
        <f>IFERROR(__xludf.DUMMYFUNCTION("""COMPUTED_VALUE"""),0.0)</f>
        <v>0</v>
      </c>
      <c r="AT43" s="197">
        <f>IFERROR(__xludf.DUMMYFUNCTION("""COMPUTED_VALUE"""),0.0)</f>
        <v>0</v>
      </c>
      <c r="AU43" s="197">
        <f>IFERROR(__xludf.DUMMYFUNCTION("""COMPUTED_VALUE"""),0.0)</f>
        <v>0</v>
      </c>
      <c r="AV43" s="197">
        <f>IFERROR(__xludf.DUMMYFUNCTION("""COMPUTED_VALUE"""),0.0)</f>
        <v>0</v>
      </c>
      <c r="AW43" s="41">
        <f>IFERROR(__xludf.DUMMYFUNCTION("""COMPUTED_VALUE"""),0.0)</f>
        <v>0</v>
      </c>
      <c r="AX43" s="197">
        <f>IFERROR(__xludf.DUMMYFUNCTION("""COMPUTED_VALUE"""),0.0)</f>
        <v>0</v>
      </c>
      <c r="AY43" s="197">
        <f>IFERROR(__xludf.DUMMYFUNCTION("""COMPUTED_VALUE"""),0.0)</f>
        <v>0</v>
      </c>
      <c r="AZ43" s="198">
        <f>IFERROR(__xludf.DUMMYFUNCTION("""COMPUTED_VALUE"""),0.0)</f>
        <v>0</v>
      </c>
      <c r="BA43" s="34"/>
    </row>
    <row r="44" ht="15.75" customHeight="1">
      <c r="A44" s="29"/>
      <c r="B44" s="196" t="str">
        <f>IFERROR(__xludf.DUMMYFUNCTION("""COMPUTED_VALUE"""),"5.3. Tổng số giáo viên hợp đồng")</f>
        <v>5.3. Tổng số giáo viên hợp đồng</v>
      </c>
      <c r="C44" s="57"/>
      <c r="D44" s="57" t="str">
        <f>IFERROR(__xludf.DUMMYFUNCTION("""COMPUTED_VALUE""")," Người")</f>
        <v> Người</v>
      </c>
      <c r="E44" s="125">
        <f>IFERROR(__xludf.DUMMYFUNCTION("""COMPUTED_VALUE"""),34.0)</f>
        <v>34</v>
      </c>
      <c r="F44" s="201">
        <f>IFERROR(__xludf.DUMMYFUNCTION("""COMPUTED_VALUE"""),34.0)</f>
        <v>34</v>
      </c>
      <c r="G44" s="201">
        <f>IFERROR(__xludf.DUMMYFUNCTION("""COMPUTED_VALUE"""),0.0)</f>
        <v>0</v>
      </c>
      <c r="H44" s="201">
        <f>IFERROR(__xludf.DUMMYFUNCTION("""COMPUTED_VALUE"""),0.0)</f>
        <v>0</v>
      </c>
      <c r="I44" s="125">
        <f>IFERROR(__xludf.DUMMYFUNCTION("""COMPUTED_VALUE"""),41.0)</f>
        <v>41</v>
      </c>
      <c r="J44" s="201">
        <f>IFERROR(__xludf.DUMMYFUNCTION("""COMPUTED_VALUE"""),41.0)</f>
        <v>41</v>
      </c>
      <c r="K44" s="201">
        <f>IFERROR(__xludf.DUMMYFUNCTION("""COMPUTED_VALUE"""),0.0)</f>
        <v>0</v>
      </c>
      <c r="L44" s="201">
        <f>IFERROR(__xludf.DUMMYFUNCTION("""COMPUTED_VALUE"""),0.0)</f>
        <v>0</v>
      </c>
      <c r="M44" s="125">
        <f>IFERROR(__xludf.DUMMYFUNCTION("""COMPUTED_VALUE"""),32.0)</f>
        <v>32</v>
      </c>
      <c r="N44" s="201">
        <f>IFERROR(__xludf.DUMMYFUNCTION("""COMPUTED_VALUE"""),32.0)</f>
        <v>32</v>
      </c>
      <c r="O44" s="201">
        <f>IFERROR(__xludf.DUMMYFUNCTION("""COMPUTED_VALUE"""),0.0)</f>
        <v>0</v>
      </c>
      <c r="P44" s="201">
        <f>IFERROR(__xludf.DUMMYFUNCTION("""COMPUTED_VALUE"""),0.0)</f>
        <v>0</v>
      </c>
      <c r="Q44" s="125">
        <f>IFERROR(__xludf.DUMMYFUNCTION("""COMPUTED_VALUE"""),35.0)</f>
        <v>35</v>
      </c>
      <c r="R44" s="201">
        <f>IFERROR(__xludf.DUMMYFUNCTION("""COMPUTED_VALUE"""),35.0)</f>
        <v>35</v>
      </c>
      <c r="S44" s="201">
        <f>IFERROR(__xludf.DUMMYFUNCTION("""COMPUTED_VALUE"""),0.0)</f>
        <v>0</v>
      </c>
      <c r="T44" s="201">
        <f>IFERROR(__xludf.DUMMYFUNCTION("""COMPUTED_VALUE"""),0.0)</f>
        <v>0</v>
      </c>
      <c r="U44" s="125">
        <f>IFERROR(__xludf.DUMMYFUNCTION("""COMPUTED_VALUE"""),32.0)</f>
        <v>32</v>
      </c>
      <c r="V44" s="201">
        <f>IFERROR(__xludf.DUMMYFUNCTION("""COMPUTED_VALUE"""),32.0)</f>
        <v>32</v>
      </c>
      <c r="W44" s="201">
        <f>IFERROR(__xludf.DUMMYFUNCTION("""COMPUTED_VALUE"""),0.0)</f>
        <v>0</v>
      </c>
      <c r="X44" s="201">
        <f>IFERROR(__xludf.DUMMYFUNCTION("""COMPUTED_VALUE"""),0.0)</f>
        <v>0</v>
      </c>
      <c r="Y44" s="125">
        <f>IFERROR(__xludf.DUMMYFUNCTION("""COMPUTED_VALUE"""),32.0)</f>
        <v>32</v>
      </c>
      <c r="Z44" s="201">
        <f>IFERROR(__xludf.DUMMYFUNCTION("""COMPUTED_VALUE"""),32.0)</f>
        <v>32</v>
      </c>
      <c r="AA44" s="201">
        <f>IFERROR(__xludf.DUMMYFUNCTION("""COMPUTED_VALUE"""),0.0)</f>
        <v>0</v>
      </c>
      <c r="AB44" s="201">
        <f>IFERROR(__xludf.DUMMYFUNCTION("""COMPUTED_VALUE"""),0.0)</f>
        <v>0</v>
      </c>
      <c r="AC44" s="125">
        <f>IFERROR(__xludf.DUMMYFUNCTION("""COMPUTED_VALUE"""),32.0)</f>
        <v>32</v>
      </c>
      <c r="AD44" s="201">
        <f>IFERROR(__xludf.DUMMYFUNCTION("""COMPUTED_VALUE"""),32.0)</f>
        <v>32</v>
      </c>
      <c r="AE44" s="201">
        <f>IFERROR(__xludf.DUMMYFUNCTION("""COMPUTED_VALUE"""),0.0)</f>
        <v>0</v>
      </c>
      <c r="AF44" s="201">
        <f>IFERROR(__xludf.DUMMYFUNCTION("""COMPUTED_VALUE"""),0.0)</f>
        <v>0</v>
      </c>
      <c r="AG44" s="125">
        <f>IFERROR(__xludf.DUMMYFUNCTION("""COMPUTED_VALUE"""),0.0)</f>
        <v>0</v>
      </c>
      <c r="AH44" s="201">
        <f>IFERROR(__xludf.DUMMYFUNCTION("""COMPUTED_VALUE"""),0.0)</f>
        <v>0</v>
      </c>
      <c r="AI44" s="201">
        <f>IFERROR(__xludf.DUMMYFUNCTION("""COMPUTED_VALUE"""),0.0)</f>
        <v>0</v>
      </c>
      <c r="AJ44" s="201">
        <f>IFERROR(__xludf.DUMMYFUNCTION("""COMPUTED_VALUE"""),0.0)</f>
        <v>0</v>
      </c>
      <c r="AK44" s="125">
        <f>IFERROR(__xludf.DUMMYFUNCTION("""COMPUTED_VALUE"""),0.0)</f>
        <v>0</v>
      </c>
      <c r="AL44" s="201">
        <f>IFERROR(__xludf.DUMMYFUNCTION("""COMPUTED_VALUE"""),0.0)</f>
        <v>0</v>
      </c>
      <c r="AM44" s="201">
        <f>IFERROR(__xludf.DUMMYFUNCTION("""COMPUTED_VALUE"""),0.0)</f>
        <v>0</v>
      </c>
      <c r="AN44" s="201">
        <f>IFERROR(__xludf.DUMMYFUNCTION("""COMPUTED_VALUE"""),0.0)</f>
        <v>0</v>
      </c>
      <c r="AO44" s="125">
        <f>IFERROR(__xludf.DUMMYFUNCTION("""COMPUTED_VALUE"""),0.0)</f>
        <v>0</v>
      </c>
      <c r="AP44" s="201">
        <f>IFERROR(__xludf.DUMMYFUNCTION("""COMPUTED_VALUE"""),0.0)</f>
        <v>0</v>
      </c>
      <c r="AQ44" s="201">
        <f>IFERROR(__xludf.DUMMYFUNCTION("""COMPUTED_VALUE"""),0.0)</f>
        <v>0</v>
      </c>
      <c r="AR44" s="201">
        <f>IFERROR(__xludf.DUMMYFUNCTION("""COMPUTED_VALUE"""),0.0)</f>
        <v>0</v>
      </c>
      <c r="AS44" s="125">
        <f>IFERROR(__xludf.DUMMYFUNCTION("""COMPUTED_VALUE"""),0.0)</f>
        <v>0</v>
      </c>
      <c r="AT44" s="201">
        <f>IFERROR(__xludf.DUMMYFUNCTION("""COMPUTED_VALUE"""),0.0)</f>
        <v>0</v>
      </c>
      <c r="AU44" s="201">
        <f>IFERROR(__xludf.DUMMYFUNCTION("""COMPUTED_VALUE"""),0.0)</f>
        <v>0</v>
      </c>
      <c r="AV44" s="201">
        <f>IFERROR(__xludf.DUMMYFUNCTION("""COMPUTED_VALUE"""),0.0)</f>
        <v>0</v>
      </c>
      <c r="AW44" s="125">
        <f>IFERROR(__xludf.DUMMYFUNCTION("""COMPUTED_VALUE"""),0.0)</f>
        <v>0</v>
      </c>
      <c r="AX44" s="201">
        <f>IFERROR(__xludf.DUMMYFUNCTION("""COMPUTED_VALUE"""),0.0)</f>
        <v>0</v>
      </c>
      <c r="AY44" s="201">
        <f>IFERROR(__xludf.DUMMYFUNCTION("""COMPUTED_VALUE"""),0.0)</f>
        <v>0</v>
      </c>
      <c r="AZ44" s="202">
        <f>IFERROR(__xludf.DUMMYFUNCTION("""COMPUTED_VALUE"""),0.0)</f>
        <v>0</v>
      </c>
      <c r="BA44" s="34"/>
    </row>
    <row r="45" ht="15.75" customHeight="1">
      <c r="A45" s="29"/>
      <c r="B45" s="196" t="str">
        <f>IFERROR(__xludf.DUMMYFUNCTION("""COMPUTED_VALUE"""),"5.4. Tổng số nhân viên")</f>
        <v>5.4. Tổng số nhân viên</v>
      </c>
      <c r="C45" s="57"/>
      <c r="D45" s="57" t="str">
        <f>IFERROR(__xludf.DUMMYFUNCTION("""COMPUTED_VALUE""")," Người")</f>
        <v> Người</v>
      </c>
      <c r="E45" s="125">
        <f>IFERROR(__xludf.DUMMYFUNCTION("""COMPUTED_VALUE"""),407.0)</f>
        <v>407</v>
      </c>
      <c r="F45" s="201">
        <f>IFERROR(__xludf.DUMMYFUNCTION("""COMPUTED_VALUE"""),407.0)</f>
        <v>407</v>
      </c>
      <c r="G45" s="201">
        <f>IFERROR(__xludf.DUMMYFUNCTION("""COMPUTED_VALUE"""),0.0)</f>
        <v>0</v>
      </c>
      <c r="H45" s="201">
        <f>IFERROR(__xludf.DUMMYFUNCTION("""COMPUTED_VALUE"""),0.0)</f>
        <v>0</v>
      </c>
      <c r="I45" s="125">
        <f>IFERROR(__xludf.DUMMYFUNCTION("""COMPUTED_VALUE"""),407.0)</f>
        <v>407</v>
      </c>
      <c r="J45" s="201">
        <f>IFERROR(__xludf.DUMMYFUNCTION("""COMPUTED_VALUE"""),407.0)</f>
        <v>407</v>
      </c>
      <c r="K45" s="201">
        <f>IFERROR(__xludf.DUMMYFUNCTION("""COMPUTED_VALUE"""),0.0)</f>
        <v>0</v>
      </c>
      <c r="L45" s="201">
        <f>IFERROR(__xludf.DUMMYFUNCTION("""COMPUTED_VALUE"""),0.0)</f>
        <v>0</v>
      </c>
      <c r="M45" s="125">
        <f>IFERROR(__xludf.DUMMYFUNCTION("""COMPUTED_VALUE"""),392.0)</f>
        <v>392</v>
      </c>
      <c r="N45" s="201">
        <f>IFERROR(__xludf.DUMMYFUNCTION("""COMPUTED_VALUE"""),392.0)</f>
        <v>392</v>
      </c>
      <c r="O45" s="201">
        <f>IFERROR(__xludf.DUMMYFUNCTION("""COMPUTED_VALUE"""),0.0)</f>
        <v>0</v>
      </c>
      <c r="P45" s="201">
        <f>IFERROR(__xludf.DUMMYFUNCTION("""COMPUTED_VALUE"""),0.0)</f>
        <v>0</v>
      </c>
      <c r="Q45" s="125">
        <f>IFERROR(__xludf.DUMMYFUNCTION("""COMPUTED_VALUE"""),405.0)</f>
        <v>405</v>
      </c>
      <c r="R45" s="201">
        <f>IFERROR(__xludf.DUMMYFUNCTION("""COMPUTED_VALUE"""),405.0)</f>
        <v>405</v>
      </c>
      <c r="S45" s="201">
        <f>IFERROR(__xludf.DUMMYFUNCTION("""COMPUTED_VALUE"""),0.0)</f>
        <v>0</v>
      </c>
      <c r="T45" s="201">
        <f>IFERROR(__xludf.DUMMYFUNCTION("""COMPUTED_VALUE"""),0.0)</f>
        <v>0</v>
      </c>
      <c r="U45" s="125">
        <f>IFERROR(__xludf.DUMMYFUNCTION("""COMPUTED_VALUE"""),406.0)</f>
        <v>406</v>
      </c>
      <c r="V45" s="201">
        <f>IFERROR(__xludf.DUMMYFUNCTION("""COMPUTED_VALUE"""),406.0)</f>
        <v>406</v>
      </c>
      <c r="W45" s="201">
        <f>IFERROR(__xludf.DUMMYFUNCTION("""COMPUTED_VALUE"""),0.0)</f>
        <v>0</v>
      </c>
      <c r="X45" s="201">
        <f>IFERROR(__xludf.DUMMYFUNCTION("""COMPUTED_VALUE"""),0.0)</f>
        <v>0</v>
      </c>
      <c r="Y45" s="125">
        <f>IFERROR(__xludf.DUMMYFUNCTION("""COMPUTED_VALUE"""),403.0)</f>
        <v>403</v>
      </c>
      <c r="Z45" s="201">
        <f>IFERROR(__xludf.DUMMYFUNCTION("""COMPUTED_VALUE"""),403.0)</f>
        <v>403</v>
      </c>
      <c r="AA45" s="201">
        <f>IFERROR(__xludf.DUMMYFUNCTION("""COMPUTED_VALUE"""),0.0)</f>
        <v>0</v>
      </c>
      <c r="AB45" s="201">
        <f>IFERROR(__xludf.DUMMYFUNCTION("""COMPUTED_VALUE"""),0.0)</f>
        <v>0</v>
      </c>
      <c r="AC45" s="125">
        <f>IFERROR(__xludf.DUMMYFUNCTION("""COMPUTED_VALUE"""),284.0)</f>
        <v>284</v>
      </c>
      <c r="AD45" s="201">
        <f>IFERROR(__xludf.DUMMYFUNCTION("""COMPUTED_VALUE"""),284.0)</f>
        <v>284</v>
      </c>
      <c r="AE45" s="201">
        <f>IFERROR(__xludf.DUMMYFUNCTION("""COMPUTED_VALUE"""),0.0)</f>
        <v>0</v>
      </c>
      <c r="AF45" s="201">
        <f>IFERROR(__xludf.DUMMYFUNCTION("""COMPUTED_VALUE"""),0.0)</f>
        <v>0</v>
      </c>
      <c r="AG45" s="125">
        <f>IFERROR(__xludf.DUMMYFUNCTION("""COMPUTED_VALUE"""),0.0)</f>
        <v>0</v>
      </c>
      <c r="AH45" s="201">
        <f>IFERROR(__xludf.DUMMYFUNCTION("""COMPUTED_VALUE"""),0.0)</f>
        <v>0</v>
      </c>
      <c r="AI45" s="201">
        <f>IFERROR(__xludf.DUMMYFUNCTION("""COMPUTED_VALUE"""),0.0)</f>
        <v>0</v>
      </c>
      <c r="AJ45" s="201">
        <f>IFERROR(__xludf.DUMMYFUNCTION("""COMPUTED_VALUE"""),0.0)</f>
        <v>0</v>
      </c>
      <c r="AK45" s="125">
        <f>IFERROR(__xludf.DUMMYFUNCTION("""COMPUTED_VALUE"""),0.0)</f>
        <v>0</v>
      </c>
      <c r="AL45" s="201">
        <f>IFERROR(__xludf.DUMMYFUNCTION("""COMPUTED_VALUE"""),0.0)</f>
        <v>0</v>
      </c>
      <c r="AM45" s="201">
        <f>IFERROR(__xludf.DUMMYFUNCTION("""COMPUTED_VALUE"""),0.0)</f>
        <v>0</v>
      </c>
      <c r="AN45" s="201">
        <f>IFERROR(__xludf.DUMMYFUNCTION("""COMPUTED_VALUE"""),0.0)</f>
        <v>0</v>
      </c>
      <c r="AO45" s="125">
        <f>IFERROR(__xludf.DUMMYFUNCTION("""COMPUTED_VALUE"""),0.0)</f>
        <v>0</v>
      </c>
      <c r="AP45" s="201">
        <f>IFERROR(__xludf.DUMMYFUNCTION("""COMPUTED_VALUE"""),0.0)</f>
        <v>0</v>
      </c>
      <c r="AQ45" s="201">
        <f>IFERROR(__xludf.DUMMYFUNCTION("""COMPUTED_VALUE"""),0.0)</f>
        <v>0</v>
      </c>
      <c r="AR45" s="201">
        <f>IFERROR(__xludf.DUMMYFUNCTION("""COMPUTED_VALUE"""),0.0)</f>
        <v>0</v>
      </c>
      <c r="AS45" s="125">
        <f>IFERROR(__xludf.DUMMYFUNCTION("""COMPUTED_VALUE"""),0.0)</f>
        <v>0</v>
      </c>
      <c r="AT45" s="201">
        <f>IFERROR(__xludf.DUMMYFUNCTION("""COMPUTED_VALUE"""),0.0)</f>
        <v>0</v>
      </c>
      <c r="AU45" s="201">
        <f>IFERROR(__xludf.DUMMYFUNCTION("""COMPUTED_VALUE"""),0.0)</f>
        <v>0</v>
      </c>
      <c r="AV45" s="201">
        <f>IFERROR(__xludf.DUMMYFUNCTION("""COMPUTED_VALUE"""),0.0)</f>
        <v>0</v>
      </c>
      <c r="AW45" s="125">
        <f>IFERROR(__xludf.DUMMYFUNCTION("""COMPUTED_VALUE"""),0.0)</f>
        <v>0</v>
      </c>
      <c r="AX45" s="201">
        <f>IFERROR(__xludf.DUMMYFUNCTION("""COMPUTED_VALUE"""),0.0)</f>
        <v>0</v>
      </c>
      <c r="AY45" s="201">
        <f>IFERROR(__xludf.DUMMYFUNCTION("""COMPUTED_VALUE"""),0.0)</f>
        <v>0</v>
      </c>
      <c r="AZ45" s="202">
        <f>IFERROR(__xludf.DUMMYFUNCTION("""COMPUTED_VALUE"""),0.0)</f>
        <v>0</v>
      </c>
      <c r="BA45" s="34"/>
    </row>
    <row r="46" ht="15.75" customHeight="1">
      <c r="A46" s="29"/>
      <c r="B46" s="30" t="str">
        <f>IFERROR(__xludf.DUMMYFUNCTION("""COMPUTED_VALUE"""),"6. KHỐI PHÒNG HỌC TẬP")</f>
        <v>6. KHỐI PHÒNG HỌC TẬP</v>
      </c>
      <c r="C46" s="31" t="str">
        <f>IFERROR(__xludf.DUMMYFUNCTION("""COMPUTED_VALUE"""),"Quí")</f>
        <v>Quí</v>
      </c>
      <c r="D46" s="31" t="str">
        <f>IFERROR(__xludf.DUMMYFUNCTION("""COMPUTED_VALUE"""),"Phòng")</f>
        <v>Phòng</v>
      </c>
      <c r="E46" s="32">
        <f>IFERROR(__xludf.DUMMYFUNCTION("""COMPUTED_VALUE"""),1748.0)</f>
        <v>1748</v>
      </c>
      <c r="F46" s="32">
        <f>IFERROR(__xludf.DUMMYFUNCTION("""COMPUTED_VALUE"""),1748.0)</f>
        <v>1748</v>
      </c>
      <c r="G46" s="32">
        <f>IFERROR(__xludf.DUMMYFUNCTION("""COMPUTED_VALUE"""),0.0)</f>
        <v>0</v>
      </c>
      <c r="H46" s="32">
        <f>IFERROR(__xludf.DUMMYFUNCTION("""COMPUTED_VALUE"""),0.0)</f>
        <v>0</v>
      </c>
      <c r="I46" s="32">
        <f>IFERROR(__xludf.DUMMYFUNCTION("""COMPUTED_VALUE"""),1754.0)</f>
        <v>1754</v>
      </c>
      <c r="J46" s="32">
        <f>IFERROR(__xludf.DUMMYFUNCTION("""COMPUTED_VALUE"""),1754.0)</f>
        <v>1754</v>
      </c>
      <c r="K46" s="32">
        <f>IFERROR(__xludf.DUMMYFUNCTION("""COMPUTED_VALUE"""),0.0)</f>
        <v>0</v>
      </c>
      <c r="L46" s="32">
        <f>IFERROR(__xludf.DUMMYFUNCTION("""COMPUTED_VALUE"""),0.0)</f>
        <v>0</v>
      </c>
      <c r="M46" s="32">
        <f>IFERROR(__xludf.DUMMYFUNCTION("""COMPUTED_VALUE"""),1738.0)</f>
        <v>1738</v>
      </c>
      <c r="N46" s="32">
        <f>IFERROR(__xludf.DUMMYFUNCTION("""COMPUTED_VALUE"""),1738.0)</f>
        <v>1738</v>
      </c>
      <c r="O46" s="32">
        <f>IFERROR(__xludf.DUMMYFUNCTION("""COMPUTED_VALUE"""),0.0)</f>
        <v>0</v>
      </c>
      <c r="P46" s="32">
        <f>IFERROR(__xludf.DUMMYFUNCTION("""COMPUTED_VALUE"""),0.0)</f>
        <v>0</v>
      </c>
      <c r="Q46" s="32">
        <f>IFERROR(__xludf.DUMMYFUNCTION("""COMPUTED_VALUE"""),1758.0)</f>
        <v>1758</v>
      </c>
      <c r="R46" s="32">
        <f>IFERROR(__xludf.DUMMYFUNCTION("""COMPUTED_VALUE"""),1758.0)</f>
        <v>1758</v>
      </c>
      <c r="S46" s="32">
        <f>IFERROR(__xludf.DUMMYFUNCTION("""COMPUTED_VALUE"""),0.0)</f>
        <v>0</v>
      </c>
      <c r="T46" s="32">
        <f>IFERROR(__xludf.DUMMYFUNCTION("""COMPUTED_VALUE"""),0.0)</f>
        <v>0</v>
      </c>
      <c r="U46" s="32">
        <f>IFERROR(__xludf.DUMMYFUNCTION("""COMPUTED_VALUE"""),1770.0)</f>
        <v>1770</v>
      </c>
      <c r="V46" s="32">
        <f>IFERROR(__xludf.DUMMYFUNCTION("""COMPUTED_VALUE"""),1770.0)</f>
        <v>1770</v>
      </c>
      <c r="W46" s="32">
        <f>IFERROR(__xludf.DUMMYFUNCTION("""COMPUTED_VALUE"""),0.0)</f>
        <v>0</v>
      </c>
      <c r="X46" s="32">
        <f>IFERROR(__xludf.DUMMYFUNCTION("""COMPUTED_VALUE"""),0.0)</f>
        <v>0</v>
      </c>
      <c r="Y46" s="32">
        <f>IFERROR(__xludf.DUMMYFUNCTION("""COMPUTED_VALUE"""),1636.0)</f>
        <v>1636</v>
      </c>
      <c r="Z46" s="32">
        <f>IFERROR(__xludf.DUMMYFUNCTION("""COMPUTED_VALUE"""),1636.0)</f>
        <v>1636</v>
      </c>
      <c r="AA46" s="32">
        <f>IFERROR(__xludf.DUMMYFUNCTION("""COMPUTED_VALUE"""),0.0)</f>
        <v>0</v>
      </c>
      <c r="AB46" s="32">
        <f>IFERROR(__xludf.DUMMYFUNCTION("""COMPUTED_VALUE"""),0.0)</f>
        <v>0</v>
      </c>
      <c r="AC46" s="32">
        <f>IFERROR(__xludf.DUMMYFUNCTION("""COMPUTED_VALUE"""),1601.0)</f>
        <v>1601</v>
      </c>
      <c r="AD46" s="32">
        <f>IFERROR(__xludf.DUMMYFUNCTION("""COMPUTED_VALUE"""),1601.0)</f>
        <v>1601</v>
      </c>
      <c r="AE46" s="32">
        <f>IFERROR(__xludf.DUMMYFUNCTION("""COMPUTED_VALUE"""),0.0)</f>
        <v>0</v>
      </c>
      <c r="AF46" s="32">
        <f>IFERROR(__xludf.DUMMYFUNCTION("""COMPUTED_VALUE"""),0.0)</f>
        <v>0</v>
      </c>
      <c r="AG46" s="32">
        <f>IFERROR(__xludf.DUMMYFUNCTION("""COMPUTED_VALUE"""),0.0)</f>
        <v>0</v>
      </c>
      <c r="AH46" s="32">
        <f>IFERROR(__xludf.DUMMYFUNCTION("""COMPUTED_VALUE"""),0.0)</f>
        <v>0</v>
      </c>
      <c r="AI46" s="32">
        <f>IFERROR(__xludf.DUMMYFUNCTION("""COMPUTED_VALUE"""),0.0)</f>
        <v>0</v>
      </c>
      <c r="AJ46" s="32">
        <f>IFERROR(__xludf.DUMMYFUNCTION("""COMPUTED_VALUE"""),0.0)</f>
        <v>0</v>
      </c>
      <c r="AK46" s="32">
        <f>IFERROR(__xludf.DUMMYFUNCTION("""COMPUTED_VALUE"""),0.0)</f>
        <v>0</v>
      </c>
      <c r="AL46" s="32">
        <f>IFERROR(__xludf.DUMMYFUNCTION("""COMPUTED_VALUE"""),0.0)</f>
        <v>0</v>
      </c>
      <c r="AM46" s="32">
        <f>IFERROR(__xludf.DUMMYFUNCTION("""COMPUTED_VALUE"""),0.0)</f>
        <v>0</v>
      </c>
      <c r="AN46" s="32">
        <f>IFERROR(__xludf.DUMMYFUNCTION("""COMPUTED_VALUE"""),0.0)</f>
        <v>0</v>
      </c>
      <c r="AO46" s="32">
        <f>IFERROR(__xludf.DUMMYFUNCTION("""COMPUTED_VALUE"""),0.0)</f>
        <v>0</v>
      </c>
      <c r="AP46" s="32">
        <f>IFERROR(__xludf.DUMMYFUNCTION("""COMPUTED_VALUE"""),0.0)</f>
        <v>0</v>
      </c>
      <c r="AQ46" s="32">
        <f>IFERROR(__xludf.DUMMYFUNCTION("""COMPUTED_VALUE"""),0.0)</f>
        <v>0</v>
      </c>
      <c r="AR46" s="32">
        <f>IFERROR(__xludf.DUMMYFUNCTION("""COMPUTED_VALUE"""),0.0)</f>
        <v>0</v>
      </c>
      <c r="AS46" s="32">
        <f>IFERROR(__xludf.DUMMYFUNCTION("""COMPUTED_VALUE"""),0.0)</f>
        <v>0</v>
      </c>
      <c r="AT46" s="32">
        <f>IFERROR(__xludf.DUMMYFUNCTION("""COMPUTED_VALUE"""),0.0)</f>
        <v>0</v>
      </c>
      <c r="AU46" s="32">
        <f>IFERROR(__xludf.DUMMYFUNCTION("""COMPUTED_VALUE"""),0.0)</f>
        <v>0</v>
      </c>
      <c r="AV46" s="32">
        <f>IFERROR(__xludf.DUMMYFUNCTION("""COMPUTED_VALUE"""),0.0)</f>
        <v>0</v>
      </c>
      <c r="AW46" s="32">
        <f>IFERROR(__xludf.DUMMYFUNCTION("""COMPUTED_VALUE"""),0.0)</f>
        <v>0</v>
      </c>
      <c r="AX46" s="32">
        <f>IFERROR(__xludf.DUMMYFUNCTION("""COMPUTED_VALUE"""),0.0)</f>
        <v>0</v>
      </c>
      <c r="AY46" s="32">
        <f>IFERROR(__xludf.DUMMYFUNCTION("""COMPUTED_VALUE"""),0.0)</f>
        <v>0</v>
      </c>
      <c r="AZ46" s="33">
        <f>IFERROR(__xludf.DUMMYFUNCTION("""COMPUTED_VALUE"""),0.0)</f>
        <v>0</v>
      </c>
      <c r="BA46" s="34"/>
    </row>
    <row r="47" ht="15.75" customHeight="1">
      <c r="A47" s="29"/>
      <c r="B47" s="196" t="str">
        <f>IFERROR(__xludf.DUMMYFUNCTION("""COMPUTED_VALUE"""),"6.1. Tổng số phòng học")</f>
        <v>6.1. Tổng số phòng học</v>
      </c>
      <c r="C47" s="57"/>
      <c r="D47" s="57" t="str">
        <f>IFERROR(__xludf.DUMMYFUNCTION("""COMPUTED_VALUE"""),"Phòng")</f>
        <v>Phòng</v>
      </c>
      <c r="E47" s="125">
        <f>IFERROR(__xludf.DUMMYFUNCTION("""COMPUTED_VALUE"""),1377.0)</f>
        <v>1377</v>
      </c>
      <c r="F47" s="125">
        <f>IFERROR(__xludf.DUMMYFUNCTION("""COMPUTED_VALUE"""),1377.0)</f>
        <v>1377</v>
      </c>
      <c r="G47" s="125">
        <f>IFERROR(__xludf.DUMMYFUNCTION("""COMPUTED_VALUE"""),0.0)</f>
        <v>0</v>
      </c>
      <c r="H47" s="125">
        <f>IFERROR(__xludf.DUMMYFUNCTION("""COMPUTED_VALUE"""),0.0)</f>
        <v>0</v>
      </c>
      <c r="I47" s="125">
        <f>IFERROR(__xludf.DUMMYFUNCTION("""COMPUTED_VALUE"""),1377.0)</f>
        <v>1377</v>
      </c>
      <c r="J47" s="125">
        <f>IFERROR(__xludf.DUMMYFUNCTION("""COMPUTED_VALUE"""),1377.0)</f>
        <v>1377</v>
      </c>
      <c r="K47" s="125">
        <f>IFERROR(__xludf.DUMMYFUNCTION("""COMPUTED_VALUE"""),0.0)</f>
        <v>0</v>
      </c>
      <c r="L47" s="125">
        <f>IFERROR(__xludf.DUMMYFUNCTION("""COMPUTED_VALUE"""),0.0)</f>
        <v>0</v>
      </c>
      <c r="M47" s="125">
        <f>IFERROR(__xludf.DUMMYFUNCTION("""COMPUTED_VALUE"""),1367.0)</f>
        <v>1367</v>
      </c>
      <c r="N47" s="125">
        <f>IFERROR(__xludf.DUMMYFUNCTION("""COMPUTED_VALUE"""),1367.0)</f>
        <v>1367</v>
      </c>
      <c r="O47" s="125">
        <f>IFERROR(__xludf.DUMMYFUNCTION("""COMPUTED_VALUE"""),0.0)</f>
        <v>0</v>
      </c>
      <c r="P47" s="125">
        <f>IFERROR(__xludf.DUMMYFUNCTION("""COMPUTED_VALUE"""),0.0)</f>
        <v>0</v>
      </c>
      <c r="Q47" s="125">
        <f>IFERROR(__xludf.DUMMYFUNCTION("""COMPUTED_VALUE"""),1373.0)</f>
        <v>1373</v>
      </c>
      <c r="R47" s="125">
        <f>IFERROR(__xludf.DUMMYFUNCTION("""COMPUTED_VALUE"""),1373.0)</f>
        <v>1373</v>
      </c>
      <c r="S47" s="125">
        <f>IFERROR(__xludf.DUMMYFUNCTION("""COMPUTED_VALUE"""),0.0)</f>
        <v>0</v>
      </c>
      <c r="T47" s="125">
        <f>IFERROR(__xludf.DUMMYFUNCTION("""COMPUTED_VALUE"""),0.0)</f>
        <v>0</v>
      </c>
      <c r="U47" s="125">
        <f>IFERROR(__xludf.DUMMYFUNCTION("""COMPUTED_VALUE"""),1383.0)</f>
        <v>1383</v>
      </c>
      <c r="V47" s="125">
        <f>IFERROR(__xludf.DUMMYFUNCTION("""COMPUTED_VALUE"""),1383.0)</f>
        <v>1383</v>
      </c>
      <c r="W47" s="125">
        <f>IFERROR(__xludf.DUMMYFUNCTION("""COMPUTED_VALUE"""),0.0)</f>
        <v>0</v>
      </c>
      <c r="X47" s="125">
        <f>IFERROR(__xludf.DUMMYFUNCTION("""COMPUTED_VALUE"""),0.0)</f>
        <v>0</v>
      </c>
      <c r="Y47" s="125">
        <f>IFERROR(__xludf.DUMMYFUNCTION("""COMPUTED_VALUE"""),1249.0)</f>
        <v>1249</v>
      </c>
      <c r="Z47" s="125">
        <f>IFERROR(__xludf.DUMMYFUNCTION("""COMPUTED_VALUE"""),1249.0)</f>
        <v>1249</v>
      </c>
      <c r="AA47" s="125">
        <f>IFERROR(__xludf.DUMMYFUNCTION("""COMPUTED_VALUE"""),0.0)</f>
        <v>0</v>
      </c>
      <c r="AB47" s="125">
        <f>IFERROR(__xludf.DUMMYFUNCTION("""COMPUTED_VALUE"""),0.0)</f>
        <v>0</v>
      </c>
      <c r="AC47" s="125">
        <f>IFERROR(__xludf.DUMMYFUNCTION("""COMPUTED_VALUE"""),1215.0)</f>
        <v>1215</v>
      </c>
      <c r="AD47" s="125">
        <f>IFERROR(__xludf.DUMMYFUNCTION("""COMPUTED_VALUE"""),1215.0)</f>
        <v>1215</v>
      </c>
      <c r="AE47" s="125">
        <f>IFERROR(__xludf.DUMMYFUNCTION("""COMPUTED_VALUE"""),0.0)</f>
        <v>0</v>
      </c>
      <c r="AF47" s="125">
        <f>IFERROR(__xludf.DUMMYFUNCTION("""COMPUTED_VALUE"""),0.0)</f>
        <v>0</v>
      </c>
      <c r="AG47" s="125">
        <f>IFERROR(__xludf.DUMMYFUNCTION("""COMPUTED_VALUE"""),0.0)</f>
        <v>0</v>
      </c>
      <c r="AH47" s="125">
        <f>IFERROR(__xludf.DUMMYFUNCTION("""COMPUTED_VALUE"""),0.0)</f>
        <v>0</v>
      </c>
      <c r="AI47" s="125">
        <f>IFERROR(__xludf.DUMMYFUNCTION("""COMPUTED_VALUE"""),0.0)</f>
        <v>0</v>
      </c>
      <c r="AJ47" s="125">
        <f>IFERROR(__xludf.DUMMYFUNCTION("""COMPUTED_VALUE"""),0.0)</f>
        <v>0</v>
      </c>
      <c r="AK47" s="125">
        <f>IFERROR(__xludf.DUMMYFUNCTION("""COMPUTED_VALUE"""),0.0)</f>
        <v>0</v>
      </c>
      <c r="AL47" s="125">
        <f>IFERROR(__xludf.DUMMYFUNCTION("""COMPUTED_VALUE"""),0.0)</f>
        <v>0</v>
      </c>
      <c r="AM47" s="125">
        <f>IFERROR(__xludf.DUMMYFUNCTION("""COMPUTED_VALUE"""),0.0)</f>
        <v>0</v>
      </c>
      <c r="AN47" s="125">
        <f>IFERROR(__xludf.DUMMYFUNCTION("""COMPUTED_VALUE"""),0.0)</f>
        <v>0</v>
      </c>
      <c r="AO47" s="125">
        <f>IFERROR(__xludf.DUMMYFUNCTION("""COMPUTED_VALUE"""),0.0)</f>
        <v>0</v>
      </c>
      <c r="AP47" s="125">
        <f>IFERROR(__xludf.DUMMYFUNCTION("""COMPUTED_VALUE"""),0.0)</f>
        <v>0</v>
      </c>
      <c r="AQ47" s="125">
        <f>IFERROR(__xludf.DUMMYFUNCTION("""COMPUTED_VALUE"""),0.0)</f>
        <v>0</v>
      </c>
      <c r="AR47" s="125">
        <f>IFERROR(__xludf.DUMMYFUNCTION("""COMPUTED_VALUE"""),0.0)</f>
        <v>0</v>
      </c>
      <c r="AS47" s="125">
        <f>IFERROR(__xludf.DUMMYFUNCTION("""COMPUTED_VALUE"""),0.0)</f>
        <v>0</v>
      </c>
      <c r="AT47" s="125">
        <f>IFERROR(__xludf.DUMMYFUNCTION("""COMPUTED_VALUE"""),0.0)</f>
        <v>0</v>
      </c>
      <c r="AU47" s="125">
        <f>IFERROR(__xludf.DUMMYFUNCTION("""COMPUTED_VALUE"""),0.0)</f>
        <v>0</v>
      </c>
      <c r="AV47" s="125">
        <f>IFERROR(__xludf.DUMMYFUNCTION("""COMPUTED_VALUE"""),0.0)</f>
        <v>0</v>
      </c>
      <c r="AW47" s="125">
        <f>IFERROR(__xludf.DUMMYFUNCTION("""COMPUTED_VALUE"""),0.0)</f>
        <v>0</v>
      </c>
      <c r="AX47" s="125">
        <f>IFERROR(__xludf.DUMMYFUNCTION("""COMPUTED_VALUE"""),0.0)</f>
        <v>0</v>
      </c>
      <c r="AY47" s="125">
        <f>IFERROR(__xludf.DUMMYFUNCTION("""COMPUTED_VALUE"""),0.0)</f>
        <v>0</v>
      </c>
      <c r="AZ47" s="127">
        <f>IFERROR(__xludf.DUMMYFUNCTION("""COMPUTED_VALUE"""),0.0)</f>
        <v>0</v>
      </c>
      <c r="BA47" s="34"/>
    </row>
    <row r="48" ht="15.75" customHeight="1">
      <c r="A48" s="29"/>
      <c r="B48" s="48" t="str">
        <f>IFERROR(__xludf.DUMMYFUNCTION("""COMPUTED_VALUE"""),"Chia ra:")</f>
        <v>Chia ra:</v>
      </c>
      <c r="C48" s="49"/>
      <c r="D48" s="3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50"/>
      <c r="BA48" s="34"/>
    </row>
    <row r="49" ht="15.75" customHeight="1">
      <c r="A49" s="29"/>
      <c r="B49" s="67" t="str">
        <f>IFERROR(__xludf.DUMMYFUNCTION("""COMPUTED_VALUE""")," + Kiên cố")</f>
        <v> + Kiên cố</v>
      </c>
      <c r="C49" s="31"/>
      <c r="D49" s="31" t="str">
        <f>IFERROR(__xludf.DUMMYFUNCTION("""COMPUTED_VALUE"""),"""")</f>
        <v>"</v>
      </c>
      <c r="E49" s="41">
        <f>IFERROR(__xludf.DUMMYFUNCTION("""COMPUTED_VALUE"""),1340.0)</f>
        <v>1340</v>
      </c>
      <c r="F49" s="197">
        <f>IFERROR(__xludf.DUMMYFUNCTION("""COMPUTED_VALUE"""),1340.0)</f>
        <v>1340</v>
      </c>
      <c r="G49" s="197">
        <f>IFERROR(__xludf.DUMMYFUNCTION("""COMPUTED_VALUE"""),0.0)</f>
        <v>0</v>
      </c>
      <c r="H49" s="197">
        <f>IFERROR(__xludf.DUMMYFUNCTION("""COMPUTED_VALUE"""),0.0)</f>
        <v>0</v>
      </c>
      <c r="I49" s="41">
        <f>IFERROR(__xludf.DUMMYFUNCTION("""COMPUTED_VALUE"""),1340.0)</f>
        <v>1340</v>
      </c>
      <c r="J49" s="197">
        <f>IFERROR(__xludf.DUMMYFUNCTION("""COMPUTED_VALUE"""),1340.0)</f>
        <v>1340</v>
      </c>
      <c r="K49" s="197">
        <f>IFERROR(__xludf.DUMMYFUNCTION("""COMPUTED_VALUE"""),0.0)</f>
        <v>0</v>
      </c>
      <c r="L49" s="197">
        <f>IFERROR(__xludf.DUMMYFUNCTION("""COMPUTED_VALUE"""),0.0)</f>
        <v>0</v>
      </c>
      <c r="M49" s="41">
        <f>IFERROR(__xludf.DUMMYFUNCTION("""COMPUTED_VALUE"""),1330.0)</f>
        <v>1330</v>
      </c>
      <c r="N49" s="197">
        <f>IFERROR(__xludf.DUMMYFUNCTION("""COMPUTED_VALUE"""),1330.0)</f>
        <v>1330</v>
      </c>
      <c r="O49" s="197">
        <f>IFERROR(__xludf.DUMMYFUNCTION("""COMPUTED_VALUE"""),0.0)</f>
        <v>0</v>
      </c>
      <c r="P49" s="197">
        <f>IFERROR(__xludf.DUMMYFUNCTION("""COMPUTED_VALUE"""),0.0)</f>
        <v>0</v>
      </c>
      <c r="Q49" s="41">
        <f>IFERROR(__xludf.DUMMYFUNCTION("""COMPUTED_VALUE"""),1337.0)</f>
        <v>1337</v>
      </c>
      <c r="R49" s="197">
        <f>IFERROR(__xludf.DUMMYFUNCTION("""COMPUTED_VALUE"""),1337.0)</f>
        <v>1337</v>
      </c>
      <c r="S49" s="197">
        <f>IFERROR(__xludf.DUMMYFUNCTION("""COMPUTED_VALUE"""),0.0)</f>
        <v>0</v>
      </c>
      <c r="T49" s="197">
        <f>IFERROR(__xludf.DUMMYFUNCTION("""COMPUTED_VALUE"""),0.0)</f>
        <v>0</v>
      </c>
      <c r="U49" s="41">
        <f>IFERROR(__xludf.DUMMYFUNCTION("""COMPUTED_VALUE"""),1347.0)</f>
        <v>1347</v>
      </c>
      <c r="V49" s="197">
        <f>IFERROR(__xludf.DUMMYFUNCTION("""COMPUTED_VALUE"""),1347.0)</f>
        <v>1347</v>
      </c>
      <c r="W49" s="197">
        <f>IFERROR(__xludf.DUMMYFUNCTION("""COMPUTED_VALUE"""),0.0)</f>
        <v>0</v>
      </c>
      <c r="X49" s="197">
        <f>IFERROR(__xludf.DUMMYFUNCTION("""COMPUTED_VALUE"""),0.0)</f>
        <v>0</v>
      </c>
      <c r="Y49" s="41">
        <f>IFERROR(__xludf.DUMMYFUNCTION("""COMPUTED_VALUE"""),1219.0)</f>
        <v>1219</v>
      </c>
      <c r="Z49" s="197">
        <f>IFERROR(__xludf.DUMMYFUNCTION("""COMPUTED_VALUE"""),1219.0)</f>
        <v>1219</v>
      </c>
      <c r="AA49" s="197">
        <f>IFERROR(__xludf.DUMMYFUNCTION("""COMPUTED_VALUE"""),0.0)</f>
        <v>0</v>
      </c>
      <c r="AB49" s="197">
        <f>IFERROR(__xludf.DUMMYFUNCTION("""COMPUTED_VALUE"""),0.0)</f>
        <v>0</v>
      </c>
      <c r="AC49" s="41">
        <f>IFERROR(__xludf.DUMMYFUNCTION("""COMPUTED_VALUE"""),1185.0)</f>
        <v>1185</v>
      </c>
      <c r="AD49" s="197">
        <f>IFERROR(__xludf.DUMMYFUNCTION("""COMPUTED_VALUE"""),1185.0)</f>
        <v>1185</v>
      </c>
      <c r="AE49" s="197">
        <f>IFERROR(__xludf.DUMMYFUNCTION("""COMPUTED_VALUE"""),0.0)</f>
        <v>0</v>
      </c>
      <c r="AF49" s="197">
        <f>IFERROR(__xludf.DUMMYFUNCTION("""COMPUTED_VALUE"""),0.0)</f>
        <v>0</v>
      </c>
      <c r="AG49" s="41">
        <f>IFERROR(__xludf.DUMMYFUNCTION("""COMPUTED_VALUE"""),0.0)</f>
        <v>0</v>
      </c>
      <c r="AH49" s="197">
        <f>IFERROR(__xludf.DUMMYFUNCTION("""COMPUTED_VALUE"""),0.0)</f>
        <v>0</v>
      </c>
      <c r="AI49" s="197">
        <f>IFERROR(__xludf.DUMMYFUNCTION("""COMPUTED_VALUE"""),0.0)</f>
        <v>0</v>
      </c>
      <c r="AJ49" s="197">
        <f>IFERROR(__xludf.DUMMYFUNCTION("""COMPUTED_VALUE"""),0.0)</f>
        <v>0</v>
      </c>
      <c r="AK49" s="41">
        <f>IFERROR(__xludf.DUMMYFUNCTION("""COMPUTED_VALUE"""),0.0)</f>
        <v>0</v>
      </c>
      <c r="AL49" s="197">
        <f>IFERROR(__xludf.DUMMYFUNCTION("""COMPUTED_VALUE"""),0.0)</f>
        <v>0</v>
      </c>
      <c r="AM49" s="197">
        <f>IFERROR(__xludf.DUMMYFUNCTION("""COMPUTED_VALUE"""),0.0)</f>
        <v>0</v>
      </c>
      <c r="AN49" s="197">
        <f>IFERROR(__xludf.DUMMYFUNCTION("""COMPUTED_VALUE"""),0.0)</f>
        <v>0</v>
      </c>
      <c r="AO49" s="41">
        <f>IFERROR(__xludf.DUMMYFUNCTION("""COMPUTED_VALUE"""),0.0)</f>
        <v>0</v>
      </c>
      <c r="AP49" s="197">
        <f>IFERROR(__xludf.DUMMYFUNCTION("""COMPUTED_VALUE"""),0.0)</f>
        <v>0</v>
      </c>
      <c r="AQ49" s="197">
        <f>IFERROR(__xludf.DUMMYFUNCTION("""COMPUTED_VALUE"""),0.0)</f>
        <v>0</v>
      </c>
      <c r="AR49" s="197">
        <f>IFERROR(__xludf.DUMMYFUNCTION("""COMPUTED_VALUE"""),0.0)</f>
        <v>0</v>
      </c>
      <c r="AS49" s="41">
        <f>IFERROR(__xludf.DUMMYFUNCTION("""COMPUTED_VALUE"""),0.0)</f>
        <v>0</v>
      </c>
      <c r="AT49" s="197">
        <f>IFERROR(__xludf.DUMMYFUNCTION("""COMPUTED_VALUE"""),0.0)</f>
        <v>0</v>
      </c>
      <c r="AU49" s="197">
        <f>IFERROR(__xludf.DUMMYFUNCTION("""COMPUTED_VALUE"""),0.0)</f>
        <v>0</v>
      </c>
      <c r="AV49" s="197">
        <f>IFERROR(__xludf.DUMMYFUNCTION("""COMPUTED_VALUE"""),0.0)</f>
        <v>0</v>
      </c>
      <c r="AW49" s="41">
        <f>IFERROR(__xludf.DUMMYFUNCTION("""COMPUTED_VALUE"""),0.0)</f>
        <v>0</v>
      </c>
      <c r="AX49" s="197">
        <f>IFERROR(__xludf.DUMMYFUNCTION("""COMPUTED_VALUE"""),0.0)</f>
        <v>0</v>
      </c>
      <c r="AY49" s="197">
        <f>IFERROR(__xludf.DUMMYFUNCTION("""COMPUTED_VALUE"""),0.0)</f>
        <v>0</v>
      </c>
      <c r="AZ49" s="198">
        <f>IFERROR(__xludf.DUMMYFUNCTION("""COMPUTED_VALUE"""),0.0)</f>
        <v>0</v>
      </c>
      <c r="BA49" s="34"/>
    </row>
    <row r="50" ht="15.75" customHeight="1">
      <c r="A50" s="29"/>
      <c r="B50" s="67" t="str">
        <f>IFERROR(__xludf.DUMMYFUNCTION("""COMPUTED_VALUE""")," + Bán kiên cố")</f>
        <v> + Bán kiên cố</v>
      </c>
      <c r="C50" s="31"/>
      <c r="D50" s="31" t="str">
        <f>IFERROR(__xludf.DUMMYFUNCTION("""COMPUTED_VALUE"""),"""")</f>
        <v>"</v>
      </c>
      <c r="E50" s="41">
        <f>IFERROR(__xludf.DUMMYFUNCTION("""COMPUTED_VALUE"""),36.0)</f>
        <v>36</v>
      </c>
      <c r="F50" s="197">
        <f>IFERROR(__xludf.DUMMYFUNCTION("""COMPUTED_VALUE"""),36.0)</f>
        <v>36</v>
      </c>
      <c r="G50" s="197">
        <f>IFERROR(__xludf.DUMMYFUNCTION("""COMPUTED_VALUE"""),0.0)</f>
        <v>0</v>
      </c>
      <c r="H50" s="197">
        <f>IFERROR(__xludf.DUMMYFUNCTION("""COMPUTED_VALUE"""),0.0)</f>
        <v>0</v>
      </c>
      <c r="I50" s="41">
        <f>IFERROR(__xludf.DUMMYFUNCTION("""COMPUTED_VALUE"""),36.0)</f>
        <v>36</v>
      </c>
      <c r="J50" s="197">
        <f>IFERROR(__xludf.DUMMYFUNCTION("""COMPUTED_VALUE"""),36.0)</f>
        <v>36</v>
      </c>
      <c r="K50" s="197">
        <f>IFERROR(__xludf.DUMMYFUNCTION("""COMPUTED_VALUE"""),0.0)</f>
        <v>0</v>
      </c>
      <c r="L50" s="197">
        <f>IFERROR(__xludf.DUMMYFUNCTION("""COMPUTED_VALUE"""),0.0)</f>
        <v>0</v>
      </c>
      <c r="M50" s="41">
        <f>IFERROR(__xludf.DUMMYFUNCTION("""COMPUTED_VALUE"""),36.0)</f>
        <v>36</v>
      </c>
      <c r="N50" s="197">
        <f>IFERROR(__xludf.DUMMYFUNCTION("""COMPUTED_VALUE"""),36.0)</f>
        <v>36</v>
      </c>
      <c r="O50" s="197">
        <f>IFERROR(__xludf.DUMMYFUNCTION("""COMPUTED_VALUE"""),0.0)</f>
        <v>0</v>
      </c>
      <c r="P50" s="197">
        <f>IFERROR(__xludf.DUMMYFUNCTION("""COMPUTED_VALUE"""),0.0)</f>
        <v>0</v>
      </c>
      <c r="Q50" s="41">
        <f>IFERROR(__xludf.DUMMYFUNCTION("""COMPUTED_VALUE"""),36.0)</f>
        <v>36</v>
      </c>
      <c r="R50" s="197">
        <f>IFERROR(__xludf.DUMMYFUNCTION("""COMPUTED_VALUE"""),36.0)</f>
        <v>36</v>
      </c>
      <c r="S50" s="197">
        <f>IFERROR(__xludf.DUMMYFUNCTION("""COMPUTED_VALUE"""),0.0)</f>
        <v>0</v>
      </c>
      <c r="T50" s="197">
        <f>IFERROR(__xludf.DUMMYFUNCTION("""COMPUTED_VALUE"""),0.0)</f>
        <v>0</v>
      </c>
      <c r="U50" s="41">
        <f>IFERROR(__xludf.DUMMYFUNCTION("""COMPUTED_VALUE"""),36.0)</f>
        <v>36</v>
      </c>
      <c r="V50" s="197">
        <f>IFERROR(__xludf.DUMMYFUNCTION("""COMPUTED_VALUE"""),36.0)</f>
        <v>36</v>
      </c>
      <c r="W50" s="197">
        <f>IFERROR(__xludf.DUMMYFUNCTION("""COMPUTED_VALUE"""),0.0)</f>
        <v>0</v>
      </c>
      <c r="X50" s="197">
        <f>IFERROR(__xludf.DUMMYFUNCTION("""COMPUTED_VALUE"""),0.0)</f>
        <v>0</v>
      </c>
      <c r="Y50" s="41">
        <f>IFERROR(__xludf.DUMMYFUNCTION("""COMPUTED_VALUE"""),30.0)</f>
        <v>30</v>
      </c>
      <c r="Z50" s="197">
        <f>IFERROR(__xludf.DUMMYFUNCTION("""COMPUTED_VALUE"""),30.0)</f>
        <v>30</v>
      </c>
      <c r="AA50" s="197">
        <f>IFERROR(__xludf.DUMMYFUNCTION("""COMPUTED_VALUE"""),0.0)</f>
        <v>0</v>
      </c>
      <c r="AB50" s="197">
        <f>IFERROR(__xludf.DUMMYFUNCTION("""COMPUTED_VALUE"""),0.0)</f>
        <v>0</v>
      </c>
      <c r="AC50" s="41">
        <f>IFERROR(__xludf.DUMMYFUNCTION("""COMPUTED_VALUE"""),30.0)</f>
        <v>30</v>
      </c>
      <c r="AD50" s="197">
        <f>IFERROR(__xludf.DUMMYFUNCTION("""COMPUTED_VALUE"""),30.0)</f>
        <v>30</v>
      </c>
      <c r="AE50" s="197">
        <f>IFERROR(__xludf.DUMMYFUNCTION("""COMPUTED_VALUE"""),0.0)</f>
        <v>0</v>
      </c>
      <c r="AF50" s="197">
        <f>IFERROR(__xludf.DUMMYFUNCTION("""COMPUTED_VALUE"""),0.0)</f>
        <v>0</v>
      </c>
      <c r="AG50" s="41">
        <f>IFERROR(__xludf.DUMMYFUNCTION("""COMPUTED_VALUE"""),0.0)</f>
        <v>0</v>
      </c>
      <c r="AH50" s="197">
        <f>IFERROR(__xludf.DUMMYFUNCTION("""COMPUTED_VALUE"""),0.0)</f>
        <v>0</v>
      </c>
      <c r="AI50" s="197">
        <f>IFERROR(__xludf.DUMMYFUNCTION("""COMPUTED_VALUE"""),0.0)</f>
        <v>0</v>
      </c>
      <c r="AJ50" s="197">
        <f>IFERROR(__xludf.DUMMYFUNCTION("""COMPUTED_VALUE"""),0.0)</f>
        <v>0</v>
      </c>
      <c r="AK50" s="41">
        <f>IFERROR(__xludf.DUMMYFUNCTION("""COMPUTED_VALUE"""),0.0)</f>
        <v>0</v>
      </c>
      <c r="AL50" s="197">
        <f>IFERROR(__xludf.DUMMYFUNCTION("""COMPUTED_VALUE"""),0.0)</f>
        <v>0</v>
      </c>
      <c r="AM50" s="197">
        <f>IFERROR(__xludf.DUMMYFUNCTION("""COMPUTED_VALUE"""),0.0)</f>
        <v>0</v>
      </c>
      <c r="AN50" s="197">
        <f>IFERROR(__xludf.DUMMYFUNCTION("""COMPUTED_VALUE"""),0.0)</f>
        <v>0</v>
      </c>
      <c r="AO50" s="41">
        <f>IFERROR(__xludf.DUMMYFUNCTION("""COMPUTED_VALUE"""),0.0)</f>
        <v>0</v>
      </c>
      <c r="AP50" s="197">
        <f>IFERROR(__xludf.DUMMYFUNCTION("""COMPUTED_VALUE"""),0.0)</f>
        <v>0</v>
      </c>
      <c r="AQ50" s="197">
        <f>IFERROR(__xludf.DUMMYFUNCTION("""COMPUTED_VALUE"""),0.0)</f>
        <v>0</v>
      </c>
      <c r="AR50" s="197">
        <f>IFERROR(__xludf.DUMMYFUNCTION("""COMPUTED_VALUE"""),0.0)</f>
        <v>0</v>
      </c>
      <c r="AS50" s="41">
        <f>IFERROR(__xludf.DUMMYFUNCTION("""COMPUTED_VALUE"""),0.0)</f>
        <v>0</v>
      </c>
      <c r="AT50" s="197">
        <f>IFERROR(__xludf.DUMMYFUNCTION("""COMPUTED_VALUE"""),0.0)</f>
        <v>0</v>
      </c>
      <c r="AU50" s="197">
        <f>IFERROR(__xludf.DUMMYFUNCTION("""COMPUTED_VALUE"""),0.0)</f>
        <v>0</v>
      </c>
      <c r="AV50" s="197">
        <f>IFERROR(__xludf.DUMMYFUNCTION("""COMPUTED_VALUE"""),0.0)</f>
        <v>0</v>
      </c>
      <c r="AW50" s="41">
        <f>IFERROR(__xludf.DUMMYFUNCTION("""COMPUTED_VALUE"""),0.0)</f>
        <v>0</v>
      </c>
      <c r="AX50" s="197">
        <f>IFERROR(__xludf.DUMMYFUNCTION("""COMPUTED_VALUE"""),0.0)</f>
        <v>0</v>
      </c>
      <c r="AY50" s="197">
        <f>IFERROR(__xludf.DUMMYFUNCTION("""COMPUTED_VALUE"""),0.0)</f>
        <v>0</v>
      </c>
      <c r="AZ50" s="198">
        <f>IFERROR(__xludf.DUMMYFUNCTION("""COMPUTED_VALUE"""),0.0)</f>
        <v>0</v>
      </c>
      <c r="BA50" s="34"/>
    </row>
    <row r="51" ht="15.75" customHeight="1">
      <c r="A51" s="29"/>
      <c r="B51" s="67" t="str">
        <f>IFERROR(__xludf.DUMMYFUNCTION("""COMPUTED_VALUE""")," + Tạm")</f>
        <v> + Tạm</v>
      </c>
      <c r="C51" s="31"/>
      <c r="D51" s="31" t="str">
        <f>IFERROR(__xludf.DUMMYFUNCTION("""COMPUTED_VALUE"""),"""")</f>
        <v>"</v>
      </c>
      <c r="E51" s="41">
        <f>IFERROR(__xludf.DUMMYFUNCTION("""COMPUTED_VALUE"""),1.0)</f>
        <v>1</v>
      </c>
      <c r="F51" s="197">
        <f>IFERROR(__xludf.DUMMYFUNCTION("""COMPUTED_VALUE"""),1.0)</f>
        <v>1</v>
      </c>
      <c r="G51" s="197">
        <f>IFERROR(__xludf.DUMMYFUNCTION("""COMPUTED_VALUE"""),0.0)</f>
        <v>0</v>
      </c>
      <c r="H51" s="197">
        <f>IFERROR(__xludf.DUMMYFUNCTION("""COMPUTED_VALUE"""),0.0)</f>
        <v>0</v>
      </c>
      <c r="I51" s="41">
        <f>IFERROR(__xludf.DUMMYFUNCTION("""COMPUTED_VALUE"""),1.0)</f>
        <v>1</v>
      </c>
      <c r="J51" s="197">
        <f>IFERROR(__xludf.DUMMYFUNCTION("""COMPUTED_VALUE"""),1.0)</f>
        <v>1</v>
      </c>
      <c r="K51" s="197">
        <f>IFERROR(__xludf.DUMMYFUNCTION("""COMPUTED_VALUE"""),0.0)</f>
        <v>0</v>
      </c>
      <c r="L51" s="197">
        <f>IFERROR(__xludf.DUMMYFUNCTION("""COMPUTED_VALUE"""),0.0)</f>
        <v>0</v>
      </c>
      <c r="M51" s="41">
        <f>IFERROR(__xludf.DUMMYFUNCTION("""COMPUTED_VALUE"""),1.0)</f>
        <v>1</v>
      </c>
      <c r="N51" s="197">
        <f>IFERROR(__xludf.DUMMYFUNCTION("""COMPUTED_VALUE"""),1.0)</f>
        <v>1</v>
      </c>
      <c r="O51" s="197">
        <f>IFERROR(__xludf.DUMMYFUNCTION("""COMPUTED_VALUE"""),0.0)</f>
        <v>0</v>
      </c>
      <c r="P51" s="197">
        <f>IFERROR(__xludf.DUMMYFUNCTION("""COMPUTED_VALUE"""),0.0)</f>
        <v>0</v>
      </c>
      <c r="Q51" s="41">
        <f>IFERROR(__xludf.DUMMYFUNCTION("""COMPUTED_VALUE"""),0.0)</f>
        <v>0</v>
      </c>
      <c r="R51" s="197">
        <f>IFERROR(__xludf.DUMMYFUNCTION("""COMPUTED_VALUE"""),0.0)</f>
        <v>0</v>
      </c>
      <c r="S51" s="197">
        <f>IFERROR(__xludf.DUMMYFUNCTION("""COMPUTED_VALUE"""),0.0)</f>
        <v>0</v>
      </c>
      <c r="T51" s="197">
        <f>IFERROR(__xludf.DUMMYFUNCTION("""COMPUTED_VALUE"""),0.0)</f>
        <v>0</v>
      </c>
      <c r="U51" s="41">
        <f>IFERROR(__xludf.DUMMYFUNCTION("""COMPUTED_VALUE"""),0.0)</f>
        <v>0</v>
      </c>
      <c r="V51" s="197">
        <f>IFERROR(__xludf.DUMMYFUNCTION("""COMPUTED_VALUE"""),0.0)</f>
        <v>0</v>
      </c>
      <c r="W51" s="197">
        <f>IFERROR(__xludf.DUMMYFUNCTION("""COMPUTED_VALUE"""),0.0)</f>
        <v>0</v>
      </c>
      <c r="X51" s="197">
        <f>IFERROR(__xludf.DUMMYFUNCTION("""COMPUTED_VALUE"""),0.0)</f>
        <v>0</v>
      </c>
      <c r="Y51" s="41">
        <f>IFERROR(__xludf.DUMMYFUNCTION("""COMPUTED_VALUE"""),0.0)</f>
        <v>0</v>
      </c>
      <c r="Z51" s="197">
        <f>IFERROR(__xludf.DUMMYFUNCTION("""COMPUTED_VALUE"""),0.0)</f>
        <v>0</v>
      </c>
      <c r="AA51" s="197">
        <f>IFERROR(__xludf.DUMMYFUNCTION("""COMPUTED_VALUE"""),0.0)</f>
        <v>0</v>
      </c>
      <c r="AB51" s="197">
        <f>IFERROR(__xludf.DUMMYFUNCTION("""COMPUTED_VALUE"""),0.0)</f>
        <v>0</v>
      </c>
      <c r="AC51" s="41">
        <f>IFERROR(__xludf.DUMMYFUNCTION("""COMPUTED_VALUE"""),0.0)</f>
        <v>0</v>
      </c>
      <c r="AD51" s="197">
        <f>IFERROR(__xludf.DUMMYFUNCTION("""COMPUTED_VALUE"""),0.0)</f>
        <v>0</v>
      </c>
      <c r="AE51" s="197">
        <f>IFERROR(__xludf.DUMMYFUNCTION("""COMPUTED_VALUE"""),0.0)</f>
        <v>0</v>
      </c>
      <c r="AF51" s="197">
        <f>IFERROR(__xludf.DUMMYFUNCTION("""COMPUTED_VALUE"""),0.0)</f>
        <v>0</v>
      </c>
      <c r="AG51" s="41">
        <f>IFERROR(__xludf.DUMMYFUNCTION("""COMPUTED_VALUE"""),0.0)</f>
        <v>0</v>
      </c>
      <c r="AH51" s="197">
        <f>IFERROR(__xludf.DUMMYFUNCTION("""COMPUTED_VALUE"""),0.0)</f>
        <v>0</v>
      </c>
      <c r="AI51" s="197">
        <f>IFERROR(__xludf.DUMMYFUNCTION("""COMPUTED_VALUE"""),0.0)</f>
        <v>0</v>
      </c>
      <c r="AJ51" s="197">
        <f>IFERROR(__xludf.DUMMYFUNCTION("""COMPUTED_VALUE"""),0.0)</f>
        <v>0</v>
      </c>
      <c r="AK51" s="41">
        <f>IFERROR(__xludf.DUMMYFUNCTION("""COMPUTED_VALUE"""),0.0)</f>
        <v>0</v>
      </c>
      <c r="AL51" s="197">
        <f>IFERROR(__xludf.DUMMYFUNCTION("""COMPUTED_VALUE"""),0.0)</f>
        <v>0</v>
      </c>
      <c r="AM51" s="197">
        <f>IFERROR(__xludf.DUMMYFUNCTION("""COMPUTED_VALUE"""),0.0)</f>
        <v>0</v>
      </c>
      <c r="AN51" s="197">
        <f>IFERROR(__xludf.DUMMYFUNCTION("""COMPUTED_VALUE"""),0.0)</f>
        <v>0</v>
      </c>
      <c r="AO51" s="41">
        <f>IFERROR(__xludf.DUMMYFUNCTION("""COMPUTED_VALUE"""),0.0)</f>
        <v>0</v>
      </c>
      <c r="AP51" s="197">
        <f>IFERROR(__xludf.DUMMYFUNCTION("""COMPUTED_VALUE"""),0.0)</f>
        <v>0</v>
      </c>
      <c r="AQ51" s="197">
        <f>IFERROR(__xludf.DUMMYFUNCTION("""COMPUTED_VALUE"""),0.0)</f>
        <v>0</v>
      </c>
      <c r="AR51" s="197">
        <f>IFERROR(__xludf.DUMMYFUNCTION("""COMPUTED_VALUE"""),0.0)</f>
        <v>0</v>
      </c>
      <c r="AS51" s="41">
        <f>IFERROR(__xludf.DUMMYFUNCTION("""COMPUTED_VALUE"""),0.0)</f>
        <v>0</v>
      </c>
      <c r="AT51" s="197">
        <f>IFERROR(__xludf.DUMMYFUNCTION("""COMPUTED_VALUE"""),0.0)</f>
        <v>0</v>
      </c>
      <c r="AU51" s="197">
        <f>IFERROR(__xludf.DUMMYFUNCTION("""COMPUTED_VALUE"""),0.0)</f>
        <v>0</v>
      </c>
      <c r="AV51" s="197">
        <f>IFERROR(__xludf.DUMMYFUNCTION("""COMPUTED_VALUE"""),0.0)</f>
        <v>0</v>
      </c>
      <c r="AW51" s="41">
        <f>IFERROR(__xludf.DUMMYFUNCTION("""COMPUTED_VALUE"""),0.0)</f>
        <v>0</v>
      </c>
      <c r="AX51" s="197">
        <f>IFERROR(__xludf.DUMMYFUNCTION("""COMPUTED_VALUE"""),0.0)</f>
        <v>0</v>
      </c>
      <c r="AY51" s="197">
        <f>IFERROR(__xludf.DUMMYFUNCTION("""COMPUTED_VALUE"""),0.0)</f>
        <v>0</v>
      </c>
      <c r="AZ51" s="198">
        <f>IFERROR(__xludf.DUMMYFUNCTION("""COMPUTED_VALUE"""),0.0)</f>
        <v>0</v>
      </c>
      <c r="BA51" s="34"/>
    </row>
    <row r="52" ht="15.75" customHeight="1">
      <c r="A52" s="29"/>
      <c r="B52" s="196" t="str">
        <f>IFERROR(__xludf.DUMMYFUNCTION("""COMPUTED_VALUE"""),"6.2. Tổng số phòng học bộ môn")</f>
        <v>6.2. Tổng số phòng học bộ môn</v>
      </c>
      <c r="C52" s="57"/>
      <c r="D52" s="57" t="str">
        <f>IFERROR(__xludf.DUMMYFUNCTION("""COMPUTED_VALUE"""),"Phòng")</f>
        <v>Phòng</v>
      </c>
      <c r="E52" s="125">
        <f>IFERROR(__xludf.DUMMYFUNCTION("""COMPUTED_VALUE"""),353.0)</f>
        <v>353</v>
      </c>
      <c r="F52" s="125">
        <f>IFERROR(__xludf.DUMMYFUNCTION("""COMPUTED_VALUE"""),353.0)</f>
        <v>353</v>
      </c>
      <c r="G52" s="125">
        <f>IFERROR(__xludf.DUMMYFUNCTION("""COMPUTED_VALUE"""),0.0)</f>
        <v>0</v>
      </c>
      <c r="H52" s="125">
        <f>IFERROR(__xludf.DUMMYFUNCTION("""COMPUTED_VALUE"""),0.0)</f>
        <v>0</v>
      </c>
      <c r="I52" s="125">
        <f>IFERROR(__xludf.DUMMYFUNCTION("""COMPUTED_VALUE"""),362.0)</f>
        <v>362</v>
      </c>
      <c r="J52" s="125">
        <f>IFERROR(__xludf.DUMMYFUNCTION("""COMPUTED_VALUE"""),362.0)</f>
        <v>362</v>
      </c>
      <c r="K52" s="125">
        <f>IFERROR(__xludf.DUMMYFUNCTION("""COMPUTED_VALUE"""),0.0)</f>
        <v>0</v>
      </c>
      <c r="L52" s="125">
        <f>IFERROR(__xludf.DUMMYFUNCTION("""COMPUTED_VALUE"""),0.0)</f>
        <v>0</v>
      </c>
      <c r="M52" s="125">
        <f>IFERROR(__xludf.DUMMYFUNCTION("""COMPUTED_VALUE"""),358.0)</f>
        <v>358</v>
      </c>
      <c r="N52" s="125">
        <f>IFERROR(__xludf.DUMMYFUNCTION("""COMPUTED_VALUE"""),358.0)</f>
        <v>358</v>
      </c>
      <c r="O52" s="125">
        <f>IFERROR(__xludf.DUMMYFUNCTION("""COMPUTED_VALUE"""),0.0)</f>
        <v>0</v>
      </c>
      <c r="P52" s="125">
        <f>IFERROR(__xludf.DUMMYFUNCTION("""COMPUTED_VALUE"""),0.0)</f>
        <v>0</v>
      </c>
      <c r="Q52" s="125">
        <f>IFERROR(__xludf.DUMMYFUNCTION("""COMPUTED_VALUE"""),370.0)</f>
        <v>370</v>
      </c>
      <c r="R52" s="125">
        <f>IFERROR(__xludf.DUMMYFUNCTION("""COMPUTED_VALUE"""),370.0)</f>
        <v>370</v>
      </c>
      <c r="S52" s="125">
        <f>IFERROR(__xludf.DUMMYFUNCTION("""COMPUTED_VALUE"""),0.0)</f>
        <v>0</v>
      </c>
      <c r="T52" s="125">
        <f>IFERROR(__xludf.DUMMYFUNCTION("""COMPUTED_VALUE"""),0.0)</f>
        <v>0</v>
      </c>
      <c r="U52" s="125">
        <f>IFERROR(__xludf.DUMMYFUNCTION("""COMPUTED_VALUE"""),372.0)</f>
        <v>372</v>
      </c>
      <c r="V52" s="125">
        <f>IFERROR(__xludf.DUMMYFUNCTION("""COMPUTED_VALUE"""),372.0)</f>
        <v>372</v>
      </c>
      <c r="W52" s="125">
        <f>IFERROR(__xludf.DUMMYFUNCTION("""COMPUTED_VALUE"""),0.0)</f>
        <v>0</v>
      </c>
      <c r="X52" s="125">
        <f>IFERROR(__xludf.DUMMYFUNCTION("""COMPUTED_VALUE"""),0.0)</f>
        <v>0</v>
      </c>
      <c r="Y52" s="125">
        <f>IFERROR(__xludf.DUMMYFUNCTION("""COMPUTED_VALUE"""),372.0)</f>
        <v>372</v>
      </c>
      <c r="Z52" s="125">
        <f>IFERROR(__xludf.DUMMYFUNCTION("""COMPUTED_VALUE"""),372.0)</f>
        <v>372</v>
      </c>
      <c r="AA52" s="125">
        <f>IFERROR(__xludf.DUMMYFUNCTION("""COMPUTED_VALUE"""),0.0)</f>
        <v>0</v>
      </c>
      <c r="AB52" s="125">
        <f>IFERROR(__xludf.DUMMYFUNCTION("""COMPUTED_VALUE"""),0.0)</f>
        <v>0</v>
      </c>
      <c r="AC52" s="125">
        <f>IFERROR(__xludf.DUMMYFUNCTION("""COMPUTED_VALUE"""),371.0)</f>
        <v>371</v>
      </c>
      <c r="AD52" s="125">
        <f>IFERROR(__xludf.DUMMYFUNCTION("""COMPUTED_VALUE"""),371.0)</f>
        <v>371</v>
      </c>
      <c r="AE52" s="125">
        <f>IFERROR(__xludf.DUMMYFUNCTION("""COMPUTED_VALUE"""),0.0)</f>
        <v>0</v>
      </c>
      <c r="AF52" s="125">
        <f>IFERROR(__xludf.DUMMYFUNCTION("""COMPUTED_VALUE"""),0.0)</f>
        <v>0</v>
      </c>
      <c r="AG52" s="125">
        <f>IFERROR(__xludf.DUMMYFUNCTION("""COMPUTED_VALUE"""),0.0)</f>
        <v>0</v>
      </c>
      <c r="AH52" s="125">
        <f>IFERROR(__xludf.DUMMYFUNCTION("""COMPUTED_VALUE"""),0.0)</f>
        <v>0</v>
      </c>
      <c r="AI52" s="125">
        <f>IFERROR(__xludf.DUMMYFUNCTION("""COMPUTED_VALUE"""),0.0)</f>
        <v>0</v>
      </c>
      <c r="AJ52" s="125">
        <f>IFERROR(__xludf.DUMMYFUNCTION("""COMPUTED_VALUE"""),0.0)</f>
        <v>0</v>
      </c>
      <c r="AK52" s="125">
        <f>IFERROR(__xludf.DUMMYFUNCTION("""COMPUTED_VALUE"""),0.0)</f>
        <v>0</v>
      </c>
      <c r="AL52" s="125">
        <f>IFERROR(__xludf.DUMMYFUNCTION("""COMPUTED_VALUE"""),0.0)</f>
        <v>0</v>
      </c>
      <c r="AM52" s="125">
        <f>IFERROR(__xludf.DUMMYFUNCTION("""COMPUTED_VALUE"""),0.0)</f>
        <v>0</v>
      </c>
      <c r="AN52" s="125">
        <f>IFERROR(__xludf.DUMMYFUNCTION("""COMPUTED_VALUE"""),0.0)</f>
        <v>0</v>
      </c>
      <c r="AO52" s="125">
        <f>IFERROR(__xludf.DUMMYFUNCTION("""COMPUTED_VALUE"""),0.0)</f>
        <v>0</v>
      </c>
      <c r="AP52" s="125">
        <f>IFERROR(__xludf.DUMMYFUNCTION("""COMPUTED_VALUE"""),0.0)</f>
        <v>0</v>
      </c>
      <c r="AQ52" s="125">
        <f>IFERROR(__xludf.DUMMYFUNCTION("""COMPUTED_VALUE"""),0.0)</f>
        <v>0</v>
      </c>
      <c r="AR52" s="125">
        <f>IFERROR(__xludf.DUMMYFUNCTION("""COMPUTED_VALUE"""),0.0)</f>
        <v>0</v>
      </c>
      <c r="AS52" s="125">
        <f>IFERROR(__xludf.DUMMYFUNCTION("""COMPUTED_VALUE"""),0.0)</f>
        <v>0</v>
      </c>
      <c r="AT52" s="125">
        <f>IFERROR(__xludf.DUMMYFUNCTION("""COMPUTED_VALUE"""),0.0)</f>
        <v>0</v>
      </c>
      <c r="AU52" s="125">
        <f>IFERROR(__xludf.DUMMYFUNCTION("""COMPUTED_VALUE"""),0.0)</f>
        <v>0</v>
      </c>
      <c r="AV52" s="125">
        <f>IFERROR(__xludf.DUMMYFUNCTION("""COMPUTED_VALUE"""),0.0)</f>
        <v>0</v>
      </c>
      <c r="AW52" s="125">
        <f>IFERROR(__xludf.DUMMYFUNCTION("""COMPUTED_VALUE"""),0.0)</f>
        <v>0</v>
      </c>
      <c r="AX52" s="125">
        <f>IFERROR(__xludf.DUMMYFUNCTION("""COMPUTED_VALUE"""),0.0)</f>
        <v>0</v>
      </c>
      <c r="AY52" s="125">
        <f>IFERROR(__xludf.DUMMYFUNCTION("""COMPUTED_VALUE"""),0.0)</f>
        <v>0</v>
      </c>
      <c r="AZ52" s="127">
        <f>IFERROR(__xludf.DUMMYFUNCTION("""COMPUTED_VALUE"""),0.0)</f>
        <v>0</v>
      </c>
      <c r="BA52" s="34"/>
    </row>
    <row r="53" ht="15.75" customHeight="1">
      <c r="A53" s="29"/>
      <c r="B53" s="48" t="str">
        <f>IFERROR(__xludf.DUMMYFUNCTION("""COMPUTED_VALUE"""),"Chia ra:")</f>
        <v>Chia ra:</v>
      </c>
      <c r="C53" s="49"/>
      <c r="D53" s="3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50"/>
      <c r="BA53" s="34"/>
    </row>
    <row r="54" ht="15.75" customHeight="1">
      <c r="A54" s="29"/>
      <c r="B54" s="67" t="str">
        <f>IFERROR(__xludf.DUMMYFUNCTION("""COMPUTED_VALUE""")," + Kiên cố")</f>
        <v> + Kiên cố</v>
      </c>
      <c r="C54" s="31"/>
      <c r="D54" s="31" t="str">
        <f>IFERROR(__xludf.DUMMYFUNCTION("""COMPUTED_VALUE"""),"""")</f>
        <v>"</v>
      </c>
      <c r="E54" s="41">
        <f>IFERROR(__xludf.DUMMYFUNCTION("""COMPUTED_VALUE"""),324.0)</f>
        <v>324</v>
      </c>
      <c r="F54" s="197">
        <f>IFERROR(__xludf.DUMMYFUNCTION("""COMPUTED_VALUE"""),324.0)</f>
        <v>324</v>
      </c>
      <c r="G54" s="197">
        <f>IFERROR(__xludf.DUMMYFUNCTION("""COMPUTED_VALUE"""),0.0)</f>
        <v>0</v>
      </c>
      <c r="H54" s="197">
        <f>IFERROR(__xludf.DUMMYFUNCTION("""COMPUTED_VALUE"""),0.0)</f>
        <v>0</v>
      </c>
      <c r="I54" s="41">
        <f>IFERROR(__xludf.DUMMYFUNCTION("""COMPUTED_VALUE"""),333.0)</f>
        <v>333</v>
      </c>
      <c r="J54" s="197">
        <f>IFERROR(__xludf.DUMMYFUNCTION("""COMPUTED_VALUE"""),333.0)</f>
        <v>333</v>
      </c>
      <c r="K54" s="197">
        <f>IFERROR(__xludf.DUMMYFUNCTION("""COMPUTED_VALUE"""),0.0)</f>
        <v>0</v>
      </c>
      <c r="L54" s="197">
        <f>IFERROR(__xludf.DUMMYFUNCTION("""COMPUTED_VALUE"""),0.0)</f>
        <v>0</v>
      </c>
      <c r="M54" s="41">
        <f>IFERROR(__xludf.DUMMYFUNCTION("""COMPUTED_VALUE"""),329.0)</f>
        <v>329</v>
      </c>
      <c r="N54" s="197">
        <f>IFERROR(__xludf.DUMMYFUNCTION("""COMPUTED_VALUE"""),329.0)</f>
        <v>329</v>
      </c>
      <c r="O54" s="197">
        <f>IFERROR(__xludf.DUMMYFUNCTION("""COMPUTED_VALUE"""),0.0)</f>
        <v>0</v>
      </c>
      <c r="P54" s="197">
        <f>IFERROR(__xludf.DUMMYFUNCTION("""COMPUTED_VALUE"""),0.0)</f>
        <v>0</v>
      </c>
      <c r="Q54" s="41">
        <f>IFERROR(__xludf.DUMMYFUNCTION("""COMPUTED_VALUE"""),341.0)</f>
        <v>341</v>
      </c>
      <c r="R54" s="197">
        <f>IFERROR(__xludf.DUMMYFUNCTION("""COMPUTED_VALUE"""),341.0)</f>
        <v>341</v>
      </c>
      <c r="S54" s="197">
        <f>IFERROR(__xludf.DUMMYFUNCTION("""COMPUTED_VALUE"""),0.0)</f>
        <v>0</v>
      </c>
      <c r="T54" s="197">
        <f>IFERROR(__xludf.DUMMYFUNCTION("""COMPUTED_VALUE"""),0.0)</f>
        <v>0</v>
      </c>
      <c r="U54" s="41">
        <f>IFERROR(__xludf.DUMMYFUNCTION("""COMPUTED_VALUE"""),343.0)</f>
        <v>343</v>
      </c>
      <c r="V54" s="197">
        <f>IFERROR(__xludf.DUMMYFUNCTION("""COMPUTED_VALUE"""),343.0)</f>
        <v>343</v>
      </c>
      <c r="W54" s="197">
        <f>IFERROR(__xludf.DUMMYFUNCTION("""COMPUTED_VALUE"""),0.0)</f>
        <v>0</v>
      </c>
      <c r="X54" s="197">
        <f>IFERROR(__xludf.DUMMYFUNCTION("""COMPUTED_VALUE"""),0.0)</f>
        <v>0</v>
      </c>
      <c r="Y54" s="41">
        <f>IFERROR(__xludf.DUMMYFUNCTION("""COMPUTED_VALUE"""),343.0)</f>
        <v>343</v>
      </c>
      <c r="Z54" s="197">
        <f>IFERROR(__xludf.DUMMYFUNCTION("""COMPUTED_VALUE"""),343.0)</f>
        <v>343</v>
      </c>
      <c r="AA54" s="197">
        <f>IFERROR(__xludf.DUMMYFUNCTION("""COMPUTED_VALUE"""),0.0)</f>
        <v>0</v>
      </c>
      <c r="AB54" s="197">
        <f>IFERROR(__xludf.DUMMYFUNCTION("""COMPUTED_VALUE"""),0.0)</f>
        <v>0</v>
      </c>
      <c r="AC54" s="41">
        <f>IFERROR(__xludf.DUMMYFUNCTION("""COMPUTED_VALUE"""),343.0)</f>
        <v>343</v>
      </c>
      <c r="AD54" s="197">
        <f>IFERROR(__xludf.DUMMYFUNCTION("""COMPUTED_VALUE"""),343.0)</f>
        <v>343</v>
      </c>
      <c r="AE54" s="197">
        <f>IFERROR(__xludf.DUMMYFUNCTION("""COMPUTED_VALUE"""),0.0)</f>
        <v>0</v>
      </c>
      <c r="AF54" s="197">
        <f>IFERROR(__xludf.DUMMYFUNCTION("""COMPUTED_VALUE"""),0.0)</f>
        <v>0</v>
      </c>
      <c r="AG54" s="41">
        <f>IFERROR(__xludf.DUMMYFUNCTION("""COMPUTED_VALUE"""),0.0)</f>
        <v>0</v>
      </c>
      <c r="AH54" s="197">
        <f>IFERROR(__xludf.DUMMYFUNCTION("""COMPUTED_VALUE"""),0.0)</f>
        <v>0</v>
      </c>
      <c r="AI54" s="197">
        <f>IFERROR(__xludf.DUMMYFUNCTION("""COMPUTED_VALUE"""),0.0)</f>
        <v>0</v>
      </c>
      <c r="AJ54" s="197">
        <f>IFERROR(__xludf.DUMMYFUNCTION("""COMPUTED_VALUE"""),0.0)</f>
        <v>0</v>
      </c>
      <c r="AK54" s="41">
        <f>IFERROR(__xludf.DUMMYFUNCTION("""COMPUTED_VALUE"""),0.0)</f>
        <v>0</v>
      </c>
      <c r="AL54" s="197">
        <f>IFERROR(__xludf.DUMMYFUNCTION("""COMPUTED_VALUE"""),0.0)</f>
        <v>0</v>
      </c>
      <c r="AM54" s="197">
        <f>IFERROR(__xludf.DUMMYFUNCTION("""COMPUTED_VALUE"""),0.0)</f>
        <v>0</v>
      </c>
      <c r="AN54" s="197">
        <f>IFERROR(__xludf.DUMMYFUNCTION("""COMPUTED_VALUE"""),0.0)</f>
        <v>0</v>
      </c>
      <c r="AO54" s="41">
        <f>IFERROR(__xludf.DUMMYFUNCTION("""COMPUTED_VALUE"""),0.0)</f>
        <v>0</v>
      </c>
      <c r="AP54" s="197">
        <f>IFERROR(__xludf.DUMMYFUNCTION("""COMPUTED_VALUE"""),0.0)</f>
        <v>0</v>
      </c>
      <c r="AQ54" s="197">
        <f>IFERROR(__xludf.DUMMYFUNCTION("""COMPUTED_VALUE"""),0.0)</f>
        <v>0</v>
      </c>
      <c r="AR54" s="197">
        <f>IFERROR(__xludf.DUMMYFUNCTION("""COMPUTED_VALUE"""),0.0)</f>
        <v>0</v>
      </c>
      <c r="AS54" s="41">
        <f>IFERROR(__xludf.DUMMYFUNCTION("""COMPUTED_VALUE"""),0.0)</f>
        <v>0</v>
      </c>
      <c r="AT54" s="197">
        <f>IFERROR(__xludf.DUMMYFUNCTION("""COMPUTED_VALUE"""),0.0)</f>
        <v>0</v>
      </c>
      <c r="AU54" s="197">
        <f>IFERROR(__xludf.DUMMYFUNCTION("""COMPUTED_VALUE"""),0.0)</f>
        <v>0</v>
      </c>
      <c r="AV54" s="197">
        <f>IFERROR(__xludf.DUMMYFUNCTION("""COMPUTED_VALUE"""),0.0)</f>
        <v>0</v>
      </c>
      <c r="AW54" s="41">
        <f>IFERROR(__xludf.DUMMYFUNCTION("""COMPUTED_VALUE"""),0.0)</f>
        <v>0</v>
      </c>
      <c r="AX54" s="197">
        <f>IFERROR(__xludf.DUMMYFUNCTION("""COMPUTED_VALUE"""),0.0)</f>
        <v>0</v>
      </c>
      <c r="AY54" s="197">
        <f>IFERROR(__xludf.DUMMYFUNCTION("""COMPUTED_VALUE"""),0.0)</f>
        <v>0</v>
      </c>
      <c r="AZ54" s="198">
        <f>IFERROR(__xludf.DUMMYFUNCTION("""COMPUTED_VALUE"""),0.0)</f>
        <v>0</v>
      </c>
      <c r="BA54" s="34"/>
    </row>
    <row r="55" ht="15.75" customHeight="1">
      <c r="A55" s="29"/>
      <c r="B55" s="67" t="str">
        <f>IFERROR(__xludf.DUMMYFUNCTION("""COMPUTED_VALUE""")," + Bán kiên cố")</f>
        <v> + Bán kiên cố</v>
      </c>
      <c r="C55" s="31"/>
      <c r="D55" s="31" t="str">
        <f>IFERROR(__xludf.DUMMYFUNCTION("""COMPUTED_VALUE"""),"""")</f>
        <v>"</v>
      </c>
      <c r="E55" s="41">
        <f>IFERROR(__xludf.DUMMYFUNCTION("""COMPUTED_VALUE"""),27.0)</f>
        <v>27</v>
      </c>
      <c r="F55" s="197">
        <f>IFERROR(__xludf.DUMMYFUNCTION("""COMPUTED_VALUE"""),27.0)</f>
        <v>27</v>
      </c>
      <c r="G55" s="197">
        <f>IFERROR(__xludf.DUMMYFUNCTION("""COMPUTED_VALUE"""),0.0)</f>
        <v>0</v>
      </c>
      <c r="H55" s="197">
        <f>IFERROR(__xludf.DUMMYFUNCTION("""COMPUTED_VALUE"""),0.0)</f>
        <v>0</v>
      </c>
      <c r="I55" s="41">
        <f>IFERROR(__xludf.DUMMYFUNCTION("""COMPUTED_VALUE"""),27.0)</f>
        <v>27</v>
      </c>
      <c r="J55" s="197">
        <f>IFERROR(__xludf.DUMMYFUNCTION("""COMPUTED_VALUE"""),27.0)</f>
        <v>27</v>
      </c>
      <c r="K55" s="197">
        <f>IFERROR(__xludf.DUMMYFUNCTION("""COMPUTED_VALUE"""),0.0)</f>
        <v>0</v>
      </c>
      <c r="L55" s="197">
        <f>IFERROR(__xludf.DUMMYFUNCTION("""COMPUTED_VALUE"""),0.0)</f>
        <v>0</v>
      </c>
      <c r="M55" s="41">
        <f>IFERROR(__xludf.DUMMYFUNCTION("""COMPUTED_VALUE"""),27.0)</f>
        <v>27</v>
      </c>
      <c r="N55" s="197">
        <f>IFERROR(__xludf.DUMMYFUNCTION("""COMPUTED_VALUE"""),27.0)</f>
        <v>27</v>
      </c>
      <c r="O55" s="197">
        <f>IFERROR(__xludf.DUMMYFUNCTION("""COMPUTED_VALUE"""),0.0)</f>
        <v>0</v>
      </c>
      <c r="P55" s="197">
        <f>IFERROR(__xludf.DUMMYFUNCTION("""COMPUTED_VALUE"""),0.0)</f>
        <v>0</v>
      </c>
      <c r="Q55" s="41">
        <f>IFERROR(__xludf.DUMMYFUNCTION("""COMPUTED_VALUE"""),27.0)</f>
        <v>27</v>
      </c>
      <c r="R55" s="197">
        <f>IFERROR(__xludf.DUMMYFUNCTION("""COMPUTED_VALUE"""),27.0)</f>
        <v>27</v>
      </c>
      <c r="S55" s="197">
        <f>IFERROR(__xludf.DUMMYFUNCTION("""COMPUTED_VALUE"""),0.0)</f>
        <v>0</v>
      </c>
      <c r="T55" s="197">
        <f>IFERROR(__xludf.DUMMYFUNCTION("""COMPUTED_VALUE"""),0.0)</f>
        <v>0</v>
      </c>
      <c r="U55" s="41">
        <f>IFERROR(__xludf.DUMMYFUNCTION("""COMPUTED_VALUE"""),27.0)</f>
        <v>27</v>
      </c>
      <c r="V55" s="197">
        <f>IFERROR(__xludf.DUMMYFUNCTION("""COMPUTED_VALUE"""),27.0)</f>
        <v>27</v>
      </c>
      <c r="W55" s="197">
        <f>IFERROR(__xludf.DUMMYFUNCTION("""COMPUTED_VALUE"""),0.0)</f>
        <v>0</v>
      </c>
      <c r="X55" s="197">
        <f>IFERROR(__xludf.DUMMYFUNCTION("""COMPUTED_VALUE"""),0.0)</f>
        <v>0</v>
      </c>
      <c r="Y55" s="41">
        <f>IFERROR(__xludf.DUMMYFUNCTION("""COMPUTED_VALUE"""),27.0)</f>
        <v>27</v>
      </c>
      <c r="Z55" s="197">
        <f>IFERROR(__xludf.DUMMYFUNCTION("""COMPUTED_VALUE"""),27.0)</f>
        <v>27</v>
      </c>
      <c r="AA55" s="197">
        <f>IFERROR(__xludf.DUMMYFUNCTION("""COMPUTED_VALUE"""),0.0)</f>
        <v>0</v>
      </c>
      <c r="AB55" s="197">
        <f>IFERROR(__xludf.DUMMYFUNCTION("""COMPUTED_VALUE"""),0.0)</f>
        <v>0</v>
      </c>
      <c r="AC55" s="41">
        <f>IFERROR(__xludf.DUMMYFUNCTION("""COMPUTED_VALUE"""),27.0)</f>
        <v>27</v>
      </c>
      <c r="AD55" s="197">
        <f>IFERROR(__xludf.DUMMYFUNCTION("""COMPUTED_VALUE"""),27.0)</f>
        <v>27</v>
      </c>
      <c r="AE55" s="197">
        <f>IFERROR(__xludf.DUMMYFUNCTION("""COMPUTED_VALUE"""),0.0)</f>
        <v>0</v>
      </c>
      <c r="AF55" s="197">
        <f>IFERROR(__xludf.DUMMYFUNCTION("""COMPUTED_VALUE"""),0.0)</f>
        <v>0</v>
      </c>
      <c r="AG55" s="41">
        <f>IFERROR(__xludf.DUMMYFUNCTION("""COMPUTED_VALUE"""),0.0)</f>
        <v>0</v>
      </c>
      <c r="AH55" s="197">
        <f>IFERROR(__xludf.DUMMYFUNCTION("""COMPUTED_VALUE"""),0.0)</f>
        <v>0</v>
      </c>
      <c r="AI55" s="197">
        <f>IFERROR(__xludf.DUMMYFUNCTION("""COMPUTED_VALUE"""),0.0)</f>
        <v>0</v>
      </c>
      <c r="AJ55" s="197">
        <f>IFERROR(__xludf.DUMMYFUNCTION("""COMPUTED_VALUE"""),0.0)</f>
        <v>0</v>
      </c>
      <c r="AK55" s="41">
        <f>IFERROR(__xludf.DUMMYFUNCTION("""COMPUTED_VALUE"""),0.0)</f>
        <v>0</v>
      </c>
      <c r="AL55" s="197">
        <f>IFERROR(__xludf.DUMMYFUNCTION("""COMPUTED_VALUE"""),0.0)</f>
        <v>0</v>
      </c>
      <c r="AM55" s="197">
        <f>IFERROR(__xludf.DUMMYFUNCTION("""COMPUTED_VALUE"""),0.0)</f>
        <v>0</v>
      </c>
      <c r="AN55" s="197">
        <f>IFERROR(__xludf.DUMMYFUNCTION("""COMPUTED_VALUE"""),0.0)</f>
        <v>0</v>
      </c>
      <c r="AO55" s="41">
        <f>IFERROR(__xludf.DUMMYFUNCTION("""COMPUTED_VALUE"""),0.0)</f>
        <v>0</v>
      </c>
      <c r="AP55" s="197">
        <f>IFERROR(__xludf.DUMMYFUNCTION("""COMPUTED_VALUE"""),0.0)</f>
        <v>0</v>
      </c>
      <c r="AQ55" s="197">
        <f>IFERROR(__xludf.DUMMYFUNCTION("""COMPUTED_VALUE"""),0.0)</f>
        <v>0</v>
      </c>
      <c r="AR55" s="197">
        <f>IFERROR(__xludf.DUMMYFUNCTION("""COMPUTED_VALUE"""),0.0)</f>
        <v>0</v>
      </c>
      <c r="AS55" s="41">
        <f>IFERROR(__xludf.DUMMYFUNCTION("""COMPUTED_VALUE"""),0.0)</f>
        <v>0</v>
      </c>
      <c r="AT55" s="197">
        <f>IFERROR(__xludf.DUMMYFUNCTION("""COMPUTED_VALUE"""),0.0)</f>
        <v>0</v>
      </c>
      <c r="AU55" s="197">
        <f>IFERROR(__xludf.DUMMYFUNCTION("""COMPUTED_VALUE"""),0.0)</f>
        <v>0</v>
      </c>
      <c r="AV55" s="197">
        <f>IFERROR(__xludf.DUMMYFUNCTION("""COMPUTED_VALUE"""),0.0)</f>
        <v>0</v>
      </c>
      <c r="AW55" s="41">
        <f>IFERROR(__xludf.DUMMYFUNCTION("""COMPUTED_VALUE"""),0.0)</f>
        <v>0</v>
      </c>
      <c r="AX55" s="197">
        <f>IFERROR(__xludf.DUMMYFUNCTION("""COMPUTED_VALUE"""),0.0)</f>
        <v>0</v>
      </c>
      <c r="AY55" s="197">
        <f>IFERROR(__xludf.DUMMYFUNCTION("""COMPUTED_VALUE"""),0.0)</f>
        <v>0</v>
      </c>
      <c r="AZ55" s="198">
        <f>IFERROR(__xludf.DUMMYFUNCTION("""COMPUTED_VALUE"""),0.0)</f>
        <v>0</v>
      </c>
      <c r="BA55" s="34"/>
    </row>
    <row r="56" ht="15.75" customHeight="1">
      <c r="A56" s="29"/>
      <c r="B56" s="67" t="str">
        <f>IFERROR(__xludf.DUMMYFUNCTION("""COMPUTED_VALUE""")," + Tạm")</f>
        <v> + Tạm</v>
      </c>
      <c r="C56" s="31"/>
      <c r="D56" s="31" t="str">
        <f>IFERROR(__xludf.DUMMYFUNCTION("""COMPUTED_VALUE"""),"""")</f>
        <v>"</v>
      </c>
      <c r="E56" s="41">
        <f>IFERROR(__xludf.DUMMYFUNCTION("""COMPUTED_VALUE"""),2.0)</f>
        <v>2</v>
      </c>
      <c r="F56" s="197">
        <f>IFERROR(__xludf.DUMMYFUNCTION("""COMPUTED_VALUE"""),2.0)</f>
        <v>2</v>
      </c>
      <c r="G56" s="197">
        <f>IFERROR(__xludf.DUMMYFUNCTION("""COMPUTED_VALUE"""),0.0)</f>
        <v>0</v>
      </c>
      <c r="H56" s="197">
        <f>IFERROR(__xludf.DUMMYFUNCTION("""COMPUTED_VALUE"""),0.0)</f>
        <v>0</v>
      </c>
      <c r="I56" s="41">
        <f>IFERROR(__xludf.DUMMYFUNCTION("""COMPUTED_VALUE"""),2.0)</f>
        <v>2</v>
      </c>
      <c r="J56" s="197">
        <f>IFERROR(__xludf.DUMMYFUNCTION("""COMPUTED_VALUE"""),2.0)</f>
        <v>2</v>
      </c>
      <c r="K56" s="197">
        <f>IFERROR(__xludf.DUMMYFUNCTION("""COMPUTED_VALUE"""),0.0)</f>
        <v>0</v>
      </c>
      <c r="L56" s="197">
        <f>IFERROR(__xludf.DUMMYFUNCTION("""COMPUTED_VALUE"""),0.0)</f>
        <v>0</v>
      </c>
      <c r="M56" s="41">
        <f>IFERROR(__xludf.DUMMYFUNCTION("""COMPUTED_VALUE"""),2.0)</f>
        <v>2</v>
      </c>
      <c r="N56" s="197">
        <f>IFERROR(__xludf.DUMMYFUNCTION("""COMPUTED_VALUE"""),2.0)</f>
        <v>2</v>
      </c>
      <c r="O56" s="197">
        <f>IFERROR(__xludf.DUMMYFUNCTION("""COMPUTED_VALUE"""),0.0)</f>
        <v>0</v>
      </c>
      <c r="P56" s="197">
        <f>IFERROR(__xludf.DUMMYFUNCTION("""COMPUTED_VALUE"""),0.0)</f>
        <v>0</v>
      </c>
      <c r="Q56" s="41">
        <f>IFERROR(__xludf.DUMMYFUNCTION("""COMPUTED_VALUE"""),2.0)</f>
        <v>2</v>
      </c>
      <c r="R56" s="197">
        <f>IFERROR(__xludf.DUMMYFUNCTION("""COMPUTED_VALUE"""),2.0)</f>
        <v>2</v>
      </c>
      <c r="S56" s="197">
        <f>IFERROR(__xludf.DUMMYFUNCTION("""COMPUTED_VALUE"""),0.0)</f>
        <v>0</v>
      </c>
      <c r="T56" s="197">
        <f>IFERROR(__xludf.DUMMYFUNCTION("""COMPUTED_VALUE"""),0.0)</f>
        <v>0</v>
      </c>
      <c r="U56" s="41">
        <f>IFERROR(__xludf.DUMMYFUNCTION("""COMPUTED_VALUE"""),2.0)</f>
        <v>2</v>
      </c>
      <c r="V56" s="197">
        <f>IFERROR(__xludf.DUMMYFUNCTION("""COMPUTED_VALUE"""),2.0)</f>
        <v>2</v>
      </c>
      <c r="W56" s="197">
        <f>IFERROR(__xludf.DUMMYFUNCTION("""COMPUTED_VALUE"""),0.0)</f>
        <v>0</v>
      </c>
      <c r="X56" s="197">
        <f>IFERROR(__xludf.DUMMYFUNCTION("""COMPUTED_VALUE"""),0.0)</f>
        <v>0</v>
      </c>
      <c r="Y56" s="41">
        <f>IFERROR(__xludf.DUMMYFUNCTION("""COMPUTED_VALUE"""),2.0)</f>
        <v>2</v>
      </c>
      <c r="Z56" s="197">
        <f>IFERROR(__xludf.DUMMYFUNCTION("""COMPUTED_VALUE"""),2.0)</f>
        <v>2</v>
      </c>
      <c r="AA56" s="197">
        <f>IFERROR(__xludf.DUMMYFUNCTION("""COMPUTED_VALUE"""),0.0)</f>
        <v>0</v>
      </c>
      <c r="AB56" s="197">
        <f>IFERROR(__xludf.DUMMYFUNCTION("""COMPUTED_VALUE"""),0.0)</f>
        <v>0</v>
      </c>
      <c r="AC56" s="41">
        <f>IFERROR(__xludf.DUMMYFUNCTION("""COMPUTED_VALUE"""),1.0)</f>
        <v>1</v>
      </c>
      <c r="AD56" s="197">
        <f>IFERROR(__xludf.DUMMYFUNCTION("""COMPUTED_VALUE"""),1.0)</f>
        <v>1</v>
      </c>
      <c r="AE56" s="197">
        <f>IFERROR(__xludf.DUMMYFUNCTION("""COMPUTED_VALUE"""),0.0)</f>
        <v>0</v>
      </c>
      <c r="AF56" s="197">
        <f>IFERROR(__xludf.DUMMYFUNCTION("""COMPUTED_VALUE"""),0.0)</f>
        <v>0</v>
      </c>
      <c r="AG56" s="41">
        <f>IFERROR(__xludf.DUMMYFUNCTION("""COMPUTED_VALUE"""),0.0)</f>
        <v>0</v>
      </c>
      <c r="AH56" s="197">
        <f>IFERROR(__xludf.DUMMYFUNCTION("""COMPUTED_VALUE"""),0.0)</f>
        <v>0</v>
      </c>
      <c r="AI56" s="197">
        <f>IFERROR(__xludf.DUMMYFUNCTION("""COMPUTED_VALUE"""),0.0)</f>
        <v>0</v>
      </c>
      <c r="AJ56" s="197">
        <f>IFERROR(__xludf.DUMMYFUNCTION("""COMPUTED_VALUE"""),0.0)</f>
        <v>0</v>
      </c>
      <c r="AK56" s="41">
        <f>IFERROR(__xludf.DUMMYFUNCTION("""COMPUTED_VALUE"""),0.0)</f>
        <v>0</v>
      </c>
      <c r="AL56" s="197">
        <f>IFERROR(__xludf.DUMMYFUNCTION("""COMPUTED_VALUE"""),0.0)</f>
        <v>0</v>
      </c>
      <c r="AM56" s="197">
        <f>IFERROR(__xludf.DUMMYFUNCTION("""COMPUTED_VALUE"""),0.0)</f>
        <v>0</v>
      </c>
      <c r="AN56" s="197">
        <f>IFERROR(__xludf.DUMMYFUNCTION("""COMPUTED_VALUE"""),0.0)</f>
        <v>0</v>
      </c>
      <c r="AO56" s="41">
        <f>IFERROR(__xludf.DUMMYFUNCTION("""COMPUTED_VALUE"""),0.0)</f>
        <v>0</v>
      </c>
      <c r="AP56" s="197">
        <f>IFERROR(__xludf.DUMMYFUNCTION("""COMPUTED_VALUE"""),0.0)</f>
        <v>0</v>
      </c>
      <c r="AQ56" s="197">
        <f>IFERROR(__xludf.DUMMYFUNCTION("""COMPUTED_VALUE"""),0.0)</f>
        <v>0</v>
      </c>
      <c r="AR56" s="197">
        <f>IFERROR(__xludf.DUMMYFUNCTION("""COMPUTED_VALUE"""),0.0)</f>
        <v>0</v>
      </c>
      <c r="AS56" s="41">
        <f>IFERROR(__xludf.DUMMYFUNCTION("""COMPUTED_VALUE"""),0.0)</f>
        <v>0</v>
      </c>
      <c r="AT56" s="197">
        <f>IFERROR(__xludf.DUMMYFUNCTION("""COMPUTED_VALUE"""),0.0)</f>
        <v>0</v>
      </c>
      <c r="AU56" s="197">
        <f>IFERROR(__xludf.DUMMYFUNCTION("""COMPUTED_VALUE"""),0.0)</f>
        <v>0</v>
      </c>
      <c r="AV56" s="197">
        <f>IFERROR(__xludf.DUMMYFUNCTION("""COMPUTED_VALUE"""),0.0)</f>
        <v>0</v>
      </c>
      <c r="AW56" s="41">
        <f>IFERROR(__xludf.DUMMYFUNCTION("""COMPUTED_VALUE"""),0.0)</f>
        <v>0</v>
      </c>
      <c r="AX56" s="197">
        <f>IFERROR(__xludf.DUMMYFUNCTION("""COMPUTED_VALUE"""),0.0)</f>
        <v>0</v>
      </c>
      <c r="AY56" s="197">
        <f>IFERROR(__xludf.DUMMYFUNCTION("""COMPUTED_VALUE"""),0.0)</f>
        <v>0</v>
      </c>
      <c r="AZ56" s="198">
        <f>IFERROR(__xludf.DUMMYFUNCTION("""COMPUTED_VALUE"""),0.0)</f>
        <v>0</v>
      </c>
      <c r="BA56" s="34"/>
    </row>
    <row r="57" ht="15.75" customHeight="1">
      <c r="A57" s="29"/>
      <c r="B57" s="196" t="str">
        <f>IFERROR(__xludf.DUMMYFUNCTION("""COMPUTED_VALUE"""),"6.3. Tổng số phòng đa chức năng")</f>
        <v>6.3. Tổng số phòng đa chức năng</v>
      </c>
      <c r="C57" s="57"/>
      <c r="D57" s="57" t="str">
        <f>IFERROR(__xludf.DUMMYFUNCTION("""COMPUTED_VALUE"""),"Phòng")</f>
        <v>Phòng</v>
      </c>
      <c r="E57" s="125">
        <f>IFERROR(__xludf.DUMMYFUNCTION("""COMPUTED_VALUE"""),18.0)</f>
        <v>18</v>
      </c>
      <c r="F57" s="125">
        <f>IFERROR(__xludf.DUMMYFUNCTION("""COMPUTED_VALUE"""),18.0)</f>
        <v>18</v>
      </c>
      <c r="G57" s="125">
        <f>IFERROR(__xludf.DUMMYFUNCTION("""COMPUTED_VALUE"""),0.0)</f>
        <v>0</v>
      </c>
      <c r="H57" s="125">
        <f>IFERROR(__xludf.DUMMYFUNCTION("""COMPUTED_VALUE"""),0.0)</f>
        <v>0</v>
      </c>
      <c r="I57" s="125">
        <f>IFERROR(__xludf.DUMMYFUNCTION("""COMPUTED_VALUE"""),15.0)</f>
        <v>15</v>
      </c>
      <c r="J57" s="125">
        <f>IFERROR(__xludf.DUMMYFUNCTION("""COMPUTED_VALUE"""),15.0)</f>
        <v>15</v>
      </c>
      <c r="K57" s="125">
        <f>IFERROR(__xludf.DUMMYFUNCTION("""COMPUTED_VALUE"""),0.0)</f>
        <v>0</v>
      </c>
      <c r="L57" s="125">
        <f>IFERROR(__xludf.DUMMYFUNCTION("""COMPUTED_VALUE"""),0.0)</f>
        <v>0</v>
      </c>
      <c r="M57" s="125">
        <f>IFERROR(__xludf.DUMMYFUNCTION("""COMPUTED_VALUE"""),13.0)</f>
        <v>13</v>
      </c>
      <c r="N57" s="125">
        <f>IFERROR(__xludf.DUMMYFUNCTION("""COMPUTED_VALUE"""),13.0)</f>
        <v>13</v>
      </c>
      <c r="O57" s="125">
        <f>IFERROR(__xludf.DUMMYFUNCTION("""COMPUTED_VALUE"""),0.0)</f>
        <v>0</v>
      </c>
      <c r="P57" s="125">
        <f>IFERROR(__xludf.DUMMYFUNCTION("""COMPUTED_VALUE"""),0.0)</f>
        <v>0</v>
      </c>
      <c r="Q57" s="125">
        <f>IFERROR(__xludf.DUMMYFUNCTION("""COMPUTED_VALUE"""),15.0)</f>
        <v>15</v>
      </c>
      <c r="R57" s="125">
        <f>IFERROR(__xludf.DUMMYFUNCTION("""COMPUTED_VALUE"""),15.0)</f>
        <v>15</v>
      </c>
      <c r="S57" s="125">
        <f>IFERROR(__xludf.DUMMYFUNCTION("""COMPUTED_VALUE"""),0.0)</f>
        <v>0</v>
      </c>
      <c r="T57" s="125">
        <f>IFERROR(__xludf.DUMMYFUNCTION("""COMPUTED_VALUE"""),0.0)</f>
        <v>0</v>
      </c>
      <c r="U57" s="125">
        <f>IFERROR(__xludf.DUMMYFUNCTION("""COMPUTED_VALUE"""),15.0)</f>
        <v>15</v>
      </c>
      <c r="V57" s="125">
        <f>IFERROR(__xludf.DUMMYFUNCTION("""COMPUTED_VALUE"""),15.0)</f>
        <v>15</v>
      </c>
      <c r="W57" s="125">
        <f>IFERROR(__xludf.DUMMYFUNCTION("""COMPUTED_VALUE"""),0.0)</f>
        <v>0</v>
      </c>
      <c r="X57" s="125">
        <f>IFERROR(__xludf.DUMMYFUNCTION("""COMPUTED_VALUE"""),0.0)</f>
        <v>0</v>
      </c>
      <c r="Y57" s="125">
        <f>IFERROR(__xludf.DUMMYFUNCTION("""COMPUTED_VALUE"""),15.0)</f>
        <v>15</v>
      </c>
      <c r="Z57" s="125">
        <f>IFERROR(__xludf.DUMMYFUNCTION("""COMPUTED_VALUE"""),15.0)</f>
        <v>15</v>
      </c>
      <c r="AA57" s="125">
        <f>IFERROR(__xludf.DUMMYFUNCTION("""COMPUTED_VALUE"""),0.0)</f>
        <v>0</v>
      </c>
      <c r="AB57" s="125">
        <f>IFERROR(__xludf.DUMMYFUNCTION("""COMPUTED_VALUE"""),0.0)</f>
        <v>0</v>
      </c>
      <c r="AC57" s="125">
        <f>IFERROR(__xludf.DUMMYFUNCTION("""COMPUTED_VALUE"""),15.0)</f>
        <v>15</v>
      </c>
      <c r="AD57" s="125">
        <f>IFERROR(__xludf.DUMMYFUNCTION("""COMPUTED_VALUE"""),15.0)</f>
        <v>15</v>
      </c>
      <c r="AE57" s="125">
        <f>IFERROR(__xludf.DUMMYFUNCTION("""COMPUTED_VALUE"""),0.0)</f>
        <v>0</v>
      </c>
      <c r="AF57" s="125">
        <f>IFERROR(__xludf.DUMMYFUNCTION("""COMPUTED_VALUE"""),0.0)</f>
        <v>0</v>
      </c>
      <c r="AG57" s="125">
        <f>IFERROR(__xludf.DUMMYFUNCTION("""COMPUTED_VALUE"""),0.0)</f>
        <v>0</v>
      </c>
      <c r="AH57" s="125">
        <f>IFERROR(__xludf.DUMMYFUNCTION("""COMPUTED_VALUE"""),0.0)</f>
        <v>0</v>
      </c>
      <c r="AI57" s="125">
        <f>IFERROR(__xludf.DUMMYFUNCTION("""COMPUTED_VALUE"""),0.0)</f>
        <v>0</v>
      </c>
      <c r="AJ57" s="125">
        <f>IFERROR(__xludf.DUMMYFUNCTION("""COMPUTED_VALUE"""),0.0)</f>
        <v>0</v>
      </c>
      <c r="AK57" s="125">
        <f>IFERROR(__xludf.DUMMYFUNCTION("""COMPUTED_VALUE"""),0.0)</f>
        <v>0</v>
      </c>
      <c r="AL57" s="125">
        <f>IFERROR(__xludf.DUMMYFUNCTION("""COMPUTED_VALUE"""),0.0)</f>
        <v>0</v>
      </c>
      <c r="AM57" s="125">
        <f>IFERROR(__xludf.DUMMYFUNCTION("""COMPUTED_VALUE"""),0.0)</f>
        <v>0</v>
      </c>
      <c r="AN57" s="125">
        <f>IFERROR(__xludf.DUMMYFUNCTION("""COMPUTED_VALUE"""),0.0)</f>
        <v>0</v>
      </c>
      <c r="AO57" s="125">
        <f>IFERROR(__xludf.DUMMYFUNCTION("""COMPUTED_VALUE"""),0.0)</f>
        <v>0</v>
      </c>
      <c r="AP57" s="125">
        <f>IFERROR(__xludf.DUMMYFUNCTION("""COMPUTED_VALUE"""),0.0)</f>
        <v>0</v>
      </c>
      <c r="AQ57" s="125">
        <f>IFERROR(__xludf.DUMMYFUNCTION("""COMPUTED_VALUE"""),0.0)</f>
        <v>0</v>
      </c>
      <c r="AR57" s="125">
        <f>IFERROR(__xludf.DUMMYFUNCTION("""COMPUTED_VALUE"""),0.0)</f>
        <v>0</v>
      </c>
      <c r="AS57" s="125">
        <f>IFERROR(__xludf.DUMMYFUNCTION("""COMPUTED_VALUE"""),0.0)</f>
        <v>0</v>
      </c>
      <c r="AT57" s="125">
        <f>IFERROR(__xludf.DUMMYFUNCTION("""COMPUTED_VALUE"""),0.0)</f>
        <v>0</v>
      </c>
      <c r="AU57" s="125">
        <f>IFERROR(__xludf.DUMMYFUNCTION("""COMPUTED_VALUE"""),0.0)</f>
        <v>0</v>
      </c>
      <c r="AV57" s="125">
        <f>IFERROR(__xludf.DUMMYFUNCTION("""COMPUTED_VALUE"""),0.0)</f>
        <v>0</v>
      </c>
      <c r="AW57" s="125">
        <f>IFERROR(__xludf.DUMMYFUNCTION("""COMPUTED_VALUE"""),0.0)</f>
        <v>0</v>
      </c>
      <c r="AX57" s="125">
        <f>IFERROR(__xludf.DUMMYFUNCTION("""COMPUTED_VALUE"""),0.0)</f>
        <v>0</v>
      </c>
      <c r="AY57" s="125">
        <f>IFERROR(__xludf.DUMMYFUNCTION("""COMPUTED_VALUE"""),0.0)</f>
        <v>0</v>
      </c>
      <c r="AZ57" s="127">
        <f>IFERROR(__xludf.DUMMYFUNCTION("""COMPUTED_VALUE"""),0.0)</f>
        <v>0</v>
      </c>
      <c r="BA57" s="34"/>
    </row>
    <row r="58" ht="15.75" customHeight="1">
      <c r="A58" s="29"/>
      <c r="B58" s="48" t="str">
        <f>IFERROR(__xludf.DUMMYFUNCTION("""COMPUTED_VALUE"""),"Chia ra:")</f>
        <v>Chia ra:</v>
      </c>
      <c r="C58" s="49"/>
      <c r="D58" s="3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50"/>
      <c r="BA58" s="34"/>
    </row>
    <row r="59" ht="15.75" customHeight="1">
      <c r="A59" s="29"/>
      <c r="B59" s="67" t="str">
        <f>IFERROR(__xludf.DUMMYFUNCTION("""COMPUTED_VALUE""")," + Kiên cố")</f>
        <v> + Kiên cố</v>
      </c>
      <c r="C59" s="31"/>
      <c r="D59" s="31" t="str">
        <f>IFERROR(__xludf.DUMMYFUNCTION("""COMPUTED_VALUE"""),"""")</f>
        <v>"</v>
      </c>
      <c r="E59" s="41">
        <f>IFERROR(__xludf.DUMMYFUNCTION("""COMPUTED_VALUE"""),18.0)</f>
        <v>18</v>
      </c>
      <c r="F59" s="197">
        <f>IFERROR(__xludf.DUMMYFUNCTION("""COMPUTED_VALUE"""),18.0)</f>
        <v>18</v>
      </c>
      <c r="G59" s="197">
        <f>IFERROR(__xludf.DUMMYFUNCTION("""COMPUTED_VALUE"""),0.0)</f>
        <v>0</v>
      </c>
      <c r="H59" s="197">
        <f>IFERROR(__xludf.DUMMYFUNCTION("""COMPUTED_VALUE"""),0.0)</f>
        <v>0</v>
      </c>
      <c r="I59" s="41">
        <f>IFERROR(__xludf.DUMMYFUNCTION("""COMPUTED_VALUE"""),15.0)</f>
        <v>15</v>
      </c>
      <c r="J59" s="197">
        <f>IFERROR(__xludf.DUMMYFUNCTION("""COMPUTED_VALUE"""),15.0)</f>
        <v>15</v>
      </c>
      <c r="K59" s="197">
        <f>IFERROR(__xludf.DUMMYFUNCTION("""COMPUTED_VALUE"""),0.0)</f>
        <v>0</v>
      </c>
      <c r="L59" s="197">
        <f>IFERROR(__xludf.DUMMYFUNCTION("""COMPUTED_VALUE"""),0.0)</f>
        <v>0</v>
      </c>
      <c r="M59" s="41">
        <f>IFERROR(__xludf.DUMMYFUNCTION("""COMPUTED_VALUE"""),13.0)</f>
        <v>13</v>
      </c>
      <c r="N59" s="197">
        <f>IFERROR(__xludf.DUMMYFUNCTION("""COMPUTED_VALUE"""),13.0)</f>
        <v>13</v>
      </c>
      <c r="O59" s="197">
        <f>IFERROR(__xludf.DUMMYFUNCTION("""COMPUTED_VALUE"""),0.0)</f>
        <v>0</v>
      </c>
      <c r="P59" s="197">
        <f>IFERROR(__xludf.DUMMYFUNCTION("""COMPUTED_VALUE"""),0.0)</f>
        <v>0</v>
      </c>
      <c r="Q59" s="41">
        <f>IFERROR(__xludf.DUMMYFUNCTION("""COMPUTED_VALUE"""),15.0)</f>
        <v>15</v>
      </c>
      <c r="R59" s="197">
        <f>IFERROR(__xludf.DUMMYFUNCTION("""COMPUTED_VALUE"""),15.0)</f>
        <v>15</v>
      </c>
      <c r="S59" s="197">
        <f>IFERROR(__xludf.DUMMYFUNCTION("""COMPUTED_VALUE"""),0.0)</f>
        <v>0</v>
      </c>
      <c r="T59" s="197">
        <f>IFERROR(__xludf.DUMMYFUNCTION("""COMPUTED_VALUE"""),0.0)</f>
        <v>0</v>
      </c>
      <c r="U59" s="41">
        <f>IFERROR(__xludf.DUMMYFUNCTION("""COMPUTED_VALUE"""),15.0)</f>
        <v>15</v>
      </c>
      <c r="V59" s="197">
        <f>IFERROR(__xludf.DUMMYFUNCTION("""COMPUTED_VALUE"""),15.0)</f>
        <v>15</v>
      </c>
      <c r="W59" s="197">
        <f>IFERROR(__xludf.DUMMYFUNCTION("""COMPUTED_VALUE"""),0.0)</f>
        <v>0</v>
      </c>
      <c r="X59" s="197">
        <f>IFERROR(__xludf.DUMMYFUNCTION("""COMPUTED_VALUE"""),0.0)</f>
        <v>0</v>
      </c>
      <c r="Y59" s="41">
        <f>IFERROR(__xludf.DUMMYFUNCTION("""COMPUTED_VALUE"""),15.0)</f>
        <v>15</v>
      </c>
      <c r="Z59" s="197">
        <f>IFERROR(__xludf.DUMMYFUNCTION("""COMPUTED_VALUE"""),15.0)</f>
        <v>15</v>
      </c>
      <c r="AA59" s="197">
        <f>IFERROR(__xludf.DUMMYFUNCTION("""COMPUTED_VALUE"""),0.0)</f>
        <v>0</v>
      </c>
      <c r="AB59" s="197">
        <f>IFERROR(__xludf.DUMMYFUNCTION("""COMPUTED_VALUE"""),0.0)</f>
        <v>0</v>
      </c>
      <c r="AC59" s="41">
        <f>IFERROR(__xludf.DUMMYFUNCTION("""COMPUTED_VALUE"""),15.0)</f>
        <v>15</v>
      </c>
      <c r="AD59" s="197">
        <f>IFERROR(__xludf.DUMMYFUNCTION("""COMPUTED_VALUE"""),15.0)</f>
        <v>15</v>
      </c>
      <c r="AE59" s="197">
        <f>IFERROR(__xludf.DUMMYFUNCTION("""COMPUTED_VALUE"""),0.0)</f>
        <v>0</v>
      </c>
      <c r="AF59" s="197">
        <f>IFERROR(__xludf.DUMMYFUNCTION("""COMPUTED_VALUE"""),0.0)</f>
        <v>0</v>
      </c>
      <c r="AG59" s="41">
        <f>IFERROR(__xludf.DUMMYFUNCTION("""COMPUTED_VALUE"""),0.0)</f>
        <v>0</v>
      </c>
      <c r="AH59" s="197">
        <f>IFERROR(__xludf.DUMMYFUNCTION("""COMPUTED_VALUE"""),0.0)</f>
        <v>0</v>
      </c>
      <c r="AI59" s="197">
        <f>IFERROR(__xludf.DUMMYFUNCTION("""COMPUTED_VALUE"""),0.0)</f>
        <v>0</v>
      </c>
      <c r="AJ59" s="197">
        <f>IFERROR(__xludf.DUMMYFUNCTION("""COMPUTED_VALUE"""),0.0)</f>
        <v>0</v>
      </c>
      <c r="AK59" s="41">
        <f>IFERROR(__xludf.DUMMYFUNCTION("""COMPUTED_VALUE"""),0.0)</f>
        <v>0</v>
      </c>
      <c r="AL59" s="197">
        <f>IFERROR(__xludf.DUMMYFUNCTION("""COMPUTED_VALUE"""),0.0)</f>
        <v>0</v>
      </c>
      <c r="AM59" s="197">
        <f>IFERROR(__xludf.DUMMYFUNCTION("""COMPUTED_VALUE"""),0.0)</f>
        <v>0</v>
      </c>
      <c r="AN59" s="197">
        <f>IFERROR(__xludf.DUMMYFUNCTION("""COMPUTED_VALUE"""),0.0)</f>
        <v>0</v>
      </c>
      <c r="AO59" s="41">
        <f>IFERROR(__xludf.DUMMYFUNCTION("""COMPUTED_VALUE"""),0.0)</f>
        <v>0</v>
      </c>
      <c r="AP59" s="197">
        <f>IFERROR(__xludf.DUMMYFUNCTION("""COMPUTED_VALUE"""),0.0)</f>
        <v>0</v>
      </c>
      <c r="AQ59" s="197">
        <f>IFERROR(__xludf.DUMMYFUNCTION("""COMPUTED_VALUE"""),0.0)</f>
        <v>0</v>
      </c>
      <c r="AR59" s="197">
        <f>IFERROR(__xludf.DUMMYFUNCTION("""COMPUTED_VALUE"""),0.0)</f>
        <v>0</v>
      </c>
      <c r="AS59" s="41">
        <f>IFERROR(__xludf.DUMMYFUNCTION("""COMPUTED_VALUE"""),0.0)</f>
        <v>0</v>
      </c>
      <c r="AT59" s="197">
        <f>IFERROR(__xludf.DUMMYFUNCTION("""COMPUTED_VALUE"""),0.0)</f>
        <v>0</v>
      </c>
      <c r="AU59" s="197">
        <f>IFERROR(__xludf.DUMMYFUNCTION("""COMPUTED_VALUE"""),0.0)</f>
        <v>0</v>
      </c>
      <c r="AV59" s="197">
        <f>IFERROR(__xludf.DUMMYFUNCTION("""COMPUTED_VALUE"""),0.0)</f>
        <v>0</v>
      </c>
      <c r="AW59" s="41">
        <f>IFERROR(__xludf.DUMMYFUNCTION("""COMPUTED_VALUE"""),0.0)</f>
        <v>0</v>
      </c>
      <c r="AX59" s="197">
        <f>IFERROR(__xludf.DUMMYFUNCTION("""COMPUTED_VALUE"""),0.0)</f>
        <v>0</v>
      </c>
      <c r="AY59" s="197">
        <f>IFERROR(__xludf.DUMMYFUNCTION("""COMPUTED_VALUE"""),0.0)</f>
        <v>0</v>
      </c>
      <c r="AZ59" s="198">
        <f>IFERROR(__xludf.DUMMYFUNCTION("""COMPUTED_VALUE"""),0.0)</f>
        <v>0</v>
      </c>
      <c r="BA59" s="34"/>
    </row>
    <row r="60" ht="15.75" customHeight="1">
      <c r="A60" s="29"/>
      <c r="B60" s="67" t="str">
        <f>IFERROR(__xludf.DUMMYFUNCTION("""COMPUTED_VALUE""")," + Bán kiên cố")</f>
        <v> + Bán kiên cố</v>
      </c>
      <c r="C60" s="31"/>
      <c r="D60" s="31" t="str">
        <f>IFERROR(__xludf.DUMMYFUNCTION("""COMPUTED_VALUE"""),"""")</f>
        <v>"</v>
      </c>
      <c r="E60" s="41">
        <f>IFERROR(__xludf.DUMMYFUNCTION("""COMPUTED_VALUE"""),0.0)</f>
        <v>0</v>
      </c>
      <c r="F60" s="197">
        <f>IFERROR(__xludf.DUMMYFUNCTION("""COMPUTED_VALUE"""),0.0)</f>
        <v>0</v>
      </c>
      <c r="G60" s="197">
        <f>IFERROR(__xludf.DUMMYFUNCTION("""COMPUTED_VALUE"""),0.0)</f>
        <v>0</v>
      </c>
      <c r="H60" s="197">
        <f>IFERROR(__xludf.DUMMYFUNCTION("""COMPUTED_VALUE"""),0.0)</f>
        <v>0</v>
      </c>
      <c r="I60" s="41">
        <f>IFERROR(__xludf.DUMMYFUNCTION("""COMPUTED_VALUE"""),0.0)</f>
        <v>0</v>
      </c>
      <c r="J60" s="197">
        <f>IFERROR(__xludf.DUMMYFUNCTION("""COMPUTED_VALUE"""),0.0)</f>
        <v>0</v>
      </c>
      <c r="K60" s="197">
        <f>IFERROR(__xludf.DUMMYFUNCTION("""COMPUTED_VALUE"""),0.0)</f>
        <v>0</v>
      </c>
      <c r="L60" s="197">
        <f>IFERROR(__xludf.DUMMYFUNCTION("""COMPUTED_VALUE"""),0.0)</f>
        <v>0</v>
      </c>
      <c r="M60" s="41">
        <f>IFERROR(__xludf.DUMMYFUNCTION("""COMPUTED_VALUE"""),0.0)</f>
        <v>0</v>
      </c>
      <c r="N60" s="197">
        <f>IFERROR(__xludf.DUMMYFUNCTION("""COMPUTED_VALUE"""),0.0)</f>
        <v>0</v>
      </c>
      <c r="O60" s="197">
        <f>IFERROR(__xludf.DUMMYFUNCTION("""COMPUTED_VALUE"""),0.0)</f>
        <v>0</v>
      </c>
      <c r="P60" s="197">
        <f>IFERROR(__xludf.DUMMYFUNCTION("""COMPUTED_VALUE"""),0.0)</f>
        <v>0</v>
      </c>
      <c r="Q60" s="41">
        <f>IFERROR(__xludf.DUMMYFUNCTION("""COMPUTED_VALUE"""),0.0)</f>
        <v>0</v>
      </c>
      <c r="R60" s="197">
        <f>IFERROR(__xludf.DUMMYFUNCTION("""COMPUTED_VALUE"""),0.0)</f>
        <v>0</v>
      </c>
      <c r="S60" s="197">
        <f>IFERROR(__xludf.DUMMYFUNCTION("""COMPUTED_VALUE"""),0.0)</f>
        <v>0</v>
      </c>
      <c r="T60" s="197">
        <f>IFERROR(__xludf.DUMMYFUNCTION("""COMPUTED_VALUE"""),0.0)</f>
        <v>0</v>
      </c>
      <c r="U60" s="41">
        <f>IFERROR(__xludf.DUMMYFUNCTION("""COMPUTED_VALUE"""),0.0)</f>
        <v>0</v>
      </c>
      <c r="V60" s="197">
        <f>IFERROR(__xludf.DUMMYFUNCTION("""COMPUTED_VALUE"""),0.0)</f>
        <v>0</v>
      </c>
      <c r="W60" s="197">
        <f>IFERROR(__xludf.DUMMYFUNCTION("""COMPUTED_VALUE"""),0.0)</f>
        <v>0</v>
      </c>
      <c r="X60" s="197">
        <f>IFERROR(__xludf.DUMMYFUNCTION("""COMPUTED_VALUE"""),0.0)</f>
        <v>0</v>
      </c>
      <c r="Y60" s="41">
        <f>IFERROR(__xludf.DUMMYFUNCTION("""COMPUTED_VALUE"""),0.0)</f>
        <v>0</v>
      </c>
      <c r="Z60" s="197">
        <f>IFERROR(__xludf.DUMMYFUNCTION("""COMPUTED_VALUE"""),0.0)</f>
        <v>0</v>
      </c>
      <c r="AA60" s="197">
        <f>IFERROR(__xludf.DUMMYFUNCTION("""COMPUTED_VALUE"""),0.0)</f>
        <v>0</v>
      </c>
      <c r="AB60" s="197">
        <f>IFERROR(__xludf.DUMMYFUNCTION("""COMPUTED_VALUE"""),0.0)</f>
        <v>0</v>
      </c>
      <c r="AC60" s="41">
        <f>IFERROR(__xludf.DUMMYFUNCTION("""COMPUTED_VALUE"""),0.0)</f>
        <v>0</v>
      </c>
      <c r="AD60" s="197">
        <f>IFERROR(__xludf.DUMMYFUNCTION("""COMPUTED_VALUE"""),0.0)</f>
        <v>0</v>
      </c>
      <c r="AE60" s="197">
        <f>IFERROR(__xludf.DUMMYFUNCTION("""COMPUTED_VALUE"""),0.0)</f>
        <v>0</v>
      </c>
      <c r="AF60" s="197">
        <f>IFERROR(__xludf.DUMMYFUNCTION("""COMPUTED_VALUE"""),0.0)</f>
        <v>0</v>
      </c>
      <c r="AG60" s="41">
        <f>IFERROR(__xludf.DUMMYFUNCTION("""COMPUTED_VALUE"""),0.0)</f>
        <v>0</v>
      </c>
      <c r="AH60" s="197">
        <f>IFERROR(__xludf.DUMMYFUNCTION("""COMPUTED_VALUE"""),0.0)</f>
        <v>0</v>
      </c>
      <c r="AI60" s="197">
        <f>IFERROR(__xludf.DUMMYFUNCTION("""COMPUTED_VALUE"""),0.0)</f>
        <v>0</v>
      </c>
      <c r="AJ60" s="197">
        <f>IFERROR(__xludf.DUMMYFUNCTION("""COMPUTED_VALUE"""),0.0)</f>
        <v>0</v>
      </c>
      <c r="AK60" s="41">
        <f>IFERROR(__xludf.DUMMYFUNCTION("""COMPUTED_VALUE"""),0.0)</f>
        <v>0</v>
      </c>
      <c r="AL60" s="197">
        <f>IFERROR(__xludf.DUMMYFUNCTION("""COMPUTED_VALUE"""),0.0)</f>
        <v>0</v>
      </c>
      <c r="AM60" s="197">
        <f>IFERROR(__xludf.DUMMYFUNCTION("""COMPUTED_VALUE"""),0.0)</f>
        <v>0</v>
      </c>
      <c r="AN60" s="197">
        <f>IFERROR(__xludf.DUMMYFUNCTION("""COMPUTED_VALUE"""),0.0)</f>
        <v>0</v>
      </c>
      <c r="AO60" s="41">
        <f>IFERROR(__xludf.DUMMYFUNCTION("""COMPUTED_VALUE"""),0.0)</f>
        <v>0</v>
      </c>
      <c r="AP60" s="197">
        <f>IFERROR(__xludf.DUMMYFUNCTION("""COMPUTED_VALUE"""),0.0)</f>
        <v>0</v>
      </c>
      <c r="AQ60" s="197">
        <f>IFERROR(__xludf.DUMMYFUNCTION("""COMPUTED_VALUE"""),0.0)</f>
        <v>0</v>
      </c>
      <c r="AR60" s="197">
        <f>IFERROR(__xludf.DUMMYFUNCTION("""COMPUTED_VALUE"""),0.0)</f>
        <v>0</v>
      </c>
      <c r="AS60" s="41">
        <f>IFERROR(__xludf.DUMMYFUNCTION("""COMPUTED_VALUE"""),0.0)</f>
        <v>0</v>
      </c>
      <c r="AT60" s="197">
        <f>IFERROR(__xludf.DUMMYFUNCTION("""COMPUTED_VALUE"""),0.0)</f>
        <v>0</v>
      </c>
      <c r="AU60" s="197">
        <f>IFERROR(__xludf.DUMMYFUNCTION("""COMPUTED_VALUE"""),0.0)</f>
        <v>0</v>
      </c>
      <c r="AV60" s="197">
        <f>IFERROR(__xludf.DUMMYFUNCTION("""COMPUTED_VALUE"""),0.0)</f>
        <v>0</v>
      </c>
      <c r="AW60" s="41">
        <f>IFERROR(__xludf.DUMMYFUNCTION("""COMPUTED_VALUE"""),0.0)</f>
        <v>0</v>
      </c>
      <c r="AX60" s="197">
        <f>IFERROR(__xludf.DUMMYFUNCTION("""COMPUTED_VALUE"""),0.0)</f>
        <v>0</v>
      </c>
      <c r="AY60" s="197">
        <f>IFERROR(__xludf.DUMMYFUNCTION("""COMPUTED_VALUE"""),0.0)</f>
        <v>0</v>
      </c>
      <c r="AZ60" s="198">
        <f>IFERROR(__xludf.DUMMYFUNCTION("""COMPUTED_VALUE"""),0.0)</f>
        <v>0</v>
      </c>
      <c r="BA60" s="34"/>
    </row>
    <row r="61" ht="15.75" customHeight="1">
      <c r="A61" s="29"/>
      <c r="B61" s="67" t="str">
        <f>IFERROR(__xludf.DUMMYFUNCTION("""COMPUTED_VALUE""")," + Tạm")</f>
        <v> + Tạm</v>
      </c>
      <c r="C61" s="31"/>
      <c r="D61" s="31" t="str">
        <f>IFERROR(__xludf.DUMMYFUNCTION("""COMPUTED_VALUE"""),"""")</f>
        <v>"</v>
      </c>
      <c r="E61" s="41">
        <f>IFERROR(__xludf.DUMMYFUNCTION("""COMPUTED_VALUE"""),0.0)</f>
        <v>0</v>
      </c>
      <c r="F61" s="197">
        <f>IFERROR(__xludf.DUMMYFUNCTION("""COMPUTED_VALUE"""),0.0)</f>
        <v>0</v>
      </c>
      <c r="G61" s="197">
        <f>IFERROR(__xludf.DUMMYFUNCTION("""COMPUTED_VALUE"""),0.0)</f>
        <v>0</v>
      </c>
      <c r="H61" s="197">
        <f>IFERROR(__xludf.DUMMYFUNCTION("""COMPUTED_VALUE"""),0.0)</f>
        <v>0</v>
      </c>
      <c r="I61" s="41">
        <f>IFERROR(__xludf.DUMMYFUNCTION("""COMPUTED_VALUE"""),0.0)</f>
        <v>0</v>
      </c>
      <c r="J61" s="197">
        <f>IFERROR(__xludf.DUMMYFUNCTION("""COMPUTED_VALUE"""),0.0)</f>
        <v>0</v>
      </c>
      <c r="K61" s="197">
        <f>IFERROR(__xludf.DUMMYFUNCTION("""COMPUTED_VALUE"""),0.0)</f>
        <v>0</v>
      </c>
      <c r="L61" s="197">
        <f>IFERROR(__xludf.DUMMYFUNCTION("""COMPUTED_VALUE"""),0.0)</f>
        <v>0</v>
      </c>
      <c r="M61" s="41">
        <f>IFERROR(__xludf.DUMMYFUNCTION("""COMPUTED_VALUE"""),0.0)</f>
        <v>0</v>
      </c>
      <c r="N61" s="197">
        <f>IFERROR(__xludf.DUMMYFUNCTION("""COMPUTED_VALUE"""),0.0)</f>
        <v>0</v>
      </c>
      <c r="O61" s="197">
        <f>IFERROR(__xludf.DUMMYFUNCTION("""COMPUTED_VALUE"""),0.0)</f>
        <v>0</v>
      </c>
      <c r="P61" s="197">
        <f>IFERROR(__xludf.DUMMYFUNCTION("""COMPUTED_VALUE"""),0.0)</f>
        <v>0</v>
      </c>
      <c r="Q61" s="41">
        <f>IFERROR(__xludf.DUMMYFUNCTION("""COMPUTED_VALUE"""),0.0)</f>
        <v>0</v>
      </c>
      <c r="R61" s="197">
        <f>IFERROR(__xludf.DUMMYFUNCTION("""COMPUTED_VALUE"""),0.0)</f>
        <v>0</v>
      </c>
      <c r="S61" s="197">
        <f>IFERROR(__xludf.DUMMYFUNCTION("""COMPUTED_VALUE"""),0.0)</f>
        <v>0</v>
      </c>
      <c r="T61" s="197">
        <f>IFERROR(__xludf.DUMMYFUNCTION("""COMPUTED_VALUE"""),0.0)</f>
        <v>0</v>
      </c>
      <c r="U61" s="41">
        <f>IFERROR(__xludf.DUMMYFUNCTION("""COMPUTED_VALUE"""),0.0)</f>
        <v>0</v>
      </c>
      <c r="V61" s="197">
        <f>IFERROR(__xludf.DUMMYFUNCTION("""COMPUTED_VALUE"""),0.0)</f>
        <v>0</v>
      </c>
      <c r="W61" s="197">
        <f>IFERROR(__xludf.DUMMYFUNCTION("""COMPUTED_VALUE"""),0.0)</f>
        <v>0</v>
      </c>
      <c r="X61" s="197">
        <f>IFERROR(__xludf.DUMMYFUNCTION("""COMPUTED_VALUE"""),0.0)</f>
        <v>0</v>
      </c>
      <c r="Y61" s="41">
        <f>IFERROR(__xludf.DUMMYFUNCTION("""COMPUTED_VALUE"""),0.0)</f>
        <v>0</v>
      </c>
      <c r="Z61" s="197">
        <f>IFERROR(__xludf.DUMMYFUNCTION("""COMPUTED_VALUE"""),0.0)</f>
        <v>0</v>
      </c>
      <c r="AA61" s="197">
        <f>IFERROR(__xludf.DUMMYFUNCTION("""COMPUTED_VALUE"""),0.0)</f>
        <v>0</v>
      </c>
      <c r="AB61" s="197">
        <f>IFERROR(__xludf.DUMMYFUNCTION("""COMPUTED_VALUE"""),0.0)</f>
        <v>0</v>
      </c>
      <c r="AC61" s="41">
        <f>IFERROR(__xludf.DUMMYFUNCTION("""COMPUTED_VALUE"""),0.0)</f>
        <v>0</v>
      </c>
      <c r="AD61" s="197">
        <f>IFERROR(__xludf.DUMMYFUNCTION("""COMPUTED_VALUE"""),0.0)</f>
        <v>0</v>
      </c>
      <c r="AE61" s="197">
        <f>IFERROR(__xludf.DUMMYFUNCTION("""COMPUTED_VALUE"""),0.0)</f>
        <v>0</v>
      </c>
      <c r="AF61" s="197">
        <f>IFERROR(__xludf.DUMMYFUNCTION("""COMPUTED_VALUE"""),0.0)</f>
        <v>0</v>
      </c>
      <c r="AG61" s="41">
        <f>IFERROR(__xludf.DUMMYFUNCTION("""COMPUTED_VALUE"""),0.0)</f>
        <v>0</v>
      </c>
      <c r="AH61" s="197">
        <f>IFERROR(__xludf.DUMMYFUNCTION("""COMPUTED_VALUE"""),0.0)</f>
        <v>0</v>
      </c>
      <c r="AI61" s="197">
        <f>IFERROR(__xludf.DUMMYFUNCTION("""COMPUTED_VALUE"""),0.0)</f>
        <v>0</v>
      </c>
      <c r="AJ61" s="197">
        <f>IFERROR(__xludf.DUMMYFUNCTION("""COMPUTED_VALUE"""),0.0)</f>
        <v>0</v>
      </c>
      <c r="AK61" s="41">
        <f>IFERROR(__xludf.DUMMYFUNCTION("""COMPUTED_VALUE"""),0.0)</f>
        <v>0</v>
      </c>
      <c r="AL61" s="197">
        <f>IFERROR(__xludf.DUMMYFUNCTION("""COMPUTED_VALUE"""),0.0)</f>
        <v>0</v>
      </c>
      <c r="AM61" s="197">
        <f>IFERROR(__xludf.DUMMYFUNCTION("""COMPUTED_VALUE"""),0.0)</f>
        <v>0</v>
      </c>
      <c r="AN61" s="197">
        <f>IFERROR(__xludf.DUMMYFUNCTION("""COMPUTED_VALUE"""),0.0)</f>
        <v>0</v>
      </c>
      <c r="AO61" s="41">
        <f>IFERROR(__xludf.DUMMYFUNCTION("""COMPUTED_VALUE"""),0.0)</f>
        <v>0</v>
      </c>
      <c r="AP61" s="197">
        <f>IFERROR(__xludf.DUMMYFUNCTION("""COMPUTED_VALUE"""),0.0)</f>
        <v>0</v>
      </c>
      <c r="AQ61" s="197">
        <f>IFERROR(__xludf.DUMMYFUNCTION("""COMPUTED_VALUE"""),0.0)</f>
        <v>0</v>
      </c>
      <c r="AR61" s="197">
        <f>IFERROR(__xludf.DUMMYFUNCTION("""COMPUTED_VALUE"""),0.0)</f>
        <v>0</v>
      </c>
      <c r="AS61" s="41">
        <f>IFERROR(__xludf.DUMMYFUNCTION("""COMPUTED_VALUE"""),0.0)</f>
        <v>0</v>
      </c>
      <c r="AT61" s="197">
        <f>IFERROR(__xludf.DUMMYFUNCTION("""COMPUTED_VALUE"""),0.0)</f>
        <v>0</v>
      </c>
      <c r="AU61" s="197">
        <f>IFERROR(__xludf.DUMMYFUNCTION("""COMPUTED_VALUE"""),0.0)</f>
        <v>0</v>
      </c>
      <c r="AV61" s="197">
        <f>IFERROR(__xludf.DUMMYFUNCTION("""COMPUTED_VALUE"""),0.0)</f>
        <v>0</v>
      </c>
      <c r="AW61" s="41">
        <f>IFERROR(__xludf.DUMMYFUNCTION("""COMPUTED_VALUE"""),0.0)</f>
        <v>0</v>
      </c>
      <c r="AX61" s="197">
        <f>IFERROR(__xludf.DUMMYFUNCTION("""COMPUTED_VALUE"""),0.0)</f>
        <v>0</v>
      </c>
      <c r="AY61" s="197">
        <f>IFERROR(__xludf.DUMMYFUNCTION("""COMPUTED_VALUE"""),0.0)</f>
        <v>0</v>
      </c>
      <c r="AZ61" s="198">
        <f>IFERROR(__xludf.DUMMYFUNCTION("""COMPUTED_VALUE"""),0.0)</f>
        <v>0</v>
      </c>
      <c r="BA61" s="34"/>
    </row>
    <row r="62" ht="15.75" customHeight="1">
      <c r="A62" s="29"/>
      <c r="B62" s="30" t="str">
        <f>IFERROR(__xludf.DUMMYFUNCTION("""COMPUTED_VALUE"""),"7. KHỐI PHÒNG HỖ TRỢ HỌC TẬP")</f>
        <v>7. KHỐI PHÒNG HỖ TRỢ HỌC TẬP</v>
      </c>
      <c r="C62" s="31" t="str">
        <f>IFERROR(__xludf.DUMMYFUNCTION("""COMPUTED_VALUE"""),"Quí")</f>
        <v>Quí</v>
      </c>
      <c r="D62" s="31" t="str">
        <f>IFERROR(__xludf.DUMMYFUNCTION("""COMPUTED_VALUE"""),"Phòng")</f>
        <v>Phòng</v>
      </c>
      <c r="E62" s="32">
        <f>IFERROR(__xludf.DUMMYFUNCTION("""COMPUTED_VALUE"""),223.0)</f>
        <v>223</v>
      </c>
      <c r="F62" s="32">
        <f>IFERROR(__xludf.DUMMYFUNCTION("""COMPUTED_VALUE"""),223.0)</f>
        <v>223</v>
      </c>
      <c r="G62" s="32">
        <f>IFERROR(__xludf.DUMMYFUNCTION("""COMPUTED_VALUE"""),0.0)</f>
        <v>0</v>
      </c>
      <c r="H62" s="32">
        <f>IFERROR(__xludf.DUMMYFUNCTION("""COMPUTED_VALUE"""),0.0)</f>
        <v>0</v>
      </c>
      <c r="I62" s="32">
        <f>IFERROR(__xludf.DUMMYFUNCTION("""COMPUTED_VALUE"""),222.0)</f>
        <v>222</v>
      </c>
      <c r="J62" s="32">
        <f>IFERROR(__xludf.DUMMYFUNCTION("""COMPUTED_VALUE"""),222.0)</f>
        <v>222</v>
      </c>
      <c r="K62" s="32">
        <f>IFERROR(__xludf.DUMMYFUNCTION("""COMPUTED_VALUE"""),0.0)</f>
        <v>0</v>
      </c>
      <c r="L62" s="32">
        <f>IFERROR(__xludf.DUMMYFUNCTION("""COMPUTED_VALUE"""),0.0)</f>
        <v>0</v>
      </c>
      <c r="M62" s="32">
        <f>IFERROR(__xludf.DUMMYFUNCTION("""COMPUTED_VALUE"""),215.0)</f>
        <v>215</v>
      </c>
      <c r="N62" s="32">
        <f>IFERROR(__xludf.DUMMYFUNCTION("""COMPUTED_VALUE"""),215.0)</f>
        <v>215</v>
      </c>
      <c r="O62" s="32">
        <f>IFERROR(__xludf.DUMMYFUNCTION("""COMPUTED_VALUE"""),0.0)</f>
        <v>0</v>
      </c>
      <c r="P62" s="32">
        <f>IFERROR(__xludf.DUMMYFUNCTION("""COMPUTED_VALUE"""),0.0)</f>
        <v>0</v>
      </c>
      <c r="Q62" s="32">
        <f>IFERROR(__xludf.DUMMYFUNCTION("""COMPUTED_VALUE"""),213.0)</f>
        <v>213</v>
      </c>
      <c r="R62" s="32">
        <f>IFERROR(__xludf.DUMMYFUNCTION("""COMPUTED_VALUE"""),212.0)</f>
        <v>212</v>
      </c>
      <c r="S62" s="32">
        <f>IFERROR(__xludf.DUMMYFUNCTION("""COMPUTED_VALUE"""),1.0)</f>
        <v>1</v>
      </c>
      <c r="T62" s="32">
        <f>IFERROR(__xludf.DUMMYFUNCTION("""COMPUTED_VALUE"""),0.0)</f>
        <v>0</v>
      </c>
      <c r="U62" s="32">
        <f>IFERROR(__xludf.DUMMYFUNCTION("""COMPUTED_VALUE"""),216.0)</f>
        <v>216</v>
      </c>
      <c r="V62" s="32">
        <f>IFERROR(__xludf.DUMMYFUNCTION("""COMPUTED_VALUE"""),216.0)</f>
        <v>216</v>
      </c>
      <c r="W62" s="32">
        <f>IFERROR(__xludf.DUMMYFUNCTION("""COMPUTED_VALUE"""),0.0)</f>
        <v>0</v>
      </c>
      <c r="X62" s="32">
        <f>IFERROR(__xludf.DUMMYFUNCTION("""COMPUTED_VALUE"""),0.0)</f>
        <v>0</v>
      </c>
      <c r="Y62" s="32">
        <f>IFERROR(__xludf.DUMMYFUNCTION("""COMPUTED_VALUE"""),214.0)</f>
        <v>214</v>
      </c>
      <c r="Z62" s="32">
        <f>IFERROR(__xludf.DUMMYFUNCTION("""COMPUTED_VALUE"""),214.0)</f>
        <v>214</v>
      </c>
      <c r="AA62" s="32">
        <f>IFERROR(__xludf.DUMMYFUNCTION("""COMPUTED_VALUE"""),0.0)</f>
        <v>0</v>
      </c>
      <c r="AB62" s="32">
        <f>IFERROR(__xludf.DUMMYFUNCTION("""COMPUTED_VALUE"""),0.0)</f>
        <v>0</v>
      </c>
      <c r="AC62" s="32">
        <f>IFERROR(__xludf.DUMMYFUNCTION("""COMPUTED_VALUE"""),214.0)</f>
        <v>214</v>
      </c>
      <c r="AD62" s="32">
        <f>IFERROR(__xludf.DUMMYFUNCTION("""COMPUTED_VALUE"""),214.0)</f>
        <v>214</v>
      </c>
      <c r="AE62" s="32">
        <f>IFERROR(__xludf.DUMMYFUNCTION("""COMPUTED_VALUE"""),0.0)</f>
        <v>0</v>
      </c>
      <c r="AF62" s="32">
        <f>IFERROR(__xludf.DUMMYFUNCTION("""COMPUTED_VALUE"""),0.0)</f>
        <v>0</v>
      </c>
      <c r="AG62" s="32">
        <f>IFERROR(__xludf.DUMMYFUNCTION("""COMPUTED_VALUE"""),0.0)</f>
        <v>0</v>
      </c>
      <c r="AH62" s="32">
        <f>IFERROR(__xludf.DUMMYFUNCTION("""COMPUTED_VALUE"""),0.0)</f>
        <v>0</v>
      </c>
      <c r="AI62" s="32">
        <f>IFERROR(__xludf.DUMMYFUNCTION("""COMPUTED_VALUE"""),0.0)</f>
        <v>0</v>
      </c>
      <c r="AJ62" s="32">
        <f>IFERROR(__xludf.DUMMYFUNCTION("""COMPUTED_VALUE"""),0.0)</f>
        <v>0</v>
      </c>
      <c r="AK62" s="32">
        <f>IFERROR(__xludf.DUMMYFUNCTION("""COMPUTED_VALUE"""),0.0)</f>
        <v>0</v>
      </c>
      <c r="AL62" s="32">
        <f>IFERROR(__xludf.DUMMYFUNCTION("""COMPUTED_VALUE"""),0.0)</f>
        <v>0</v>
      </c>
      <c r="AM62" s="32">
        <f>IFERROR(__xludf.DUMMYFUNCTION("""COMPUTED_VALUE"""),0.0)</f>
        <v>0</v>
      </c>
      <c r="AN62" s="32">
        <f>IFERROR(__xludf.DUMMYFUNCTION("""COMPUTED_VALUE"""),0.0)</f>
        <v>0</v>
      </c>
      <c r="AO62" s="32">
        <f>IFERROR(__xludf.DUMMYFUNCTION("""COMPUTED_VALUE"""),0.0)</f>
        <v>0</v>
      </c>
      <c r="AP62" s="32">
        <f>IFERROR(__xludf.DUMMYFUNCTION("""COMPUTED_VALUE"""),0.0)</f>
        <v>0</v>
      </c>
      <c r="AQ62" s="32">
        <f>IFERROR(__xludf.DUMMYFUNCTION("""COMPUTED_VALUE"""),0.0)</f>
        <v>0</v>
      </c>
      <c r="AR62" s="32">
        <f>IFERROR(__xludf.DUMMYFUNCTION("""COMPUTED_VALUE"""),0.0)</f>
        <v>0</v>
      </c>
      <c r="AS62" s="32">
        <f>IFERROR(__xludf.DUMMYFUNCTION("""COMPUTED_VALUE"""),0.0)</f>
        <v>0</v>
      </c>
      <c r="AT62" s="32">
        <f>IFERROR(__xludf.DUMMYFUNCTION("""COMPUTED_VALUE"""),0.0)</f>
        <v>0</v>
      </c>
      <c r="AU62" s="32">
        <f>IFERROR(__xludf.DUMMYFUNCTION("""COMPUTED_VALUE"""),0.0)</f>
        <v>0</v>
      </c>
      <c r="AV62" s="32">
        <f>IFERROR(__xludf.DUMMYFUNCTION("""COMPUTED_VALUE"""),0.0)</f>
        <v>0</v>
      </c>
      <c r="AW62" s="32">
        <f>IFERROR(__xludf.DUMMYFUNCTION("""COMPUTED_VALUE"""),0.0)</f>
        <v>0</v>
      </c>
      <c r="AX62" s="32">
        <f>IFERROR(__xludf.DUMMYFUNCTION("""COMPUTED_VALUE"""),0.0)</f>
        <v>0</v>
      </c>
      <c r="AY62" s="32">
        <f>IFERROR(__xludf.DUMMYFUNCTION("""COMPUTED_VALUE"""),0.0)</f>
        <v>0</v>
      </c>
      <c r="AZ62" s="33">
        <f>IFERROR(__xludf.DUMMYFUNCTION("""COMPUTED_VALUE"""),0.0)</f>
        <v>0</v>
      </c>
      <c r="BA62" s="34"/>
    </row>
    <row r="63" ht="15.75" customHeight="1">
      <c r="A63" s="29"/>
      <c r="B63" s="196" t="str">
        <f>IFERROR(__xludf.DUMMYFUNCTION("""COMPUTED_VALUE"""),"7.1. Tổng số thư viện")</f>
        <v>7.1. Tổng số thư viện</v>
      </c>
      <c r="C63" s="57"/>
      <c r="D63" s="57" t="str">
        <f>IFERROR(__xludf.DUMMYFUNCTION("""COMPUTED_VALUE"""),"Phòng")</f>
        <v>Phòng</v>
      </c>
      <c r="E63" s="125">
        <f>IFERROR(__xludf.DUMMYFUNCTION("""COMPUTED_VALUE"""),81.0)</f>
        <v>81</v>
      </c>
      <c r="F63" s="125">
        <f>IFERROR(__xludf.DUMMYFUNCTION("""COMPUTED_VALUE"""),81.0)</f>
        <v>81</v>
      </c>
      <c r="G63" s="125">
        <f>IFERROR(__xludf.DUMMYFUNCTION("""COMPUTED_VALUE"""),0.0)</f>
        <v>0</v>
      </c>
      <c r="H63" s="125">
        <f>IFERROR(__xludf.DUMMYFUNCTION("""COMPUTED_VALUE"""),0.0)</f>
        <v>0</v>
      </c>
      <c r="I63" s="125">
        <f>IFERROR(__xludf.DUMMYFUNCTION("""COMPUTED_VALUE"""),80.0)</f>
        <v>80</v>
      </c>
      <c r="J63" s="125">
        <f>IFERROR(__xludf.DUMMYFUNCTION("""COMPUTED_VALUE"""),80.0)</f>
        <v>80</v>
      </c>
      <c r="K63" s="125">
        <f>IFERROR(__xludf.DUMMYFUNCTION("""COMPUTED_VALUE"""),0.0)</f>
        <v>0</v>
      </c>
      <c r="L63" s="125">
        <f>IFERROR(__xludf.DUMMYFUNCTION("""COMPUTED_VALUE"""),0.0)</f>
        <v>0</v>
      </c>
      <c r="M63" s="125">
        <f>IFERROR(__xludf.DUMMYFUNCTION("""COMPUTED_VALUE"""),78.0)</f>
        <v>78</v>
      </c>
      <c r="N63" s="125">
        <f>IFERROR(__xludf.DUMMYFUNCTION("""COMPUTED_VALUE"""),78.0)</f>
        <v>78</v>
      </c>
      <c r="O63" s="125">
        <f>IFERROR(__xludf.DUMMYFUNCTION("""COMPUTED_VALUE"""),0.0)</f>
        <v>0</v>
      </c>
      <c r="P63" s="125">
        <f>IFERROR(__xludf.DUMMYFUNCTION("""COMPUTED_VALUE"""),0.0)</f>
        <v>0</v>
      </c>
      <c r="Q63" s="125">
        <f>IFERROR(__xludf.DUMMYFUNCTION("""COMPUTED_VALUE"""),78.0)</f>
        <v>78</v>
      </c>
      <c r="R63" s="125">
        <f>IFERROR(__xludf.DUMMYFUNCTION("""COMPUTED_VALUE"""),78.0)</f>
        <v>78</v>
      </c>
      <c r="S63" s="125">
        <f>IFERROR(__xludf.DUMMYFUNCTION("""COMPUTED_VALUE"""),0.0)</f>
        <v>0</v>
      </c>
      <c r="T63" s="125">
        <f>IFERROR(__xludf.DUMMYFUNCTION("""COMPUTED_VALUE"""),0.0)</f>
        <v>0</v>
      </c>
      <c r="U63" s="125">
        <f>IFERROR(__xludf.DUMMYFUNCTION("""COMPUTED_VALUE"""),78.0)</f>
        <v>78</v>
      </c>
      <c r="V63" s="125">
        <f>IFERROR(__xludf.DUMMYFUNCTION("""COMPUTED_VALUE"""),78.0)</f>
        <v>78</v>
      </c>
      <c r="W63" s="125">
        <f>IFERROR(__xludf.DUMMYFUNCTION("""COMPUTED_VALUE"""),0.0)</f>
        <v>0</v>
      </c>
      <c r="X63" s="125">
        <f>IFERROR(__xludf.DUMMYFUNCTION("""COMPUTED_VALUE"""),0.0)</f>
        <v>0</v>
      </c>
      <c r="Y63" s="125">
        <f>IFERROR(__xludf.DUMMYFUNCTION("""COMPUTED_VALUE"""),77.0)</f>
        <v>77</v>
      </c>
      <c r="Z63" s="125">
        <f>IFERROR(__xludf.DUMMYFUNCTION("""COMPUTED_VALUE"""),77.0)</f>
        <v>77</v>
      </c>
      <c r="AA63" s="125">
        <f>IFERROR(__xludf.DUMMYFUNCTION("""COMPUTED_VALUE"""),0.0)</f>
        <v>0</v>
      </c>
      <c r="AB63" s="125">
        <f>IFERROR(__xludf.DUMMYFUNCTION("""COMPUTED_VALUE"""),0.0)</f>
        <v>0</v>
      </c>
      <c r="AC63" s="125">
        <f>IFERROR(__xludf.DUMMYFUNCTION("""COMPUTED_VALUE"""),78.0)</f>
        <v>78</v>
      </c>
      <c r="AD63" s="125">
        <f>IFERROR(__xludf.DUMMYFUNCTION("""COMPUTED_VALUE"""),78.0)</f>
        <v>78</v>
      </c>
      <c r="AE63" s="125">
        <f>IFERROR(__xludf.DUMMYFUNCTION("""COMPUTED_VALUE"""),0.0)</f>
        <v>0</v>
      </c>
      <c r="AF63" s="125">
        <f>IFERROR(__xludf.DUMMYFUNCTION("""COMPUTED_VALUE"""),0.0)</f>
        <v>0</v>
      </c>
      <c r="AG63" s="125">
        <f>IFERROR(__xludf.DUMMYFUNCTION("""COMPUTED_VALUE"""),0.0)</f>
        <v>0</v>
      </c>
      <c r="AH63" s="125">
        <f>IFERROR(__xludf.DUMMYFUNCTION("""COMPUTED_VALUE"""),0.0)</f>
        <v>0</v>
      </c>
      <c r="AI63" s="125">
        <f>IFERROR(__xludf.DUMMYFUNCTION("""COMPUTED_VALUE"""),0.0)</f>
        <v>0</v>
      </c>
      <c r="AJ63" s="125">
        <f>IFERROR(__xludf.DUMMYFUNCTION("""COMPUTED_VALUE"""),0.0)</f>
        <v>0</v>
      </c>
      <c r="AK63" s="125">
        <f>IFERROR(__xludf.DUMMYFUNCTION("""COMPUTED_VALUE"""),0.0)</f>
        <v>0</v>
      </c>
      <c r="AL63" s="125">
        <f>IFERROR(__xludf.DUMMYFUNCTION("""COMPUTED_VALUE"""),0.0)</f>
        <v>0</v>
      </c>
      <c r="AM63" s="125">
        <f>IFERROR(__xludf.DUMMYFUNCTION("""COMPUTED_VALUE"""),0.0)</f>
        <v>0</v>
      </c>
      <c r="AN63" s="125">
        <f>IFERROR(__xludf.DUMMYFUNCTION("""COMPUTED_VALUE"""),0.0)</f>
        <v>0</v>
      </c>
      <c r="AO63" s="125">
        <f>IFERROR(__xludf.DUMMYFUNCTION("""COMPUTED_VALUE"""),0.0)</f>
        <v>0</v>
      </c>
      <c r="AP63" s="125">
        <f>IFERROR(__xludf.DUMMYFUNCTION("""COMPUTED_VALUE"""),0.0)</f>
        <v>0</v>
      </c>
      <c r="AQ63" s="125">
        <f>IFERROR(__xludf.DUMMYFUNCTION("""COMPUTED_VALUE"""),0.0)</f>
        <v>0</v>
      </c>
      <c r="AR63" s="125">
        <f>IFERROR(__xludf.DUMMYFUNCTION("""COMPUTED_VALUE"""),0.0)</f>
        <v>0</v>
      </c>
      <c r="AS63" s="125">
        <f>IFERROR(__xludf.DUMMYFUNCTION("""COMPUTED_VALUE"""),0.0)</f>
        <v>0</v>
      </c>
      <c r="AT63" s="125">
        <f>IFERROR(__xludf.DUMMYFUNCTION("""COMPUTED_VALUE"""),0.0)</f>
        <v>0</v>
      </c>
      <c r="AU63" s="125">
        <f>IFERROR(__xludf.DUMMYFUNCTION("""COMPUTED_VALUE"""),0.0)</f>
        <v>0</v>
      </c>
      <c r="AV63" s="125">
        <f>IFERROR(__xludf.DUMMYFUNCTION("""COMPUTED_VALUE"""),0.0)</f>
        <v>0</v>
      </c>
      <c r="AW63" s="125">
        <f>IFERROR(__xludf.DUMMYFUNCTION("""COMPUTED_VALUE"""),0.0)</f>
        <v>0</v>
      </c>
      <c r="AX63" s="125">
        <f>IFERROR(__xludf.DUMMYFUNCTION("""COMPUTED_VALUE"""),0.0)</f>
        <v>0</v>
      </c>
      <c r="AY63" s="125">
        <f>IFERROR(__xludf.DUMMYFUNCTION("""COMPUTED_VALUE"""),0.0)</f>
        <v>0</v>
      </c>
      <c r="AZ63" s="127">
        <f>IFERROR(__xludf.DUMMYFUNCTION("""COMPUTED_VALUE"""),0.0)</f>
        <v>0</v>
      </c>
      <c r="BA63" s="34"/>
    </row>
    <row r="64" ht="15.75" customHeight="1">
      <c r="A64" s="29"/>
      <c r="B64" s="48" t="str">
        <f>IFERROR(__xludf.DUMMYFUNCTION("""COMPUTED_VALUE"""),"Chia ra:")</f>
        <v>Chia ra:</v>
      </c>
      <c r="C64" s="49"/>
      <c r="D64" s="3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50"/>
      <c r="BA64" s="34"/>
    </row>
    <row r="65" ht="15.75" customHeight="1">
      <c r="A65" s="29"/>
      <c r="B65" s="67" t="str">
        <f>IFERROR(__xludf.DUMMYFUNCTION("""COMPUTED_VALUE""")," + Kiên cố")</f>
        <v> + Kiên cố</v>
      </c>
      <c r="C65" s="31"/>
      <c r="D65" s="31" t="str">
        <f>IFERROR(__xludf.DUMMYFUNCTION("""COMPUTED_VALUE"""),"""")</f>
        <v>"</v>
      </c>
      <c r="E65" s="41">
        <f>IFERROR(__xludf.DUMMYFUNCTION("""COMPUTED_VALUE"""),70.0)</f>
        <v>70</v>
      </c>
      <c r="F65" s="197">
        <f>IFERROR(__xludf.DUMMYFUNCTION("""COMPUTED_VALUE"""),70.0)</f>
        <v>70</v>
      </c>
      <c r="G65" s="197">
        <f>IFERROR(__xludf.DUMMYFUNCTION("""COMPUTED_VALUE"""),0.0)</f>
        <v>0</v>
      </c>
      <c r="H65" s="197">
        <f>IFERROR(__xludf.DUMMYFUNCTION("""COMPUTED_VALUE"""),0.0)</f>
        <v>0</v>
      </c>
      <c r="I65" s="41">
        <f>IFERROR(__xludf.DUMMYFUNCTION("""COMPUTED_VALUE"""),71.0)</f>
        <v>71</v>
      </c>
      <c r="J65" s="197">
        <f>IFERROR(__xludf.DUMMYFUNCTION("""COMPUTED_VALUE"""),71.0)</f>
        <v>71</v>
      </c>
      <c r="K65" s="197">
        <f>IFERROR(__xludf.DUMMYFUNCTION("""COMPUTED_VALUE"""),0.0)</f>
        <v>0</v>
      </c>
      <c r="L65" s="197">
        <f>IFERROR(__xludf.DUMMYFUNCTION("""COMPUTED_VALUE"""),0.0)</f>
        <v>0</v>
      </c>
      <c r="M65" s="41">
        <f>IFERROR(__xludf.DUMMYFUNCTION("""COMPUTED_VALUE"""),69.0)</f>
        <v>69</v>
      </c>
      <c r="N65" s="197">
        <f>IFERROR(__xludf.DUMMYFUNCTION("""COMPUTED_VALUE"""),69.0)</f>
        <v>69</v>
      </c>
      <c r="O65" s="197">
        <f>IFERROR(__xludf.DUMMYFUNCTION("""COMPUTED_VALUE"""),0.0)</f>
        <v>0</v>
      </c>
      <c r="P65" s="197">
        <f>IFERROR(__xludf.DUMMYFUNCTION("""COMPUTED_VALUE"""),0.0)</f>
        <v>0</v>
      </c>
      <c r="Q65" s="41">
        <f>IFERROR(__xludf.DUMMYFUNCTION("""COMPUTED_VALUE"""),70.0)</f>
        <v>70</v>
      </c>
      <c r="R65" s="197">
        <f>IFERROR(__xludf.DUMMYFUNCTION("""COMPUTED_VALUE"""),70.0)</f>
        <v>70</v>
      </c>
      <c r="S65" s="197">
        <f>IFERROR(__xludf.DUMMYFUNCTION("""COMPUTED_VALUE"""),0.0)</f>
        <v>0</v>
      </c>
      <c r="T65" s="197">
        <f>IFERROR(__xludf.DUMMYFUNCTION("""COMPUTED_VALUE"""),0.0)</f>
        <v>0</v>
      </c>
      <c r="U65" s="41">
        <f>IFERROR(__xludf.DUMMYFUNCTION("""COMPUTED_VALUE"""),70.0)</f>
        <v>70</v>
      </c>
      <c r="V65" s="197">
        <f>IFERROR(__xludf.DUMMYFUNCTION("""COMPUTED_VALUE"""),70.0)</f>
        <v>70</v>
      </c>
      <c r="W65" s="197">
        <f>IFERROR(__xludf.DUMMYFUNCTION("""COMPUTED_VALUE"""),0.0)</f>
        <v>0</v>
      </c>
      <c r="X65" s="197">
        <f>IFERROR(__xludf.DUMMYFUNCTION("""COMPUTED_VALUE"""),0.0)</f>
        <v>0</v>
      </c>
      <c r="Y65" s="41">
        <f>IFERROR(__xludf.DUMMYFUNCTION("""COMPUTED_VALUE"""),69.0)</f>
        <v>69</v>
      </c>
      <c r="Z65" s="197">
        <f>IFERROR(__xludf.DUMMYFUNCTION("""COMPUTED_VALUE"""),69.0)</f>
        <v>69</v>
      </c>
      <c r="AA65" s="197">
        <f>IFERROR(__xludf.DUMMYFUNCTION("""COMPUTED_VALUE"""),0.0)</f>
        <v>0</v>
      </c>
      <c r="AB65" s="197">
        <f>IFERROR(__xludf.DUMMYFUNCTION("""COMPUTED_VALUE"""),0.0)</f>
        <v>0</v>
      </c>
      <c r="AC65" s="41">
        <f>IFERROR(__xludf.DUMMYFUNCTION("""COMPUTED_VALUE"""),70.0)</f>
        <v>70</v>
      </c>
      <c r="AD65" s="197">
        <f>IFERROR(__xludf.DUMMYFUNCTION("""COMPUTED_VALUE"""),70.0)</f>
        <v>70</v>
      </c>
      <c r="AE65" s="197">
        <f>IFERROR(__xludf.DUMMYFUNCTION("""COMPUTED_VALUE"""),0.0)</f>
        <v>0</v>
      </c>
      <c r="AF65" s="197">
        <f>IFERROR(__xludf.DUMMYFUNCTION("""COMPUTED_VALUE"""),0.0)</f>
        <v>0</v>
      </c>
      <c r="AG65" s="41">
        <f>IFERROR(__xludf.DUMMYFUNCTION("""COMPUTED_VALUE"""),0.0)</f>
        <v>0</v>
      </c>
      <c r="AH65" s="197">
        <f>IFERROR(__xludf.DUMMYFUNCTION("""COMPUTED_VALUE"""),0.0)</f>
        <v>0</v>
      </c>
      <c r="AI65" s="197">
        <f>IFERROR(__xludf.DUMMYFUNCTION("""COMPUTED_VALUE"""),0.0)</f>
        <v>0</v>
      </c>
      <c r="AJ65" s="197">
        <f>IFERROR(__xludf.DUMMYFUNCTION("""COMPUTED_VALUE"""),0.0)</f>
        <v>0</v>
      </c>
      <c r="AK65" s="41">
        <f>IFERROR(__xludf.DUMMYFUNCTION("""COMPUTED_VALUE"""),0.0)</f>
        <v>0</v>
      </c>
      <c r="AL65" s="197">
        <f>IFERROR(__xludf.DUMMYFUNCTION("""COMPUTED_VALUE"""),0.0)</f>
        <v>0</v>
      </c>
      <c r="AM65" s="197">
        <f>IFERROR(__xludf.DUMMYFUNCTION("""COMPUTED_VALUE"""),0.0)</f>
        <v>0</v>
      </c>
      <c r="AN65" s="197">
        <f>IFERROR(__xludf.DUMMYFUNCTION("""COMPUTED_VALUE"""),0.0)</f>
        <v>0</v>
      </c>
      <c r="AO65" s="41">
        <f>IFERROR(__xludf.DUMMYFUNCTION("""COMPUTED_VALUE"""),0.0)</f>
        <v>0</v>
      </c>
      <c r="AP65" s="197">
        <f>IFERROR(__xludf.DUMMYFUNCTION("""COMPUTED_VALUE"""),0.0)</f>
        <v>0</v>
      </c>
      <c r="AQ65" s="197">
        <f>IFERROR(__xludf.DUMMYFUNCTION("""COMPUTED_VALUE"""),0.0)</f>
        <v>0</v>
      </c>
      <c r="AR65" s="197">
        <f>IFERROR(__xludf.DUMMYFUNCTION("""COMPUTED_VALUE"""),0.0)</f>
        <v>0</v>
      </c>
      <c r="AS65" s="41">
        <f>IFERROR(__xludf.DUMMYFUNCTION("""COMPUTED_VALUE"""),0.0)</f>
        <v>0</v>
      </c>
      <c r="AT65" s="197">
        <f>IFERROR(__xludf.DUMMYFUNCTION("""COMPUTED_VALUE"""),0.0)</f>
        <v>0</v>
      </c>
      <c r="AU65" s="197">
        <f>IFERROR(__xludf.DUMMYFUNCTION("""COMPUTED_VALUE"""),0.0)</f>
        <v>0</v>
      </c>
      <c r="AV65" s="197">
        <f>IFERROR(__xludf.DUMMYFUNCTION("""COMPUTED_VALUE"""),0.0)</f>
        <v>0</v>
      </c>
      <c r="AW65" s="41">
        <f>IFERROR(__xludf.DUMMYFUNCTION("""COMPUTED_VALUE"""),0.0)</f>
        <v>0</v>
      </c>
      <c r="AX65" s="197">
        <f>IFERROR(__xludf.DUMMYFUNCTION("""COMPUTED_VALUE"""),0.0)</f>
        <v>0</v>
      </c>
      <c r="AY65" s="197">
        <f>IFERROR(__xludf.DUMMYFUNCTION("""COMPUTED_VALUE"""),0.0)</f>
        <v>0</v>
      </c>
      <c r="AZ65" s="198">
        <f>IFERROR(__xludf.DUMMYFUNCTION("""COMPUTED_VALUE"""),0.0)</f>
        <v>0</v>
      </c>
      <c r="BA65" s="34"/>
    </row>
    <row r="66" ht="15.75" customHeight="1">
      <c r="A66" s="29"/>
      <c r="B66" s="67" t="str">
        <f>IFERROR(__xludf.DUMMYFUNCTION("""COMPUTED_VALUE""")," + Bán kiên cố")</f>
        <v> + Bán kiên cố</v>
      </c>
      <c r="C66" s="31"/>
      <c r="D66" s="31" t="str">
        <f>IFERROR(__xludf.DUMMYFUNCTION("""COMPUTED_VALUE"""),"""")</f>
        <v>"</v>
      </c>
      <c r="E66" s="41">
        <f>IFERROR(__xludf.DUMMYFUNCTION("""COMPUTED_VALUE"""),10.0)</f>
        <v>10</v>
      </c>
      <c r="F66" s="197">
        <f>IFERROR(__xludf.DUMMYFUNCTION("""COMPUTED_VALUE"""),10.0)</f>
        <v>10</v>
      </c>
      <c r="G66" s="197">
        <f>IFERROR(__xludf.DUMMYFUNCTION("""COMPUTED_VALUE"""),0.0)</f>
        <v>0</v>
      </c>
      <c r="H66" s="197">
        <f>IFERROR(__xludf.DUMMYFUNCTION("""COMPUTED_VALUE"""),0.0)</f>
        <v>0</v>
      </c>
      <c r="I66" s="41">
        <f>IFERROR(__xludf.DUMMYFUNCTION("""COMPUTED_VALUE"""),8.0)</f>
        <v>8</v>
      </c>
      <c r="J66" s="197">
        <f>IFERROR(__xludf.DUMMYFUNCTION("""COMPUTED_VALUE"""),8.0)</f>
        <v>8</v>
      </c>
      <c r="K66" s="197">
        <f>IFERROR(__xludf.DUMMYFUNCTION("""COMPUTED_VALUE"""),0.0)</f>
        <v>0</v>
      </c>
      <c r="L66" s="197">
        <f>IFERROR(__xludf.DUMMYFUNCTION("""COMPUTED_VALUE"""),0.0)</f>
        <v>0</v>
      </c>
      <c r="M66" s="41">
        <f>IFERROR(__xludf.DUMMYFUNCTION("""COMPUTED_VALUE"""),8.0)</f>
        <v>8</v>
      </c>
      <c r="N66" s="197">
        <f>IFERROR(__xludf.DUMMYFUNCTION("""COMPUTED_VALUE"""),8.0)</f>
        <v>8</v>
      </c>
      <c r="O66" s="197">
        <f>IFERROR(__xludf.DUMMYFUNCTION("""COMPUTED_VALUE"""),0.0)</f>
        <v>0</v>
      </c>
      <c r="P66" s="197">
        <f>IFERROR(__xludf.DUMMYFUNCTION("""COMPUTED_VALUE"""),0.0)</f>
        <v>0</v>
      </c>
      <c r="Q66" s="41">
        <f>IFERROR(__xludf.DUMMYFUNCTION("""COMPUTED_VALUE"""),8.0)</f>
        <v>8</v>
      </c>
      <c r="R66" s="197">
        <f>IFERROR(__xludf.DUMMYFUNCTION("""COMPUTED_VALUE"""),8.0)</f>
        <v>8</v>
      </c>
      <c r="S66" s="197">
        <f>IFERROR(__xludf.DUMMYFUNCTION("""COMPUTED_VALUE"""),0.0)</f>
        <v>0</v>
      </c>
      <c r="T66" s="197">
        <f>IFERROR(__xludf.DUMMYFUNCTION("""COMPUTED_VALUE"""),0.0)</f>
        <v>0</v>
      </c>
      <c r="U66" s="41">
        <f>IFERROR(__xludf.DUMMYFUNCTION("""COMPUTED_VALUE"""),8.0)</f>
        <v>8</v>
      </c>
      <c r="V66" s="197">
        <f>IFERROR(__xludf.DUMMYFUNCTION("""COMPUTED_VALUE"""),8.0)</f>
        <v>8</v>
      </c>
      <c r="W66" s="197">
        <f>IFERROR(__xludf.DUMMYFUNCTION("""COMPUTED_VALUE"""),0.0)</f>
        <v>0</v>
      </c>
      <c r="X66" s="197">
        <f>IFERROR(__xludf.DUMMYFUNCTION("""COMPUTED_VALUE"""),0.0)</f>
        <v>0</v>
      </c>
      <c r="Y66" s="41">
        <f>IFERROR(__xludf.DUMMYFUNCTION("""COMPUTED_VALUE"""),8.0)</f>
        <v>8</v>
      </c>
      <c r="Z66" s="197">
        <f>IFERROR(__xludf.DUMMYFUNCTION("""COMPUTED_VALUE"""),8.0)</f>
        <v>8</v>
      </c>
      <c r="AA66" s="197">
        <f>IFERROR(__xludf.DUMMYFUNCTION("""COMPUTED_VALUE"""),0.0)</f>
        <v>0</v>
      </c>
      <c r="AB66" s="197">
        <f>IFERROR(__xludf.DUMMYFUNCTION("""COMPUTED_VALUE"""),0.0)</f>
        <v>0</v>
      </c>
      <c r="AC66" s="41">
        <f>IFERROR(__xludf.DUMMYFUNCTION("""COMPUTED_VALUE"""),8.0)</f>
        <v>8</v>
      </c>
      <c r="AD66" s="197">
        <f>IFERROR(__xludf.DUMMYFUNCTION("""COMPUTED_VALUE"""),8.0)</f>
        <v>8</v>
      </c>
      <c r="AE66" s="197">
        <f>IFERROR(__xludf.DUMMYFUNCTION("""COMPUTED_VALUE"""),0.0)</f>
        <v>0</v>
      </c>
      <c r="AF66" s="197">
        <f>IFERROR(__xludf.DUMMYFUNCTION("""COMPUTED_VALUE"""),0.0)</f>
        <v>0</v>
      </c>
      <c r="AG66" s="41">
        <f>IFERROR(__xludf.DUMMYFUNCTION("""COMPUTED_VALUE"""),0.0)</f>
        <v>0</v>
      </c>
      <c r="AH66" s="197">
        <f>IFERROR(__xludf.DUMMYFUNCTION("""COMPUTED_VALUE"""),0.0)</f>
        <v>0</v>
      </c>
      <c r="AI66" s="197">
        <f>IFERROR(__xludf.DUMMYFUNCTION("""COMPUTED_VALUE"""),0.0)</f>
        <v>0</v>
      </c>
      <c r="AJ66" s="197">
        <f>IFERROR(__xludf.DUMMYFUNCTION("""COMPUTED_VALUE"""),0.0)</f>
        <v>0</v>
      </c>
      <c r="AK66" s="41">
        <f>IFERROR(__xludf.DUMMYFUNCTION("""COMPUTED_VALUE"""),0.0)</f>
        <v>0</v>
      </c>
      <c r="AL66" s="197">
        <f>IFERROR(__xludf.DUMMYFUNCTION("""COMPUTED_VALUE"""),0.0)</f>
        <v>0</v>
      </c>
      <c r="AM66" s="197">
        <f>IFERROR(__xludf.DUMMYFUNCTION("""COMPUTED_VALUE"""),0.0)</f>
        <v>0</v>
      </c>
      <c r="AN66" s="197">
        <f>IFERROR(__xludf.DUMMYFUNCTION("""COMPUTED_VALUE"""),0.0)</f>
        <v>0</v>
      </c>
      <c r="AO66" s="41">
        <f>IFERROR(__xludf.DUMMYFUNCTION("""COMPUTED_VALUE"""),0.0)</f>
        <v>0</v>
      </c>
      <c r="AP66" s="197">
        <f>IFERROR(__xludf.DUMMYFUNCTION("""COMPUTED_VALUE"""),0.0)</f>
        <v>0</v>
      </c>
      <c r="AQ66" s="197">
        <f>IFERROR(__xludf.DUMMYFUNCTION("""COMPUTED_VALUE"""),0.0)</f>
        <v>0</v>
      </c>
      <c r="AR66" s="197">
        <f>IFERROR(__xludf.DUMMYFUNCTION("""COMPUTED_VALUE"""),0.0)</f>
        <v>0</v>
      </c>
      <c r="AS66" s="41">
        <f>IFERROR(__xludf.DUMMYFUNCTION("""COMPUTED_VALUE"""),0.0)</f>
        <v>0</v>
      </c>
      <c r="AT66" s="197">
        <f>IFERROR(__xludf.DUMMYFUNCTION("""COMPUTED_VALUE"""),0.0)</f>
        <v>0</v>
      </c>
      <c r="AU66" s="197">
        <f>IFERROR(__xludf.DUMMYFUNCTION("""COMPUTED_VALUE"""),0.0)</f>
        <v>0</v>
      </c>
      <c r="AV66" s="197">
        <f>IFERROR(__xludf.DUMMYFUNCTION("""COMPUTED_VALUE"""),0.0)</f>
        <v>0</v>
      </c>
      <c r="AW66" s="41">
        <f>IFERROR(__xludf.DUMMYFUNCTION("""COMPUTED_VALUE"""),0.0)</f>
        <v>0</v>
      </c>
      <c r="AX66" s="197">
        <f>IFERROR(__xludf.DUMMYFUNCTION("""COMPUTED_VALUE"""),0.0)</f>
        <v>0</v>
      </c>
      <c r="AY66" s="197">
        <f>IFERROR(__xludf.DUMMYFUNCTION("""COMPUTED_VALUE"""),0.0)</f>
        <v>0</v>
      </c>
      <c r="AZ66" s="198">
        <f>IFERROR(__xludf.DUMMYFUNCTION("""COMPUTED_VALUE"""),0.0)</f>
        <v>0</v>
      </c>
      <c r="BA66" s="34"/>
    </row>
    <row r="67" ht="15.75" customHeight="1">
      <c r="A67" s="29"/>
      <c r="B67" s="67" t="str">
        <f>IFERROR(__xludf.DUMMYFUNCTION("""COMPUTED_VALUE""")," + Tạm")</f>
        <v> + Tạm</v>
      </c>
      <c r="C67" s="31"/>
      <c r="D67" s="31" t="str">
        <f>IFERROR(__xludf.DUMMYFUNCTION("""COMPUTED_VALUE"""),"""")</f>
        <v>"</v>
      </c>
      <c r="E67" s="41">
        <f>IFERROR(__xludf.DUMMYFUNCTION("""COMPUTED_VALUE"""),1.0)</f>
        <v>1</v>
      </c>
      <c r="F67" s="197">
        <f>IFERROR(__xludf.DUMMYFUNCTION("""COMPUTED_VALUE"""),1.0)</f>
        <v>1</v>
      </c>
      <c r="G67" s="197">
        <f>IFERROR(__xludf.DUMMYFUNCTION("""COMPUTED_VALUE"""),0.0)</f>
        <v>0</v>
      </c>
      <c r="H67" s="197">
        <f>IFERROR(__xludf.DUMMYFUNCTION("""COMPUTED_VALUE"""),0.0)</f>
        <v>0</v>
      </c>
      <c r="I67" s="41">
        <f>IFERROR(__xludf.DUMMYFUNCTION("""COMPUTED_VALUE"""),1.0)</f>
        <v>1</v>
      </c>
      <c r="J67" s="197">
        <f>IFERROR(__xludf.DUMMYFUNCTION("""COMPUTED_VALUE"""),1.0)</f>
        <v>1</v>
      </c>
      <c r="K67" s="197">
        <f>IFERROR(__xludf.DUMMYFUNCTION("""COMPUTED_VALUE"""),0.0)</f>
        <v>0</v>
      </c>
      <c r="L67" s="197">
        <f>IFERROR(__xludf.DUMMYFUNCTION("""COMPUTED_VALUE"""),0.0)</f>
        <v>0</v>
      </c>
      <c r="M67" s="41">
        <f>IFERROR(__xludf.DUMMYFUNCTION("""COMPUTED_VALUE"""),1.0)</f>
        <v>1</v>
      </c>
      <c r="N67" s="197">
        <f>IFERROR(__xludf.DUMMYFUNCTION("""COMPUTED_VALUE"""),1.0)</f>
        <v>1</v>
      </c>
      <c r="O67" s="197">
        <f>IFERROR(__xludf.DUMMYFUNCTION("""COMPUTED_VALUE"""),0.0)</f>
        <v>0</v>
      </c>
      <c r="P67" s="197">
        <f>IFERROR(__xludf.DUMMYFUNCTION("""COMPUTED_VALUE"""),0.0)</f>
        <v>0</v>
      </c>
      <c r="Q67" s="41">
        <f>IFERROR(__xludf.DUMMYFUNCTION("""COMPUTED_VALUE"""),0.0)</f>
        <v>0</v>
      </c>
      <c r="R67" s="197">
        <f>IFERROR(__xludf.DUMMYFUNCTION("""COMPUTED_VALUE"""),0.0)</f>
        <v>0</v>
      </c>
      <c r="S67" s="197">
        <f>IFERROR(__xludf.DUMMYFUNCTION("""COMPUTED_VALUE"""),0.0)</f>
        <v>0</v>
      </c>
      <c r="T67" s="197">
        <f>IFERROR(__xludf.DUMMYFUNCTION("""COMPUTED_VALUE"""),0.0)</f>
        <v>0</v>
      </c>
      <c r="U67" s="41">
        <f>IFERROR(__xludf.DUMMYFUNCTION("""COMPUTED_VALUE"""),0.0)</f>
        <v>0</v>
      </c>
      <c r="V67" s="197">
        <f>IFERROR(__xludf.DUMMYFUNCTION("""COMPUTED_VALUE"""),0.0)</f>
        <v>0</v>
      </c>
      <c r="W67" s="197">
        <f>IFERROR(__xludf.DUMMYFUNCTION("""COMPUTED_VALUE"""),0.0)</f>
        <v>0</v>
      </c>
      <c r="X67" s="197">
        <f>IFERROR(__xludf.DUMMYFUNCTION("""COMPUTED_VALUE"""),0.0)</f>
        <v>0</v>
      </c>
      <c r="Y67" s="41">
        <f>IFERROR(__xludf.DUMMYFUNCTION("""COMPUTED_VALUE"""),0.0)</f>
        <v>0</v>
      </c>
      <c r="Z67" s="197">
        <f>IFERROR(__xludf.DUMMYFUNCTION("""COMPUTED_VALUE"""),0.0)</f>
        <v>0</v>
      </c>
      <c r="AA67" s="197">
        <f>IFERROR(__xludf.DUMMYFUNCTION("""COMPUTED_VALUE"""),0.0)</f>
        <v>0</v>
      </c>
      <c r="AB67" s="197">
        <f>IFERROR(__xludf.DUMMYFUNCTION("""COMPUTED_VALUE"""),0.0)</f>
        <v>0</v>
      </c>
      <c r="AC67" s="41">
        <f>IFERROR(__xludf.DUMMYFUNCTION("""COMPUTED_VALUE"""),0.0)</f>
        <v>0</v>
      </c>
      <c r="AD67" s="197">
        <f>IFERROR(__xludf.DUMMYFUNCTION("""COMPUTED_VALUE"""),0.0)</f>
        <v>0</v>
      </c>
      <c r="AE67" s="197">
        <f>IFERROR(__xludf.DUMMYFUNCTION("""COMPUTED_VALUE"""),0.0)</f>
        <v>0</v>
      </c>
      <c r="AF67" s="197">
        <f>IFERROR(__xludf.DUMMYFUNCTION("""COMPUTED_VALUE"""),0.0)</f>
        <v>0</v>
      </c>
      <c r="AG67" s="41">
        <f>IFERROR(__xludf.DUMMYFUNCTION("""COMPUTED_VALUE"""),0.0)</f>
        <v>0</v>
      </c>
      <c r="AH67" s="197">
        <f>IFERROR(__xludf.DUMMYFUNCTION("""COMPUTED_VALUE"""),0.0)</f>
        <v>0</v>
      </c>
      <c r="AI67" s="197">
        <f>IFERROR(__xludf.DUMMYFUNCTION("""COMPUTED_VALUE"""),0.0)</f>
        <v>0</v>
      </c>
      <c r="AJ67" s="197">
        <f>IFERROR(__xludf.DUMMYFUNCTION("""COMPUTED_VALUE"""),0.0)</f>
        <v>0</v>
      </c>
      <c r="AK67" s="41">
        <f>IFERROR(__xludf.DUMMYFUNCTION("""COMPUTED_VALUE"""),0.0)</f>
        <v>0</v>
      </c>
      <c r="AL67" s="197">
        <f>IFERROR(__xludf.DUMMYFUNCTION("""COMPUTED_VALUE"""),0.0)</f>
        <v>0</v>
      </c>
      <c r="AM67" s="197">
        <f>IFERROR(__xludf.DUMMYFUNCTION("""COMPUTED_VALUE"""),0.0)</f>
        <v>0</v>
      </c>
      <c r="AN67" s="197">
        <f>IFERROR(__xludf.DUMMYFUNCTION("""COMPUTED_VALUE"""),0.0)</f>
        <v>0</v>
      </c>
      <c r="AO67" s="41">
        <f>IFERROR(__xludf.DUMMYFUNCTION("""COMPUTED_VALUE"""),0.0)</f>
        <v>0</v>
      </c>
      <c r="AP67" s="197">
        <f>IFERROR(__xludf.DUMMYFUNCTION("""COMPUTED_VALUE"""),0.0)</f>
        <v>0</v>
      </c>
      <c r="AQ67" s="197">
        <f>IFERROR(__xludf.DUMMYFUNCTION("""COMPUTED_VALUE"""),0.0)</f>
        <v>0</v>
      </c>
      <c r="AR67" s="197">
        <f>IFERROR(__xludf.DUMMYFUNCTION("""COMPUTED_VALUE"""),0.0)</f>
        <v>0</v>
      </c>
      <c r="AS67" s="41">
        <f>IFERROR(__xludf.DUMMYFUNCTION("""COMPUTED_VALUE"""),0.0)</f>
        <v>0</v>
      </c>
      <c r="AT67" s="197">
        <f>IFERROR(__xludf.DUMMYFUNCTION("""COMPUTED_VALUE"""),0.0)</f>
        <v>0</v>
      </c>
      <c r="AU67" s="197">
        <f>IFERROR(__xludf.DUMMYFUNCTION("""COMPUTED_VALUE"""),0.0)</f>
        <v>0</v>
      </c>
      <c r="AV67" s="197">
        <f>IFERROR(__xludf.DUMMYFUNCTION("""COMPUTED_VALUE"""),0.0)</f>
        <v>0</v>
      </c>
      <c r="AW67" s="41">
        <f>IFERROR(__xludf.DUMMYFUNCTION("""COMPUTED_VALUE"""),0.0)</f>
        <v>0</v>
      </c>
      <c r="AX67" s="197">
        <f>IFERROR(__xludf.DUMMYFUNCTION("""COMPUTED_VALUE"""),0.0)</f>
        <v>0</v>
      </c>
      <c r="AY67" s="197">
        <f>IFERROR(__xludf.DUMMYFUNCTION("""COMPUTED_VALUE"""),0.0)</f>
        <v>0</v>
      </c>
      <c r="AZ67" s="198">
        <f>IFERROR(__xludf.DUMMYFUNCTION("""COMPUTED_VALUE"""),0.0)</f>
        <v>0</v>
      </c>
      <c r="BA67" s="34"/>
    </row>
    <row r="68" ht="15.75" customHeight="1">
      <c r="A68" s="29"/>
      <c r="B68" s="196" t="str">
        <f>IFERROR(__xludf.DUMMYFUNCTION("""COMPUTED_VALUE"""),"7.2. Tổng số phòng thiết bị")</f>
        <v>7.2. Tổng số phòng thiết bị</v>
      </c>
      <c r="C68" s="57"/>
      <c r="D68" s="57" t="str">
        <f>IFERROR(__xludf.DUMMYFUNCTION("""COMPUTED_VALUE"""),"Phòng")</f>
        <v>Phòng</v>
      </c>
      <c r="E68" s="125">
        <f>IFERROR(__xludf.DUMMYFUNCTION("""COMPUTED_VALUE"""),62.0)</f>
        <v>62</v>
      </c>
      <c r="F68" s="125">
        <f>IFERROR(__xludf.DUMMYFUNCTION("""COMPUTED_VALUE"""),62.0)</f>
        <v>62</v>
      </c>
      <c r="G68" s="125">
        <f>IFERROR(__xludf.DUMMYFUNCTION("""COMPUTED_VALUE"""),0.0)</f>
        <v>0</v>
      </c>
      <c r="H68" s="125">
        <f>IFERROR(__xludf.DUMMYFUNCTION("""COMPUTED_VALUE"""),0.0)</f>
        <v>0</v>
      </c>
      <c r="I68" s="125">
        <f>IFERROR(__xludf.DUMMYFUNCTION("""COMPUTED_VALUE"""),62.0)</f>
        <v>62</v>
      </c>
      <c r="J68" s="125">
        <f>IFERROR(__xludf.DUMMYFUNCTION("""COMPUTED_VALUE"""),62.0)</f>
        <v>62</v>
      </c>
      <c r="K68" s="125">
        <f>IFERROR(__xludf.DUMMYFUNCTION("""COMPUTED_VALUE"""),0.0)</f>
        <v>0</v>
      </c>
      <c r="L68" s="125">
        <f>IFERROR(__xludf.DUMMYFUNCTION("""COMPUTED_VALUE"""),0.0)</f>
        <v>0</v>
      </c>
      <c r="M68" s="125">
        <f>IFERROR(__xludf.DUMMYFUNCTION("""COMPUTED_VALUE"""),62.0)</f>
        <v>62</v>
      </c>
      <c r="N68" s="125">
        <f>IFERROR(__xludf.DUMMYFUNCTION("""COMPUTED_VALUE"""),62.0)</f>
        <v>62</v>
      </c>
      <c r="O68" s="125">
        <f>IFERROR(__xludf.DUMMYFUNCTION("""COMPUTED_VALUE"""),0.0)</f>
        <v>0</v>
      </c>
      <c r="P68" s="125">
        <f>IFERROR(__xludf.DUMMYFUNCTION("""COMPUTED_VALUE"""),0.0)</f>
        <v>0</v>
      </c>
      <c r="Q68" s="125">
        <f>IFERROR(__xludf.DUMMYFUNCTION("""COMPUTED_VALUE"""),57.0)</f>
        <v>57</v>
      </c>
      <c r="R68" s="125">
        <f>IFERROR(__xludf.DUMMYFUNCTION("""COMPUTED_VALUE"""),57.0)</f>
        <v>57</v>
      </c>
      <c r="S68" s="125">
        <f>IFERROR(__xludf.DUMMYFUNCTION("""COMPUTED_VALUE"""),0.0)</f>
        <v>0</v>
      </c>
      <c r="T68" s="125">
        <f>IFERROR(__xludf.DUMMYFUNCTION("""COMPUTED_VALUE"""),0.0)</f>
        <v>0</v>
      </c>
      <c r="U68" s="125">
        <f>IFERROR(__xludf.DUMMYFUNCTION("""COMPUTED_VALUE"""),59.0)</f>
        <v>59</v>
      </c>
      <c r="V68" s="125">
        <f>IFERROR(__xludf.DUMMYFUNCTION("""COMPUTED_VALUE"""),59.0)</f>
        <v>59</v>
      </c>
      <c r="W68" s="125">
        <f>IFERROR(__xludf.DUMMYFUNCTION("""COMPUTED_VALUE"""),0.0)</f>
        <v>0</v>
      </c>
      <c r="X68" s="125">
        <f>IFERROR(__xludf.DUMMYFUNCTION("""COMPUTED_VALUE"""),0.0)</f>
        <v>0</v>
      </c>
      <c r="Y68" s="125">
        <f>IFERROR(__xludf.DUMMYFUNCTION("""COMPUTED_VALUE"""),59.0)</f>
        <v>59</v>
      </c>
      <c r="Z68" s="125">
        <f>IFERROR(__xludf.DUMMYFUNCTION("""COMPUTED_VALUE"""),59.0)</f>
        <v>59</v>
      </c>
      <c r="AA68" s="125">
        <f>IFERROR(__xludf.DUMMYFUNCTION("""COMPUTED_VALUE"""),0.0)</f>
        <v>0</v>
      </c>
      <c r="AB68" s="125">
        <f>IFERROR(__xludf.DUMMYFUNCTION("""COMPUTED_VALUE"""),0.0)</f>
        <v>0</v>
      </c>
      <c r="AC68" s="125">
        <f>IFERROR(__xludf.DUMMYFUNCTION("""COMPUTED_VALUE"""),59.0)</f>
        <v>59</v>
      </c>
      <c r="AD68" s="125">
        <f>IFERROR(__xludf.DUMMYFUNCTION("""COMPUTED_VALUE"""),59.0)</f>
        <v>59</v>
      </c>
      <c r="AE68" s="125">
        <f>IFERROR(__xludf.DUMMYFUNCTION("""COMPUTED_VALUE"""),0.0)</f>
        <v>0</v>
      </c>
      <c r="AF68" s="125">
        <f>IFERROR(__xludf.DUMMYFUNCTION("""COMPUTED_VALUE"""),0.0)</f>
        <v>0</v>
      </c>
      <c r="AG68" s="125">
        <f>IFERROR(__xludf.DUMMYFUNCTION("""COMPUTED_VALUE"""),0.0)</f>
        <v>0</v>
      </c>
      <c r="AH68" s="125">
        <f>IFERROR(__xludf.DUMMYFUNCTION("""COMPUTED_VALUE"""),0.0)</f>
        <v>0</v>
      </c>
      <c r="AI68" s="125">
        <f>IFERROR(__xludf.DUMMYFUNCTION("""COMPUTED_VALUE"""),0.0)</f>
        <v>0</v>
      </c>
      <c r="AJ68" s="125">
        <f>IFERROR(__xludf.DUMMYFUNCTION("""COMPUTED_VALUE"""),0.0)</f>
        <v>0</v>
      </c>
      <c r="AK68" s="125">
        <f>IFERROR(__xludf.DUMMYFUNCTION("""COMPUTED_VALUE"""),0.0)</f>
        <v>0</v>
      </c>
      <c r="AL68" s="125">
        <f>IFERROR(__xludf.DUMMYFUNCTION("""COMPUTED_VALUE"""),0.0)</f>
        <v>0</v>
      </c>
      <c r="AM68" s="125">
        <f>IFERROR(__xludf.DUMMYFUNCTION("""COMPUTED_VALUE"""),0.0)</f>
        <v>0</v>
      </c>
      <c r="AN68" s="125">
        <f>IFERROR(__xludf.DUMMYFUNCTION("""COMPUTED_VALUE"""),0.0)</f>
        <v>0</v>
      </c>
      <c r="AO68" s="125">
        <f>IFERROR(__xludf.DUMMYFUNCTION("""COMPUTED_VALUE"""),0.0)</f>
        <v>0</v>
      </c>
      <c r="AP68" s="125">
        <f>IFERROR(__xludf.DUMMYFUNCTION("""COMPUTED_VALUE"""),0.0)</f>
        <v>0</v>
      </c>
      <c r="AQ68" s="125">
        <f>IFERROR(__xludf.DUMMYFUNCTION("""COMPUTED_VALUE"""),0.0)</f>
        <v>0</v>
      </c>
      <c r="AR68" s="125">
        <f>IFERROR(__xludf.DUMMYFUNCTION("""COMPUTED_VALUE"""),0.0)</f>
        <v>0</v>
      </c>
      <c r="AS68" s="125">
        <f>IFERROR(__xludf.DUMMYFUNCTION("""COMPUTED_VALUE"""),0.0)</f>
        <v>0</v>
      </c>
      <c r="AT68" s="125">
        <f>IFERROR(__xludf.DUMMYFUNCTION("""COMPUTED_VALUE"""),0.0)</f>
        <v>0</v>
      </c>
      <c r="AU68" s="125">
        <f>IFERROR(__xludf.DUMMYFUNCTION("""COMPUTED_VALUE"""),0.0)</f>
        <v>0</v>
      </c>
      <c r="AV68" s="125">
        <f>IFERROR(__xludf.DUMMYFUNCTION("""COMPUTED_VALUE"""),0.0)</f>
        <v>0</v>
      </c>
      <c r="AW68" s="125">
        <f>IFERROR(__xludf.DUMMYFUNCTION("""COMPUTED_VALUE"""),0.0)</f>
        <v>0</v>
      </c>
      <c r="AX68" s="125">
        <f>IFERROR(__xludf.DUMMYFUNCTION("""COMPUTED_VALUE"""),0.0)</f>
        <v>0</v>
      </c>
      <c r="AY68" s="125">
        <f>IFERROR(__xludf.DUMMYFUNCTION("""COMPUTED_VALUE"""),0.0)</f>
        <v>0</v>
      </c>
      <c r="AZ68" s="127">
        <f>IFERROR(__xludf.DUMMYFUNCTION("""COMPUTED_VALUE"""),0.0)</f>
        <v>0</v>
      </c>
      <c r="BA68" s="34"/>
    </row>
    <row r="69" ht="15.75" customHeight="1">
      <c r="A69" s="29"/>
      <c r="B69" s="48" t="str">
        <f>IFERROR(__xludf.DUMMYFUNCTION("""COMPUTED_VALUE"""),"Chia ra:")</f>
        <v>Chia ra:</v>
      </c>
      <c r="C69" s="49"/>
      <c r="D69" s="3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50"/>
      <c r="BA69" s="34"/>
    </row>
    <row r="70" ht="15.75" customHeight="1">
      <c r="A70" s="29"/>
      <c r="B70" s="67" t="str">
        <f>IFERROR(__xludf.DUMMYFUNCTION("""COMPUTED_VALUE""")," + Kiên cố")</f>
        <v> + Kiên cố</v>
      </c>
      <c r="C70" s="31"/>
      <c r="D70" s="31" t="str">
        <f>IFERROR(__xludf.DUMMYFUNCTION("""COMPUTED_VALUE"""),"""")</f>
        <v>"</v>
      </c>
      <c r="E70" s="41">
        <f>IFERROR(__xludf.DUMMYFUNCTION("""COMPUTED_VALUE"""),48.0)</f>
        <v>48</v>
      </c>
      <c r="F70" s="197">
        <f>IFERROR(__xludf.DUMMYFUNCTION("""COMPUTED_VALUE"""),48.0)</f>
        <v>48</v>
      </c>
      <c r="G70" s="197">
        <f>IFERROR(__xludf.DUMMYFUNCTION("""COMPUTED_VALUE"""),0.0)</f>
        <v>0</v>
      </c>
      <c r="H70" s="197">
        <f>IFERROR(__xludf.DUMMYFUNCTION("""COMPUTED_VALUE"""),0.0)</f>
        <v>0</v>
      </c>
      <c r="I70" s="41">
        <f>IFERROR(__xludf.DUMMYFUNCTION("""COMPUTED_VALUE"""),50.0)</f>
        <v>50</v>
      </c>
      <c r="J70" s="197">
        <f>IFERROR(__xludf.DUMMYFUNCTION("""COMPUTED_VALUE"""),50.0)</f>
        <v>50</v>
      </c>
      <c r="K70" s="197">
        <f>IFERROR(__xludf.DUMMYFUNCTION("""COMPUTED_VALUE"""),0.0)</f>
        <v>0</v>
      </c>
      <c r="L70" s="197">
        <f>IFERROR(__xludf.DUMMYFUNCTION("""COMPUTED_VALUE"""),0.0)</f>
        <v>0</v>
      </c>
      <c r="M70" s="41">
        <f>IFERROR(__xludf.DUMMYFUNCTION("""COMPUTED_VALUE"""),50.0)</f>
        <v>50</v>
      </c>
      <c r="N70" s="197">
        <f>IFERROR(__xludf.DUMMYFUNCTION("""COMPUTED_VALUE"""),50.0)</f>
        <v>50</v>
      </c>
      <c r="O70" s="197">
        <f>IFERROR(__xludf.DUMMYFUNCTION("""COMPUTED_VALUE"""),0.0)</f>
        <v>0</v>
      </c>
      <c r="P70" s="197">
        <f>IFERROR(__xludf.DUMMYFUNCTION("""COMPUTED_VALUE"""),0.0)</f>
        <v>0</v>
      </c>
      <c r="Q70" s="41">
        <f>IFERROR(__xludf.DUMMYFUNCTION("""COMPUTED_VALUE"""),46.0)</f>
        <v>46</v>
      </c>
      <c r="R70" s="197">
        <f>IFERROR(__xludf.DUMMYFUNCTION("""COMPUTED_VALUE"""),46.0)</f>
        <v>46</v>
      </c>
      <c r="S70" s="197">
        <f>IFERROR(__xludf.DUMMYFUNCTION("""COMPUTED_VALUE"""),0.0)</f>
        <v>0</v>
      </c>
      <c r="T70" s="197">
        <f>IFERROR(__xludf.DUMMYFUNCTION("""COMPUTED_VALUE"""),0.0)</f>
        <v>0</v>
      </c>
      <c r="U70" s="41">
        <f>IFERROR(__xludf.DUMMYFUNCTION("""COMPUTED_VALUE"""),48.0)</f>
        <v>48</v>
      </c>
      <c r="V70" s="197">
        <f>IFERROR(__xludf.DUMMYFUNCTION("""COMPUTED_VALUE"""),48.0)</f>
        <v>48</v>
      </c>
      <c r="W70" s="197">
        <f>IFERROR(__xludf.DUMMYFUNCTION("""COMPUTED_VALUE"""),0.0)</f>
        <v>0</v>
      </c>
      <c r="X70" s="197">
        <f>IFERROR(__xludf.DUMMYFUNCTION("""COMPUTED_VALUE"""),0.0)</f>
        <v>0</v>
      </c>
      <c r="Y70" s="41">
        <f>IFERROR(__xludf.DUMMYFUNCTION("""COMPUTED_VALUE"""),48.0)</f>
        <v>48</v>
      </c>
      <c r="Z70" s="197">
        <f>IFERROR(__xludf.DUMMYFUNCTION("""COMPUTED_VALUE"""),48.0)</f>
        <v>48</v>
      </c>
      <c r="AA70" s="197">
        <f>IFERROR(__xludf.DUMMYFUNCTION("""COMPUTED_VALUE"""),0.0)</f>
        <v>0</v>
      </c>
      <c r="AB70" s="197">
        <f>IFERROR(__xludf.DUMMYFUNCTION("""COMPUTED_VALUE"""),0.0)</f>
        <v>0</v>
      </c>
      <c r="AC70" s="41">
        <f>IFERROR(__xludf.DUMMYFUNCTION("""COMPUTED_VALUE"""),48.0)</f>
        <v>48</v>
      </c>
      <c r="AD70" s="197">
        <f>IFERROR(__xludf.DUMMYFUNCTION("""COMPUTED_VALUE"""),48.0)</f>
        <v>48</v>
      </c>
      <c r="AE70" s="197">
        <f>IFERROR(__xludf.DUMMYFUNCTION("""COMPUTED_VALUE"""),0.0)</f>
        <v>0</v>
      </c>
      <c r="AF70" s="197">
        <f>IFERROR(__xludf.DUMMYFUNCTION("""COMPUTED_VALUE"""),0.0)</f>
        <v>0</v>
      </c>
      <c r="AG70" s="41">
        <f>IFERROR(__xludf.DUMMYFUNCTION("""COMPUTED_VALUE"""),0.0)</f>
        <v>0</v>
      </c>
      <c r="AH70" s="197">
        <f>IFERROR(__xludf.DUMMYFUNCTION("""COMPUTED_VALUE"""),0.0)</f>
        <v>0</v>
      </c>
      <c r="AI70" s="197">
        <f>IFERROR(__xludf.DUMMYFUNCTION("""COMPUTED_VALUE"""),0.0)</f>
        <v>0</v>
      </c>
      <c r="AJ70" s="197">
        <f>IFERROR(__xludf.DUMMYFUNCTION("""COMPUTED_VALUE"""),0.0)</f>
        <v>0</v>
      </c>
      <c r="AK70" s="41">
        <f>IFERROR(__xludf.DUMMYFUNCTION("""COMPUTED_VALUE"""),0.0)</f>
        <v>0</v>
      </c>
      <c r="AL70" s="197">
        <f>IFERROR(__xludf.DUMMYFUNCTION("""COMPUTED_VALUE"""),0.0)</f>
        <v>0</v>
      </c>
      <c r="AM70" s="197">
        <f>IFERROR(__xludf.DUMMYFUNCTION("""COMPUTED_VALUE"""),0.0)</f>
        <v>0</v>
      </c>
      <c r="AN70" s="197">
        <f>IFERROR(__xludf.DUMMYFUNCTION("""COMPUTED_VALUE"""),0.0)</f>
        <v>0</v>
      </c>
      <c r="AO70" s="41">
        <f>IFERROR(__xludf.DUMMYFUNCTION("""COMPUTED_VALUE"""),0.0)</f>
        <v>0</v>
      </c>
      <c r="AP70" s="197">
        <f>IFERROR(__xludf.DUMMYFUNCTION("""COMPUTED_VALUE"""),0.0)</f>
        <v>0</v>
      </c>
      <c r="AQ70" s="197">
        <f>IFERROR(__xludf.DUMMYFUNCTION("""COMPUTED_VALUE"""),0.0)</f>
        <v>0</v>
      </c>
      <c r="AR70" s="197">
        <f>IFERROR(__xludf.DUMMYFUNCTION("""COMPUTED_VALUE"""),0.0)</f>
        <v>0</v>
      </c>
      <c r="AS70" s="41">
        <f>IFERROR(__xludf.DUMMYFUNCTION("""COMPUTED_VALUE"""),0.0)</f>
        <v>0</v>
      </c>
      <c r="AT70" s="197">
        <f>IFERROR(__xludf.DUMMYFUNCTION("""COMPUTED_VALUE"""),0.0)</f>
        <v>0</v>
      </c>
      <c r="AU70" s="197">
        <f>IFERROR(__xludf.DUMMYFUNCTION("""COMPUTED_VALUE"""),0.0)</f>
        <v>0</v>
      </c>
      <c r="AV70" s="197">
        <f>IFERROR(__xludf.DUMMYFUNCTION("""COMPUTED_VALUE"""),0.0)</f>
        <v>0</v>
      </c>
      <c r="AW70" s="41">
        <f>IFERROR(__xludf.DUMMYFUNCTION("""COMPUTED_VALUE"""),0.0)</f>
        <v>0</v>
      </c>
      <c r="AX70" s="197">
        <f>IFERROR(__xludf.DUMMYFUNCTION("""COMPUTED_VALUE"""),0.0)</f>
        <v>0</v>
      </c>
      <c r="AY70" s="197">
        <f>IFERROR(__xludf.DUMMYFUNCTION("""COMPUTED_VALUE"""),0.0)</f>
        <v>0</v>
      </c>
      <c r="AZ70" s="198">
        <f>IFERROR(__xludf.DUMMYFUNCTION("""COMPUTED_VALUE"""),0.0)</f>
        <v>0</v>
      </c>
      <c r="BA70" s="34"/>
    </row>
    <row r="71" ht="15.75" customHeight="1">
      <c r="A71" s="29"/>
      <c r="B71" s="67" t="str">
        <f>IFERROR(__xludf.DUMMYFUNCTION("""COMPUTED_VALUE""")," + Bán kiên cố")</f>
        <v> + Bán kiên cố</v>
      </c>
      <c r="C71" s="31"/>
      <c r="D71" s="31" t="str">
        <f>IFERROR(__xludf.DUMMYFUNCTION("""COMPUTED_VALUE"""),"""")</f>
        <v>"</v>
      </c>
      <c r="E71" s="41">
        <f>IFERROR(__xludf.DUMMYFUNCTION("""COMPUTED_VALUE"""),10.0)</f>
        <v>10</v>
      </c>
      <c r="F71" s="197">
        <f>IFERROR(__xludf.DUMMYFUNCTION("""COMPUTED_VALUE"""),10.0)</f>
        <v>10</v>
      </c>
      <c r="G71" s="197">
        <f>IFERROR(__xludf.DUMMYFUNCTION("""COMPUTED_VALUE"""),0.0)</f>
        <v>0</v>
      </c>
      <c r="H71" s="197">
        <f>IFERROR(__xludf.DUMMYFUNCTION("""COMPUTED_VALUE"""),0.0)</f>
        <v>0</v>
      </c>
      <c r="I71" s="41">
        <f>IFERROR(__xludf.DUMMYFUNCTION("""COMPUTED_VALUE"""),9.0)</f>
        <v>9</v>
      </c>
      <c r="J71" s="197">
        <f>IFERROR(__xludf.DUMMYFUNCTION("""COMPUTED_VALUE"""),9.0)</f>
        <v>9</v>
      </c>
      <c r="K71" s="197">
        <f>IFERROR(__xludf.DUMMYFUNCTION("""COMPUTED_VALUE"""),0.0)</f>
        <v>0</v>
      </c>
      <c r="L71" s="197">
        <f>IFERROR(__xludf.DUMMYFUNCTION("""COMPUTED_VALUE"""),0.0)</f>
        <v>0</v>
      </c>
      <c r="M71" s="41">
        <f>IFERROR(__xludf.DUMMYFUNCTION("""COMPUTED_VALUE"""),9.0)</f>
        <v>9</v>
      </c>
      <c r="N71" s="197">
        <f>IFERROR(__xludf.DUMMYFUNCTION("""COMPUTED_VALUE"""),9.0)</f>
        <v>9</v>
      </c>
      <c r="O71" s="197">
        <f>IFERROR(__xludf.DUMMYFUNCTION("""COMPUTED_VALUE"""),0.0)</f>
        <v>0</v>
      </c>
      <c r="P71" s="197">
        <f>IFERROR(__xludf.DUMMYFUNCTION("""COMPUTED_VALUE"""),0.0)</f>
        <v>0</v>
      </c>
      <c r="Q71" s="41">
        <f>IFERROR(__xludf.DUMMYFUNCTION("""COMPUTED_VALUE"""),9.0)</f>
        <v>9</v>
      </c>
      <c r="R71" s="197">
        <f>IFERROR(__xludf.DUMMYFUNCTION("""COMPUTED_VALUE"""),9.0)</f>
        <v>9</v>
      </c>
      <c r="S71" s="197">
        <f>IFERROR(__xludf.DUMMYFUNCTION("""COMPUTED_VALUE"""),0.0)</f>
        <v>0</v>
      </c>
      <c r="T71" s="197">
        <f>IFERROR(__xludf.DUMMYFUNCTION("""COMPUTED_VALUE"""),0.0)</f>
        <v>0</v>
      </c>
      <c r="U71" s="41">
        <f>IFERROR(__xludf.DUMMYFUNCTION("""COMPUTED_VALUE"""),9.0)</f>
        <v>9</v>
      </c>
      <c r="V71" s="197">
        <f>IFERROR(__xludf.DUMMYFUNCTION("""COMPUTED_VALUE"""),9.0)</f>
        <v>9</v>
      </c>
      <c r="W71" s="197">
        <f>IFERROR(__xludf.DUMMYFUNCTION("""COMPUTED_VALUE"""),0.0)</f>
        <v>0</v>
      </c>
      <c r="X71" s="197">
        <f>IFERROR(__xludf.DUMMYFUNCTION("""COMPUTED_VALUE"""),0.0)</f>
        <v>0</v>
      </c>
      <c r="Y71" s="41">
        <f>IFERROR(__xludf.DUMMYFUNCTION("""COMPUTED_VALUE"""),9.0)</f>
        <v>9</v>
      </c>
      <c r="Z71" s="197">
        <f>IFERROR(__xludf.DUMMYFUNCTION("""COMPUTED_VALUE"""),9.0)</f>
        <v>9</v>
      </c>
      <c r="AA71" s="197">
        <f>IFERROR(__xludf.DUMMYFUNCTION("""COMPUTED_VALUE"""),0.0)</f>
        <v>0</v>
      </c>
      <c r="AB71" s="197">
        <f>IFERROR(__xludf.DUMMYFUNCTION("""COMPUTED_VALUE"""),0.0)</f>
        <v>0</v>
      </c>
      <c r="AC71" s="41">
        <f>IFERROR(__xludf.DUMMYFUNCTION("""COMPUTED_VALUE"""),9.0)</f>
        <v>9</v>
      </c>
      <c r="AD71" s="197">
        <f>IFERROR(__xludf.DUMMYFUNCTION("""COMPUTED_VALUE"""),9.0)</f>
        <v>9</v>
      </c>
      <c r="AE71" s="197">
        <f>IFERROR(__xludf.DUMMYFUNCTION("""COMPUTED_VALUE"""),0.0)</f>
        <v>0</v>
      </c>
      <c r="AF71" s="197">
        <f>IFERROR(__xludf.DUMMYFUNCTION("""COMPUTED_VALUE"""),0.0)</f>
        <v>0</v>
      </c>
      <c r="AG71" s="41">
        <f>IFERROR(__xludf.DUMMYFUNCTION("""COMPUTED_VALUE"""),0.0)</f>
        <v>0</v>
      </c>
      <c r="AH71" s="197">
        <f>IFERROR(__xludf.DUMMYFUNCTION("""COMPUTED_VALUE"""),0.0)</f>
        <v>0</v>
      </c>
      <c r="AI71" s="197">
        <f>IFERROR(__xludf.DUMMYFUNCTION("""COMPUTED_VALUE"""),0.0)</f>
        <v>0</v>
      </c>
      <c r="AJ71" s="197">
        <f>IFERROR(__xludf.DUMMYFUNCTION("""COMPUTED_VALUE"""),0.0)</f>
        <v>0</v>
      </c>
      <c r="AK71" s="41">
        <f>IFERROR(__xludf.DUMMYFUNCTION("""COMPUTED_VALUE"""),0.0)</f>
        <v>0</v>
      </c>
      <c r="AL71" s="197">
        <f>IFERROR(__xludf.DUMMYFUNCTION("""COMPUTED_VALUE"""),0.0)</f>
        <v>0</v>
      </c>
      <c r="AM71" s="197">
        <f>IFERROR(__xludf.DUMMYFUNCTION("""COMPUTED_VALUE"""),0.0)</f>
        <v>0</v>
      </c>
      <c r="AN71" s="197">
        <f>IFERROR(__xludf.DUMMYFUNCTION("""COMPUTED_VALUE"""),0.0)</f>
        <v>0</v>
      </c>
      <c r="AO71" s="41">
        <f>IFERROR(__xludf.DUMMYFUNCTION("""COMPUTED_VALUE"""),0.0)</f>
        <v>0</v>
      </c>
      <c r="AP71" s="197">
        <f>IFERROR(__xludf.DUMMYFUNCTION("""COMPUTED_VALUE"""),0.0)</f>
        <v>0</v>
      </c>
      <c r="AQ71" s="197">
        <f>IFERROR(__xludf.DUMMYFUNCTION("""COMPUTED_VALUE"""),0.0)</f>
        <v>0</v>
      </c>
      <c r="AR71" s="197">
        <f>IFERROR(__xludf.DUMMYFUNCTION("""COMPUTED_VALUE"""),0.0)</f>
        <v>0</v>
      </c>
      <c r="AS71" s="41">
        <f>IFERROR(__xludf.DUMMYFUNCTION("""COMPUTED_VALUE"""),0.0)</f>
        <v>0</v>
      </c>
      <c r="AT71" s="197">
        <f>IFERROR(__xludf.DUMMYFUNCTION("""COMPUTED_VALUE"""),0.0)</f>
        <v>0</v>
      </c>
      <c r="AU71" s="197">
        <f>IFERROR(__xludf.DUMMYFUNCTION("""COMPUTED_VALUE"""),0.0)</f>
        <v>0</v>
      </c>
      <c r="AV71" s="197">
        <f>IFERROR(__xludf.DUMMYFUNCTION("""COMPUTED_VALUE"""),0.0)</f>
        <v>0</v>
      </c>
      <c r="AW71" s="41">
        <f>IFERROR(__xludf.DUMMYFUNCTION("""COMPUTED_VALUE"""),0.0)</f>
        <v>0</v>
      </c>
      <c r="AX71" s="197">
        <f>IFERROR(__xludf.DUMMYFUNCTION("""COMPUTED_VALUE"""),0.0)</f>
        <v>0</v>
      </c>
      <c r="AY71" s="197">
        <f>IFERROR(__xludf.DUMMYFUNCTION("""COMPUTED_VALUE"""),0.0)</f>
        <v>0</v>
      </c>
      <c r="AZ71" s="198">
        <f>IFERROR(__xludf.DUMMYFUNCTION("""COMPUTED_VALUE"""),0.0)</f>
        <v>0</v>
      </c>
      <c r="BA71" s="34"/>
    </row>
    <row r="72" ht="15.75" customHeight="1">
      <c r="A72" s="29"/>
      <c r="B72" s="67" t="str">
        <f>IFERROR(__xludf.DUMMYFUNCTION("""COMPUTED_VALUE""")," + Tạm")</f>
        <v> + Tạm</v>
      </c>
      <c r="C72" s="31"/>
      <c r="D72" s="31" t="str">
        <f>IFERROR(__xludf.DUMMYFUNCTION("""COMPUTED_VALUE"""),"""")</f>
        <v>"</v>
      </c>
      <c r="E72" s="41">
        <f>IFERROR(__xludf.DUMMYFUNCTION("""COMPUTED_VALUE"""),4.0)</f>
        <v>4</v>
      </c>
      <c r="F72" s="197">
        <f>IFERROR(__xludf.DUMMYFUNCTION("""COMPUTED_VALUE"""),4.0)</f>
        <v>4</v>
      </c>
      <c r="G72" s="197">
        <f>IFERROR(__xludf.DUMMYFUNCTION("""COMPUTED_VALUE"""),0.0)</f>
        <v>0</v>
      </c>
      <c r="H72" s="197">
        <f>IFERROR(__xludf.DUMMYFUNCTION("""COMPUTED_VALUE"""),0.0)</f>
        <v>0</v>
      </c>
      <c r="I72" s="41">
        <f>IFERROR(__xludf.DUMMYFUNCTION("""COMPUTED_VALUE"""),3.0)</f>
        <v>3</v>
      </c>
      <c r="J72" s="197">
        <f>IFERROR(__xludf.DUMMYFUNCTION("""COMPUTED_VALUE"""),3.0)</f>
        <v>3</v>
      </c>
      <c r="K72" s="197">
        <f>IFERROR(__xludf.DUMMYFUNCTION("""COMPUTED_VALUE"""),0.0)</f>
        <v>0</v>
      </c>
      <c r="L72" s="197">
        <f>IFERROR(__xludf.DUMMYFUNCTION("""COMPUTED_VALUE"""),0.0)</f>
        <v>0</v>
      </c>
      <c r="M72" s="41">
        <f>IFERROR(__xludf.DUMMYFUNCTION("""COMPUTED_VALUE"""),3.0)</f>
        <v>3</v>
      </c>
      <c r="N72" s="197">
        <f>IFERROR(__xludf.DUMMYFUNCTION("""COMPUTED_VALUE"""),3.0)</f>
        <v>3</v>
      </c>
      <c r="O72" s="197">
        <f>IFERROR(__xludf.DUMMYFUNCTION("""COMPUTED_VALUE"""),0.0)</f>
        <v>0</v>
      </c>
      <c r="P72" s="197">
        <f>IFERROR(__xludf.DUMMYFUNCTION("""COMPUTED_VALUE"""),0.0)</f>
        <v>0</v>
      </c>
      <c r="Q72" s="41">
        <f>IFERROR(__xludf.DUMMYFUNCTION("""COMPUTED_VALUE"""),2.0)</f>
        <v>2</v>
      </c>
      <c r="R72" s="197">
        <f>IFERROR(__xludf.DUMMYFUNCTION("""COMPUTED_VALUE"""),2.0)</f>
        <v>2</v>
      </c>
      <c r="S72" s="197">
        <f>IFERROR(__xludf.DUMMYFUNCTION("""COMPUTED_VALUE"""),0.0)</f>
        <v>0</v>
      </c>
      <c r="T72" s="197">
        <f>IFERROR(__xludf.DUMMYFUNCTION("""COMPUTED_VALUE"""),0.0)</f>
        <v>0</v>
      </c>
      <c r="U72" s="41">
        <f>IFERROR(__xludf.DUMMYFUNCTION("""COMPUTED_VALUE"""),2.0)</f>
        <v>2</v>
      </c>
      <c r="V72" s="197">
        <f>IFERROR(__xludf.DUMMYFUNCTION("""COMPUTED_VALUE"""),2.0)</f>
        <v>2</v>
      </c>
      <c r="W72" s="197">
        <f>IFERROR(__xludf.DUMMYFUNCTION("""COMPUTED_VALUE"""),0.0)</f>
        <v>0</v>
      </c>
      <c r="X72" s="197">
        <f>IFERROR(__xludf.DUMMYFUNCTION("""COMPUTED_VALUE"""),0.0)</f>
        <v>0</v>
      </c>
      <c r="Y72" s="41">
        <f>IFERROR(__xludf.DUMMYFUNCTION("""COMPUTED_VALUE"""),2.0)</f>
        <v>2</v>
      </c>
      <c r="Z72" s="197">
        <f>IFERROR(__xludf.DUMMYFUNCTION("""COMPUTED_VALUE"""),2.0)</f>
        <v>2</v>
      </c>
      <c r="AA72" s="197">
        <f>IFERROR(__xludf.DUMMYFUNCTION("""COMPUTED_VALUE"""),0.0)</f>
        <v>0</v>
      </c>
      <c r="AB72" s="197">
        <f>IFERROR(__xludf.DUMMYFUNCTION("""COMPUTED_VALUE"""),0.0)</f>
        <v>0</v>
      </c>
      <c r="AC72" s="41">
        <f>IFERROR(__xludf.DUMMYFUNCTION("""COMPUTED_VALUE"""),2.0)</f>
        <v>2</v>
      </c>
      <c r="AD72" s="197">
        <f>IFERROR(__xludf.DUMMYFUNCTION("""COMPUTED_VALUE"""),2.0)</f>
        <v>2</v>
      </c>
      <c r="AE72" s="197">
        <f>IFERROR(__xludf.DUMMYFUNCTION("""COMPUTED_VALUE"""),0.0)</f>
        <v>0</v>
      </c>
      <c r="AF72" s="197">
        <f>IFERROR(__xludf.DUMMYFUNCTION("""COMPUTED_VALUE"""),0.0)</f>
        <v>0</v>
      </c>
      <c r="AG72" s="41">
        <f>IFERROR(__xludf.DUMMYFUNCTION("""COMPUTED_VALUE"""),0.0)</f>
        <v>0</v>
      </c>
      <c r="AH72" s="197">
        <f>IFERROR(__xludf.DUMMYFUNCTION("""COMPUTED_VALUE"""),0.0)</f>
        <v>0</v>
      </c>
      <c r="AI72" s="197">
        <f>IFERROR(__xludf.DUMMYFUNCTION("""COMPUTED_VALUE"""),0.0)</f>
        <v>0</v>
      </c>
      <c r="AJ72" s="197">
        <f>IFERROR(__xludf.DUMMYFUNCTION("""COMPUTED_VALUE"""),0.0)</f>
        <v>0</v>
      </c>
      <c r="AK72" s="41">
        <f>IFERROR(__xludf.DUMMYFUNCTION("""COMPUTED_VALUE"""),0.0)</f>
        <v>0</v>
      </c>
      <c r="AL72" s="197">
        <f>IFERROR(__xludf.DUMMYFUNCTION("""COMPUTED_VALUE"""),0.0)</f>
        <v>0</v>
      </c>
      <c r="AM72" s="197">
        <f>IFERROR(__xludf.DUMMYFUNCTION("""COMPUTED_VALUE"""),0.0)</f>
        <v>0</v>
      </c>
      <c r="AN72" s="197">
        <f>IFERROR(__xludf.DUMMYFUNCTION("""COMPUTED_VALUE"""),0.0)</f>
        <v>0</v>
      </c>
      <c r="AO72" s="41">
        <f>IFERROR(__xludf.DUMMYFUNCTION("""COMPUTED_VALUE"""),0.0)</f>
        <v>0</v>
      </c>
      <c r="AP72" s="197">
        <f>IFERROR(__xludf.DUMMYFUNCTION("""COMPUTED_VALUE"""),0.0)</f>
        <v>0</v>
      </c>
      <c r="AQ72" s="197">
        <f>IFERROR(__xludf.DUMMYFUNCTION("""COMPUTED_VALUE"""),0.0)</f>
        <v>0</v>
      </c>
      <c r="AR72" s="197">
        <f>IFERROR(__xludf.DUMMYFUNCTION("""COMPUTED_VALUE"""),0.0)</f>
        <v>0</v>
      </c>
      <c r="AS72" s="41">
        <f>IFERROR(__xludf.DUMMYFUNCTION("""COMPUTED_VALUE"""),0.0)</f>
        <v>0</v>
      </c>
      <c r="AT72" s="197">
        <f>IFERROR(__xludf.DUMMYFUNCTION("""COMPUTED_VALUE"""),0.0)</f>
        <v>0</v>
      </c>
      <c r="AU72" s="197">
        <f>IFERROR(__xludf.DUMMYFUNCTION("""COMPUTED_VALUE"""),0.0)</f>
        <v>0</v>
      </c>
      <c r="AV72" s="197">
        <f>IFERROR(__xludf.DUMMYFUNCTION("""COMPUTED_VALUE"""),0.0)</f>
        <v>0</v>
      </c>
      <c r="AW72" s="41">
        <f>IFERROR(__xludf.DUMMYFUNCTION("""COMPUTED_VALUE"""),0.0)</f>
        <v>0</v>
      </c>
      <c r="AX72" s="197">
        <f>IFERROR(__xludf.DUMMYFUNCTION("""COMPUTED_VALUE"""),0.0)</f>
        <v>0</v>
      </c>
      <c r="AY72" s="197">
        <f>IFERROR(__xludf.DUMMYFUNCTION("""COMPUTED_VALUE"""),0.0)</f>
        <v>0</v>
      </c>
      <c r="AZ72" s="198">
        <f>IFERROR(__xludf.DUMMYFUNCTION("""COMPUTED_VALUE"""),0.0)</f>
        <v>0</v>
      </c>
      <c r="BA72" s="34"/>
    </row>
    <row r="73" ht="15.75" customHeight="1">
      <c r="A73" s="29"/>
      <c r="B73" s="196" t="str">
        <f>IFERROR(__xludf.DUMMYFUNCTION("""COMPUTED_VALUE"""),"7.3. Tổng số phòng y tế")</f>
        <v>7.3. Tổng số phòng y tế</v>
      </c>
      <c r="C73" s="57"/>
      <c r="D73" s="57" t="str">
        <f>IFERROR(__xludf.DUMMYFUNCTION("""COMPUTED_VALUE"""),"Phòng")</f>
        <v>Phòng</v>
      </c>
      <c r="E73" s="125">
        <f>IFERROR(__xludf.DUMMYFUNCTION("""COMPUTED_VALUE"""),72.0)</f>
        <v>72</v>
      </c>
      <c r="F73" s="125">
        <f>IFERROR(__xludf.DUMMYFUNCTION("""COMPUTED_VALUE"""),72.0)</f>
        <v>72</v>
      </c>
      <c r="G73" s="125">
        <f>IFERROR(__xludf.DUMMYFUNCTION("""COMPUTED_VALUE"""),0.0)</f>
        <v>0</v>
      </c>
      <c r="H73" s="125">
        <f>IFERROR(__xludf.DUMMYFUNCTION("""COMPUTED_VALUE"""),0.0)</f>
        <v>0</v>
      </c>
      <c r="I73" s="125">
        <f>IFERROR(__xludf.DUMMYFUNCTION("""COMPUTED_VALUE"""),73.0)</f>
        <v>73</v>
      </c>
      <c r="J73" s="125">
        <f>IFERROR(__xludf.DUMMYFUNCTION("""COMPUTED_VALUE"""),73.0)</f>
        <v>73</v>
      </c>
      <c r="K73" s="125">
        <f>IFERROR(__xludf.DUMMYFUNCTION("""COMPUTED_VALUE"""),0.0)</f>
        <v>0</v>
      </c>
      <c r="L73" s="125">
        <f>IFERROR(__xludf.DUMMYFUNCTION("""COMPUTED_VALUE"""),0.0)</f>
        <v>0</v>
      </c>
      <c r="M73" s="125">
        <f>IFERROR(__xludf.DUMMYFUNCTION("""COMPUTED_VALUE"""),68.0)</f>
        <v>68</v>
      </c>
      <c r="N73" s="125">
        <f>IFERROR(__xludf.DUMMYFUNCTION("""COMPUTED_VALUE"""),68.0)</f>
        <v>68</v>
      </c>
      <c r="O73" s="125">
        <f>IFERROR(__xludf.DUMMYFUNCTION("""COMPUTED_VALUE"""),0.0)</f>
        <v>0</v>
      </c>
      <c r="P73" s="125">
        <f>IFERROR(__xludf.DUMMYFUNCTION("""COMPUTED_VALUE"""),0.0)</f>
        <v>0</v>
      </c>
      <c r="Q73" s="125">
        <f>IFERROR(__xludf.DUMMYFUNCTION("""COMPUTED_VALUE"""),71.0)</f>
        <v>71</v>
      </c>
      <c r="R73" s="125">
        <f>IFERROR(__xludf.DUMMYFUNCTION("""COMPUTED_VALUE"""),70.0)</f>
        <v>70</v>
      </c>
      <c r="S73" s="125">
        <f>IFERROR(__xludf.DUMMYFUNCTION("""COMPUTED_VALUE"""),1.0)</f>
        <v>1</v>
      </c>
      <c r="T73" s="125">
        <f>IFERROR(__xludf.DUMMYFUNCTION("""COMPUTED_VALUE"""),0.0)</f>
        <v>0</v>
      </c>
      <c r="U73" s="125">
        <f>IFERROR(__xludf.DUMMYFUNCTION("""COMPUTED_VALUE"""),72.0)</f>
        <v>72</v>
      </c>
      <c r="V73" s="125">
        <f>IFERROR(__xludf.DUMMYFUNCTION("""COMPUTED_VALUE"""),72.0)</f>
        <v>72</v>
      </c>
      <c r="W73" s="125">
        <f>IFERROR(__xludf.DUMMYFUNCTION("""COMPUTED_VALUE"""),0.0)</f>
        <v>0</v>
      </c>
      <c r="X73" s="125">
        <f>IFERROR(__xludf.DUMMYFUNCTION("""COMPUTED_VALUE"""),0.0)</f>
        <v>0</v>
      </c>
      <c r="Y73" s="125">
        <f>IFERROR(__xludf.DUMMYFUNCTION("""COMPUTED_VALUE"""),71.0)</f>
        <v>71</v>
      </c>
      <c r="Z73" s="125">
        <f>IFERROR(__xludf.DUMMYFUNCTION("""COMPUTED_VALUE"""),71.0)</f>
        <v>71</v>
      </c>
      <c r="AA73" s="125">
        <f>IFERROR(__xludf.DUMMYFUNCTION("""COMPUTED_VALUE"""),0.0)</f>
        <v>0</v>
      </c>
      <c r="AB73" s="125">
        <f>IFERROR(__xludf.DUMMYFUNCTION("""COMPUTED_VALUE"""),0.0)</f>
        <v>0</v>
      </c>
      <c r="AC73" s="125">
        <f>IFERROR(__xludf.DUMMYFUNCTION("""COMPUTED_VALUE"""),70.0)</f>
        <v>70</v>
      </c>
      <c r="AD73" s="125">
        <f>IFERROR(__xludf.DUMMYFUNCTION("""COMPUTED_VALUE"""),70.0)</f>
        <v>70</v>
      </c>
      <c r="AE73" s="125">
        <f>IFERROR(__xludf.DUMMYFUNCTION("""COMPUTED_VALUE"""),0.0)</f>
        <v>0</v>
      </c>
      <c r="AF73" s="125">
        <f>IFERROR(__xludf.DUMMYFUNCTION("""COMPUTED_VALUE"""),0.0)</f>
        <v>0</v>
      </c>
      <c r="AG73" s="125">
        <f>IFERROR(__xludf.DUMMYFUNCTION("""COMPUTED_VALUE"""),0.0)</f>
        <v>0</v>
      </c>
      <c r="AH73" s="125">
        <f>IFERROR(__xludf.DUMMYFUNCTION("""COMPUTED_VALUE"""),0.0)</f>
        <v>0</v>
      </c>
      <c r="AI73" s="125">
        <f>IFERROR(__xludf.DUMMYFUNCTION("""COMPUTED_VALUE"""),0.0)</f>
        <v>0</v>
      </c>
      <c r="AJ73" s="125">
        <f>IFERROR(__xludf.DUMMYFUNCTION("""COMPUTED_VALUE"""),0.0)</f>
        <v>0</v>
      </c>
      <c r="AK73" s="125">
        <f>IFERROR(__xludf.DUMMYFUNCTION("""COMPUTED_VALUE"""),0.0)</f>
        <v>0</v>
      </c>
      <c r="AL73" s="125">
        <f>IFERROR(__xludf.DUMMYFUNCTION("""COMPUTED_VALUE"""),0.0)</f>
        <v>0</v>
      </c>
      <c r="AM73" s="125">
        <f>IFERROR(__xludf.DUMMYFUNCTION("""COMPUTED_VALUE"""),0.0)</f>
        <v>0</v>
      </c>
      <c r="AN73" s="125">
        <f>IFERROR(__xludf.DUMMYFUNCTION("""COMPUTED_VALUE"""),0.0)</f>
        <v>0</v>
      </c>
      <c r="AO73" s="125">
        <f>IFERROR(__xludf.DUMMYFUNCTION("""COMPUTED_VALUE"""),0.0)</f>
        <v>0</v>
      </c>
      <c r="AP73" s="125">
        <f>IFERROR(__xludf.DUMMYFUNCTION("""COMPUTED_VALUE"""),0.0)</f>
        <v>0</v>
      </c>
      <c r="AQ73" s="125">
        <f>IFERROR(__xludf.DUMMYFUNCTION("""COMPUTED_VALUE"""),0.0)</f>
        <v>0</v>
      </c>
      <c r="AR73" s="125">
        <f>IFERROR(__xludf.DUMMYFUNCTION("""COMPUTED_VALUE"""),0.0)</f>
        <v>0</v>
      </c>
      <c r="AS73" s="125">
        <f>IFERROR(__xludf.DUMMYFUNCTION("""COMPUTED_VALUE"""),0.0)</f>
        <v>0</v>
      </c>
      <c r="AT73" s="125">
        <f>IFERROR(__xludf.DUMMYFUNCTION("""COMPUTED_VALUE"""),0.0)</f>
        <v>0</v>
      </c>
      <c r="AU73" s="125">
        <f>IFERROR(__xludf.DUMMYFUNCTION("""COMPUTED_VALUE"""),0.0)</f>
        <v>0</v>
      </c>
      <c r="AV73" s="125">
        <f>IFERROR(__xludf.DUMMYFUNCTION("""COMPUTED_VALUE"""),0.0)</f>
        <v>0</v>
      </c>
      <c r="AW73" s="125">
        <f>IFERROR(__xludf.DUMMYFUNCTION("""COMPUTED_VALUE"""),0.0)</f>
        <v>0</v>
      </c>
      <c r="AX73" s="125">
        <f>IFERROR(__xludf.DUMMYFUNCTION("""COMPUTED_VALUE"""),0.0)</f>
        <v>0</v>
      </c>
      <c r="AY73" s="125">
        <f>IFERROR(__xludf.DUMMYFUNCTION("""COMPUTED_VALUE"""),0.0)</f>
        <v>0</v>
      </c>
      <c r="AZ73" s="127">
        <f>IFERROR(__xludf.DUMMYFUNCTION("""COMPUTED_VALUE"""),0.0)</f>
        <v>0</v>
      </c>
      <c r="BA73" s="34"/>
    </row>
    <row r="74" ht="15.75" customHeight="1">
      <c r="A74" s="29"/>
      <c r="B74" s="48" t="str">
        <f>IFERROR(__xludf.DUMMYFUNCTION("""COMPUTED_VALUE"""),"Chia ra:")</f>
        <v>Chia ra:</v>
      </c>
      <c r="C74" s="49"/>
      <c r="D74" s="3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50"/>
      <c r="BA74" s="34"/>
    </row>
    <row r="75" ht="15.75" customHeight="1">
      <c r="A75" s="29"/>
      <c r="B75" s="67" t="str">
        <f>IFERROR(__xludf.DUMMYFUNCTION("""COMPUTED_VALUE""")," + Kiên cố")</f>
        <v> + Kiên cố</v>
      </c>
      <c r="C75" s="31"/>
      <c r="D75" s="31" t="str">
        <f>IFERROR(__xludf.DUMMYFUNCTION("""COMPUTED_VALUE"""),"""")</f>
        <v>"</v>
      </c>
      <c r="E75" s="41">
        <f>IFERROR(__xludf.DUMMYFUNCTION("""COMPUTED_VALUE"""),62.0)</f>
        <v>62</v>
      </c>
      <c r="F75" s="197">
        <f>IFERROR(__xludf.DUMMYFUNCTION("""COMPUTED_VALUE"""),62.0)</f>
        <v>62</v>
      </c>
      <c r="G75" s="197">
        <f>IFERROR(__xludf.DUMMYFUNCTION("""COMPUTED_VALUE"""),0.0)</f>
        <v>0</v>
      </c>
      <c r="H75" s="197">
        <f>IFERROR(__xludf.DUMMYFUNCTION("""COMPUTED_VALUE"""),0.0)</f>
        <v>0</v>
      </c>
      <c r="I75" s="41">
        <f>IFERROR(__xludf.DUMMYFUNCTION("""COMPUTED_VALUE"""),65.0)</f>
        <v>65</v>
      </c>
      <c r="J75" s="197">
        <f>IFERROR(__xludf.DUMMYFUNCTION("""COMPUTED_VALUE"""),65.0)</f>
        <v>65</v>
      </c>
      <c r="K75" s="197">
        <f>IFERROR(__xludf.DUMMYFUNCTION("""COMPUTED_VALUE"""),0.0)</f>
        <v>0</v>
      </c>
      <c r="L75" s="197">
        <f>IFERROR(__xludf.DUMMYFUNCTION("""COMPUTED_VALUE"""),0.0)</f>
        <v>0</v>
      </c>
      <c r="M75" s="41">
        <f>IFERROR(__xludf.DUMMYFUNCTION("""COMPUTED_VALUE"""),61.0)</f>
        <v>61</v>
      </c>
      <c r="N75" s="197">
        <f>IFERROR(__xludf.DUMMYFUNCTION("""COMPUTED_VALUE"""),61.0)</f>
        <v>61</v>
      </c>
      <c r="O75" s="197">
        <f>IFERROR(__xludf.DUMMYFUNCTION("""COMPUTED_VALUE"""),0.0)</f>
        <v>0</v>
      </c>
      <c r="P75" s="197">
        <f>IFERROR(__xludf.DUMMYFUNCTION("""COMPUTED_VALUE"""),0.0)</f>
        <v>0</v>
      </c>
      <c r="Q75" s="41">
        <f>IFERROR(__xludf.DUMMYFUNCTION("""COMPUTED_VALUE"""),65.0)</f>
        <v>65</v>
      </c>
      <c r="R75" s="197">
        <f>IFERROR(__xludf.DUMMYFUNCTION("""COMPUTED_VALUE"""),64.0)</f>
        <v>64</v>
      </c>
      <c r="S75" s="197">
        <f>IFERROR(__xludf.DUMMYFUNCTION("""COMPUTED_VALUE"""),1.0)</f>
        <v>1</v>
      </c>
      <c r="T75" s="197">
        <f>IFERROR(__xludf.DUMMYFUNCTION("""COMPUTED_VALUE"""),0.0)</f>
        <v>0</v>
      </c>
      <c r="U75" s="41">
        <f>IFERROR(__xludf.DUMMYFUNCTION("""COMPUTED_VALUE"""),66.0)</f>
        <v>66</v>
      </c>
      <c r="V75" s="197">
        <f>IFERROR(__xludf.DUMMYFUNCTION("""COMPUTED_VALUE"""),66.0)</f>
        <v>66</v>
      </c>
      <c r="W75" s="197">
        <f>IFERROR(__xludf.DUMMYFUNCTION("""COMPUTED_VALUE"""),0.0)</f>
        <v>0</v>
      </c>
      <c r="X75" s="197">
        <f>IFERROR(__xludf.DUMMYFUNCTION("""COMPUTED_VALUE"""),0.0)</f>
        <v>0</v>
      </c>
      <c r="Y75" s="41">
        <f>IFERROR(__xludf.DUMMYFUNCTION("""COMPUTED_VALUE"""),65.0)</f>
        <v>65</v>
      </c>
      <c r="Z75" s="197">
        <f>IFERROR(__xludf.DUMMYFUNCTION("""COMPUTED_VALUE"""),65.0)</f>
        <v>65</v>
      </c>
      <c r="AA75" s="197">
        <f>IFERROR(__xludf.DUMMYFUNCTION("""COMPUTED_VALUE"""),0.0)</f>
        <v>0</v>
      </c>
      <c r="AB75" s="197">
        <f>IFERROR(__xludf.DUMMYFUNCTION("""COMPUTED_VALUE"""),0.0)</f>
        <v>0</v>
      </c>
      <c r="AC75" s="41">
        <f>IFERROR(__xludf.DUMMYFUNCTION("""COMPUTED_VALUE"""),65.0)</f>
        <v>65</v>
      </c>
      <c r="AD75" s="197">
        <f>IFERROR(__xludf.DUMMYFUNCTION("""COMPUTED_VALUE"""),65.0)</f>
        <v>65</v>
      </c>
      <c r="AE75" s="197">
        <f>IFERROR(__xludf.DUMMYFUNCTION("""COMPUTED_VALUE"""),0.0)</f>
        <v>0</v>
      </c>
      <c r="AF75" s="197">
        <f>IFERROR(__xludf.DUMMYFUNCTION("""COMPUTED_VALUE"""),0.0)</f>
        <v>0</v>
      </c>
      <c r="AG75" s="41">
        <f>IFERROR(__xludf.DUMMYFUNCTION("""COMPUTED_VALUE"""),0.0)</f>
        <v>0</v>
      </c>
      <c r="AH75" s="197">
        <f>IFERROR(__xludf.DUMMYFUNCTION("""COMPUTED_VALUE"""),0.0)</f>
        <v>0</v>
      </c>
      <c r="AI75" s="197">
        <f>IFERROR(__xludf.DUMMYFUNCTION("""COMPUTED_VALUE"""),0.0)</f>
        <v>0</v>
      </c>
      <c r="AJ75" s="197">
        <f>IFERROR(__xludf.DUMMYFUNCTION("""COMPUTED_VALUE"""),0.0)</f>
        <v>0</v>
      </c>
      <c r="AK75" s="41">
        <f>IFERROR(__xludf.DUMMYFUNCTION("""COMPUTED_VALUE"""),0.0)</f>
        <v>0</v>
      </c>
      <c r="AL75" s="197">
        <f>IFERROR(__xludf.DUMMYFUNCTION("""COMPUTED_VALUE"""),0.0)</f>
        <v>0</v>
      </c>
      <c r="AM75" s="197">
        <f>IFERROR(__xludf.DUMMYFUNCTION("""COMPUTED_VALUE"""),0.0)</f>
        <v>0</v>
      </c>
      <c r="AN75" s="197">
        <f>IFERROR(__xludf.DUMMYFUNCTION("""COMPUTED_VALUE"""),0.0)</f>
        <v>0</v>
      </c>
      <c r="AO75" s="41">
        <f>IFERROR(__xludf.DUMMYFUNCTION("""COMPUTED_VALUE"""),0.0)</f>
        <v>0</v>
      </c>
      <c r="AP75" s="197">
        <f>IFERROR(__xludf.DUMMYFUNCTION("""COMPUTED_VALUE"""),0.0)</f>
        <v>0</v>
      </c>
      <c r="AQ75" s="197">
        <f>IFERROR(__xludf.DUMMYFUNCTION("""COMPUTED_VALUE"""),0.0)</f>
        <v>0</v>
      </c>
      <c r="AR75" s="197">
        <f>IFERROR(__xludf.DUMMYFUNCTION("""COMPUTED_VALUE"""),0.0)</f>
        <v>0</v>
      </c>
      <c r="AS75" s="41">
        <f>IFERROR(__xludf.DUMMYFUNCTION("""COMPUTED_VALUE"""),0.0)</f>
        <v>0</v>
      </c>
      <c r="AT75" s="197">
        <f>IFERROR(__xludf.DUMMYFUNCTION("""COMPUTED_VALUE"""),0.0)</f>
        <v>0</v>
      </c>
      <c r="AU75" s="197">
        <f>IFERROR(__xludf.DUMMYFUNCTION("""COMPUTED_VALUE"""),0.0)</f>
        <v>0</v>
      </c>
      <c r="AV75" s="197">
        <f>IFERROR(__xludf.DUMMYFUNCTION("""COMPUTED_VALUE"""),0.0)</f>
        <v>0</v>
      </c>
      <c r="AW75" s="41">
        <f>IFERROR(__xludf.DUMMYFUNCTION("""COMPUTED_VALUE"""),0.0)</f>
        <v>0</v>
      </c>
      <c r="AX75" s="197">
        <f>IFERROR(__xludf.DUMMYFUNCTION("""COMPUTED_VALUE"""),0.0)</f>
        <v>0</v>
      </c>
      <c r="AY75" s="197">
        <f>IFERROR(__xludf.DUMMYFUNCTION("""COMPUTED_VALUE"""),0.0)</f>
        <v>0</v>
      </c>
      <c r="AZ75" s="198">
        <f>IFERROR(__xludf.DUMMYFUNCTION("""COMPUTED_VALUE"""),0.0)</f>
        <v>0</v>
      </c>
      <c r="BA75" s="34"/>
    </row>
    <row r="76" ht="15.75" customHeight="1">
      <c r="A76" s="29"/>
      <c r="B76" s="67" t="str">
        <f>IFERROR(__xludf.DUMMYFUNCTION("""COMPUTED_VALUE""")," + Bán kiên cố")</f>
        <v> + Bán kiên cố</v>
      </c>
      <c r="C76" s="31"/>
      <c r="D76" s="31" t="str">
        <f>IFERROR(__xludf.DUMMYFUNCTION("""COMPUTED_VALUE"""),"""")</f>
        <v>"</v>
      </c>
      <c r="E76" s="41">
        <f>IFERROR(__xludf.DUMMYFUNCTION("""COMPUTED_VALUE"""),9.0)</f>
        <v>9</v>
      </c>
      <c r="F76" s="197">
        <f>IFERROR(__xludf.DUMMYFUNCTION("""COMPUTED_VALUE"""),9.0)</f>
        <v>9</v>
      </c>
      <c r="G76" s="197">
        <f>IFERROR(__xludf.DUMMYFUNCTION("""COMPUTED_VALUE"""),0.0)</f>
        <v>0</v>
      </c>
      <c r="H76" s="197">
        <f>IFERROR(__xludf.DUMMYFUNCTION("""COMPUTED_VALUE"""),0.0)</f>
        <v>0</v>
      </c>
      <c r="I76" s="41">
        <f>IFERROR(__xludf.DUMMYFUNCTION("""COMPUTED_VALUE"""),5.0)</f>
        <v>5</v>
      </c>
      <c r="J76" s="197">
        <f>IFERROR(__xludf.DUMMYFUNCTION("""COMPUTED_VALUE"""),5.0)</f>
        <v>5</v>
      </c>
      <c r="K76" s="197">
        <f>IFERROR(__xludf.DUMMYFUNCTION("""COMPUTED_VALUE"""),0.0)</f>
        <v>0</v>
      </c>
      <c r="L76" s="197">
        <f>IFERROR(__xludf.DUMMYFUNCTION("""COMPUTED_VALUE"""),0.0)</f>
        <v>0</v>
      </c>
      <c r="M76" s="41">
        <f>IFERROR(__xludf.DUMMYFUNCTION("""COMPUTED_VALUE"""),5.0)</f>
        <v>5</v>
      </c>
      <c r="N76" s="197">
        <f>IFERROR(__xludf.DUMMYFUNCTION("""COMPUTED_VALUE"""),5.0)</f>
        <v>5</v>
      </c>
      <c r="O76" s="197">
        <f>IFERROR(__xludf.DUMMYFUNCTION("""COMPUTED_VALUE"""),0.0)</f>
        <v>0</v>
      </c>
      <c r="P76" s="197">
        <f>IFERROR(__xludf.DUMMYFUNCTION("""COMPUTED_VALUE"""),0.0)</f>
        <v>0</v>
      </c>
      <c r="Q76" s="41">
        <f>IFERROR(__xludf.DUMMYFUNCTION("""COMPUTED_VALUE"""),5.0)</f>
        <v>5</v>
      </c>
      <c r="R76" s="197">
        <f>IFERROR(__xludf.DUMMYFUNCTION("""COMPUTED_VALUE"""),5.0)</f>
        <v>5</v>
      </c>
      <c r="S76" s="197">
        <f>IFERROR(__xludf.DUMMYFUNCTION("""COMPUTED_VALUE"""),0.0)</f>
        <v>0</v>
      </c>
      <c r="T76" s="197">
        <f>IFERROR(__xludf.DUMMYFUNCTION("""COMPUTED_VALUE"""),0.0)</f>
        <v>0</v>
      </c>
      <c r="U76" s="41">
        <f>IFERROR(__xludf.DUMMYFUNCTION("""COMPUTED_VALUE"""),5.0)</f>
        <v>5</v>
      </c>
      <c r="V76" s="197">
        <f>IFERROR(__xludf.DUMMYFUNCTION("""COMPUTED_VALUE"""),5.0)</f>
        <v>5</v>
      </c>
      <c r="W76" s="197">
        <f>IFERROR(__xludf.DUMMYFUNCTION("""COMPUTED_VALUE"""),0.0)</f>
        <v>0</v>
      </c>
      <c r="X76" s="197">
        <f>IFERROR(__xludf.DUMMYFUNCTION("""COMPUTED_VALUE"""),0.0)</f>
        <v>0</v>
      </c>
      <c r="Y76" s="41">
        <f>IFERROR(__xludf.DUMMYFUNCTION("""COMPUTED_VALUE"""),5.0)</f>
        <v>5</v>
      </c>
      <c r="Z76" s="197">
        <f>IFERROR(__xludf.DUMMYFUNCTION("""COMPUTED_VALUE"""),5.0)</f>
        <v>5</v>
      </c>
      <c r="AA76" s="197">
        <f>IFERROR(__xludf.DUMMYFUNCTION("""COMPUTED_VALUE"""),0.0)</f>
        <v>0</v>
      </c>
      <c r="AB76" s="197">
        <f>IFERROR(__xludf.DUMMYFUNCTION("""COMPUTED_VALUE"""),0.0)</f>
        <v>0</v>
      </c>
      <c r="AC76" s="41">
        <f>IFERROR(__xludf.DUMMYFUNCTION("""COMPUTED_VALUE"""),5.0)</f>
        <v>5</v>
      </c>
      <c r="AD76" s="197">
        <f>IFERROR(__xludf.DUMMYFUNCTION("""COMPUTED_VALUE"""),5.0)</f>
        <v>5</v>
      </c>
      <c r="AE76" s="197">
        <f>IFERROR(__xludf.DUMMYFUNCTION("""COMPUTED_VALUE"""),0.0)</f>
        <v>0</v>
      </c>
      <c r="AF76" s="197">
        <f>IFERROR(__xludf.DUMMYFUNCTION("""COMPUTED_VALUE"""),0.0)</f>
        <v>0</v>
      </c>
      <c r="AG76" s="41">
        <f>IFERROR(__xludf.DUMMYFUNCTION("""COMPUTED_VALUE"""),0.0)</f>
        <v>0</v>
      </c>
      <c r="AH76" s="197">
        <f>IFERROR(__xludf.DUMMYFUNCTION("""COMPUTED_VALUE"""),0.0)</f>
        <v>0</v>
      </c>
      <c r="AI76" s="197">
        <f>IFERROR(__xludf.DUMMYFUNCTION("""COMPUTED_VALUE"""),0.0)</f>
        <v>0</v>
      </c>
      <c r="AJ76" s="197">
        <f>IFERROR(__xludf.DUMMYFUNCTION("""COMPUTED_VALUE"""),0.0)</f>
        <v>0</v>
      </c>
      <c r="AK76" s="41">
        <f>IFERROR(__xludf.DUMMYFUNCTION("""COMPUTED_VALUE"""),0.0)</f>
        <v>0</v>
      </c>
      <c r="AL76" s="197">
        <f>IFERROR(__xludf.DUMMYFUNCTION("""COMPUTED_VALUE"""),0.0)</f>
        <v>0</v>
      </c>
      <c r="AM76" s="197">
        <f>IFERROR(__xludf.DUMMYFUNCTION("""COMPUTED_VALUE"""),0.0)</f>
        <v>0</v>
      </c>
      <c r="AN76" s="197">
        <f>IFERROR(__xludf.DUMMYFUNCTION("""COMPUTED_VALUE"""),0.0)</f>
        <v>0</v>
      </c>
      <c r="AO76" s="41">
        <f>IFERROR(__xludf.DUMMYFUNCTION("""COMPUTED_VALUE"""),0.0)</f>
        <v>0</v>
      </c>
      <c r="AP76" s="197">
        <f>IFERROR(__xludf.DUMMYFUNCTION("""COMPUTED_VALUE"""),0.0)</f>
        <v>0</v>
      </c>
      <c r="AQ76" s="197">
        <f>IFERROR(__xludf.DUMMYFUNCTION("""COMPUTED_VALUE"""),0.0)</f>
        <v>0</v>
      </c>
      <c r="AR76" s="197">
        <f>IFERROR(__xludf.DUMMYFUNCTION("""COMPUTED_VALUE"""),0.0)</f>
        <v>0</v>
      </c>
      <c r="AS76" s="41">
        <f>IFERROR(__xludf.DUMMYFUNCTION("""COMPUTED_VALUE"""),0.0)</f>
        <v>0</v>
      </c>
      <c r="AT76" s="197">
        <f>IFERROR(__xludf.DUMMYFUNCTION("""COMPUTED_VALUE"""),0.0)</f>
        <v>0</v>
      </c>
      <c r="AU76" s="197">
        <f>IFERROR(__xludf.DUMMYFUNCTION("""COMPUTED_VALUE"""),0.0)</f>
        <v>0</v>
      </c>
      <c r="AV76" s="197">
        <f>IFERROR(__xludf.DUMMYFUNCTION("""COMPUTED_VALUE"""),0.0)</f>
        <v>0</v>
      </c>
      <c r="AW76" s="41">
        <f>IFERROR(__xludf.DUMMYFUNCTION("""COMPUTED_VALUE"""),0.0)</f>
        <v>0</v>
      </c>
      <c r="AX76" s="197">
        <f>IFERROR(__xludf.DUMMYFUNCTION("""COMPUTED_VALUE"""),0.0)</f>
        <v>0</v>
      </c>
      <c r="AY76" s="197">
        <f>IFERROR(__xludf.DUMMYFUNCTION("""COMPUTED_VALUE"""),0.0)</f>
        <v>0</v>
      </c>
      <c r="AZ76" s="198">
        <f>IFERROR(__xludf.DUMMYFUNCTION("""COMPUTED_VALUE"""),0.0)</f>
        <v>0</v>
      </c>
      <c r="BA76" s="34"/>
    </row>
    <row r="77" ht="15.75" customHeight="1">
      <c r="A77" s="29"/>
      <c r="B77" s="67" t="str">
        <f>IFERROR(__xludf.DUMMYFUNCTION("""COMPUTED_VALUE""")," + Tạm")</f>
        <v> + Tạm</v>
      </c>
      <c r="C77" s="31"/>
      <c r="D77" s="31" t="str">
        <f>IFERROR(__xludf.DUMMYFUNCTION("""COMPUTED_VALUE"""),"""")</f>
        <v>"</v>
      </c>
      <c r="E77" s="41">
        <f>IFERROR(__xludf.DUMMYFUNCTION("""COMPUTED_VALUE"""),1.0)</f>
        <v>1</v>
      </c>
      <c r="F77" s="197">
        <f>IFERROR(__xludf.DUMMYFUNCTION("""COMPUTED_VALUE"""),1.0)</f>
        <v>1</v>
      </c>
      <c r="G77" s="197">
        <f>IFERROR(__xludf.DUMMYFUNCTION("""COMPUTED_VALUE"""),0.0)</f>
        <v>0</v>
      </c>
      <c r="H77" s="197">
        <f>IFERROR(__xludf.DUMMYFUNCTION("""COMPUTED_VALUE"""),0.0)</f>
        <v>0</v>
      </c>
      <c r="I77" s="41">
        <f>IFERROR(__xludf.DUMMYFUNCTION("""COMPUTED_VALUE"""),3.0)</f>
        <v>3</v>
      </c>
      <c r="J77" s="197">
        <f>IFERROR(__xludf.DUMMYFUNCTION("""COMPUTED_VALUE"""),3.0)</f>
        <v>3</v>
      </c>
      <c r="K77" s="197">
        <f>IFERROR(__xludf.DUMMYFUNCTION("""COMPUTED_VALUE"""),0.0)</f>
        <v>0</v>
      </c>
      <c r="L77" s="197">
        <f>IFERROR(__xludf.DUMMYFUNCTION("""COMPUTED_VALUE"""),0.0)</f>
        <v>0</v>
      </c>
      <c r="M77" s="41">
        <f>IFERROR(__xludf.DUMMYFUNCTION("""COMPUTED_VALUE"""),2.0)</f>
        <v>2</v>
      </c>
      <c r="N77" s="197">
        <f>IFERROR(__xludf.DUMMYFUNCTION("""COMPUTED_VALUE"""),2.0)</f>
        <v>2</v>
      </c>
      <c r="O77" s="197">
        <f>IFERROR(__xludf.DUMMYFUNCTION("""COMPUTED_VALUE"""),0.0)</f>
        <v>0</v>
      </c>
      <c r="P77" s="197">
        <f>IFERROR(__xludf.DUMMYFUNCTION("""COMPUTED_VALUE"""),0.0)</f>
        <v>0</v>
      </c>
      <c r="Q77" s="41">
        <f>IFERROR(__xludf.DUMMYFUNCTION("""COMPUTED_VALUE"""),1.0)</f>
        <v>1</v>
      </c>
      <c r="R77" s="197">
        <f>IFERROR(__xludf.DUMMYFUNCTION("""COMPUTED_VALUE"""),1.0)</f>
        <v>1</v>
      </c>
      <c r="S77" s="197">
        <f>IFERROR(__xludf.DUMMYFUNCTION("""COMPUTED_VALUE"""),0.0)</f>
        <v>0</v>
      </c>
      <c r="T77" s="197">
        <f>IFERROR(__xludf.DUMMYFUNCTION("""COMPUTED_VALUE"""),0.0)</f>
        <v>0</v>
      </c>
      <c r="U77" s="41">
        <f>IFERROR(__xludf.DUMMYFUNCTION("""COMPUTED_VALUE"""),1.0)</f>
        <v>1</v>
      </c>
      <c r="V77" s="197">
        <f>IFERROR(__xludf.DUMMYFUNCTION("""COMPUTED_VALUE"""),1.0)</f>
        <v>1</v>
      </c>
      <c r="W77" s="197">
        <f>IFERROR(__xludf.DUMMYFUNCTION("""COMPUTED_VALUE"""),0.0)</f>
        <v>0</v>
      </c>
      <c r="X77" s="197">
        <f>IFERROR(__xludf.DUMMYFUNCTION("""COMPUTED_VALUE"""),0.0)</f>
        <v>0</v>
      </c>
      <c r="Y77" s="41">
        <f>IFERROR(__xludf.DUMMYFUNCTION("""COMPUTED_VALUE"""),1.0)</f>
        <v>1</v>
      </c>
      <c r="Z77" s="197">
        <f>IFERROR(__xludf.DUMMYFUNCTION("""COMPUTED_VALUE"""),1.0)</f>
        <v>1</v>
      </c>
      <c r="AA77" s="197">
        <f>IFERROR(__xludf.DUMMYFUNCTION("""COMPUTED_VALUE"""),0.0)</f>
        <v>0</v>
      </c>
      <c r="AB77" s="197">
        <f>IFERROR(__xludf.DUMMYFUNCTION("""COMPUTED_VALUE"""),0.0)</f>
        <v>0</v>
      </c>
      <c r="AC77" s="41">
        <f>IFERROR(__xludf.DUMMYFUNCTION("""COMPUTED_VALUE"""),0.0)</f>
        <v>0</v>
      </c>
      <c r="AD77" s="197">
        <f>IFERROR(__xludf.DUMMYFUNCTION("""COMPUTED_VALUE"""),0.0)</f>
        <v>0</v>
      </c>
      <c r="AE77" s="197">
        <f>IFERROR(__xludf.DUMMYFUNCTION("""COMPUTED_VALUE"""),0.0)</f>
        <v>0</v>
      </c>
      <c r="AF77" s="197">
        <f>IFERROR(__xludf.DUMMYFUNCTION("""COMPUTED_VALUE"""),0.0)</f>
        <v>0</v>
      </c>
      <c r="AG77" s="41">
        <f>IFERROR(__xludf.DUMMYFUNCTION("""COMPUTED_VALUE"""),0.0)</f>
        <v>0</v>
      </c>
      <c r="AH77" s="197">
        <f>IFERROR(__xludf.DUMMYFUNCTION("""COMPUTED_VALUE"""),0.0)</f>
        <v>0</v>
      </c>
      <c r="AI77" s="197">
        <f>IFERROR(__xludf.DUMMYFUNCTION("""COMPUTED_VALUE"""),0.0)</f>
        <v>0</v>
      </c>
      <c r="AJ77" s="197">
        <f>IFERROR(__xludf.DUMMYFUNCTION("""COMPUTED_VALUE"""),0.0)</f>
        <v>0</v>
      </c>
      <c r="AK77" s="41">
        <f>IFERROR(__xludf.DUMMYFUNCTION("""COMPUTED_VALUE"""),0.0)</f>
        <v>0</v>
      </c>
      <c r="AL77" s="197">
        <f>IFERROR(__xludf.DUMMYFUNCTION("""COMPUTED_VALUE"""),0.0)</f>
        <v>0</v>
      </c>
      <c r="AM77" s="197">
        <f>IFERROR(__xludf.DUMMYFUNCTION("""COMPUTED_VALUE"""),0.0)</f>
        <v>0</v>
      </c>
      <c r="AN77" s="197">
        <f>IFERROR(__xludf.DUMMYFUNCTION("""COMPUTED_VALUE"""),0.0)</f>
        <v>0</v>
      </c>
      <c r="AO77" s="41">
        <f>IFERROR(__xludf.DUMMYFUNCTION("""COMPUTED_VALUE"""),0.0)</f>
        <v>0</v>
      </c>
      <c r="AP77" s="197">
        <f>IFERROR(__xludf.DUMMYFUNCTION("""COMPUTED_VALUE"""),0.0)</f>
        <v>0</v>
      </c>
      <c r="AQ77" s="197">
        <f>IFERROR(__xludf.DUMMYFUNCTION("""COMPUTED_VALUE"""),0.0)</f>
        <v>0</v>
      </c>
      <c r="AR77" s="197">
        <f>IFERROR(__xludf.DUMMYFUNCTION("""COMPUTED_VALUE"""),0.0)</f>
        <v>0</v>
      </c>
      <c r="AS77" s="41">
        <f>IFERROR(__xludf.DUMMYFUNCTION("""COMPUTED_VALUE"""),0.0)</f>
        <v>0</v>
      </c>
      <c r="AT77" s="197">
        <f>IFERROR(__xludf.DUMMYFUNCTION("""COMPUTED_VALUE"""),0.0)</f>
        <v>0</v>
      </c>
      <c r="AU77" s="197">
        <f>IFERROR(__xludf.DUMMYFUNCTION("""COMPUTED_VALUE"""),0.0)</f>
        <v>0</v>
      </c>
      <c r="AV77" s="197">
        <f>IFERROR(__xludf.DUMMYFUNCTION("""COMPUTED_VALUE"""),0.0)</f>
        <v>0</v>
      </c>
      <c r="AW77" s="41">
        <f>IFERROR(__xludf.DUMMYFUNCTION("""COMPUTED_VALUE"""),0.0)</f>
        <v>0</v>
      </c>
      <c r="AX77" s="197">
        <f>IFERROR(__xludf.DUMMYFUNCTION("""COMPUTED_VALUE"""),0.0)</f>
        <v>0</v>
      </c>
      <c r="AY77" s="197">
        <f>IFERROR(__xludf.DUMMYFUNCTION("""COMPUTED_VALUE"""),0.0)</f>
        <v>0</v>
      </c>
      <c r="AZ77" s="198">
        <f>IFERROR(__xludf.DUMMYFUNCTION("""COMPUTED_VALUE"""),0.0)</f>
        <v>0</v>
      </c>
      <c r="BA77" s="34"/>
    </row>
    <row r="78" ht="15.75" customHeight="1">
      <c r="A78" s="29"/>
      <c r="B78" s="196" t="str">
        <f>IFERROR(__xludf.DUMMYFUNCTION("""COMPUTED_VALUE"""),"7.4. Tổng số nhà đa năng")</f>
        <v>7.4. Tổng số nhà đa năng</v>
      </c>
      <c r="C78" s="57"/>
      <c r="D78" s="57" t="str">
        <f>IFERROR(__xludf.DUMMYFUNCTION("""COMPUTED_VALUE"""),"Phòng")</f>
        <v>Phòng</v>
      </c>
      <c r="E78" s="125">
        <f>IFERROR(__xludf.DUMMYFUNCTION("""COMPUTED_VALUE"""),8.0)</f>
        <v>8</v>
      </c>
      <c r="F78" s="125">
        <f>IFERROR(__xludf.DUMMYFUNCTION("""COMPUTED_VALUE"""),8.0)</f>
        <v>8</v>
      </c>
      <c r="G78" s="125">
        <f>IFERROR(__xludf.DUMMYFUNCTION("""COMPUTED_VALUE"""),0.0)</f>
        <v>0</v>
      </c>
      <c r="H78" s="125">
        <f>IFERROR(__xludf.DUMMYFUNCTION("""COMPUTED_VALUE"""),0.0)</f>
        <v>0</v>
      </c>
      <c r="I78" s="125">
        <f>IFERROR(__xludf.DUMMYFUNCTION("""COMPUTED_VALUE"""),7.0)</f>
        <v>7</v>
      </c>
      <c r="J78" s="125">
        <f>IFERROR(__xludf.DUMMYFUNCTION("""COMPUTED_VALUE"""),7.0)</f>
        <v>7</v>
      </c>
      <c r="K78" s="125">
        <f>IFERROR(__xludf.DUMMYFUNCTION("""COMPUTED_VALUE"""),0.0)</f>
        <v>0</v>
      </c>
      <c r="L78" s="125">
        <f>IFERROR(__xludf.DUMMYFUNCTION("""COMPUTED_VALUE"""),0.0)</f>
        <v>0</v>
      </c>
      <c r="M78" s="125">
        <f>IFERROR(__xludf.DUMMYFUNCTION("""COMPUTED_VALUE"""),7.0)</f>
        <v>7</v>
      </c>
      <c r="N78" s="125">
        <f>IFERROR(__xludf.DUMMYFUNCTION("""COMPUTED_VALUE"""),7.0)</f>
        <v>7</v>
      </c>
      <c r="O78" s="125">
        <f>IFERROR(__xludf.DUMMYFUNCTION("""COMPUTED_VALUE"""),0.0)</f>
        <v>0</v>
      </c>
      <c r="P78" s="125">
        <f>IFERROR(__xludf.DUMMYFUNCTION("""COMPUTED_VALUE"""),0.0)</f>
        <v>0</v>
      </c>
      <c r="Q78" s="125">
        <f>IFERROR(__xludf.DUMMYFUNCTION("""COMPUTED_VALUE"""),7.0)</f>
        <v>7</v>
      </c>
      <c r="R78" s="125">
        <f>IFERROR(__xludf.DUMMYFUNCTION("""COMPUTED_VALUE"""),7.0)</f>
        <v>7</v>
      </c>
      <c r="S78" s="125">
        <f>IFERROR(__xludf.DUMMYFUNCTION("""COMPUTED_VALUE"""),0.0)</f>
        <v>0</v>
      </c>
      <c r="T78" s="125">
        <f>IFERROR(__xludf.DUMMYFUNCTION("""COMPUTED_VALUE"""),0.0)</f>
        <v>0</v>
      </c>
      <c r="U78" s="125">
        <f>IFERROR(__xludf.DUMMYFUNCTION("""COMPUTED_VALUE"""),7.0)</f>
        <v>7</v>
      </c>
      <c r="V78" s="125">
        <f>IFERROR(__xludf.DUMMYFUNCTION("""COMPUTED_VALUE"""),7.0)</f>
        <v>7</v>
      </c>
      <c r="W78" s="125">
        <f>IFERROR(__xludf.DUMMYFUNCTION("""COMPUTED_VALUE"""),0.0)</f>
        <v>0</v>
      </c>
      <c r="X78" s="125">
        <f>IFERROR(__xludf.DUMMYFUNCTION("""COMPUTED_VALUE"""),0.0)</f>
        <v>0</v>
      </c>
      <c r="Y78" s="125">
        <f>IFERROR(__xludf.DUMMYFUNCTION("""COMPUTED_VALUE"""),7.0)</f>
        <v>7</v>
      </c>
      <c r="Z78" s="125">
        <f>IFERROR(__xludf.DUMMYFUNCTION("""COMPUTED_VALUE"""),7.0)</f>
        <v>7</v>
      </c>
      <c r="AA78" s="125">
        <f>IFERROR(__xludf.DUMMYFUNCTION("""COMPUTED_VALUE"""),0.0)</f>
        <v>0</v>
      </c>
      <c r="AB78" s="125">
        <f>IFERROR(__xludf.DUMMYFUNCTION("""COMPUTED_VALUE"""),0.0)</f>
        <v>0</v>
      </c>
      <c r="AC78" s="125">
        <f>IFERROR(__xludf.DUMMYFUNCTION("""COMPUTED_VALUE"""),7.0)</f>
        <v>7</v>
      </c>
      <c r="AD78" s="125">
        <f>IFERROR(__xludf.DUMMYFUNCTION("""COMPUTED_VALUE"""),7.0)</f>
        <v>7</v>
      </c>
      <c r="AE78" s="125">
        <f>IFERROR(__xludf.DUMMYFUNCTION("""COMPUTED_VALUE"""),0.0)</f>
        <v>0</v>
      </c>
      <c r="AF78" s="125">
        <f>IFERROR(__xludf.DUMMYFUNCTION("""COMPUTED_VALUE"""),0.0)</f>
        <v>0</v>
      </c>
      <c r="AG78" s="125">
        <f>IFERROR(__xludf.DUMMYFUNCTION("""COMPUTED_VALUE"""),0.0)</f>
        <v>0</v>
      </c>
      <c r="AH78" s="125">
        <f>IFERROR(__xludf.DUMMYFUNCTION("""COMPUTED_VALUE"""),0.0)</f>
        <v>0</v>
      </c>
      <c r="AI78" s="125">
        <f>IFERROR(__xludf.DUMMYFUNCTION("""COMPUTED_VALUE"""),0.0)</f>
        <v>0</v>
      </c>
      <c r="AJ78" s="125">
        <f>IFERROR(__xludf.DUMMYFUNCTION("""COMPUTED_VALUE"""),0.0)</f>
        <v>0</v>
      </c>
      <c r="AK78" s="125">
        <f>IFERROR(__xludf.DUMMYFUNCTION("""COMPUTED_VALUE"""),0.0)</f>
        <v>0</v>
      </c>
      <c r="AL78" s="125">
        <f>IFERROR(__xludf.DUMMYFUNCTION("""COMPUTED_VALUE"""),0.0)</f>
        <v>0</v>
      </c>
      <c r="AM78" s="125">
        <f>IFERROR(__xludf.DUMMYFUNCTION("""COMPUTED_VALUE"""),0.0)</f>
        <v>0</v>
      </c>
      <c r="AN78" s="125">
        <f>IFERROR(__xludf.DUMMYFUNCTION("""COMPUTED_VALUE"""),0.0)</f>
        <v>0</v>
      </c>
      <c r="AO78" s="125">
        <f>IFERROR(__xludf.DUMMYFUNCTION("""COMPUTED_VALUE"""),0.0)</f>
        <v>0</v>
      </c>
      <c r="AP78" s="125">
        <f>IFERROR(__xludf.DUMMYFUNCTION("""COMPUTED_VALUE"""),0.0)</f>
        <v>0</v>
      </c>
      <c r="AQ78" s="125">
        <f>IFERROR(__xludf.DUMMYFUNCTION("""COMPUTED_VALUE"""),0.0)</f>
        <v>0</v>
      </c>
      <c r="AR78" s="125">
        <f>IFERROR(__xludf.DUMMYFUNCTION("""COMPUTED_VALUE"""),0.0)</f>
        <v>0</v>
      </c>
      <c r="AS78" s="125">
        <f>IFERROR(__xludf.DUMMYFUNCTION("""COMPUTED_VALUE"""),0.0)</f>
        <v>0</v>
      </c>
      <c r="AT78" s="125">
        <f>IFERROR(__xludf.DUMMYFUNCTION("""COMPUTED_VALUE"""),0.0)</f>
        <v>0</v>
      </c>
      <c r="AU78" s="125">
        <f>IFERROR(__xludf.DUMMYFUNCTION("""COMPUTED_VALUE"""),0.0)</f>
        <v>0</v>
      </c>
      <c r="AV78" s="125">
        <f>IFERROR(__xludf.DUMMYFUNCTION("""COMPUTED_VALUE"""),0.0)</f>
        <v>0</v>
      </c>
      <c r="AW78" s="125">
        <f>IFERROR(__xludf.DUMMYFUNCTION("""COMPUTED_VALUE"""),0.0)</f>
        <v>0</v>
      </c>
      <c r="AX78" s="125">
        <f>IFERROR(__xludf.DUMMYFUNCTION("""COMPUTED_VALUE"""),0.0)</f>
        <v>0</v>
      </c>
      <c r="AY78" s="125">
        <f>IFERROR(__xludf.DUMMYFUNCTION("""COMPUTED_VALUE"""),0.0)</f>
        <v>0</v>
      </c>
      <c r="AZ78" s="127">
        <f>IFERROR(__xludf.DUMMYFUNCTION("""COMPUTED_VALUE"""),0.0)</f>
        <v>0</v>
      </c>
      <c r="BA78" s="34"/>
    </row>
    <row r="79" ht="15.75" customHeight="1">
      <c r="A79" s="29"/>
      <c r="B79" s="48" t="str">
        <f>IFERROR(__xludf.DUMMYFUNCTION("""COMPUTED_VALUE"""),"Chia ra:")</f>
        <v>Chia ra:</v>
      </c>
      <c r="C79" s="49"/>
      <c r="D79" s="3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50"/>
      <c r="BA79" s="34"/>
    </row>
    <row r="80" ht="15.75" customHeight="1">
      <c r="A80" s="29"/>
      <c r="B80" s="67" t="str">
        <f>IFERROR(__xludf.DUMMYFUNCTION("""COMPUTED_VALUE""")," + Kiên cố")</f>
        <v> + Kiên cố</v>
      </c>
      <c r="C80" s="31"/>
      <c r="D80" s="31" t="str">
        <f>IFERROR(__xludf.DUMMYFUNCTION("""COMPUTED_VALUE"""),"""")</f>
        <v>"</v>
      </c>
      <c r="E80" s="41">
        <f>IFERROR(__xludf.DUMMYFUNCTION("""COMPUTED_VALUE"""),7.0)</f>
        <v>7</v>
      </c>
      <c r="F80" s="197">
        <f>IFERROR(__xludf.DUMMYFUNCTION("""COMPUTED_VALUE"""),7.0)</f>
        <v>7</v>
      </c>
      <c r="G80" s="197">
        <f>IFERROR(__xludf.DUMMYFUNCTION("""COMPUTED_VALUE"""),0.0)</f>
        <v>0</v>
      </c>
      <c r="H80" s="197">
        <f>IFERROR(__xludf.DUMMYFUNCTION("""COMPUTED_VALUE"""),0.0)</f>
        <v>0</v>
      </c>
      <c r="I80" s="41">
        <f>IFERROR(__xludf.DUMMYFUNCTION("""COMPUTED_VALUE"""),7.0)</f>
        <v>7</v>
      </c>
      <c r="J80" s="197">
        <f>IFERROR(__xludf.DUMMYFUNCTION("""COMPUTED_VALUE"""),7.0)</f>
        <v>7</v>
      </c>
      <c r="K80" s="197">
        <f>IFERROR(__xludf.DUMMYFUNCTION("""COMPUTED_VALUE"""),0.0)</f>
        <v>0</v>
      </c>
      <c r="L80" s="197">
        <f>IFERROR(__xludf.DUMMYFUNCTION("""COMPUTED_VALUE"""),0.0)</f>
        <v>0</v>
      </c>
      <c r="M80" s="41">
        <f>IFERROR(__xludf.DUMMYFUNCTION("""COMPUTED_VALUE"""),7.0)</f>
        <v>7</v>
      </c>
      <c r="N80" s="197">
        <f>IFERROR(__xludf.DUMMYFUNCTION("""COMPUTED_VALUE"""),7.0)</f>
        <v>7</v>
      </c>
      <c r="O80" s="197">
        <f>IFERROR(__xludf.DUMMYFUNCTION("""COMPUTED_VALUE"""),0.0)</f>
        <v>0</v>
      </c>
      <c r="P80" s="197">
        <f>IFERROR(__xludf.DUMMYFUNCTION("""COMPUTED_VALUE"""),0.0)</f>
        <v>0</v>
      </c>
      <c r="Q80" s="41">
        <f>IFERROR(__xludf.DUMMYFUNCTION("""COMPUTED_VALUE"""),7.0)</f>
        <v>7</v>
      </c>
      <c r="R80" s="197">
        <f>IFERROR(__xludf.DUMMYFUNCTION("""COMPUTED_VALUE"""),7.0)</f>
        <v>7</v>
      </c>
      <c r="S80" s="197">
        <f>IFERROR(__xludf.DUMMYFUNCTION("""COMPUTED_VALUE"""),0.0)</f>
        <v>0</v>
      </c>
      <c r="T80" s="197">
        <f>IFERROR(__xludf.DUMMYFUNCTION("""COMPUTED_VALUE"""),0.0)</f>
        <v>0</v>
      </c>
      <c r="U80" s="41">
        <f>IFERROR(__xludf.DUMMYFUNCTION("""COMPUTED_VALUE"""),7.0)</f>
        <v>7</v>
      </c>
      <c r="V80" s="197">
        <f>IFERROR(__xludf.DUMMYFUNCTION("""COMPUTED_VALUE"""),7.0)</f>
        <v>7</v>
      </c>
      <c r="W80" s="197">
        <f>IFERROR(__xludf.DUMMYFUNCTION("""COMPUTED_VALUE"""),0.0)</f>
        <v>0</v>
      </c>
      <c r="X80" s="197">
        <f>IFERROR(__xludf.DUMMYFUNCTION("""COMPUTED_VALUE"""),0.0)</f>
        <v>0</v>
      </c>
      <c r="Y80" s="41">
        <f>IFERROR(__xludf.DUMMYFUNCTION("""COMPUTED_VALUE"""),7.0)</f>
        <v>7</v>
      </c>
      <c r="Z80" s="197">
        <f>IFERROR(__xludf.DUMMYFUNCTION("""COMPUTED_VALUE"""),7.0)</f>
        <v>7</v>
      </c>
      <c r="AA80" s="197">
        <f>IFERROR(__xludf.DUMMYFUNCTION("""COMPUTED_VALUE"""),0.0)</f>
        <v>0</v>
      </c>
      <c r="AB80" s="197">
        <f>IFERROR(__xludf.DUMMYFUNCTION("""COMPUTED_VALUE"""),0.0)</f>
        <v>0</v>
      </c>
      <c r="AC80" s="41">
        <f>IFERROR(__xludf.DUMMYFUNCTION("""COMPUTED_VALUE"""),7.0)</f>
        <v>7</v>
      </c>
      <c r="AD80" s="197">
        <f>IFERROR(__xludf.DUMMYFUNCTION("""COMPUTED_VALUE"""),7.0)</f>
        <v>7</v>
      </c>
      <c r="AE80" s="197">
        <f>IFERROR(__xludf.DUMMYFUNCTION("""COMPUTED_VALUE"""),0.0)</f>
        <v>0</v>
      </c>
      <c r="AF80" s="197">
        <f>IFERROR(__xludf.DUMMYFUNCTION("""COMPUTED_VALUE"""),0.0)</f>
        <v>0</v>
      </c>
      <c r="AG80" s="41">
        <f>IFERROR(__xludf.DUMMYFUNCTION("""COMPUTED_VALUE"""),0.0)</f>
        <v>0</v>
      </c>
      <c r="AH80" s="197">
        <f>IFERROR(__xludf.DUMMYFUNCTION("""COMPUTED_VALUE"""),0.0)</f>
        <v>0</v>
      </c>
      <c r="AI80" s="197">
        <f>IFERROR(__xludf.DUMMYFUNCTION("""COMPUTED_VALUE"""),0.0)</f>
        <v>0</v>
      </c>
      <c r="AJ80" s="197">
        <f>IFERROR(__xludf.DUMMYFUNCTION("""COMPUTED_VALUE"""),0.0)</f>
        <v>0</v>
      </c>
      <c r="AK80" s="41">
        <f>IFERROR(__xludf.DUMMYFUNCTION("""COMPUTED_VALUE"""),0.0)</f>
        <v>0</v>
      </c>
      <c r="AL80" s="197">
        <f>IFERROR(__xludf.DUMMYFUNCTION("""COMPUTED_VALUE"""),0.0)</f>
        <v>0</v>
      </c>
      <c r="AM80" s="197">
        <f>IFERROR(__xludf.DUMMYFUNCTION("""COMPUTED_VALUE"""),0.0)</f>
        <v>0</v>
      </c>
      <c r="AN80" s="197">
        <f>IFERROR(__xludf.DUMMYFUNCTION("""COMPUTED_VALUE"""),0.0)</f>
        <v>0</v>
      </c>
      <c r="AO80" s="41">
        <f>IFERROR(__xludf.DUMMYFUNCTION("""COMPUTED_VALUE"""),0.0)</f>
        <v>0</v>
      </c>
      <c r="AP80" s="197">
        <f>IFERROR(__xludf.DUMMYFUNCTION("""COMPUTED_VALUE"""),0.0)</f>
        <v>0</v>
      </c>
      <c r="AQ80" s="197">
        <f>IFERROR(__xludf.DUMMYFUNCTION("""COMPUTED_VALUE"""),0.0)</f>
        <v>0</v>
      </c>
      <c r="AR80" s="197">
        <f>IFERROR(__xludf.DUMMYFUNCTION("""COMPUTED_VALUE"""),0.0)</f>
        <v>0</v>
      </c>
      <c r="AS80" s="41">
        <f>IFERROR(__xludf.DUMMYFUNCTION("""COMPUTED_VALUE"""),0.0)</f>
        <v>0</v>
      </c>
      <c r="AT80" s="197">
        <f>IFERROR(__xludf.DUMMYFUNCTION("""COMPUTED_VALUE"""),0.0)</f>
        <v>0</v>
      </c>
      <c r="AU80" s="197">
        <f>IFERROR(__xludf.DUMMYFUNCTION("""COMPUTED_VALUE"""),0.0)</f>
        <v>0</v>
      </c>
      <c r="AV80" s="197">
        <f>IFERROR(__xludf.DUMMYFUNCTION("""COMPUTED_VALUE"""),0.0)</f>
        <v>0</v>
      </c>
      <c r="AW80" s="41">
        <f>IFERROR(__xludf.DUMMYFUNCTION("""COMPUTED_VALUE"""),0.0)</f>
        <v>0</v>
      </c>
      <c r="AX80" s="197">
        <f>IFERROR(__xludf.DUMMYFUNCTION("""COMPUTED_VALUE"""),0.0)</f>
        <v>0</v>
      </c>
      <c r="AY80" s="197">
        <f>IFERROR(__xludf.DUMMYFUNCTION("""COMPUTED_VALUE"""),0.0)</f>
        <v>0</v>
      </c>
      <c r="AZ80" s="198">
        <f>IFERROR(__xludf.DUMMYFUNCTION("""COMPUTED_VALUE"""),0.0)</f>
        <v>0</v>
      </c>
      <c r="BA80" s="34"/>
    </row>
    <row r="81" ht="15.75" customHeight="1">
      <c r="A81" s="29"/>
      <c r="B81" s="67" t="str">
        <f>IFERROR(__xludf.DUMMYFUNCTION("""COMPUTED_VALUE""")," + Bán kiên cố")</f>
        <v> + Bán kiên cố</v>
      </c>
      <c r="C81" s="31"/>
      <c r="D81" s="31" t="str">
        <f>IFERROR(__xludf.DUMMYFUNCTION("""COMPUTED_VALUE"""),"""")</f>
        <v>"</v>
      </c>
      <c r="E81" s="41">
        <f>IFERROR(__xludf.DUMMYFUNCTION("""COMPUTED_VALUE"""),0.0)</f>
        <v>0</v>
      </c>
      <c r="F81" s="197">
        <f>IFERROR(__xludf.DUMMYFUNCTION("""COMPUTED_VALUE"""),0.0)</f>
        <v>0</v>
      </c>
      <c r="G81" s="197">
        <f>IFERROR(__xludf.DUMMYFUNCTION("""COMPUTED_VALUE"""),0.0)</f>
        <v>0</v>
      </c>
      <c r="H81" s="197">
        <f>IFERROR(__xludf.DUMMYFUNCTION("""COMPUTED_VALUE"""),0.0)</f>
        <v>0</v>
      </c>
      <c r="I81" s="41">
        <f>IFERROR(__xludf.DUMMYFUNCTION("""COMPUTED_VALUE"""),0.0)</f>
        <v>0</v>
      </c>
      <c r="J81" s="197">
        <f>IFERROR(__xludf.DUMMYFUNCTION("""COMPUTED_VALUE"""),0.0)</f>
        <v>0</v>
      </c>
      <c r="K81" s="197">
        <f>IFERROR(__xludf.DUMMYFUNCTION("""COMPUTED_VALUE"""),0.0)</f>
        <v>0</v>
      </c>
      <c r="L81" s="197">
        <f>IFERROR(__xludf.DUMMYFUNCTION("""COMPUTED_VALUE"""),0.0)</f>
        <v>0</v>
      </c>
      <c r="M81" s="41">
        <f>IFERROR(__xludf.DUMMYFUNCTION("""COMPUTED_VALUE"""),0.0)</f>
        <v>0</v>
      </c>
      <c r="N81" s="197">
        <f>IFERROR(__xludf.DUMMYFUNCTION("""COMPUTED_VALUE"""),0.0)</f>
        <v>0</v>
      </c>
      <c r="O81" s="197">
        <f>IFERROR(__xludf.DUMMYFUNCTION("""COMPUTED_VALUE"""),0.0)</f>
        <v>0</v>
      </c>
      <c r="P81" s="197">
        <f>IFERROR(__xludf.DUMMYFUNCTION("""COMPUTED_VALUE"""),0.0)</f>
        <v>0</v>
      </c>
      <c r="Q81" s="41">
        <f>IFERROR(__xludf.DUMMYFUNCTION("""COMPUTED_VALUE"""),0.0)</f>
        <v>0</v>
      </c>
      <c r="R81" s="197">
        <f>IFERROR(__xludf.DUMMYFUNCTION("""COMPUTED_VALUE"""),0.0)</f>
        <v>0</v>
      </c>
      <c r="S81" s="197">
        <f>IFERROR(__xludf.DUMMYFUNCTION("""COMPUTED_VALUE"""),0.0)</f>
        <v>0</v>
      </c>
      <c r="T81" s="197">
        <f>IFERROR(__xludf.DUMMYFUNCTION("""COMPUTED_VALUE"""),0.0)</f>
        <v>0</v>
      </c>
      <c r="U81" s="41">
        <f>IFERROR(__xludf.DUMMYFUNCTION("""COMPUTED_VALUE"""),0.0)</f>
        <v>0</v>
      </c>
      <c r="V81" s="197">
        <f>IFERROR(__xludf.DUMMYFUNCTION("""COMPUTED_VALUE"""),0.0)</f>
        <v>0</v>
      </c>
      <c r="W81" s="197">
        <f>IFERROR(__xludf.DUMMYFUNCTION("""COMPUTED_VALUE"""),0.0)</f>
        <v>0</v>
      </c>
      <c r="X81" s="197">
        <f>IFERROR(__xludf.DUMMYFUNCTION("""COMPUTED_VALUE"""),0.0)</f>
        <v>0</v>
      </c>
      <c r="Y81" s="41">
        <f>IFERROR(__xludf.DUMMYFUNCTION("""COMPUTED_VALUE"""),0.0)</f>
        <v>0</v>
      </c>
      <c r="Z81" s="197">
        <f>IFERROR(__xludf.DUMMYFUNCTION("""COMPUTED_VALUE"""),0.0)</f>
        <v>0</v>
      </c>
      <c r="AA81" s="197">
        <f>IFERROR(__xludf.DUMMYFUNCTION("""COMPUTED_VALUE"""),0.0)</f>
        <v>0</v>
      </c>
      <c r="AB81" s="197">
        <f>IFERROR(__xludf.DUMMYFUNCTION("""COMPUTED_VALUE"""),0.0)</f>
        <v>0</v>
      </c>
      <c r="AC81" s="41">
        <f>IFERROR(__xludf.DUMMYFUNCTION("""COMPUTED_VALUE"""),0.0)</f>
        <v>0</v>
      </c>
      <c r="AD81" s="197">
        <f>IFERROR(__xludf.DUMMYFUNCTION("""COMPUTED_VALUE"""),0.0)</f>
        <v>0</v>
      </c>
      <c r="AE81" s="197">
        <f>IFERROR(__xludf.DUMMYFUNCTION("""COMPUTED_VALUE"""),0.0)</f>
        <v>0</v>
      </c>
      <c r="AF81" s="197">
        <f>IFERROR(__xludf.DUMMYFUNCTION("""COMPUTED_VALUE"""),0.0)</f>
        <v>0</v>
      </c>
      <c r="AG81" s="41">
        <f>IFERROR(__xludf.DUMMYFUNCTION("""COMPUTED_VALUE"""),0.0)</f>
        <v>0</v>
      </c>
      <c r="AH81" s="197">
        <f>IFERROR(__xludf.DUMMYFUNCTION("""COMPUTED_VALUE"""),0.0)</f>
        <v>0</v>
      </c>
      <c r="AI81" s="197">
        <f>IFERROR(__xludf.DUMMYFUNCTION("""COMPUTED_VALUE"""),0.0)</f>
        <v>0</v>
      </c>
      <c r="AJ81" s="197">
        <f>IFERROR(__xludf.DUMMYFUNCTION("""COMPUTED_VALUE"""),0.0)</f>
        <v>0</v>
      </c>
      <c r="AK81" s="41">
        <f>IFERROR(__xludf.DUMMYFUNCTION("""COMPUTED_VALUE"""),0.0)</f>
        <v>0</v>
      </c>
      <c r="AL81" s="197">
        <f>IFERROR(__xludf.DUMMYFUNCTION("""COMPUTED_VALUE"""),0.0)</f>
        <v>0</v>
      </c>
      <c r="AM81" s="197">
        <f>IFERROR(__xludf.DUMMYFUNCTION("""COMPUTED_VALUE"""),0.0)</f>
        <v>0</v>
      </c>
      <c r="AN81" s="197">
        <f>IFERROR(__xludf.DUMMYFUNCTION("""COMPUTED_VALUE"""),0.0)</f>
        <v>0</v>
      </c>
      <c r="AO81" s="41">
        <f>IFERROR(__xludf.DUMMYFUNCTION("""COMPUTED_VALUE"""),0.0)</f>
        <v>0</v>
      </c>
      <c r="AP81" s="197">
        <f>IFERROR(__xludf.DUMMYFUNCTION("""COMPUTED_VALUE"""),0.0)</f>
        <v>0</v>
      </c>
      <c r="AQ81" s="197">
        <f>IFERROR(__xludf.DUMMYFUNCTION("""COMPUTED_VALUE"""),0.0)</f>
        <v>0</v>
      </c>
      <c r="AR81" s="197">
        <f>IFERROR(__xludf.DUMMYFUNCTION("""COMPUTED_VALUE"""),0.0)</f>
        <v>0</v>
      </c>
      <c r="AS81" s="41">
        <f>IFERROR(__xludf.DUMMYFUNCTION("""COMPUTED_VALUE"""),0.0)</f>
        <v>0</v>
      </c>
      <c r="AT81" s="197">
        <f>IFERROR(__xludf.DUMMYFUNCTION("""COMPUTED_VALUE"""),0.0)</f>
        <v>0</v>
      </c>
      <c r="AU81" s="197">
        <f>IFERROR(__xludf.DUMMYFUNCTION("""COMPUTED_VALUE"""),0.0)</f>
        <v>0</v>
      </c>
      <c r="AV81" s="197">
        <f>IFERROR(__xludf.DUMMYFUNCTION("""COMPUTED_VALUE"""),0.0)</f>
        <v>0</v>
      </c>
      <c r="AW81" s="41">
        <f>IFERROR(__xludf.DUMMYFUNCTION("""COMPUTED_VALUE"""),0.0)</f>
        <v>0</v>
      </c>
      <c r="AX81" s="197">
        <f>IFERROR(__xludf.DUMMYFUNCTION("""COMPUTED_VALUE"""),0.0)</f>
        <v>0</v>
      </c>
      <c r="AY81" s="197">
        <f>IFERROR(__xludf.DUMMYFUNCTION("""COMPUTED_VALUE"""),0.0)</f>
        <v>0</v>
      </c>
      <c r="AZ81" s="198">
        <f>IFERROR(__xludf.DUMMYFUNCTION("""COMPUTED_VALUE"""),0.0)</f>
        <v>0</v>
      </c>
      <c r="BA81" s="34"/>
    </row>
    <row r="82" ht="15.75" customHeight="1">
      <c r="A82" s="29"/>
      <c r="B82" s="67" t="str">
        <f>IFERROR(__xludf.DUMMYFUNCTION("""COMPUTED_VALUE""")," + Tạm")</f>
        <v> + Tạm</v>
      </c>
      <c r="C82" s="31"/>
      <c r="D82" s="31" t="str">
        <f>IFERROR(__xludf.DUMMYFUNCTION("""COMPUTED_VALUE"""),"""")</f>
        <v>"</v>
      </c>
      <c r="E82" s="41">
        <f>IFERROR(__xludf.DUMMYFUNCTION("""COMPUTED_VALUE"""),1.0)</f>
        <v>1</v>
      </c>
      <c r="F82" s="197">
        <f>IFERROR(__xludf.DUMMYFUNCTION("""COMPUTED_VALUE"""),1.0)</f>
        <v>1</v>
      </c>
      <c r="G82" s="197">
        <f>IFERROR(__xludf.DUMMYFUNCTION("""COMPUTED_VALUE"""),0.0)</f>
        <v>0</v>
      </c>
      <c r="H82" s="197">
        <f>IFERROR(__xludf.DUMMYFUNCTION("""COMPUTED_VALUE"""),0.0)</f>
        <v>0</v>
      </c>
      <c r="I82" s="41">
        <f>IFERROR(__xludf.DUMMYFUNCTION("""COMPUTED_VALUE"""),0.0)</f>
        <v>0</v>
      </c>
      <c r="J82" s="197">
        <f>IFERROR(__xludf.DUMMYFUNCTION("""COMPUTED_VALUE"""),0.0)</f>
        <v>0</v>
      </c>
      <c r="K82" s="197">
        <f>IFERROR(__xludf.DUMMYFUNCTION("""COMPUTED_VALUE"""),0.0)</f>
        <v>0</v>
      </c>
      <c r="L82" s="197">
        <f>IFERROR(__xludf.DUMMYFUNCTION("""COMPUTED_VALUE"""),0.0)</f>
        <v>0</v>
      </c>
      <c r="M82" s="41">
        <f>IFERROR(__xludf.DUMMYFUNCTION("""COMPUTED_VALUE"""),0.0)</f>
        <v>0</v>
      </c>
      <c r="N82" s="197">
        <f>IFERROR(__xludf.DUMMYFUNCTION("""COMPUTED_VALUE"""),0.0)</f>
        <v>0</v>
      </c>
      <c r="O82" s="197">
        <f>IFERROR(__xludf.DUMMYFUNCTION("""COMPUTED_VALUE"""),0.0)</f>
        <v>0</v>
      </c>
      <c r="P82" s="197">
        <f>IFERROR(__xludf.DUMMYFUNCTION("""COMPUTED_VALUE"""),0.0)</f>
        <v>0</v>
      </c>
      <c r="Q82" s="41">
        <f>IFERROR(__xludf.DUMMYFUNCTION("""COMPUTED_VALUE"""),0.0)</f>
        <v>0</v>
      </c>
      <c r="R82" s="197">
        <f>IFERROR(__xludf.DUMMYFUNCTION("""COMPUTED_VALUE"""),0.0)</f>
        <v>0</v>
      </c>
      <c r="S82" s="197">
        <f>IFERROR(__xludf.DUMMYFUNCTION("""COMPUTED_VALUE"""),0.0)</f>
        <v>0</v>
      </c>
      <c r="T82" s="197">
        <f>IFERROR(__xludf.DUMMYFUNCTION("""COMPUTED_VALUE"""),0.0)</f>
        <v>0</v>
      </c>
      <c r="U82" s="41">
        <f>IFERROR(__xludf.DUMMYFUNCTION("""COMPUTED_VALUE"""),0.0)</f>
        <v>0</v>
      </c>
      <c r="V82" s="197">
        <f>IFERROR(__xludf.DUMMYFUNCTION("""COMPUTED_VALUE"""),0.0)</f>
        <v>0</v>
      </c>
      <c r="W82" s="197">
        <f>IFERROR(__xludf.DUMMYFUNCTION("""COMPUTED_VALUE"""),0.0)</f>
        <v>0</v>
      </c>
      <c r="X82" s="197">
        <f>IFERROR(__xludf.DUMMYFUNCTION("""COMPUTED_VALUE"""),0.0)</f>
        <v>0</v>
      </c>
      <c r="Y82" s="41">
        <f>IFERROR(__xludf.DUMMYFUNCTION("""COMPUTED_VALUE"""),0.0)</f>
        <v>0</v>
      </c>
      <c r="Z82" s="197">
        <f>IFERROR(__xludf.DUMMYFUNCTION("""COMPUTED_VALUE"""),0.0)</f>
        <v>0</v>
      </c>
      <c r="AA82" s="197">
        <f>IFERROR(__xludf.DUMMYFUNCTION("""COMPUTED_VALUE"""),0.0)</f>
        <v>0</v>
      </c>
      <c r="AB82" s="197">
        <f>IFERROR(__xludf.DUMMYFUNCTION("""COMPUTED_VALUE"""),0.0)</f>
        <v>0</v>
      </c>
      <c r="AC82" s="41">
        <f>IFERROR(__xludf.DUMMYFUNCTION("""COMPUTED_VALUE"""),0.0)</f>
        <v>0</v>
      </c>
      <c r="AD82" s="197">
        <f>IFERROR(__xludf.DUMMYFUNCTION("""COMPUTED_VALUE"""),0.0)</f>
        <v>0</v>
      </c>
      <c r="AE82" s="197">
        <f>IFERROR(__xludf.DUMMYFUNCTION("""COMPUTED_VALUE"""),0.0)</f>
        <v>0</v>
      </c>
      <c r="AF82" s="197">
        <f>IFERROR(__xludf.DUMMYFUNCTION("""COMPUTED_VALUE"""),0.0)</f>
        <v>0</v>
      </c>
      <c r="AG82" s="41">
        <f>IFERROR(__xludf.DUMMYFUNCTION("""COMPUTED_VALUE"""),0.0)</f>
        <v>0</v>
      </c>
      <c r="AH82" s="197">
        <f>IFERROR(__xludf.DUMMYFUNCTION("""COMPUTED_VALUE"""),0.0)</f>
        <v>0</v>
      </c>
      <c r="AI82" s="197">
        <f>IFERROR(__xludf.DUMMYFUNCTION("""COMPUTED_VALUE"""),0.0)</f>
        <v>0</v>
      </c>
      <c r="AJ82" s="197">
        <f>IFERROR(__xludf.DUMMYFUNCTION("""COMPUTED_VALUE"""),0.0)</f>
        <v>0</v>
      </c>
      <c r="AK82" s="41">
        <f>IFERROR(__xludf.DUMMYFUNCTION("""COMPUTED_VALUE"""),0.0)</f>
        <v>0</v>
      </c>
      <c r="AL82" s="197">
        <f>IFERROR(__xludf.DUMMYFUNCTION("""COMPUTED_VALUE"""),0.0)</f>
        <v>0</v>
      </c>
      <c r="AM82" s="197">
        <f>IFERROR(__xludf.DUMMYFUNCTION("""COMPUTED_VALUE"""),0.0)</f>
        <v>0</v>
      </c>
      <c r="AN82" s="197">
        <f>IFERROR(__xludf.DUMMYFUNCTION("""COMPUTED_VALUE"""),0.0)</f>
        <v>0</v>
      </c>
      <c r="AO82" s="41">
        <f>IFERROR(__xludf.DUMMYFUNCTION("""COMPUTED_VALUE"""),0.0)</f>
        <v>0</v>
      </c>
      <c r="AP82" s="197">
        <f>IFERROR(__xludf.DUMMYFUNCTION("""COMPUTED_VALUE"""),0.0)</f>
        <v>0</v>
      </c>
      <c r="AQ82" s="197">
        <f>IFERROR(__xludf.DUMMYFUNCTION("""COMPUTED_VALUE"""),0.0)</f>
        <v>0</v>
      </c>
      <c r="AR82" s="197">
        <f>IFERROR(__xludf.DUMMYFUNCTION("""COMPUTED_VALUE"""),0.0)</f>
        <v>0</v>
      </c>
      <c r="AS82" s="41">
        <f>IFERROR(__xludf.DUMMYFUNCTION("""COMPUTED_VALUE"""),0.0)</f>
        <v>0</v>
      </c>
      <c r="AT82" s="197">
        <f>IFERROR(__xludf.DUMMYFUNCTION("""COMPUTED_VALUE"""),0.0)</f>
        <v>0</v>
      </c>
      <c r="AU82" s="197">
        <f>IFERROR(__xludf.DUMMYFUNCTION("""COMPUTED_VALUE"""),0.0)</f>
        <v>0</v>
      </c>
      <c r="AV82" s="197">
        <f>IFERROR(__xludf.DUMMYFUNCTION("""COMPUTED_VALUE"""),0.0)</f>
        <v>0</v>
      </c>
      <c r="AW82" s="41">
        <f>IFERROR(__xludf.DUMMYFUNCTION("""COMPUTED_VALUE"""),0.0)</f>
        <v>0</v>
      </c>
      <c r="AX82" s="197">
        <f>IFERROR(__xludf.DUMMYFUNCTION("""COMPUTED_VALUE"""),0.0)</f>
        <v>0</v>
      </c>
      <c r="AY82" s="197">
        <f>IFERROR(__xludf.DUMMYFUNCTION("""COMPUTED_VALUE"""),0.0)</f>
        <v>0</v>
      </c>
      <c r="AZ82" s="198">
        <f>IFERROR(__xludf.DUMMYFUNCTION("""COMPUTED_VALUE"""),0.0)</f>
        <v>0</v>
      </c>
      <c r="BA82" s="34"/>
    </row>
    <row r="83" ht="15.75" customHeight="1">
      <c r="A83" s="29"/>
      <c r="B83" s="30" t="str">
        <f>IFERROR(__xludf.DUMMYFUNCTION("""COMPUTED_VALUE"""),"8. PHỔ CẬP THCS")</f>
        <v>8. PHỔ CẬP THCS</v>
      </c>
      <c r="C83" s="31" t="str">
        <f>IFERROR(__xludf.DUMMYFUNCTION("""COMPUTED_VALUE"""),"Quí")</f>
        <v>Quí</v>
      </c>
      <c r="D83" s="31" t="str">
        <f>IFERROR(__xludf.DUMMYFUNCTION("""COMPUTED_VALUE"""),"Người")</f>
        <v>Người</v>
      </c>
      <c r="E83" s="42">
        <f>IFERROR(__xludf.DUMMYFUNCTION("""COMPUTED_VALUE"""),2652.0)</f>
        <v>2652</v>
      </c>
      <c r="F83" s="221" t="str">
        <f>IFERROR(__xludf.DUMMYFUNCTION("""COMPUTED_VALUE"""),"X")</f>
        <v>X</v>
      </c>
      <c r="G83" s="221" t="str">
        <f>IFERROR(__xludf.DUMMYFUNCTION("""COMPUTED_VALUE"""),"X")</f>
        <v>X</v>
      </c>
      <c r="H83" s="221" t="str">
        <f>IFERROR(__xludf.DUMMYFUNCTION("""COMPUTED_VALUE"""),"X")</f>
        <v>X</v>
      </c>
      <c r="I83" s="42">
        <f>IFERROR(__xludf.DUMMYFUNCTION("""COMPUTED_VALUE"""),1800.0)</f>
        <v>1800</v>
      </c>
      <c r="J83" s="221" t="str">
        <f>IFERROR(__xludf.DUMMYFUNCTION("""COMPUTED_VALUE"""),"X")</f>
        <v>X</v>
      </c>
      <c r="K83" s="221" t="str">
        <f>IFERROR(__xludf.DUMMYFUNCTION("""COMPUTED_VALUE"""),"X")</f>
        <v>X</v>
      </c>
      <c r="L83" s="221" t="str">
        <f>IFERROR(__xludf.DUMMYFUNCTION("""COMPUTED_VALUE"""),"X")</f>
        <v>X</v>
      </c>
      <c r="M83" s="42">
        <f>IFERROR(__xludf.DUMMYFUNCTION("""COMPUTED_VALUE"""),1697.0)</f>
        <v>1697</v>
      </c>
      <c r="N83" s="221" t="str">
        <f>IFERROR(__xludf.DUMMYFUNCTION("""COMPUTED_VALUE"""),"X")</f>
        <v>X</v>
      </c>
      <c r="O83" s="221" t="str">
        <f>IFERROR(__xludf.DUMMYFUNCTION("""COMPUTED_VALUE"""),"X")</f>
        <v>X</v>
      </c>
      <c r="P83" s="221" t="str">
        <f>IFERROR(__xludf.DUMMYFUNCTION("""COMPUTED_VALUE"""),"X")</f>
        <v>X</v>
      </c>
      <c r="Q83" s="42">
        <f>IFERROR(__xludf.DUMMYFUNCTION("""COMPUTED_VALUE"""),1525.0)</f>
        <v>1525</v>
      </c>
      <c r="R83" s="221" t="str">
        <f>IFERROR(__xludf.DUMMYFUNCTION("""COMPUTED_VALUE"""),"X")</f>
        <v>X</v>
      </c>
      <c r="S83" s="221" t="str">
        <f>IFERROR(__xludf.DUMMYFUNCTION("""COMPUTED_VALUE"""),"X")</f>
        <v>X</v>
      </c>
      <c r="T83" s="221" t="str">
        <f>IFERROR(__xludf.DUMMYFUNCTION("""COMPUTED_VALUE"""),"X")</f>
        <v>X</v>
      </c>
      <c r="U83" s="42">
        <f>IFERROR(__xludf.DUMMYFUNCTION("""COMPUTED_VALUE"""),1527.0)</f>
        <v>1527</v>
      </c>
      <c r="V83" s="221" t="str">
        <f>IFERROR(__xludf.DUMMYFUNCTION("""COMPUTED_VALUE"""),"X")</f>
        <v>X</v>
      </c>
      <c r="W83" s="221" t="str">
        <f>IFERROR(__xludf.DUMMYFUNCTION("""COMPUTED_VALUE"""),"X")</f>
        <v>X</v>
      </c>
      <c r="X83" s="221" t="str">
        <f>IFERROR(__xludf.DUMMYFUNCTION("""COMPUTED_VALUE"""),"X")</f>
        <v>X</v>
      </c>
      <c r="Y83" s="42">
        <f>IFERROR(__xludf.DUMMYFUNCTION("""COMPUTED_VALUE"""),1210.0)</f>
        <v>1210</v>
      </c>
      <c r="Z83" s="221" t="str">
        <f>IFERROR(__xludf.DUMMYFUNCTION("""COMPUTED_VALUE"""),"X")</f>
        <v>X</v>
      </c>
      <c r="AA83" s="221" t="str">
        <f>IFERROR(__xludf.DUMMYFUNCTION("""COMPUTED_VALUE"""),"X")</f>
        <v>X</v>
      </c>
      <c r="AB83" s="221" t="str">
        <f>IFERROR(__xludf.DUMMYFUNCTION("""COMPUTED_VALUE"""),"X")</f>
        <v>X</v>
      </c>
      <c r="AC83" s="42">
        <f>IFERROR(__xludf.DUMMYFUNCTION("""COMPUTED_VALUE"""),1210.0)</f>
        <v>1210</v>
      </c>
      <c r="AD83" s="221" t="str">
        <f>IFERROR(__xludf.DUMMYFUNCTION("""COMPUTED_VALUE"""),"X")</f>
        <v>X</v>
      </c>
      <c r="AE83" s="221" t="str">
        <f>IFERROR(__xludf.DUMMYFUNCTION("""COMPUTED_VALUE"""),"X")</f>
        <v>X</v>
      </c>
      <c r="AF83" s="221" t="str">
        <f>IFERROR(__xludf.DUMMYFUNCTION("""COMPUTED_VALUE"""),"X")</f>
        <v>X</v>
      </c>
      <c r="AG83" s="42">
        <f>IFERROR(__xludf.DUMMYFUNCTION("""COMPUTED_VALUE"""),0.0)</f>
        <v>0</v>
      </c>
      <c r="AH83" s="221" t="str">
        <f>IFERROR(__xludf.DUMMYFUNCTION("""COMPUTED_VALUE"""),"X")</f>
        <v>X</v>
      </c>
      <c r="AI83" s="221" t="str">
        <f>IFERROR(__xludf.DUMMYFUNCTION("""COMPUTED_VALUE"""),"X")</f>
        <v>X</v>
      </c>
      <c r="AJ83" s="221" t="str">
        <f>IFERROR(__xludf.DUMMYFUNCTION("""COMPUTED_VALUE"""),"X")</f>
        <v>X</v>
      </c>
      <c r="AK83" s="42">
        <f>IFERROR(__xludf.DUMMYFUNCTION("""COMPUTED_VALUE"""),0.0)</f>
        <v>0</v>
      </c>
      <c r="AL83" s="221" t="str">
        <f>IFERROR(__xludf.DUMMYFUNCTION("""COMPUTED_VALUE"""),"X")</f>
        <v>X</v>
      </c>
      <c r="AM83" s="221" t="str">
        <f>IFERROR(__xludf.DUMMYFUNCTION("""COMPUTED_VALUE"""),"X")</f>
        <v>X</v>
      </c>
      <c r="AN83" s="221" t="str">
        <f>IFERROR(__xludf.DUMMYFUNCTION("""COMPUTED_VALUE"""),"X")</f>
        <v>X</v>
      </c>
      <c r="AO83" s="42">
        <f>IFERROR(__xludf.DUMMYFUNCTION("""COMPUTED_VALUE"""),0.0)</f>
        <v>0</v>
      </c>
      <c r="AP83" s="221" t="str">
        <f>IFERROR(__xludf.DUMMYFUNCTION("""COMPUTED_VALUE"""),"X")</f>
        <v>X</v>
      </c>
      <c r="AQ83" s="221" t="str">
        <f>IFERROR(__xludf.DUMMYFUNCTION("""COMPUTED_VALUE"""),"X")</f>
        <v>X</v>
      </c>
      <c r="AR83" s="221" t="str">
        <f>IFERROR(__xludf.DUMMYFUNCTION("""COMPUTED_VALUE"""),"X")</f>
        <v>X</v>
      </c>
      <c r="AS83" s="42">
        <f>IFERROR(__xludf.DUMMYFUNCTION("""COMPUTED_VALUE"""),0.0)</f>
        <v>0</v>
      </c>
      <c r="AT83" s="221" t="str">
        <f>IFERROR(__xludf.DUMMYFUNCTION("""COMPUTED_VALUE"""),"X")</f>
        <v>X</v>
      </c>
      <c r="AU83" s="221" t="str">
        <f>IFERROR(__xludf.DUMMYFUNCTION("""COMPUTED_VALUE"""),"X")</f>
        <v>X</v>
      </c>
      <c r="AV83" s="221" t="str">
        <f>IFERROR(__xludf.DUMMYFUNCTION("""COMPUTED_VALUE"""),"X")</f>
        <v>X</v>
      </c>
      <c r="AW83" s="42">
        <f>IFERROR(__xludf.DUMMYFUNCTION("""COMPUTED_VALUE"""),0.0)</f>
        <v>0</v>
      </c>
      <c r="AX83" s="221" t="str">
        <f>IFERROR(__xludf.DUMMYFUNCTION("""COMPUTED_VALUE"""),"X")</f>
        <v>X</v>
      </c>
      <c r="AY83" s="221" t="str">
        <f>IFERROR(__xludf.DUMMYFUNCTION("""COMPUTED_VALUE"""),"X")</f>
        <v>X</v>
      </c>
      <c r="AZ83" s="222" t="str">
        <f>IFERROR(__xludf.DUMMYFUNCTION("""COMPUTED_VALUE"""),"X")</f>
        <v>X</v>
      </c>
      <c r="BA83" s="34"/>
    </row>
    <row r="84" ht="15.75" customHeight="1">
      <c r="A84" s="29"/>
      <c r="B84" s="30" t="str">
        <f>IFERROR(__xludf.DUMMYFUNCTION("""COMPUTED_VALUE"""),"9. TỈ LỆ XÃ ĐẠT CHUẨN PC THCS")</f>
        <v>9. TỈ LỆ XÃ ĐẠT CHUẨN PC THCS</v>
      </c>
      <c r="C84" s="31" t="str">
        <f>IFERROR(__xludf.DUMMYFUNCTION("""COMPUTED_VALUE"""),"Quí")</f>
        <v>Quí</v>
      </c>
      <c r="D84" s="31" t="str">
        <f>IFERROR(__xludf.DUMMYFUNCTION("""COMPUTED_VALUE"""),"%")</f>
        <v>%</v>
      </c>
      <c r="E84" s="228">
        <f>IFERROR(__xludf.DUMMYFUNCTION("""COMPUTED_VALUE"""),700.0)</f>
        <v>700</v>
      </c>
      <c r="F84" s="116" t="str">
        <f>IFERROR(__xludf.DUMMYFUNCTION("""COMPUTED_VALUE"""),"X")</f>
        <v>X</v>
      </c>
      <c r="G84" s="116" t="str">
        <f>IFERROR(__xludf.DUMMYFUNCTION("""COMPUTED_VALUE"""),"X")</f>
        <v>X</v>
      </c>
      <c r="H84" s="116" t="str">
        <f>IFERROR(__xludf.DUMMYFUNCTION("""COMPUTED_VALUE"""),"X")</f>
        <v>X</v>
      </c>
      <c r="I84" s="228">
        <f>IFERROR(__xludf.DUMMYFUNCTION("""COMPUTED_VALUE"""),600.0)</f>
        <v>600</v>
      </c>
      <c r="J84" s="116" t="str">
        <f>IFERROR(__xludf.DUMMYFUNCTION("""COMPUTED_VALUE"""),"X")</f>
        <v>X</v>
      </c>
      <c r="K84" s="116" t="str">
        <f>IFERROR(__xludf.DUMMYFUNCTION("""COMPUTED_VALUE"""),"X")</f>
        <v>X</v>
      </c>
      <c r="L84" s="116" t="str">
        <f>IFERROR(__xludf.DUMMYFUNCTION("""COMPUTED_VALUE"""),"X")</f>
        <v>X</v>
      </c>
      <c r="M84" s="228">
        <f>IFERROR(__xludf.DUMMYFUNCTION("""COMPUTED_VALUE"""),500.0)</f>
        <v>500</v>
      </c>
      <c r="N84" s="116" t="str">
        <f>IFERROR(__xludf.DUMMYFUNCTION("""COMPUTED_VALUE"""),"X")</f>
        <v>X</v>
      </c>
      <c r="O84" s="116" t="str">
        <f>IFERROR(__xludf.DUMMYFUNCTION("""COMPUTED_VALUE"""),"X")</f>
        <v>X</v>
      </c>
      <c r="P84" s="116" t="str">
        <f>IFERROR(__xludf.DUMMYFUNCTION("""COMPUTED_VALUE"""),"X")</f>
        <v>X</v>
      </c>
      <c r="Q84" s="228">
        <f>IFERROR(__xludf.DUMMYFUNCTION("""COMPUTED_VALUE"""),486.0)</f>
        <v>486</v>
      </c>
      <c r="R84" s="116" t="str">
        <f>IFERROR(__xludf.DUMMYFUNCTION("""COMPUTED_VALUE"""),"X")</f>
        <v>X</v>
      </c>
      <c r="S84" s="116" t="str">
        <f>IFERROR(__xludf.DUMMYFUNCTION("""COMPUTED_VALUE"""),"X")</f>
        <v>X</v>
      </c>
      <c r="T84" s="116" t="str">
        <f>IFERROR(__xludf.DUMMYFUNCTION("""COMPUTED_VALUE"""),"X")</f>
        <v>X</v>
      </c>
      <c r="U84" s="228">
        <f>IFERROR(__xludf.DUMMYFUNCTION("""COMPUTED_VALUE"""),486.0)</f>
        <v>486</v>
      </c>
      <c r="V84" s="116" t="str">
        <f>IFERROR(__xludf.DUMMYFUNCTION("""COMPUTED_VALUE"""),"X")</f>
        <v>X</v>
      </c>
      <c r="W84" s="116" t="str">
        <f>IFERROR(__xludf.DUMMYFUNCTION("""COMPUTED_VALUE"""),"X")</f>
        <v>X</v>
      </c>
      <c r="X84" s="116" t="str">
        <f>IFERROR(__xludf.DUMMYFUNCTION("""COMPUTED_VALUE"""),"X")</f>
        <v>X</v>
      </c>
      <c r="Y84" s="228">
        <f>IFERROR(__xludf.DUMMYFUNCTION("""COMPUTED_VALUE"""),200.0)</f>
        <v>200</v>
      </c>
      <c r="Z84" s="116" t="str">
        <f>IFERROR(__xludf.DUMMYFUNCTION("""COMPUTED_VALUE"""),"X")</f>
        <v>X</v>
      </c>
      <c r="AA84" s="116" t="str">
        <f>IFERROR(__xludf.DUMMYFUNCTION("""COMPUTED_VALUE"""),"X")</f>
        <v>X</v>
      </c>
      <c r="AB84" s="116" t="str">
        <f>IFERROR(__xludf.DUMMYFUNCTION("""COMPUTED_VALUE"""),"X")</f>
        <v>X</v>
      </c>
      <c r="AC84" s="228">
        <f>IFERROR(__xludf.DUMMYFUNCTION("""COMPUTED_VALUE"""),200.0)</f>
        <v>200</v>
      </c>
      <c r="AD84" s="116" t="str">
        <f>IFERROR(__xludf.DUMMYFUNCTION("""COMPUTED_VALUE"""),"X")</f>
        <v>X</v>
      </c>
      <c r="AE84" s="116" t="str">
        <f>IFERROR(__xludf.DUMMYFUNCTION("""COMPUTED_VALUE"""),"X")</f>
        <v>X</v>
      </c>
      <c r="AF84" s="116" t="str">
        <f>IFERROR(__xludf.DUMMYFUNCTION("""COMPUTED_VALUE"""),"X")</f>
        <v>X</v>
      </c>
      <c r="AG84" s="228">
        <f>IFERROR(__xludf.DUMMYFUNCTION("""COMPUTED_VALUE"""),0.0)</f>
        <v>0</v>
      </c>
      <c r="AH84" s="116" t="str">
        <f>IFERROR(__xludf.DUMMYFUNCTION("""COMPUTED_VALUE"""),"X")</f>
        <v>X</v>
      </c>
      <c r="AI84" s="116" t="str">
        <f>IFERROR(__xludf.DUMMYFUNCTION("""COMPUTED_VALUE"""),"X")</f>
        <v>X</v>
      </c>
      <c r="AJ84" s="116" t="str">
        <f>IFERROR(__xludf.DUMMYFUNCTION("""COMPUTED_VALUE"""),"X")</f>
        <v>X</v>
      </c>
      <c r="AK84" s="228">
        <f>IFERROR(__xludf.DUMMYFUNCTION("""COMPUTED_VALUE"""),0.0)</f>
        <v>0</v>
      </c>
      <c r="AL84" s="116" t="str">
        <f>IFERROR(__xludf.DUMMYFUNCTION("""COMPUTED_VALUE"""),"X")</f>
        <v>X</v>
      </c>
      <c r="AM84" s="116" t="str">
        <f>IFERROR(__xludf.DUMMYFUNCTION("""COMPUTED_VALUE"""),"X")</f>
        <v>X</v>
      </c>
      <c r="AN84" s="116" t="str">
        <f>IFERROR(__xludf.DUMMYFUNCTION("""COMPUTED_VALUE"""),"X")</f>
        <v>X</v>
      </c>
      <c r="AO84" s="228">
        <f>IFERROR(__xludf.DUMMYFUNCTION("""COMPUTED_VALUE"""),0.0)</f>
        <v>0</v>
      </c>
      <c r="AP84" s="116" t="str">
        <f>IFERROR(__xludf.DUMMYFUNCTION("""COMPUTED_VALUE"""),"X")</f>
        <v>X</v>
      </c>
      <c r="AQ84" s="116" t="str">
        <f>IFERROR(__xludf.DUMMYFUNCTION("""COMPUTED_VALUE"""),"X")</f>
        <v>X</v>
      </c>
      <c r="AR84" s="116" t="str">
        <f>IFERROR(__xludf.DUMMYFUNCTION("""COMPUTED_VALUE"""),"X")</f>
        <v>X</v>
      </c>
      <c r="AS84" s="228">
        <f>IFERROR(__xludf.DUMMYFUNCTION("""COMPUTED_VALUE"""),0.0)</f>
        <v>0</v>
      </c>
      <c r="AT84" s="116" t="str">
        <f>IFERROR(__xludf.DUMMYFUNCTION("""COMPUTED_VALUE"""),"X")</f>
        <v>X</v>
      </c>
      <c r="AU84" s="116" t="str">
        <f>IFERROR(__xludf.DUMMYFUNCTION("""COMPUTED_VALUE"""),"X")</f>
        <v>X</v>
      </c>
      <c r="AV84" s="116" t="str">
        <f>IFERROR(__xludf.DUMMYFUNCTION("""COMPUTED_VALUE"""),"X")</f>
        <v>X</v>
      </c>
      <c r="AW84" s="228">
        <f>IFERROR(__xludf.DUMMYFUNCTION("""COMPUTED_VALUE"""),0.0)</f>
        <v>0</v>
      </c>
      <c r="AX84" s="116" t="str">
        <f>IFERROR(__xludf.DUMMYFUNCTION("""COMPUTED_VALUE"""),"X")</f>
        <v>X</v>
      </c>
      <c r="AY84" s="116" t="str">
        <f>IFERROR(__xludf.DUMMYFUNCTION("""COMPUTED_VALUE"""),"X")</f>
        <v>X</v>
      </c>
      <c r="AZ84" s="117" t="str">
        <f>IFERROR(__xludf.DUMMYFUNCTION("""COMPUTED_VALUE"""),"X")</f>
        <v>X</v>
      </c>
      <c r="BA84" s="34"/>
    </row>
    <row r="85" ht="15.75" customHeight="1">
      <c r="A85" s="29"/>
      <c r="B85" s="30" t="str">
        <f>IFERROR(__xludf.DUMMYFUNCTION("""COMPUTED_VALUE"""),"10. XOÁ MÙ CHỮ (15 đến 60 tuổi)")</f>
        <v>10. XOÁ MÙ CHỮ (15 đến 60 tuổi)</v>
      </c>
      <c r="C85" s="31" t="str">
        <f>IFERROR(__xludf.DUMMYFUNCTION("""COMPUTED_VALUE"""),"Quí")</f>
        <v>Quí</v>
      </c>
      <c r="D85" s="31" t="str">
        <f>IFERROR(__xludf.DUMMYFUNCTION("""COMPUTED_VALUE"""),"Người")</f>
        <v>Người</v>
      </c>
      <c r="E85" s="42">
        <f>IFERROR(__xludf.DUMMYFUNCTION("""COMPUTED_VALUE"""),17361.0)</f>
        <v>17361</v>
      </c>
      <c r="F85" s="221" t="str">
        <f>IFERROR(__xludf.DUMMYFUNCTION("""COMPUTED_VALUE"""),"X")</f>
        <v>X</v>
      </c>
      <c r="G85" s="221" t="str">
        <f>IFERROR(__xludf.DUMMYFUNCTION("""COMPUTED_VALUE"""),"X")</f>
        <v>X</v>
      </c>
      <c r="H85" s="221" t="str">
        <f>IFERROR(__xludf.DUMMYFUNCTION("""COMPUTED_VALUE"""),"X")</f>
        <v>X</v>
      </c>
      <c r="I85" s="42">
        <f>IFERROR(__xludf.DUMMYFUNCTION("""COMPUTED_VALUE"""),6049.0)</f>
        <v>6049</v>
      </c>
      <c r="J85" s="221" t="str">
        <f>IFERROR(__xludf.DUMMYFUNCTION("""COMPUTED_VALUE"""),"X")</f>
        <v>X</v>
      </c>
      <c r="K85" s="221" t="str">
        <f>IFERROR(__xludf.DUMMYFUNCTION("""COMPUTED_VALUE"""),"X")</f>
        <v>X</v>
      </c>
      <c r="L85" s="221" t="str">
        <f>IFERROR(__xludf.DUMMYFUNCTION("""COMPUTED_VALUE"""),"X")</f>
        <v>X</v>
      </c>
      <c r="M85" s="42">
        <f>IFERROR(__xludf.DUMMYFUNCTION("""COMPUTED_VALUE"""),610.0)</f>
        <v>610</v>
      </c>
      <c r="N85" s="221" t="str">
        <f>IFERROR(__xludf.DUMMYFUNCTION("""COMPUTED_VALUE"""),"X")</f>
        <v>X</v>
      </c>
      <c r="O85" s="221" t="str">
        <f>IFERROR(__xludf.DUMMYFUNCTION("""COMPUTED_VALUE"""),"X")</f>
        <v>X</v>
      </c>
      <c r="P85" s="221" t="str">
        <f>IFERROR(__xludf.DUMMYFUNCTION("""COMPUTED_VALUE"""),"X")</f>
        <v>X</v>
      </c>
      <c r="Q85" s="42">
        <f>IFERROR(__xludf.DUMMYFUNCTION("""COMPUTED_VALUE"""),520.0)</f>
        <v>520</v>
      </c>
      <c r="R85" s="221" t="str">
        <f>IFERROR(__xludf.DUMMYFUNCTION("""COMPUTED_VALUE"""),"X")</f>
        <v>X</v>
      </c>
      <c r="S85" s="221" t="str">
        <f>IFERROR(__xludf.DUMMYFUNCTION("""COMPUTED_VALUE"""),"X")</f>
        <v>X</v>
      </c>
      <c r="T85" s="221" t="str">
        <f>IFERROR(__xludf.DUMMYFUNCTION("""COMPUTED_VALUE"""),"X")</f>
        <v>X</v>
      </c>
      <c r="U85" s="42">
        <f>IFERROR(__xludf.DUMMYFUNCTION("""COMPUTED_VALUE"""),528.0)</f>
        <v>528</v>
      </c>
      <c r="V85" s="221" t="str">
        <f>IFERROR(__xludf.DUMMYFUNCTION("""COMPUTED_VALUE"""),"X")</f>
        <v>X</v>
      </c>
      <c r="W85" s="221" t="str">
        <f>IFERROR(__xludf.DUMMYFUNCTION("""COMPUTED_VALUE"""),"X")</f>
        <v>X</v>
      </c>
      <c r="X85" s="221" t="str">
        <f>IFERROR(__xludf.DUMMYFUNCTION("""COMPUTED_VALUE"""),"X")</f>
        <v>X</v>
      </c>
      <c r="Y85" s="42">
        <f>IFERROR(__xludf.DUMMYFUNCTION("""COMPUTED_VALUE"""),99.0)</f>
        <v>99</v>
      </c>
      <c r="Z85" s="221" t="str">
        <f>IFERROR(__xludf.DUMMYFUNCTION("""COMPUTED_VALUE"""),"X")</f>
        <v>X</v>
      </c>
      <c r="AA85" s="221" t="str">
        <f>IFERROR(__xludf.DUMMYFUNCTION("""COMPUTED_VALUE"""),"X")</f>
        <v>X</v>
      </c>
      <c r="AB85" s="221" t="str">
        <f>IFERROR(__xludf.DUMMYFUNCTION("""COMPUTED_VALUE"""),"X")</f>
        <v>X</v>
      </c>
      <c r="AC85" s="42">
        <f>IFERROR(__xludf.DUMMYFUNCTION("""COMPUTED_VALUE"""),48.0)</f>
        <v>48</v>
      </c>
      <c r="AD85" s="221" t="str">
        <f>IFERROR(__xludf.DUMMYFUNCTION("""COMPUTED_VALUE"""),"X")</f>
        <v>X</v>
      </c>
      <c r="AE85" s="221" t="str">
        <f>IFERROR(__xludf.DUMMYFUNCTION("""COMPUTED_VALUE"""),"X")</f>
        <v>X</v>
      </c>
      <c r="AF85" s="221" t="str">
        <f>IFERROR(__xludf.DUMMYFUNCTION("""COMPUTED_VALUE"""),"X")</f>
        <v>X</v>
      </c>
      <c r="AG85" s="42">
        <f>IFERROR(__xludf.DUMMYFUNCTION("""COMPUTED_VALUE"""),0.0)</f>
        <v>0</v>
      </c>
      <c r="AH85" s="221" t="str">
        <f>IFERROR(__xludf.DUMMYFUNCTION("""COMPUTED_VALUE"""),"X")</f>
        <v>X</v>
      </c>
      <c r="AI85" s="221" t="str">
        <f>IFERROR(__xludf.DUMMYFUNCTION("""COMPUTED_VALUE"""),"X")</f>
        <v>X</v>
      </c>
      <c r="AJ85" s="221" t="str">
        <f>IFERROR(__xludf.DUMMYFUNCTION("""COMPUTED_VALUE"""),"X")</f>
        <v>X</v>
      </c>
      <c r="AK85" s="42">
        <f>IFERROR(__xludf.DUMMYFUNCTION("""COMPUTED_VALUE"""),0.0)</f>
        <v>0</v>
      </c>
      <c r="AL85" s="221" t="str">
        <f>IFERROR(__xludf.DUMMYFUNCTION("""COMPUTED_VALUE"""),"X")</f>
        <v>X</v>
      </c>
      <c r="AM85" s="221" t="str">
        <f>IFERROR(__xludf.DUMMYFUNCTION("""COMPUTED_VALUE"""),"X")</f>
        <v>X</v>
      </c>
      <c r="AN85" s="221" t="str">
        <f>IFERROR(__xludf.DUMMYFUNCTION("""COMPUTED_VALUE"""),"X")</f>
        <v>X</v>
      </c>
      <c r="AO85" s="42">
        <f>IFERROR(__xludf.DUMMYFUNCTION("""COMPUTED_VALUE"""),0.0)</f>
        <v>0</v>
      </c>
      <c r="AP85" s="221" t="str">
        <f>IFERROR(__xludf.DUMMYFUNCTION("""COMPUTED_VALUE"""),"X")</f>
        <v>X</v>
      </c>
      <c r="AQ85" s="221" t="str">
        <f>IFERROR(__xludf.DUMMYFUNCTION("""COMPUTED_VALUE"""),"X")</f>
        <v>X</v>
      </c>
      <c r="AR85" s="221" t="str">
        <f>IFERROR(__xludf.DUMMYFUNCTION("""COMPUTED_VALUE"""),"X")</f>
        <v>X</v>
      </c>
      <c r="AS85" s="42">
        <f>IFERROR(__xludf.DUMMYFUNCTION("""COMPUTED_VALUE"""),0.0)</f>
        <v>0</v>
      </c>
      <c r="AT85" s="221" t="str">
        <f>IFERROR(__xludf.DUMMYFUNCTION("""COMPUTED_VALUE"""),"X")</f>
        <v>X</v>
      </c>
      <c r="AU85" s="221" t="str">
        <f>IFERROR(__xludf.DUMMYFUNCTION("""COMPUTED_VALUE"""),"X")</f>
        <v>X</v>
      </c>
      <c r="AV85" s="221" t="str">
        <f>IFERROR(__xludf.DUMMYFUNCTION("""COMPUTED_VALUE"""),"X")</f>
        <v>X</v>
      </c>
      <c r="AW85" s="42">
        <f>IFERROR(__xludf.DUMMYFUNCTION("""COMPUTED_VALUE"""),0.0)</f>
        <v>0</v>
      </c>
      <c r="AX85" s="221" t="str">
        <f>IFERROR(__xludf.DUMMYFUNCTION("""COMPUTED_VALUE"""),"X")</f>
        <v>X</v>
      </c>
      <c r="AY85" s="221" t="str">
        <f>IFERROR(__xludf.DUMMYFUNCTION("""COMPUTED_VALUE"""),"X")</f>
        <v>X</v>
      </c>
      <c r="AZ85" s="222" t="str">
        <f>IFERROR(__xludf.DUMMYFUNCTION("""COMPUTED_VALUE"""),"X")</f>
        <v>X</v>
      </c>
      <c r="BA85" s="34"/>
    </row>
    <row r="86" ht="11.25" customHeight="1">
      <c r="A86" s="29"/>
      <c r="B86" s="229"/>
      <c r="C86" s="230"/>
      <c r="D86" s="230"/>
      <c r="E86" s="231"/>
      <c r="F86" s="232"/>
      <c r="G86" s="232"/>
      <c r="H86" s="232"/>
      <c r="I86" s="231"/>
      <c r="J86" s="232"/>
      <c r="K86" s="232"/>
      <c r="L86" s="232"/>
      <c r="M86" s="231"/>
      <c r="N86" s="232"/>
      <c r="O86" s="232"/>
      <c r="P86" s="232"/>
      <c r="Q86" s="231"/>
      <c r="R86" s="232"/>
      <c r="S86" s="232"/>
      <c r="T86" s="232"/>
      <c r="U86" s="231"/>
      <c r="V86" s="232"/>
      <c r="W86" s="232"/>
      <c r="X86" s="232"/>
      <c r="Y86" s="231"/>
      <c r="Z86" s="232"/>
      <c r="AA86" s="232"/>
      <c r="AB86" s="232"/>
      <c r="AC86" s="231"/>
      <c r="AD86" s="232"/>
      <c r="AE86" s="232"/>
      <c r="AF86" s="232"/>
      <c r="AG86" s="231"/>
      <c r="AH86" s="232"/>
      <c r="AI86" s="232"/>
      <c r="AJ86" s="232"/>
      <c r="AK86" s="231"/>
      <c r="AL86" s="232"/>
      <c r="AM86" s="232"/>
      <c r="AN86" s="232"/>
      <c r="AO86" s="231"/>
      <c r="AP86" s="232"/>
      <c r="AQ86" s="232"/>
      <c r="AR86" s="232"/>
      <c r="AS86" s="231"/>
      <c r="AT86" s="232"/>
      <c r="AU86" s="232"/>
      <c r="AV86" s="232"/>
      <c r="AW86" s="231"/>
      <c r="AX86" s="232"/>
      <c r="AY86" s="232"/>
      <c r="AZ86" s="233"/>
      <c r="BA86" s="34"/>
    </row>
    <row r="87" ht="13.5" customHeight="1">
      <c r="A87" s="1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"/>
    </row>
    <row r="88" ht="18.75" hidden="1" customHeight="1">
      <c r="A88" s="207"/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07"/>
      <c r="AF88" s="207"/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</row>
    <row r="89" ht="18.75" hidden="1" customHeight="1">
      <c r="A89" s="207"/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</row>
    <row r="90" ht="18.75" hidden="1" customHeight="1">
      <c r="A90" s="207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</row>
    <row r="91" ht="18.75" hidden="1" customHeight="1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</row>
    <row r="92" ht="18.75" hidden="1" customHeight="1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</row>
    <row r="93" ht="18.75" hidden="1" customHeight="1">
      <c r="A93" s="207"/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</row>
    <row r="94" ht="18.75" hidden="1" customHeight="1">
      <c r="A94" s="207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</row>
    <row r="95" ht="18.75" hidden="1" customHeight="1">
      <c r="A95" s="207"/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</row>
    <row r="96" ht="18.75" hidden="1" customHeight="1">
      <c r="A96" s="207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</row>
    <row r="97" ht="18.75" hidden="1" customHeight="1">
      <c r="A97" s="207"/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</row>
    <row r="98" ht="18.75" hidden="1" customHeight="1">
      <c r="A98" s="207"/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</row>
    <row r="99" ht="18.75" hidden="1" customHeight="1">
      <c r="A99" s="207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</row>
    <row r="100" ht="18.75" hidden="1" customHeight="1">
      <c r="A100" s="207"/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</row>
    <row r="101" ht="18.75" hidden="1" customHeight="1">
      <c r="A101" s="207"/>
      <c r="B101" s="207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</row>
    <row r="102" ht="18.75" hidden="1" customHeight="1">
      <c r="A102" s="207"/>
      <c r="B102" s="207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</row>
    <row r="103" ht="18.75" hidden="1" customHeight="1">
      <c r="A103" s="207"/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</row>
    <row r="104" ht="18.75" hidden="1" customHeight="1">
      <c r="A104" s="207"/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</row>
    <row r="105" ht="18.75" hidden="1" customHeight="1">
      <c r="A105" s="207"/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</row>
    <row r="106" ht="18.75" hidden="1" customHeight="1">
      <c r="A106" s="207"/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</row>
    <row r="107" ht="18.75" hidden="1" customHeight="1">
      <c r="A107" s="207"/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</row>
    <row r="108" ht="18.75" hidden="1" customHeight="1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</row>
    <row r="109" ht="18.75" hidden="1" customHeight="1">
      <c r="A109" s="207"/>
      <c r="B109" s="207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</row>
    <row r="110" ht="18.75" hidden="1" customHeight="1">
      <c r="A110" s="207"/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</row>
    <row r="111" ht="18.75" hidden="1" customHeight="1">
      <c r="A111" s="207"/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</row>
    <row r="112" ht="18.75" hidden="1" customHeight="1">
      <c r="A112" s="207"/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</row>
    <row r="113" ht="18.75" hidden="1" customHeight="1">
      <c r="A113" s="207"/>
      <c r="B113" s="207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</row>
    <row r="114" ht="18.75" hidden="1" customHeight="1">
      <c r="A114" s="207"/>
      <c r="B114" s="207"/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</row>
    <row r="115" ht="18.75" hidden="1" customHeight="1">
      <c r="A115" s="207"/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</row>
    <row r="116" ht="18.75" hidden="1" customHeight="1">
      <c r="A116" s="207"/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</row>
    <row r="117" ht="18.75" hidden="1" customHeight="1">
      <c r="A117" s="207"/>
      <c r="B117" s="207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</row>
    <row r="118" ht="18.75" hidden="1" customHeight="1">
      <c r="A118" s="207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</row>
    <row r="119" ht="18.75" hidden="1" customHeight="1">
      <c r="A119" s="207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</row>
    <row r="120" ht="18.75" hidden="1" customHeight="1">
      <c r="A120" s="207"/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</row>
    <row r="121" ht="18.75" hidden="1" customHeight="1">
      <c r="A121" s="207"/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</row>
    <row r="122" ht="18.75" hidden="1" customHeight="1">
      <c r="A122" s="207"/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</row>
    <row r="123" ht="18.75" hidden="1" customHeight="1">
      <c r="A123" s="207"/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</row>
    <row r="124" ht="18.75" hidden="1" customHeight="1">
      <c r="A124" s="207"/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</row>
    <row r="125" ht="18.75" hidden="1" customHeight="1">
      <c r="A125" s="207"/>
      <c r="B125" s="207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</row>
    <row r="126" ht="18.75" hidden="1" customHeight="1">
      <c r="A126" s="207"/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</row>
    <row r="127" ht="18.75" hidden="1" customHeight="1">
      <c r="A127" s="207"/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</row>
    <row r="128" ht="18.75" hidden="1" customHeight="1">
      <c r="A128" s="207"/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</row>
    <row r="129" ht="18.75" hidden="1" customHeight="1">
      <c r="A129" s="207"/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</row>
    <row r="130" ht="18.75" hidden="1" customHeight="1">
      <c r="A130" s="207"/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</row>
    <row r="131" ht="18.75" hidden="1" customHeight="1">
      <c r="A131" s="207"/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</row>
    <row r="132" ht="18.75" hidden="1" customHeight="1">
      <c r="A132" s="207"/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</row>
    <row r="133" ht="18.75" hidden="1" customHeight="1">
      <c r="A133" s="207"/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</row>
    <row r="134" ht="18.75" hidden="1" customHeight="1">
      <c r="A134" s="207"/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</row>
    <row r="135" ht="18.75" hidden="1" customHeight="1">
      <c r="A135" s="207"/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</row>
    <row r="136" ht="18.75" hidden="1" customHeight="1">
      <c r="A136" s="207"/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</row>
    <row r="137" ht="18.75" hidden="1" customHeight="1">
      <c r="A137" s="207"/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</row>
    <row r="138" ht="18.75" hidden="1" customHeight="1">
      <c r="A138" s="207"/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</row>
    <row r="139" ht="18.75" hidden="1" customHeight="1">
      <c r="A139" s="207"/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</row>
    <row r="140" ht="18.75" hidden="1" customHeight="1">
      <c r="A140" s="207"/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</row>
    <row r="141" ht="18.75" hidden="1" customHeight="1">
      <c r="A141" s="207"/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</row>
    <row r="142" ht="18.75" hidden="1" customHeight="1">
      <c r="A142" s="207"/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</row>
    <row r="143" ht="18.75" hidden="1" customHeight="1">
      <c r="A143" s="207"/>
      <c r="B143" s="207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</row>
    <row r="144" ht="18.75" hidden="1" customHeight="1">
      <c r="A144" s="207"/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</row>
    <row r="145" ht="18.75" hidden="1" customHeight="1">
      <c r="A145" s="207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</row>
    <row r="146" ht="18.75" hidden="1" customHeight="1">
      <c r="A146" s="207"/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</row>
    <row r="147" ht="18.75" hidden="1" customHeight="1">
      <c r="A147" s="207"/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</row>
    <row r="148" ht="18.75" hidden="1" customHeight="1">
      <c r="A148" s="207"/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</row>
    <row r="149" ht="18.75" hidden="1" customHeight="1">
      <c r="A149" s="207"/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</row>
    <row r="150" ht="18.75" hidden="1" customHeight="1">
      <c r="A150" s="207"/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</row>
    <row r="151" ht="18.75" hidden="1" customHeight="1">
      <c r="A151" s="207"/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</row>
    <row r="152" ht="18.75" hidden="1" customHeight="1">
      <c r="A152" s="207"/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</row>
    <row r="153" ht="18.75" hidden="1" customHeight="1">
      <c r="A153" s="207"/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</row>
    <row r="154" ht="18.75" hidden="1" customHeight="1">
      <c r="A154" s="207"/>
      <c r="B154" s="207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</row>
    <row r="155" ht="18.75" hidden="1" customHeight="1">
      <c r="A155" s="207"/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</row>
    <row r="156" ht="18.75" hidden="1" customHeight="1">
      <c r="A156" s="207"/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</row>
    <row r="157" ht="18.75" hidden="1" customHeight="1">
      <c r="A157" s="207"/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</row>
    <row r="158" ht="18.75" hidden="1" customHeight="1">
      <c r="A158" s="207"/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</row>
    <row r="159" ht="18.75" hidden="1" customHeight="1">
      <c r="A159" s="207"/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</row>
    <row r="160" ht="18.75" hidden="1" customHeight="1">
      <c r="A160" s="207"/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</row>
    <row r="161" ht="18.75" hidden="1" customHeight="1">
      <c r="A161" s="207"/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</row>
    <row r="162" ht="18.75" hidden="1" customHeight="1">
      <c r="A162" s="207"/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</row>
    <row r="163" ht="18.75" hidden="1" customHeight="1">
      <c r="A163" s="207"/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</row>
    <row r="164" ht="18.75" hidden="1" customHeight="1">
      <c r="A164" s="207"/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</row>
    <row r="165" ht="18.75" hidden="1" customHeight="1">
      <c r="A165" s="207"/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</row>
    <row r="166" ht="18.75" hidden="1" customHeight="1">
      <c r="A166" s="207"/>
      <c r="B166" s="207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</row>
    <row r="167" ht="18.75" hidden="1" customHeight="1">
      <c r="A167" s="207"/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</row>
    <row r="168" ht="18.75" hidden="1" customHeight="1">
      <c r="A168" s="207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</row>
    <row r="169" ht="18.75" hidden="1" customHeight="1">
      <c r="A169" s="207"/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</row>
    <row r="170" ht="18.75" hidden="1" customHeight="1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</row>
    <row r="171" ht="18.75" hidden="1" customHeight="1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</row>
    <row r="172" ht="18.75" hidden="1" customHeight="1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</row>
    <row r="173" ht="18.75" hidden="1" customHeight="1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</row>
    <row r="174" ht="18.75" hidden="1" customHeight="1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</row>
    <row r="175" ht="18.75" hidden="1" customHeight="1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</row>
    <row r="176" ht="18.75" hidden="1" customHeight="1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</row>
    <row r="177" ht="18.75" hidden="1" customHeight="1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</row>
    <row r="178" ht="18.75" hidden="1" customHeight="1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</row>
    <row r="179" ht="18.75" hidden="1" customHeight="1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</row>
    <row r="180" ht="18.75" hidden="1" customHeight="1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</row>
    <row r="181" ht="18.75" hidden="1" customHeight="1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</row>
    <row r="182" ht="18.75" hidden="1" customHeight="1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</row>
    <row r="183" ht="18.75" hidden="1" customHeight="1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</row>
    <row r="184" ht="18.75" hidden="1" customHeight="1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</row>
    <row r="185" ht="18.75" hidden="1" customHeight="1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</row>
    <row r="186" ht="18.75" hidden="1" customHeight="1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</row>
    <row r="187" ht="18.75" hidden="1" customHeight="1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</row>
    <row r="188" ht="18.75" hidden="1" customHeight="1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</row>
    <row r="189" ht="18.75" hidden="1" customHeight="1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</row>
    <row r="190" ht="18.75" hidden="1" customHeight="1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</row>
    <row r="191" ht="18.75" hidden="1" customHeight="1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</row>
    <row r="192" ht="18.75" hidden="1" customHeight="1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</row>
    <row r="193" ht="18.75" hidden="1" customHeight="1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</row>
    <row r="194" ht="18.75" hidden="1" customHeight="1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</row>
    <row r="195" ht="18.75" hidden="1" customHeight="1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</row>
    <row r="196" ht="18.75" hidden="1" customHeight="1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</row>
    <row r="197" ht="18.75" hidden="1" customHeight="1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</row>
    <row r="198" ht="18.75" hidden="1" customHeight="1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</row>
    <row r="199" ht="18.75" hidden="1" customHeight="1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</row>
    <row r="200" ht="18.75" hidden="1" customHeight="1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</row>
    <row r="201" ht="18.75" hidden="1" customHeight="1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</row>
    <row r="202" ht="18.75" hidden="1" customHeight="1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</row>
    <row r="203" ht="18.75" hidden="1" customHeight="1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</row>
    <row r="204" ht="18.75" hidden="1" customHeight="1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</row>
    <row r="205" ht="18.75" hidden="1" customHeight="1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</row>
    <row r="206" ht="18.75" hidden="1" customHeight="1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</row>
    <row r="207" ht="18.75" hidden="1" customHeight="1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</row>
    <row r="208" ht="18.75" hidden="1" customHeight="1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</row>
    <row r="209" ht="18.75" hidden="1" customHeight="1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</row>
    <row r="210" ht="18.75" hidden="1" customHeight="1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</row>
    <row r="211" ht="18.75" hidden="1" customHeight="1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</row>
    <row r="212" ht="18.75" hidden="1" customHeight="1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</row>
    <row r="213" ht="18.75" hidden="1" customHeight="1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</row>
    <row r="214" ht="18.75" hidden="1" customHeight="1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</row>
    <row r="215" ht="18.75" hidden="1" customHeight="1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</row>
    <row r="216" ht="18.75" hidden="1" customHeight="1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</row>
    <row r="217" ht="18.75" hidden="1" customHeight="1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</row>
    <row r="218" ht="18.75" hidden="1" customHeight="1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</row>
    <row r="219" ht="18.75" hidden="1" customHeight="1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</row>
    <row r="220" ht="18.75" hidden="1" customHeight="1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</row>
    <row r="221" ht="18.75" hidden="1" customHeight="1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</row>
    <row r="222" ht="18.75" hidden="1" customHeight="1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</row>
    <row r="223" ht="18.75" hidden="1" customHeight="1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</row>
    <row r="224" ht="18.75" hidden="1" customHeight="1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</row>
    <row r="225" ht="18.75" hidden="1" customHeight="1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</row>
    <row r="226" ht="18.75" hidden="1" customHeight="1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</row>
    <row r="227" ht="18.75" hidden="1" customHeight="1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</row>
    <row r="228" ht="18.75" hidden="1" customHeight="1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</row>
    <row r="229" ht="18.75" hidden="1" customHeight="1">
      <c r="A229" s="207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</row>
    <row r="230" ht="18.75" hidden="1" customHeight="1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</row>
    <row r="231" ht="18.75" hidden="1" customHeight="1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</row>
    <row r="232" ht="18.75" hidden="1" customHeight="1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</row>
    <row r="233" ht="18.75" hidden="1" customHeight="1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</row>
    <row r="234" ht="18.75" hidden="1" customHeight="1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</row>
    <row r="235" ht="18.75" hidden="1" customHeight="1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</row>
    <row r="236" ht="18.75" hidden="1" customHeight="1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</row>
    <row r="237" ht="18.75" hidden="1" customHeight="1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/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</row>
    <row r="238" ht="18.75" hidden="1" customHeight="1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/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</row>
    <row r="239" ht="18.75" hidden="1" customHeight="1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/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</row>
    <row r="240" ht="18.75" hidden="1" customHeight="1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</row>
    <row r="241" ht="18.75" hidden="1" customHeight="1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</row>
    <row r="242" ht="18.75" hidden="1" customHeight="1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</row>
    <row r="243" ht="18.75" hidden="1" customHeight="1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</row>
    <row r="244" ht="18.75" hidden="1" customHeight="1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</row>
    <row r="245" ht="18.75" hidden="1" customHeight="1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</row>
    <row r="246" ht="18.75" hidden="1" customHeight="1">
      <c r="A246" s="207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/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</row>
    <row r="247" ht="18.75" hidden="1" customHeight="1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/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</row>
    <row r="248" ht="18.75" hidden="1" customHeight="1">
      <c r="A248" s="207"/>
      <c r="B248" s="207"/>
      <c r="C248" s="207"/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  <c r="AB248" s="207"/>
      <c r="AC248" s="207"/>
      <c r="AD248" s="207"/>
      <c r="AE248" s="207"/>
      <c r="AF248" s="207"/>
      <c r="AG248" s="207"/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</row>
    <row r="249" ht="18.75" hidden="1" customHeight="1">
      <c r="A249" s="207"/>
      <c r="B249" s="207"/>
      <c r="C249" s="207"/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  <c r="AA249" s="207"/>
      <c r="AB249" s="207"/>
      <c r="AC249" s="207"/>
      <c r="AD249" s="207"/>
      <c r="AE249" s="207"/>
      <c r="AF249" s="207"/>
      <c r="AG249" s="207"/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</row>
    <row r="250" ht="18.75" hidden="1" customHeight="1">
      <c r="A250" s="207"/>
      <c r="B250" s="207"/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  <c r="AA250" s="207"/>
      <c r="AB250" s="207"/>
      <c r="AC250" s="207"/>
      <c r="AD250" s="207"/>
      <c r="AE250" s="207"/>
      <c r="AF250" s="207"/>
      <c r="AG250" s="207"/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</row>
    <row r="251" ht="18.75" hidden="1" customHeight="1">
      <c r="A251" s="207"/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  <c r="AA251" s="207"/>
      <c r="AB251" s="207"/>
      <c r="AC251" s="207"/>
      <c r="AD251" s="207"/>
      <c r="AE251" s="207"/>
      <c r="AF251" s="207"/>
      <c r="AG251" s="207"/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</row>
    <row r="252" ht="18.75" hidden="1" customHeight="1">
      <c r="A252" s="207"/>
      <c r="B252" s="207"/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  <c r="AA252" s="207"/>
      <c r="AB252" s="207"/>
      <c r="AC252" s="207"/>
      <c r="AD252" s="207"/>
      <c r="AE252" s="207"/>
      <c r="AF252" s="207"/>
      <c r="AG252" s="207"/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</row>
    <row r="253" ht="18.75" hidden="1" customHeight="1">
      <c r="A253" s="207"/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  <c r="AA253" s="207"/>
      <c r="AB253" s="207"/>
      <c r="AC253" s="207"/>
      <c r="AD253" s="207"/>
      <c r="AE253" s="207"/>
      <c r="AF253" s="207"/>
      <c r="AG253" s="207"/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</row>
    <row r="254" ht="18.75" hidden="1" customHeight="1">
      <c r="A254" s="207"/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  <c r="AA254" s="207"/>
      <c r="AB254" s="207"/>
      <c r="AC254" s="207"/>
      <c r="AD254" s="207"/>
      <c r="AE254" s="207"/>
      <c r="AF254" s="207"/>
      <c r="AG254" s="207"/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</row>
    <row r="255" ht="18.75" hidden="1" customHeight="1">
      <c r="A255" s="207"/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  <c r="AA255" s="207"/>
      <c r="AB255" s="207"/>
      <c r="AC255" s="207"/>
      <c r="AD255" s="207"/>
      <c r="AE255" s="207"/>
      <c r="AF255" s="207"/>
      <c r="AG255" s="207"/>
      <c r="AH255" s="207"/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</row>
    <row r="256" ht="18.75" hidden="1" customHeight="1">
      <c r="A256" s="207"/>
      <c r="B256" s="207"/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  <c r="AA256" s="207"/>
      <c r="AB256" s="207"/>
      <c r="AC256" s="207"/>
      <c r="AD256" s="207"/>
      <c r="AE256" s="207"/>
      <c r="AF256" s="207"/>
      <c r="AG256" s="207"/>
      <c r="AH256" s="207"/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</row>
    <row r="257" ht="18.75" hidden="1" customHeight="1">
      <c r="A257" s="207"/>
      <c r="B257" s="207"/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  <c r="AA257" s="207"/>
      <c r="AB257" s="207"/>
      <c r="AC257" s="207"/>
      <c r="AD257" s="207"/>
      <c r="AE257" s="207"/>
      <c r="AF257" s="207"/>
      <c r="AG257" s="207"/>
      <c r="AH257" s="207"/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</row>
    <row r="258" ht="18.75" hidden="1" customHeight="1">
      <c r="A258" s="207"/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  <c r="AB258" s="207"/>
      <c r="AC258" s="207"/>
      <c r="AD258" s="207"/>
      <c r="AE258" s="207"/>
      <c r="AF258" s="207"/>
      <c r="AG258" s="207"/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</row>
    <row r="259" ht="18.75" hidden="1" customHeight="1">
      <c r="A259" s="207"/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7"/>
      <c r="AB259" s="207"/>
      <c r="AC259" s="207"/>
      <c r="AD259" s="207"/>
      <c r="AE259" s="207"/>
      <c r="AF259" s="207"/>
      <c r="AG259" s="207"/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</row>
    <row r="260" ht="18.75" hidden="1" customHeight="1">
      <c r="A260" s="207"/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/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</row>
    <row r="261" ht="18.75" hidden="1" customHeight="1">
      <c r="A261" s="207"/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  <c r="AA261" s="207"/>
      <c r="AB261" s="207"/>
      <c r="AC261" s="207"/>
      <c r="AD261" s="207"/>
      <c r="AE261" s="207"/>
      <c r="AF261" s="207"/>
      <c r="AG261" s="207"/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</row>
    <row r="262" ht="18.75" hidden="1" customHeight="1">
      <c r="A262" s="207"/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7"/>
      <c r="AB262" s="207"/>
      <c r="AC262" s="207"/>
      <c r="AD262" s="207"/>
      <c r="AE262" s="207"/>
      <c r="AF262" s="207"/>
      <c r="AG262" s="207"/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</row>
    <row r="263" ht="18.75" hidden="1" customHeight="1">
      <c r="A263" s="207"/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  <c r="AA263" s="207"/>
      <c r="AB263" s="207"/>
      <c r="AC263" s="207"/>
      <c r="AD263" s="207"/>
      <c r="AE263" s="207"/>
      <c r="AF263" s="207"/>
      <c r="AG263" s="207"/>
      <c r="AH263" s="207"/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</row>
    <row r="264" ht="18.75" hidden="1" customHeight="1">
      <c r="A264" s="207"/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  <c r="AA264" s="207"/>
      <c r="AB264" s="207"/>
      <c r="AC264" s="207"/>
      <c r="AD264" s="207"/>
      <c r="AE264" s="207"/>
      <c r="AF264" s="207"/>
      <c r="AG264" s="207"/>
      <c r="AH264" s="207"/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</row>
    <row r="265" ht="18.75" hidden="1" customHeight="1">
      <c r="A265" s="207"/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  <c r="AA265" s="207"/>
      <c r="AB265" s="207"/>
      <c r="AC265" s="207"/>
      <c r="AD265" s="207"/>
      <c r="AE265" s="207"/>
      <c r="AF265" s="207"/>
      <c r="AG265" s="207"/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</row>
    <row r="266" ht="18.75" hidden="1" customHeight="1">
      <c r="A266" s="207"/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  <c r="AA266" s="207"/>
      <c r="AB266" s="207"/>
      <c r="AC266" s="207"/>
      <c r="AD266" s="207"/>
      <c r="AE266" s="207"/>
      <c r="AF266" s="207"/>
      <c r="AG266" s="207"/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</row>
    <row r="267" ht="18.75" hidden="1" customHeight="1">
      <c r="A267" s="207"/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  <c r="AA267" s="207"/>
      <c r="AB267" s="207"/>
      <c r="AC267" s="207"/>
      <c r="AD267" s="207"/>
      <c r="AE267" s="207"/>
      <c r="AF267" s="207"/>
      <c r="AG267" s="207"/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</row>
    <row r="268" ht="18.75" hidden="1" customHeight="1">
      <c r="A268" s="207"/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  <c r="AA268" s="207"/>
      <c r="AB268" s="207"/>
      <c r="AC268" s="207"/>
      <c r="AD268" s="207"/>
      <c r="AE268" s="207"/>
      <c r="AF268" s="207"/>
      <c r="AG268" s="207"/>
      <c r="AH268" s="207"/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</row>
    <row r="269" ht="18.75" hidden="1" customHeight="1">
      <c r="A269" s="207"/>
      <c r="B269" s="207"/>
      <c r="C269" s="207"/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  <c r="AA269" s="207"/>
      <c r="AB269" s="207"/>
      <c r="AC269" s="207"/>
      <c r="AD269" s="207"/>
      <c r="AE269" s="207"/>
      <c r="AF269" s="207"/>
      <c r="AG269" s="207"/>
      <c r="AH269" s="207"/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</row>
    <row r="270" ht="18.75" hidden="1" customHeight="1">
      <c r="A270" s="207"/>
      <c r="B270" s="207"/>
      <c r="C270" s="207"/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  <c r="AA270" s="207"/>
      <c r="AB270" s="207"/>
      <c r="AC270" s="207"/>
      <c r="AD270" s="207"/>
      <c r="AE270" s="207"/>
      <c r="AF270" s="207"/>
      <c r="AG270" s="207"/>
      <c r="AH270" s="207"/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</row>
    <row r="271" ht="18.75" hidden="1" customHeight="1">
      <c r="A271" s="207"/>
      <c r="B271" s="207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  <c r="AA271" s="207"/>
      <c r="AB271" s="207"/>
      <c r="AC271" s="207"/>
      <c r="AD271" s="207"/>
      <c r="AE271" s="207"/>
      <c r="AF271" s="207"/>
      <c r="AG271" s="207"/>
      <c r="AH271" s="207"/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</row>
    <row r="272" ht="18.75" hidden="1" customHeight="1">
      <c r="A272" s="207"/>
      <c r="B272" s="207"/>
      <c r="C272" s="207"/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/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</row>
    <row r="273" ht="18.75" hidden="1" customHeight="1">
      <c r="A273" s="207"/>
      <c r="B273" s="207"/>
      <c r="C273" s="207"/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</row>
    <row r="274" ht="18.75" hidden="1" customHeight="1">
      <c r="A274" s="207"/>
      <c r="B274" s="207"/>
      <c r="C274" s="207"/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/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</row>
    <row r="275" ht="18.75" hidden="1" customHeight="1">
      <c r="A275" s="207"/>
      <c r="B275" s="207"/>
      <c r="C275" s="207"/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/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</row>
    <row r="276" ht="18.75" hidden="1" customHeight="1">
      <c r="A276" s="207"/>
      <c r="B276" s="207"/>
      <c r="C276" s="207"/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</row>
    <row r="277" ht="18.75" hidden="1" customHeight="1">
      <c r="A277" s="207"/>
      <c r="B277" s="207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  <c r="AA277" s="207"/>
      <c r="AB277" s="207"/>
      <c r="AC277" s="207"/>
      <c r="AD277" s="207"/>
      <c r="AE277" s="207"/>
      <c r="AF277" s="207"/>
      <c r="AG277" s="207"/>
      <c r="AH277" s="207"/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</row>
    <row r="278" ht="18.75" hidden="1" customHeight="1">
      <c r="A278" s="207"/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  <c r="AA278" s="207"/>
      <c r="AB278" s="207"/>
      <c r="AC278" s="207"/>
      <c r="AD278" s="207"/>
      <c r="AE278" s="207"/>
      <c r="AF278" s="207"/>
      <c r="AG278" s="207"/>
      <c r="AH278" s="207"/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</row>
    <row r="279" ht="18.75" hidden="1" customHeight="1">
      <c r="A279" s="207"/>
      <c r="B279" s="207"/>
      <c r="C279" s="207"/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7"/>
      <c r="AB279" s="207"/>
      <c r="AC279" s="207"/>
      <c r="AD279" s="207"/>
      <c r="AE279" s="207"/>
      <c r="AF279" s="207"/>
      <c r="AG279" s="207"/>
      <c r="AH279" s="207"/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</row>
    <row r="280" ht="18.75" hidden="1" customHeight="1">
      <c r="A280" s="207"/>
      <c r="B280" s="207"/>
      <c r="C280" s="207"/>
      <c r="D280" s="207"/>
      <c r="E280" s="207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  <c r="AA280" s="207"/>
      <c r="AB280" s="207"/>
      <c r="AC280" s="207"/>
      <c r="AD280" s="207"/>
      <c r="AE280" s="207"/>
      <c r="AF280" s="207"/>
      <c r="AG280" s="207"/>
      <c r="AH280" s="207"/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</row>
    <row r="281" ht="18.75" hidden="1" customHeight="1">
      <c r="A281" s="207"/>
      <c r="B281" s="207"/>
      <c r="C281" s="207"/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  <c r="AA281" s="207"/>
      <c r="AB281" s="207"/>
      <c r="AC281" s="207"/>
      <c r="AD281" s="207"/>
      <c r="AE281" s="207"/>
      <c r="AF281" s="207"/>
      <c r="AG281" s="207"/>
      <c r="AH281" s="207"/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</row>
    <row r="282" ht="18.75" hidden="1" customHeight="1">
      <c r="A282" s="207"/>
      <c r="B282" s="207"/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/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</row>
    <row r="283" ht="18.75" hidden="1" customHeight="1">
      <c r="A283" s="207"/>
      <c r="B283" s="207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  <c r="AB283" s="207"/>
      <c r="AC283" s="207"/>
      <c r="AD283" s="207"/>
      <c r="AE283" s="207"/>
      <c r="AF283" s="207"/>
      <c r="AG283" s="207"/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</row>
    <row r="284" ht="18.75" hidden="1" customHeight="1">
      <c r="A284" s="207"/>
      <c r="B284" s="207"/>
      <c r="C284" s="207"/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  <c r="AA284" s="207"/>
      <c r="AB284" s="207"/>
      <c r="AC284" s="207"/>
      <c r="AD284" s="207"/>
      <c r="AE284" s="207"/>
      <c r="AF284" s="207"/>
      <c r="AG284" s="207"/>
      <c r="AH284" s="207"/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</row>
    <row r="285" ht="18.75" hidden="1" customHeight="1">
      <c r="A285" s="207"/>
      <c r="B285" s="207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  <c r="AA285" s="207"/>
      <c r="AB285" s="207"/>
      <c r="AC285" s="207"/>
      <c r="AD285" s="207"/>
      <c r="AE285" s="207"/>
      <c r="AF285" s="207"/>
      <c r="AG285" s="207"/>
      <c r="AH285" s="207"/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</row>
    <row r="286" ht="18.75" hidden="1" customHeight="1">
      <c r="A286" s="207"/>
      <c r="B286" s="207"/>
      <c r="C286" s="207"/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  <c r="AA286" s="207"/>
      <c r="AB286" s="207"/>
      <c r="AC286" s="207"/>
      <c r="AD286" s="207"/>
      <c r="AE286" s="207"/>
      <c r="AF286" s="207"/>
      <c r="AG286" s="207"/>
      <c r="AH286" s="207"/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</row>
    <row r="287" ht="18.75" hidden="1" customHeight="1">
      <c r="A287" s="207"/>
      <c r="B287" s="207"/>
      <c r="C287" s="207"/>
      <c r="D287" s="207"/>
      <c r="E287" s="207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  <c r="AA287" s="207"/>
      <c r="AB287" s="207"/>
      <c r="AC287" s="207"/>
      <c r="AD287" s="207"/>
      <c r="AE287" s="207"/>
      <c r="AF287" s="207"/>
      <c r="AG287" s="207"/>
      <c r="AH287" s="207"/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</row>
    <row r="288" ht="18.75" hidden="1" customHeight="1">
      <c r="A288" s="207"/>
      <c r="B288" s="207"/>
      <c r="C288" s="207"/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  <c r="AA288" s="207"/>
      <c r="AB288" s="207"/>
      <c r="AC288" s="207"/>
      <c r="AD288" s="207"/>
      <c r="AE288" s="207"/>
      <c r="AF288" s="207"/>
      <c r="AG288" s="207"/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</row>
    <row r="289" ht="18.75" hidden="1" customHeight="1">
      <c r="A289" s="207"/>
      <c r="B289" s="207"/>
      <c r="C289" s="207"/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  <c r="AB289" s="207"/>
      <c r="AC289" s="207"/>
      <c r="AD289" s="207"/>
      <c r="AE289" s="207"/>
      <c r="AF289" s="207"/>
      <c r="AG289" s="207"/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</row>
    <row r="290" ht="18.75" hidden="1" customHeight="1">
      <c r="A290" s="207"/>
      <c r="B290" s="207"/>
      <c r="C290" s="207"/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  <c r="AA290" s="207"/>
      <c r="AB290" s="207"/>
      <c r="AC290" s="207"/>
      <c r="AD290" s="207"/>
      <c r="AE290" s="207"/>
      <c r="AF290" s="207"/>
      <c r="AG290" s="207"/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</row>
    <row r="291" ht="18.75" hidden="1" customHeight="1">
      <c r="A291" s="207"/>
      <c r="B291" s="207"/>
      <c r="C291" s="207"/>
      <c r="D291" s="207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  <c r="AA291" s="207"/>
      <c r="AB291" s="207"/>
      <c r="AC291" s="207"/>
      <c r="AD291" s="207"/>
      <c r="AE291" s="207"/>
      <c r="AF291" s="207"/>
      <c r="AG291" s="207"/>
      <c r="AH291" s="207"/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</row>
    <row r="292" ht="18.75" hidden="1" customHeight="1">
      <c r="A292" s="207"/>
      <c r="B292" s="207"/>
      <c r="C292" s="207"/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  <c r="AA292" s="207"/>
      <c r="AB292" s="207"/>
      <c r="AC292" s="207"/>
      <c r="AD292" s="207"/>
      <c r="AE292" s="207"/>
      <c r="AF292" s="207"/>
      <c r="AG292" s="207"/>
      <c r="AH292" s="207"/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</row>
    <row r="293" ht="18.75" hidden="1" customHeight="1">
      <c r="A293" s="207"/>
      <c r="B293" s="207"/>
      <c r="C293" s="207"/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  <c r="AA293" s="207"/>
      <c r="AB293" s="207"/>
      <c r="AC293" s="207"/>
      <c r="AD293" s="207"/>
      <c r="AE293" s="207"/>
      <c r="AF293" s="207"/>
      <c r="AG293" s="207"/>
      <c r="AH293" s="207"/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</row>
    <row r="294" ht="18.75" hidden="1" customHeight="1">
      <c r="A294" s="207"/>
      <c r="B294" s="207"/>
      <c r="C294" s="207"/>
      <c r="D294" s="207"/>
      <c r="E294" s="207"/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  <c r="AA294" s="207"/>
      <c r="AB294" s="207"/>
      <c r="AC294" s="207"/>
      <c r="AD294" s="207"/>
      <c r="AE294" s="207"/>
      <c r="AF294" s="207"/>
      <c r="AG294" s="207"/>
      <c r="AH294" s="207"/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</row>
    <row r="295" ht="18.75" hidden="1" customHeight="1">
      <c r="A295" s="207"/>
      <c r="B295" s="207"/>
      <c r="C295" s="207"/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  <c r="AA295" s="207"/>
      <c r="AB295" s="207"/>
      <c r="AC295" s="207"/>
      <c r="AD295" s="207"/>
      <c r="AE295" s="207"/>
      <c r="AF295" s="207"/>
      <c r="AG295" s="207"/>
      <c r="AH295" s="207"/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</row>
    <row r="296" ht="18.75" hidden="1" customHeight="1">
      <c r="A296" s="207"/>
      <c r="B296" s="207"/>
      <c r="C296" s="207"/>
      <c r="D296" s="207"/>
      <c r="E296" s="207"/>
      <c r="F296" s="207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  <c r="AA296" s="207"/>
      <c r="AB296" s="207"/>
      <c r="AC296" s="207"/>
      <c r="AD296" s="207"/>
      <c r="AE296" s="207"/>
      <c r="AF296" s="207"/>
      <c r="AG296" s="207"/>
      <c r="AH296" s="207"/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</row>
    <row r="297" ht="18.75" hidden="1" customHeight="1">
      <c r="A297" s="207"/>
      <c r="B297" s="207"/>
      <c r="C297" s="207"/>
      <c r="D297" s="207"/>
      <c r="E297" s="207"/>
      <c r="F297" s="207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  <c r="AA297" s="207"/>
      <c r="AB297" s="207"/>
      <c r="AC297" s="207"/>
      <c r="AD297" s="207"/>
      <c r="AE297" s="207"/>
      <c r="AF297" s="207"/>
      <c r="AG297" s="207"/>
      <c r="AH297" s="207"/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</row>
    <row r="298" ht="18.75" hidden="1" customHeight="1">
      <c r="A298" s="207"/>
      <c r="B298" s="207"/>
      <c r="C298" s="207"/>
      <c r="D298" s="207"/>
      <c r="E298" s="207"/>
      <c r="F298" s="207"/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  <c r="AA298" s="207"/>
      <c r="AB298" s="207"/>
      <c r="AC298" s="207"/>
      <c r="AD298" s="207"/>
      <c r="AE298" s="207"/>
      <c r="AF298" s="207"/>
      <c r="AG298" s="207"/>
      <c r="AH298" s="207"/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</row>
    <row r="299" ht="18.75" hidden="1" customHeight="1">
      <c r="A299" s="207"/>
      <c r="B299" s="207"/>
      <c r="C299" s="207"/>
      <c r="D299" s="207"/>
      <c r="E299" s="207"/>
      <c r="F299" s="207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  <c r="AA299" s="207"/>
      <c r="AB299" s="207"/>
      <c r="AC299" s="207"/>
      <c r="AD299" s="207"/>
      <c r="AE299" s="207"/>
      <c r="AF299" s="207"/>
      <c r="AG299" s="207"/>
      <c r="AH299" s="207"/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</row>
    <row r="300" ht="18.75" hidden="1" customHeight="1">
      <c r="A300" s="207"/>
      <c r="B300" s="207"/>
      <c r="C300" s="207"/>
      <c r="D300" s="207"/>
      <c r="E300" s="207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  <c r="AA300" s="207"/>
      <c r="AB300" s="207"/>
      <c r="AC300" s="207"/>
      <c r="AD300" s="207"/>
      <c r="AE300" s="207"/>
      <c r="AF300" s="207"/>
      <c r="AG300" s="207"/>
      <c r="AH300" s="207"/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</row>
    <row r="301" ht="18.75" hidden="1" customHeight="1">
      <c r="A301" s="207"/>
      <c r="B301" s="207"/>
      <c r="C301" s="207"/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  <c r="AB301" s="207"/>
      <c r="AC301" s="207"/>
      <c r="AD301" s="207"/>
      <c r="AE301" s="207"/>
      <c r="AF301" s="207"/>
      <c r="AG301" s="207"/>
      <c r="AH301" s="207"/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</row>
    <row r="302" ht="18.75" hidden="1" customHeight="1">
      <c r="A302" s="207"/>
      <c r="B302" s="207"/>
      <c r="C302" s="207"/>
      <c r="D302" s="207"/>
      <c r="E302" s="207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  <c r="AA302" s="207"/>
      <c r="AB302" s="207"/>
      <c r="AC302" s="207"/>
      <c r="AD302" s="207"/>
      <c r="AE302" s="207"/>
      <c r="AF302" s="207"/>
      <c r="AG302" s="207"/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</row>
    <row r="303" ht="18.75" hidden="1" customHeight="1">
      <c r="A303" s="207"/>
      <c r="B303" s="207"/>
      <c r="C303" s="207"/>
      <c r="D303" s="207"/>
      <c r="E303" s="207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  <c r="AA303" s="207"/>
      <c r="AB303" s="207"/>
      <c r="AC303" s="207"/>
      <c r="AD303" s="207"/>
      <c r="AE303" s="207"/>
      <c r="AF303" s="207"/>
      <c r="AG303" s="207"/>
      <c r="AH303" s="207"/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</row>
    <row r="304" ht="18.75" hidden="1" customHeight="1">
      <c r="A304" s="207"/>
      <c r="B304" s="207"/>
      <c r="C304" s="207"/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  <c r="AA304" s="207"/>
      <c r="AB304" s="207"/>
      <c r="AC304" s="207"/>
      <c r="AD304" s="207"/>
      <c r="AE304" s="207"/>
      <c r="AF304" s="207"/>
      <c r="AG304" s="207"/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</row>
    <row r="305" ht="18.75" hidden="1" customHeight="1">
      <c r="A305" s="207"/>
      <c r="B305" s="207"/>
      <c r="C305" s="207"/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  <c r="AA305" s="207"/>
      <c r="AB305" s="207"/>
      <c r="AC305" s="207"/>
      <c r="AD305" s="207"/>
      <c r="AE305" s="207"/>
      <c r="AF305" s="207"/>
      <c r="AG305" s="207"/>
      <c r="AH305" s="207"/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</row>
    <row r="306" ht="18.75" hidden="1" customHeight="1">
      <c r="A306" s="207"/>
      <c r="B306" s="207"/>
      <c r="C306" s="207"/>
      <c r="D306" s="207"/>
      <c r="E306" s="207"/>
      <c r="F306" s="207"/>
      <c r="G306" s="207"/>
      <c r="H306" s="207"/>
      <c r="I306" s="207"/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  <c r="AA306" s="207"/>
      <c r="AB306" s="207"/>
      <c r="AC306" s="207"/>
      <c r="AD306" s="207"/>
      <c r="AE306" s="207"/>
      <c r="AF306" s="207"/>
      <c r="AG306" s="207"/>
      <c r="AH306" s="207"/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</row>
    <row r="307" ht="18.75" hidden="1" customHeight="1">
      <c r="A307" s="207"/>
      <c r="B307" s="207"/>
      <c r="C307" s="207"/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  <c r="AA307" s="207"/>
      <c r="AB307" s="207"/>
      <c r="AC307" s="207"/>
      <c r="AD307" s="207"/>
      <c r="AE307" s="207"/>
      <c r="AF307" s="207"/>
      <c r="AG307" s="207"/>
      <c r="AH307" s="207"/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</row>
    <row r="308" ht="18.75" hidden="1" customHeight="1">
      <c r="A308" s="207"/>
      <c r="B308" s="207"/>
      <c r="C308" s="207"/>
      <c r="D308" s="207"/>
      <c r="E308" s="207"/>
      <c r="F308" s="207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  <c r="AA308" s="207"/>
      <c r="AB308" s="207"/>
      <c r="AC308" s="207"/>
      <c r="AD308" s="207"/>
      <c r="AE308" s="207"/>
      <c r="AF308" s="207"/>
      <c r="AG308" s="207"/>
      <c r="AH308" s="207"/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</row>
    <row r="309" ht="18.75" hidden="1" customHeight="1">
      <c r="A309" s="207"/>
      <c r="B309" s="207"/>
      <c r="C309" s="207"/>
      <c r="D309" s="207"/>
      <c r="E309" s="207"/>
      <c r="F309" s="207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  <c r="AA309" s="207"/>
      <c r="AB309" s="207"/>
      <c r="AC309" s="207"/>
      <c r="AD309" s="207"/>
      <c r="AE309" s="207"/>
      <c r="AF309" s="207"/>
      <c r="AG309" s="207"/>
      <c r="AH309" s="207"/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</row>
    <row r="310" ht="18.75" hidden="1" customHeight="1">
      <c r="A310" s="207"/>
      <c r="B310" s="207"/>
      <c r="C310" s="207"/>
      <c r="D310" s="207"/>
      <c r="E310" s="207"/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  <c r="AA310" s="207"/>
      <c r="AB310" s="207"/>
      <c r="AC310" s="207"/>
      <c r="AD310" s="207"/>
      <c r="AE310" s="207"/>
      <c r="AF310" s="207"/>
      <c r="AG310" s="207"/>
      <c r="AH310" s="207"/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</row>
    <row r="311" ht="18.75" hidden="1" customHeight="1">
      <c r="A311" s="207"/>
      <c r="B311" s="207"/>
      <c r="C311" s="207"/>
      <c r="D311" s="207"/>
      <c r="E311" s="207"/>
      <c r="F311" s="207"/>
      <c r="G311" s="207"/>
      <c r="H311" s="207"/>
      <c r="I311" s="207"/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  <c r="AA311" s="207"/>
      <c r="AB311" s="207"/>
      <c r="AC311" s="207"/>
      <c r="AD311" s="207"/>
      <c r="AE311" s="207"/>
      <c r="AF311" s="207"/>
      <c r="AG311" s="207"/>
      <c r="AH311" s="207"/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</row>
    <row r="312" ht="18.75" hidden="1" customHeight="1">
      <c r="A312" s="207"/>
      <c r="B312" s="207"/>
      <c r="C312" s="207"/>
      <c r="D312" s="207"/>
      <c r="E312" s="207"/>
      <c r="F312" s="207"/>
      <c r="G312" s="207"/>
      <c r="H312" s="207"/>
      <c r="I312" s="207"/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  <c r="AA312" s="207"/>
      <c r="AB312" s="207"/>
      <c r="AC312" s="207"/>
      <c r="AD312" s="207"/>
      <c r="AE312" s="207"/>
      <c r="AF312" s="207"/>
      <c r="AG312" s="207"/>
      <c r="AH312" s="207"/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</row>
    <row r="313" ht="18.75" hidden="1" customHeight="1">
      <c r="A313" s="207"/>
      <c r="B313" s="207"/>
      <c r="C313" s="207"/>
      <c r="D313" s="207"/>
      <c r="E313" s="207"/>
      <c r="F313" s="207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  <c r="AA313" s="207"/>
      <c r="AB313" s="207"/>
      <c r="AC313" s="207"/>
      <c r="AD313" s="207"/>
      <c r="AE313" s="207"/>
      <c r="AF313" s="207"/>
      <c r="AG313" s="207"/>
      <c r="AH313" s="207"/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  <c r="AZ313" s="207"/>
      <c r="BA313" s="207"/>
    </row>
    <row r="314" ht="18.75" hidden="1" customHeight="1">
      <c r="A314" s="207"/>
      <c r="B314" s="207"/>
      <c r="C314" s="207"/>
      <c r="D314" s="207"/>
      <c r="E314" s="207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  <c r="AB314" s="207"/>
      <c r="AC314" s="207"/>
      <c r="AD314" s="207"/>
      <c r="AE314" s="207"/>
      <c r="AF314" s="207"/>
      <c r="AG314" s="207"/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</row>
    <row r="315" ht="18.75" hidden="1" customHeight="1">
      <c r="A315" s="207"/>
      <c r="B315" s="207"/>
      <c r="C315" s="207"/>
      <c r="D315" s="207"/>
      <c r="E315" s="207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  <c r="AB315" s="207"/>
      <c r="AC315" s="207"/>
      <c r="AD315" s="207"/>
      <c r="AE315" s="207"/>
      <c r="AF315" s="207"/>
      <c r="AG315" s="207"/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</row>
    <row r="316" ht="18.75" hidden="1" customHeight="1">
      <c r="A316" s="207"/>
      <c r="B316" s="207"/>
      <c r="C316" s="207"/>
      <c r="D316" s="207"/>
      <c r="E316" s="207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  <c r="AB316" s="207"/>
      <c r="AC316" s="207"/>
      <c r="AD316" s="207"/>
      <c r="AE316" s="207"/>
      <c r="AF316" s="207"/>
      <c r="AG316" s="207"/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</row>
    <row r="317" ht="18.75" hidden="1" customHeight="1">
      <c r="A317" s="207"/>
      <c r="B317" s="207"/>
      <c r="C317" s="207"/>
      <c r="D317" s="207"/>
      <c r="E317" s="207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  <c r="AB317" s="207"/>
      <c r="AC317" s="207"/>
      <c r="AD317" s="207"/>
      <c r="AE317" s="207"/>
      <c r="AF317" s="207"/>
      <c r="AG317" s="207"/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</row>
    <row r="318" ht="18.75" hidden="1" customHeight="1">
      <c r="A318" s="207"/>
      <c r="B318" s="2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/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</row>
    <row r="319" ht="18.75" hidden="1" customHeight="1">
      <c r="A319" s="207"/>
      <c r="B319" s="207"/>
      <c r="C319" s="207"/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  <c r="AA319" s="207"/>
      <c r="AB319" s="207"/>
      <c r="AC319" s="207"/>
      <c r="AD319" s="207"/>
      <c r="AE319" s="207"/>
      <c r="AF319" s="207"/>
      <c r="AG319" s="207"/>
      <c r="AH319" s="207"/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</row>
    <row r="320" ht="18.75" hidden="1" customHeight="1">
      <c r="A320" s="207"/>
      <c r="B320" s="207"/>
      <c r="C320" s="207"/>
      <c r="D320" s="207"/>
      <c r="E320" s="207"/>
      <c r="F320" s="207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  <c r="AA320" s="207"/>
      <c r="AB320" s="207"/>
      <c r="AC320" s="207"/>
      <c r="AD320" s="207"/>
      <c r="AE320" s="207"/>
      <c r="AF320" s="207"/>
      <c r="AG320" s="207"/>
      <c r="AH320" s="207"/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</row>
    <row r="321" ht="18.75" hidden="1" customHeight="1">
      <c r="A321" s="207"/>
      <c r="B321" s="207"/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  <c r="AA321" s="207"/>
      <c r="AB321" s="207"/>
      <c r="AC321" s="207"/>
      <c r="AD321" s="207"/>
      <c r="AE321" s="207"/>
      <c r="AF321" s="207"/>
      <c r="AG321" s="207"/>
      <c r="AH321" s="207"/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</row>
    <row r="322" ht="18.75" hidden="1" customHeight="1">
      <c r="A322" s="207"/>
      <c r="B322" s="207"/>
      <c r="C322" s="207"/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  <c r="AA322" s="207"/>
      <c r="AB322" s="207"/>
      <c r="AC322" s="207"/>
      <c r="AD322" s="207"/>
      <c r="AE322" s="207"/>
      <c r="AF322" s="207"/>
      <c r="AG322" s="207"/>
      <c r="AH322" s="207"/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</row>
    <row r="323" ht="18.75" hidden="1" customHeight="1">
      <c r="A323" s="207"/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  <c r="AA323" s="207"/>
      <c r="AB323" s="207"/>
      <c r="AC323" s="207"/>
      <c r="AD323" s="207"/>
      <c r="AE323" s="207"/>
      <c r="AF323" s="207"/>
      <c r="AG323" s="207"/>
      <c r="AH323" s="207"/>
      <c r="AI323" s="207"/>
      <c r="AJ323" s="207"/>
      <c r="AK323" s="207"/>
      <c r="AL323" s="207"/>
      <c r="AM323" s="207"/>
      <c r="AN323" s="207"/>
      <c r="AO323" s="207"/>
      <c r="AP323" s="207"/>
      <c r="AQ323" s="207"/>
      <c r="AR323" s="207"/>
      <c r="AS323" s="207"/>
      <c r="AT323" s="207"/>
      <c r="AU323" s="207"/>
      <c r="AV323" s="207"/>
      <c r="AW323" s="207"/>
      <c r="AX323" s="207"/>
      <c r="AY323" s="207"/>
      <c r="AZ323" s="207"/>
      <c r="BA323" s="207"/>
    </row>
    <row r="324" ht="18.75" hidden="1" customHeight="1">
      <c r="A324" s="207"/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  <c r="AA324" s="207"/>
      <c r="AB324" s="207"/>
      <c r="AC324" s="207"/>
      <c r="AD324" s="207"/>
      <c r="AE324" s="207"/>
      <c r="AF324" s="207"/>
      <c r="AG324" s="207"/>
      <c r="AH324" s="207"/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</row>
    <row r="325" ht="18.75" hidden="1" customHeight="1">
      <c r="A325" s="207"/>
      <c r="B325" s="207"/>
      <c r="C325" s="207"/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  <c r="AA325" s="207"/>
      <c r="AB325" s="207"/>
      <c r="AC325" s="207"/>
      <c r="AD325" s="207"/>
      <c r="AE325" s="207"/>
      <c r="AF325" s="207"/>
      <c r="AG325" s="207"/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</row>
    <row r="326" ht="18.75" hidden="1" customHeight="1">
      <c r="A326" s="207"/>
      <c r="B326" s="207"/>
      <c r="C326" s="207"/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  <c r="AA326" s="207"/>
      <c r="AB326" s="207"/>
      <c r="AC326" s="207"/>
      <c r="AD326" s="207"/>
      <c r="AE326" s="207"/>
      <c r="AF326" s="207"/>
      <c r="AG326" s="207"/>
      <c r="AH326" s="207"/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</row>
    <row r="327" ht="18.75" hidden="1" customHeight="1">
      <c r="A327" s="207"/>
      <c r="B327" s="207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  <c r="AA327" s="207"/>
      <c r="AB327" s="207"/>
      <c r="AC327" s="207"/>
      <c r="AD327" s="207"/>
      <c r="AE327" s="207"/>
      <c r="AF327" s="207"/>
      <c r="AG327" s="207"/>
      <c r="AH327" s="207"/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</row>
    <row r="328" ht="18.75" hidden="1" customHeight="1">
      <c r="A328" s="207"/>
      <c r="B328" s="207"/>
      <c r="C328" s="207"/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  <c r="AA328" s="207"/>
      <c r="AB328" s="207"/>
      <c r="AC328" s="207"/>
      <c r="AD328" s="207"/>
      <c r="AE328" s="207"/>
      <c r="AF328" s="207"/>
      <c r="AG328" s="207"/>
      <c r="AH328" s="207"/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</row>
    <row r="329" ht="18.75" hidden="1" customHeight="1">
      <c r="A329" s="207"/>
      <c r="B329" s="207"/>
      <c r="C329" s="207"/>
      <c r="D329" s="207"/>
      <c r="E329" s="207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  <c r="AA329" s="207"/>
      <c r="AB329" s="207"/>
      <c r="AC329" s="207"/>
      <c r="AD329" s="207"/>
      <c r="AE329" s="207"/>
      <c r="AF329" s="207"/>
      <c r="AG329" s="207"/>
      <c r="AH329" s="207"/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</row>
    <row r="330" ht="18.75" hidden="1" customHeight="1">
      <c r="A330" s="207"/>
      <c r="B330" s="207"/>
      <c r="C330" s="207"/>
      <c r="D330" s="207"/>
      <c r="E330" s="207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  <c r="AA330" s="207"/>
      <c r="AB330" s="207"/>
      <c r="AC330" s="207"/>
      <c r="AD330" s="207"/>
      <c r="AE330" s="207"/>
      <c r="AF330" s="207"/>
      <c r="AG330" s="207"/>
      <c r="AH330" s="207"/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</row>
    <row r="331" ht="18.75" hidden="1" customHeight="1">
      <c r="A331" s="207"/>
      <c r="B331" s="207"/>
      <c r="C331" s="207"/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  <c r="AA331" s="207"/>
      <c r="AB331" s="207"/>
      <c r="AC331" s="207"/>
      <c r="AD331" s="207"/>
      <c r="AE331" s="207"/>
      <c r="AF331" s="207"/>
      <c r="AG331" s="207"/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</row>
    <row r="332" ht="18.75" hidden="1" customHeight="1">
      <c r="A332" s="207"/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  <c r="AA332" s="207"/>
      <c r="AB332" s="207"/>
      <c r="AC332" s="207"/>
      <c r="AD332" s="207"/>
      <c r="AE332" s="207"/>
      <c r="AF332" s="207"/>
      <c r="AG332" s="207"/>
      <c r="AH332" s="207"/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  <c r="AZ332" s="207"/>
      <c r="BA332" s="207"/>
    </row>
    <row r="333" ht="18.75" hidden="1" customHeight="1">
      <c r="A333" s="207"/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  <c r="AA333" s="207"/>
      <c r="AB333" s="207"/>
      <c r="AC333" s="207"/>
      <c r="AD333" s="207"/>
      <c r="AE333" s="207"/>
      <c r="AF333" s="207"/>
      <c r="AG333" s="207"/>
      <c r="AH333" s="207"/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</row>
    <row r="334" ht="18.75" hidden="1" customHeight="1">
      <c r="A334" s="207"/>
      <c r="B334" s="207"/>
      <c r="C334" s="207"/>
      <c r="D334" s="207"/>
      <c r="E334" s="207"/>
      <c r="F334" s="207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  <c r="AA334" s="207"/>
      <c r="AB334" s="207"/>
      <c r="AC334" s="207"/>
      <c r="AD334" s="207"/>
      <c r="AE334" s="207"/>
      <c r="AF334" s="207"/>
      <c r="AG334" s="207"/>
      <c r="AH334" s="207"/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</row>
    <row r="335" ht="18.75" hidden="1" customHeight="1">
      <c r="A335" s="207"/>
      <c r="B335" s="207"/>
      <c r="C335" s="207"/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  <c r="AA335" s="207"/>
      <c r="AB335" s="207"/>
      <c r="AC335" s="207"/>
      <c r="AD335" s="207"/>
      <c r="AE335" s="207"/>
      <c r="AF335" s="207"/>
      <c r="AG335" s="207"/>
      <c r="AH335" s="207"/>
      <c r="AI335" s="207"/>
      <c r="AJ335" s="207"/>
      <c r="AK335" s="207"/>
      <c r="AL335" s="207"/>
      <c r="AM335" s="207"/>
      <c r="AN335" s="207"/>
      <c r="AO335" s="207"/>
      <c r="AP335" s="207"/>
      <c r="AQ335" s="207"/>
      <c r="AR335" s="207"/>
      <c r="AS335" s="207"/>
      <c r="AT335" s="207"/>
      <c r="AU335" s="207"/>
      <c r="AV335" s="207"/>
      <c r="AW335" s="207"/>
      <c r="AX335" s="207"/>
      <c r="AY335" s="207"/>
      <c r="AZ335" s="207"/>
      <c r="BA335" s="207"/>
    </row>
    <row r="336" ht="18.75" hidden="1" customHeight="1">
      <c r="A336" s="207"/>
      <c r="B336" s="207"/>
      <c r="C336" s="207"/>
      <c r="D336" s="207"/>
      <c r="E336" s="207"/>
      <c r="F336" s="207"/>
      <c r="G336" s="207"/>
      <c r="H336" s="207"/>
      <c r="I336" s="207"/>
      <c r="J336" s="207"/>
      <c r="K336" s="207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  <c r="AA336" s="207"/>
      <c r="AB336" s="207"/>
      <c r="AC336" s="207"/>
      <c r="AD336" s="207"/>
      <c r="AE336" s="207"/>
      <c r="AF336" s="207"/>
      <c r="AG336" s="207"/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</row>
    <row r="337" ht="18.75" hidden="1" customHeight="1">
      <c r="A337" s="207"/>
      <c r="B337" s="207"/>
      <c r="C337" s="207"/>
      <c r="D337" s="207"/>
      <c r="E337" s="207"/>
      <c r="F337" s="207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  <c r="AA337" s="207"/>
      <c r="AB337" s="207"/>
      <c r="AC337" s="207"/>
      <c r="AD337" s="207"/>
      <c r="AE337" s="207"/>
      <c r="AF337" s="207"/>
      <c r="AG337" s="207"/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</row>
    <row r="338" ht="18.75" hidden="1" customHeight="1">
      <c r="A338" s="207"/>
      <c r="B338" s="207"/>
      <c r="C338" s="207"/>
      <c r="D338" s="207"/>
      <c r="E338" s="207"/>
      <c r="F338" s="207"/>
      <c r="G338" s="207"/>
      <c r="H338" s="207"/>
      <c r="I338" s="207"/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  <c r="AA338" s="207"/>
      <c r="AB338" s="207"/>
      <c r="AC338" s="207"/>
      <c r="AD338" s="207"/>
      <c r="AE338" s="207"/>
      <c r="AF338" s="207"/>
      <c r="AG338" s="207"/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</row>
    <row r="339" ht="18.75" hidden="1" customHeight="1">
      <c r="A339" s="207"/>
      <c r="B339" s="207"/>
      <c r="C339" s="207"/>
      <c r="D339" s="207"/>
      <c r="E339" s="207"/>
      <c r="F339" s="207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  <c r="AA339" s="207"/>
      <c r="AB339" s="207"/>
      <c r="AC339" s="207"/>
      <c r="AD339" s="207"/>
      <c r="AE339" s="207"/>
      <c r="AF339" s="207"/>
      <c r="AG339" s="207"/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</row>
    <row r="340" ht="18.75" hidden="1" customHeight="1">
      <c r="A340" s="207"/>
      <c r="B340" s="207"/>
      <c r="C340" s="207"/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  <c r="AA340" s="207"/>
      <c r="AB340" s="207"/>
      <c r="AC340" s="207"/>
      <c r="AD340" s="207"/>
      <c r="AE340" s="207"/>
      <c r="AF340" s="207"/>
      <c r="AG340" s="207"/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</row>
    <row r="341" ht="18.75" hidden="1" customHeight="1">
      <c r="A341" s="207"/>
      <c r="B341" s="207"/>
      <c r="C341" s="207"/>
      <c r="D341" s="207"/>
      <c r="E341" s="207"/>
      <c r="F341" s="207"/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  <c r="AA341" s="207"/>
      <c r="AB341" s="207"/>
      <c r="AC341" s="207"/>
      <c r="AD341" s="207"/>
      <c r="AE341" s="207"/>
      <c r="AF341" s="207"/>
      <c r="AG341" s="207"/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</row>
    <row r="342" ht="18.75" hidden="1" customHeight="1">
      <c r="A342" s="207"/>
      <c r="B342" s="207"/>
      <c r="C342" s="207"/>
      <c r="D342" s="207"/>
      <c r="E342" s="207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  <c r="AA342" s="207"/>
      <c r="AB342" s="207"/>
      <c r="AC342" s="207"/>
      <c r="AD342" s="207"/>
      <c r="AE342" s="207"/>
      <c r="AF342" s="207"/>
      <c r="AG342" s="207"/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</row>
    <row r="343" ht="18.75" hidden="1" customHeight="1">
      <c r="A343" s="207"/>
      <c r="B343" s="207"/>
      <c r="C343" s="207"/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  <c r="AA343" s="207"/>
      <c r="AB343" s="207"/>
      <c r="AC343" s="207"/>
      <c r="AD343" s="207"/>
      <c r="AE343" s="207"/>
      <c r="AF343" s="207"/>
      <c r="AG343" s="207"/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</row>
    <row r="344" ht="18.75" hidden="1" customHeight="1">
      <c r="A344" s="207"/>
      <c r="B344" s="207"/>
      <c r="C344" s="207"/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  <c r="AA344" s="207"/>
      <c r="AB344" s="207"/>
      <c r="AC344" s="207"/>
      <c r="AD344" s="207"/>
      <c r="AE344" s="207"/>
      <c r="AF344" s="207"/>
      <c r="AG344" s="207"/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</row>
    <row r="345" ht="18.75" hidden="1" customHeight="1">
      <c r="A345" s="207"/>
      <c r="B345" s="207"/>
      <c r="C345" s="207"/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  <c r="AA345" s="207"/>
      <c r="AB345" s="207"/>
      <c r="AC345" s="207"/>
      <c r="AD345" s="207"/>
      <c r="AE345" s="207"/>
      <c r="AF345" s="207"/>
      <c r="AG345" s="207"/>
      <c r="AH345" s="207"/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</row>
    <row r="346" ht="18.75" hidden="1" customHeight="1">
      <c r="A346" s="207"/>
      <c r="B346" s="207"/>
      <c r="C346" s="207"/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  <c r="AA346" s="207"/>
      <c r="AB346" s="207"/>
      <c r="AC346" s="207"/>
      <c r="AD346" s="207"/>
      <c r="AE346" s="207"/>
      <c r="AF346" s="207"/>
      <c r="AG346" s="207"/>
      <c r="AH346" s="207"/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</row>
    <row r="347" ht="18.75" hidden="1" customHeight="1">
      <c r="A347" s="207"/>
      <c r="B347" s="207"/>
      <c r="C347" s="207"/>
      <c r="D347" s="207"/>
      <c r="E347" s="207"/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  <c r="AA347" s="207"/>
      <c r="AB347" s="207"/>
      <c r="AC347" s="207"/>
      <c r="AD347" s="207"/>
      <c r="AE347" s="207"/>
      <c r="AF347" s="207"/>
      <c r="AG347" s="207"/>
      <c r="AH347" s="207"/>
      <c r="AI347" s="207"/>
      <c r="AJ347" s="207"/>
      <c r="AK347" s="207"/>
      <c r="AL347" s="207"/>
      <c r="AM347" s="207"/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</row>
    <row r="348" ht="18.75" hidden="1" customHeight="1">
      <c r="A348" s="207"/>
      <c r="B348" s="207"/>
      <c r="C348" s="207"/>
      <c r="D348" s="207"/>
      <c r="E348" s="207"/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  <c r="AA348" s="207"/>
      <c r="AB348" s="207"/>
      <c r="AC348" s="207"/>
      <c r="AD348" s="207"/>
      <c r="AE348" s="207"/>
      <c r="AF348" s="207"/>
      <c r="AG348" s="207"/>
      <c r="AH348" s="207"/>
      <c r="AI348" s="207"/>
      <c r="AJ348" s="207"/>
      <c r="AK348" s="207"/>
      <c r="AL348" s="207"/>
      <c r="AM348" s="207"/>
      <c r="AN348" s="207"/>
      <c r="AO348" s="207"/>
      <c r="AP348" s="207"/>
      <c r="AQ348" s="207"/>
      <c r="AR348" s="207"/>
      <c r="AS348" s="207"/>
      <c r="AT348" s="207"/>
      <c r="AU348" s="207"/>
      <c r="AV348" s="207"/>
      <c r="AW348" s="207"/>
      <c r="AX348" s="207"/>
      <c r="AY348" s="207"/>
      <c r="AZ348" s="207"/>
      <c r="BA348" s="207"/>
    </row>
    <row r="349" ht="18.75" hidden="1" customHeight="1">
      <c r="A349" s="207"/>
      <c r="B349" s="207"/>
      <c r="C349" s="207"/>
      <c r="D349" s="207"/>
      <c r="E349" s="207"/>
      <c r="F349" s="207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  <c r="AA349" s="207"/>
      <c r="AB349" s="207"/>
      <c r="AC349" s="207"/>
      <c r="AD349" s="207"/>
      <c r="AE349" s="207"/>
      <c r="AF349" s="207"/>
      <c r="AG349" s="207"/>
      <c r="AH349" s="207"/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</row>
    <row r="350" ht="18.75" hidden="1" customHeight="1">
      <c r="A350" s="207"/>
      <c r="B350" s="207"/>
      <c r="C350" s="207"/>
      <c r="D350" s="207"/>
      <c r="E350" s="207"/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  <c r="AA350" s="207"/>
      <c r="AB350" s="207"/>
      <c r="AC350" s="207"/>
      <c r="AD350" s="207"/>
      <c r="AE350" s="207"/>
      <c r="AF350" s="207"/>
      <c r="AG350" s="207"/>
      <c r="AH350" s="207"/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</row>
    <row r="351" ht="18.75" hidden="1" customHeight="1">
      <c r="A351" s="207"/>
      <c r="B351" s="207"/>
      <c r="C351" s="207"/>
      <c r="D351" s="207"/>
      <c r="E351" s="207"/>
      <c r="F351" s="207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  <c r="AA351" s="207"/>
      <c r="AB351" s="207"/>
      <c r="AC351" s="207"/>
      <c r="AD351" s="207"/>
      <c r="AE351" s="207"/>
      <c r="AF351" s="207"/>
      <c r="AG351" s="207"/>
      <c r="AH351" s="207"/>
      <c r="AI351" s="207"/>
      <c r="AJ351" s="207"/>
      <c r="AK351" s="207"/>
      <c r="AL351" s="207"/>
      <c r="AM351" s="207"/>
      <c r="AN351" s="207"/>
      <c r="AO351" s="207"/>
      <c r="AP351" s="207"/>
      <c r="AQ351" s="207"/>
      <c r="AR351" s="207"/>
      <c r="AS351" s="207"/>
      <c r="AT351" s="207"/>
      <c r="AU351" s="207"/>
      <c r="AV351" s="207"/>
      <c r="AW351" s="207"/>
      <c r="AX351" s="207"/>
      <c r="AY351" s="207"/>
      <c r="AZ351" s="207"/>
      <c r="BA351" s="207"/>
    </row>
    <row r="352" ht="18.75" hidden="1" customHeight="1">
      <c r="A352" s="207"/>
      <c r="B352" s="207"/>
      <c r="C352" s="207"/>
      <c r="D352" s="207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  <c r="AA352" s="207"/>
      <c r="AB352" s="207"/>
      <c r="AC352" s="207"/>
      <c r="AD352" s="207"/>
      <c r="AE352" s="207"/>
      <c r="AF352" s="207"/>
      <c r="AG352" s="207"/>
      <c r="AH352" s="207"/>
      <c r="AI352" s="207"/>
      <c r="AJ352" s="207"/>
      <c r="AK352" s="207"/>
      <c r="AL352" s="207"/>
      <c r="AM352" s="207"/>
      <c r="AN352" s="207"/>
      <c r="AO352" s="207"/>
      <c r="AP352" s="207"/>
      <c r="AQ352" s="207"/>
      <c r="AR352" s="207"/>
      <c r="AS352" s="207"/>
      <c r="AT352" s="207"/>
      <c r="AU352" s="207"/>
      <c r="AV352" s="207"/>
      <c r="AW352" s="207"/>
      <c r="AX352" s="207"/>
      <c r="AY352" s="207"/>
      <c r="AZ352" s="207"/>
      <c r="BA352" s="207"/>
    </row>
    <row r="353" ht="18.75" hidden="1" customHeight="1">
      <c r="A353" s="207"/>
      <c r="B353" s="207"/>
      <c r="C353" s="207"/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  <c r="AA353" s="207"/>
      <c r="AB353" s="207"/>
      <c r="AC353" s="207"/>
      <c r="AD353" s="207"/>
      <c r="AE353" s="207"/>
      <c r="AF353" s="207"/>
      <c r="AG353" s="207"/>
      <c r="AH353" s="207"/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</row>
    <row r="354" ht="18.75" hidden="1" customHeight="1">
      <c r="A354" s="207"/>
      <c r="B354" s="207"/>
      <c r="C354" s="207"/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  <c r="AA354" s="207"/>
      <c r="AB354" s="207"/>
      <c r="AC354" s="207"/>
      <c r="AD354" s="207"/>
      <c r="AE354" s="207"/>
      <c r="AF354" s="207"/>
      <c r="AG354" s="207"/>
      <c r="AH354" s="207"/>
      <c r="AI354" s="207"/>
      <c r="AJ354" s="207"/>
      <c r="AK354" s="207"/>
      <c r="AL354" s="207"/>
      <c r="AM354" s="207"/>
      <c r="AN354" s="207"/>
      <c r="AO354" s="207"/>
      <c r="AP354" s="207"/>
      <c r="AQ354" s="207"/>
      <c r="AR354" s="207"/>
      <c r="AS354" s="207"/>
      <c r="AT354" s="207"/>
      <c r="AU354" s="207"/>
      <c r="AV354" s="207"/>
      <c r="AW354" s="207"/>
      <c r="AX354" s="207"/>
      <c r="AY354" s="207"/>
      <c r="AZ354" s="207"/>
      <c r="BA354" s="207"/>
    </row>
    <row r="355" ht="18.75" hidden="1" customHeight="1">
      <c r="A355" s="207"/>
      <c r="B355" s="207"/>
      <c r="C355" s="207"/>
      <c r="D355" s="207"/>
      <c r="E355" s="207"/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  <c r="AA355" s="207"/>
      <c r="AB355" s="207"/>
      <c r="AC355" s="207"/>
      <c r="AD355" s="207"/>
      <c r="AE355" s="207"/>
      <c r="AF355" s="207"/>
      <c r="AG355" s="207"/>
      <c r="AH355" s="207"/>
      <c r="AI355" s="207"/>
      <c r="AJ355" s="207"/>
      <c r="AK355" s="207"/>
      <c r="AL355" s="207"/>
      <c r="AM355" s="207"/>
      <c r="AN355" s="207"/>
      <c r="AO355" s="207"/>
      <c r="AP355" s="207"/>
      <c r="AQ355" s="207"/>
      <c r="AR355" s="207"/>
      <c r="AS355" s="207"/>
      <c r="AT355" s="207"/>
      <c r="AU355" s="207"/>
      <c r="AV355" s="207"/>
      <c r="AW355" s="207"/>
      <c r="AX355" s="207"/>
      <c r="AY355" s="207"/>
      <c r="AZ355" s="207"/>
      <c r="BA355" s="207"/>
    </row>
    <row r="356" ht="18.75" hidden="1" customHeight="1">
      <c r="A356" s="207"/>
      <c r="B356" s="207"/>
      <c r="C356" s="207"/>
      <c r="D356" s="207"/>
      <c r="E356" s="207"/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  <c r="AA356" s="207"/>
      <c r="AB356" s="207"/>
      <c r="AC356" s="207"/>
      <c r="AD356" s="207"/>
      <c r="AE356" s="207"/>
      <c r="AF356" s="207"/>
      <c r="AG356" s="207"/>
      <c r="AH356" s="207"/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</row>
    <row r="357" ht="18.75" hidden="1" customHeight="1">
      <c r="A357" s="207"/>
      <c r="B357" s="207"/>
      <c r="C357" s="207"/>
      <c r="D357" s="207"/>
      <c r="E357" s="207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  <c r="AA357" s="207"/>
      <c r="AB357" s="207"/>
      <c r="AC357" s="207"/>
      <c r="AD357" s="207"/>
      <c r="AE357" s="207"/>
      <c r="AF357" s="207"/>
      <c r="AG357" s="207"/>
      <c r="AH357" s="207"/>
      <c r="AI357" s="207"/>
      <c r="AJ357" s="207"/>
      <c r="AK357" s="207"/>
      <c r="AL357" s="207"/>
      <c r="AM357" s="207"/>
      <c r="AN357" s="207"/>
      <c r="AO357" s="207"/>
      <c r="AP357" s="207"/>
      <c r="AQ357" s="207"/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</row>
    <row r="358" ht="18.75" hidden="1" customHeight="1">
      <c r="A358" s="207"/>
      <c r="B358" s="207"/>
      <c r="C358" s="207"/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  <c r="AA358" s="207"/>
      <c r="AB358" s="207"/>
      <c r="AC358" s="207"/>
      <c r="AD358" s="207"/>
      <c r="AE358" s="207"/>
      <c r="AF358" s="207"/>
      <c r="AG358" s="207"/>
      <c r="AH358" s="207"/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</row>
    <row r="359" ht="18.75" hidden="1" customHeight="1">
      <c r="A359" s="207"/>
      <c r="B359" s="207"/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  <c r="AA359" s="207"/>
      <c r="AB359" s="207"/>
      <c r="AC359" s="207"/>
      <c r="AD359" s="207"/>
      <c r="AE359" s="207"/>
      <c r="AF359" s="207"/>
      <c r="AG359" s="207"/>
      <c r="AH359" s="207"/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07"/>
      <c r="BA359" s="207"/>
    </row>
    <row r="360" ht="18.75" hidden="1" customHeight="1">
      <c r="A360" s="207"/>
      <c r="B360" s="207"/>
      <c r="C360" s="207"/>
      <c r="D360" s="207"/>
      <c r="E360" s="207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  <c r="AA360" s="207"/>
      <c r="AB360" s="207"/>
      <c r="AC360" s="207"/>
      <c r="AD360" s="207"/>
      <c r="AE360" s="207"/>
      <c r="AF360" s="207"/>
      <c r="AG360" s="207"/>
      <c r="AH360" s="207"/>
      <c r="AI360" s="207"/>
      <c r="AJ360" s="207"/>
      <c r="AK360" s="207"/>
      <c r="AL360" s="207"/>
      <c r="AM360" s="207"/>
      <c r="AN360" s="207"/>
      <c r="AO360" s="207"/>
      <c r="AP360" s="207"/>
      <c r="AQ360" s="207"/>
      <c r="AR360" s="207"/>
      <c r="AS360" s="207"/>
      <c r="AT360" s="207"/>
      <c r="AU360" s="207"/>
      <c r="AV360" s="207"/>
      <c r="AW360" s="207"/>
      <c r="AX360" s="207"/>
      <c r="AY360" s="207"/>
      <c r="AZ360" s="207"/>
      <c r="BA360" s="207"/>
    </row>
    <row r="361" ht="18.75" hidden="1" customHeight="1">
      <c r="A361" s="207"/>
      <c r="B361" s="207"/>
      <c r="C361" s="207"/>
      <c r="D361" s="207"/>
      <c r="E361" s="207"/>
      <c r="F361" s="207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  <c r="AA361" s="207"/>
      <c r="AB361" s="207"/>
      <c r="AC361" s="207"/>
      <c r="AD361" s="207"/>
      <c r="AE361" s="207"/>
      <c r="AF361" s="207"/>
      <c r="AG361" s="207"/>
      <c r="AH361" s="207"/>
      <c r="AI361" s="207"/>
      <c r="AJ361" s="207"/>
      <c r="AK361" s="207"/>
      <c r="AL361" s="207"/>
      <c r="AM361" s="207"/>
      <c r="AN361" s="207"/>
      <c r="AO361" s="207"/>
      <c r="AP361" s="207"/>
      <c r="AQ361" s="207"/>
      <c r="AR361" s="207"/>
      <c r="AS361" s="207"/>
      <c r="AT361" s="207"/>
      <c r="AU361" s="207"/>
      <c r="AV361" s="207"/>
      <c r="AW361" s="207"/>
      <c r="AX361" s="207"/>
      <c r="AY361" s="207"/>
      <c r="AZ361" s="207"/>
      <c r="BA361" s="207"/>
    </row>
    <row r="362" ht="18.75" hidden="1" customHeight="1">
      <c r="A362" s="207"/>
      <c r="B362" s="207"/>
      <c r="C362" s="207"/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  <c r="AA362" s="207"/>
      <c r="AB362" s="207"/>
      <c r="AC362" s="207"/>
      <c r="AD362" s="207"/>
      <c r="AE362" s="207"/>
      <c r="AF362" s="207"/>
      <c r="AG362" s="207"/>
      <c r="AH362" s="207"/>
      <c r="AI362" s="207"/>
      <c r="AJ362" s="207"/>
      <c r="AK362" s="207"/>
      <c r="AL362" s="207"/>
      <c r="AM362" s="207"/>
      <c r="AN362" s="207"/>
      <c r="AO362" s="207"/>
      <c r="AP362" s="207"/>
      <c r="AQ362" s="207"/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</row>
    <row r="363" ht="18.75" hidden="1" customHeight="1">
      <c r="A363" s="207"/>
      <c r="B363" s="207"/>
      <c r="C363" s="207"/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  <c r="AA363" s="207"/>
      <c r="AB363" s="207"/>
      <c r="AC363" s="207"/>
      <c r="AD363" s="207"/>
      <c r="AE363" s="207"/>
      <c r="AF363" s="207"/>
      <c r="AG363" s="207"/>
      <c r="AH363" s="207"/>
      <c r="AI363" s="207"/>
      <c r="AJ363" s="207"/>
      <c r="AK363" s="207"/>
      <c r="AL363" s="207"/>
      <c r="AM363" s="207"/>
      <c r="AN363" s="207"/>
      <c r="AO363" s="207"/>
      <c r="AP363" s="207"/>
      <c r="AQ363" s="207"/>
      <c r="AR363" s="207"/>
      <c r="AS363" s="207"/>
      <c r="AT363" s="207"/>
      <c r="AU363" s="207"/>
      <c r="AV363" s="207"/>
      <c r="AW363" s="207"/>
      <c r="AX363" s="207"/>
      <c r="AY363" s="207"/>
      <c r="AZ363" s="207"/>
      <c r="BA363" s="207"/>
    </row>
    <row r="364" ht="18.75" hidden="1" customHeight="1">
      <c r="A364" s="207"/>
      <c r="B364" s="207"/>
      <c r="C364" s="207"/>
      <c r="D364" s="207"/>
      <c r="E364" s="207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  <c r="AA364" s="207"/>
      <c r="AB364" s="207"/>
      <c r="AC364" s="207"/>
      <c r="AD364" s="207"/>
      <c r="AE364" s="207"/>
      <c r="AF364" s="207"/>
      <c r="AG364" s="207"/>
      <c r="AH364" s="207"/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</row>
    <row r="365" ht="18.75" hidden="1" customHeight="1">
      <c r="A365" s="207"/>
      <c r="B365" s="207"/>
      <c r="C365" s="207"/>
      <c r="D365" s="207"/>
      <c r="E365" s="207"/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  <c r="AA365" s="207"/>
      <c r="AB365" s="207"/>
      <c r="AC365" s="207"/>
      <c r="AD365" s="207"/>
      <c r="AE365" s="207"/>
      <c r="AF365" s="207"/>
      <c r="AG365" s="207"/>
      <c r="AH365" s="207"/>
      <c r="AI365" s="207"/>
      <c r="AJ365" s="207"/>
      <c r="AK365" s="207"/>
      <c r="AL365" s="207"/>
      <c r="AM365" s="207"/>
      <c r="AN365" s="207"/>
      <c r="AO365" s="207"/>
      <c r="AP365" s="207"/>
      <c r="AQ365" s="207"/>
      <c r="AR365" s="207"/>
      <c r="AS365" s="207"/>
      <c r="AT365" s="207"/>
      <c r="AU365" s="207"/>
      <c r="AV365" s="207"/>
      <c r="AW365" s="207"/>
      <c r="AX365" s="207"/>
      <c r="AY365" s="207"/>
      <c r="AZ365" s="207"/>
      <c r="BA365" s="207"/>
    </row>
    <row r="366" ht="18.75" hidden="1" customHeight="1">
      <c r="A366" s="207"/>
      <c r="B366" s="207"/>
      <c r="C366" s="207"/>
      <c r="D366" s="207"/>
      <c r="E366" s="207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  <c r="AA366" s="207"/>
      <c r="AB366" s="207"/>
      <c r="AC366" s="207"/>
      <c r="AD366" s="207"/>
      <c r="AE366" s="207"/>
      <c r="AF366" s="207"/>
      <c r="AG366" s="207"/>
      <c r="AH366" s="207"/>
      <c r="AI366" s="207"/>
      <c r="AJ366" s="207"/>
      <c r="AK366" s="207"/>
      <c r="AL366" s="207"/>
      <c r="AM366" s="207"/>
      <c r="AN366" s="207"/>
      <c r="AO366" s="207"/>
      <c r="AP366" s="207"/>
      <c r="AQ366" s="207"/>
      <c r="AR366" s="207"/>
      <c r="AS366" s="207"/>
      <c r="AT366" s="207"/>
      <c r="AU366" s="207"/>
      <c r="AV366" s="207"/>
      <c r="AW366" s="207"/>
      <c r="AX366" s="207"/>
      <c r="AY366" s="207"/>
      <c r="AZ366" s="207"/>
      <c r="BA366" s="207"/>
    </row>
    <row r="367" ht="18.75" hidden="1" customHeight="1">
      <c r="A367" s="207"/>
      <c r="B367" s="207"/>
      <c r="C367" s="207"/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  <c r="AA367" s="207"/>
      <c r="AB367" s="207"/>
      <c r="AC367" s="207"/>
      <c r="AD367" s="207"/>
      <c r="AE367" s="207"/>
      <c r="AF367" s="207"/>
      <c r="AG367" s="207"/>
      <c r="AH367" s="207"/>
      <c r="AI367" s="207"/>
      <c r="AJ367" s="207"/>
      <c r="AK367" s="207"/>
      <c r="AL367" s="207"/>
      <c r="AM367" s="207"/>
      <c r="AN367" s="207"/>
      <c r="AO367" s="207"/>
      <c r="AP367" s="207"/>
      <c r="AQ367" s="207"/>
      <c r="AR367" s="207"/>
      <c r="AS367" s="207"/>
      <c r="AT367" s="207"/>
      <c r="AU367" s="207"/>
      <c r="AV367" s="207"/>
      <c r="AW367" s="207"/>
      <c r="AX367" s="207"/>
      <c r="AY367" s="207"/>
      <c r="AZ367" s="207"/>
      <c r="BA367" s="207"/>
    </row>
    <row r="368" ht="18.75" hidden="1" customHeight="1">
      <c r="A368" s="207"/>
      <c r="B368" s="207"/>
      <c r="C368" s="207"/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  <c r="AA368" s="207"/>
      <c r="AB368" s="207"/>
      <c r="AC368" s="207"/>
      <c r="AD368" s="207"/>
      <c r="AE368" s="207"/>
      <c r="AF368" s="207"/>
      <c r="AG368" s="207"/>
      <c r="AH368" s="207"/>
      <c r="AI368" s="207"/>
      <c r="AJ368" s="207"/>
      <c r="AK368" s="207"/>
      <c r="AL368" s="207"/>
      <c r="AM368" s="207"/>
      <c r="AN368" s="207"/>
      <c r="AO368" s="207"/>
      <c r="AP368" s="207"/>
      <c r="AQ368" s="207"/>
      <c r="AR368" s="207"/>
      <c r="AS368" s="207"/>
      <c r="AT368" s="207"/>
      <c r="AU368" s="207"/>
      <c r="AV368" s="207"/>
      <c r="AW368" s="207"/>
      <c r="AX368" s="207"/>
      <c r="AY368" s="207"/>
      <c r="AZ368" s="207"/>
      <c r="BA368" s="207"/>
    </row>
    <row r="369" ht="18.75" hidden="1" customHeight="1">
      <c r="A369" s="207"/>
      <c r="B369" s="207"/>
      <c r="C369" s="207"/>
      <c r="D369" s="207"/>
      <c r="E369" s="207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  <c r="AA369" s="207"/>
      <c r="AB369" s="207"/>
      <c r="AC369" s="207"/>
      <c r="AD369" s="207"/>
      <c r="AE369" s="207"/>
      <c r="AF369" s="207"/>
      <c r="AG369" s="207"/>
      <c r="AH369" s="207"/>
      <c r="AI369" s="207"/>
      <c r="AJ369" s="207"/>
      <c r="AK369" s="207"/>
      <c r="AL369" s="207"/>
      <c r="AM369" s="207"/>
      <c r="AN369" s="207"/>
      <c r="AO369" s="207"/>
      <c r="AP369" s="207"/>
      <c r="AQ369" s="207"/>
      <c r="AR369" s="207"/>
      <c r="AS369" s="207"/>
      <c r="AT369" s="207"/>
      <c r="AU369" s="207"/>
      <c r="AV369" s="207"/>
      <c r="AW369" s="207"/>
      <c r="AX369" s="207"/>
      <c r="AY369" s="207"/>
      <c r="AZ369" s="207"/>
      <c r="BA369" s="207"/>
    </row>
    <row r="370" ht="18.75" hidden="1" customHeight="1">
      <c r="A370" s="207"/>
      <c r="B370" s="207"/>
      <c r="C370" s="207"/>
      <c r="D370" s="207"/>
      <c r="E370" s="207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  <c r="AA370" s="207"/>
      <c r="AB370" s="207"/>
      <c r="AC370" s="207"/>
      <c r="AD370" s="207"/>
      <c r="AE370" s="207"/>
      <c r="AF370" s="207"/>
      <c r="AG370" s="207"/>
      <c r="AH370" s="207"/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</row>
    <row r="371" ht="18.75" hidden="1" customHeight="1">
      <c r="A371" s="207"/>
      <c r="B371" s="207"/>
      <c r="C371" s="207"/>
      <c r="D371" s="207"/>
      <c r="E371" s="207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  <c r="AA371" s="207"/>
      <c r="AB371" s="207"/>
      <c r="AC371" s="207"/>
      <c r="AD371" s="207"/>
      <c r="AE371" s="207"/>
      <c r="AF371" s="207"/>
      <c r="AG371" s="207"/>
      <c r="AH371" s="207"/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</row>
    <row r="372" ht="18.75" hidden="1" customHeight="1">
      <c r="A372" s="207"/>
      <c r="B372" s="207"/>
      <c r="C372" s="207"/>
      <c r="D372" s="207"/>
      <c r="E372" s="207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  <c r="AA372" s="207"/>
      <c r="AB372" s="207"/>
      <c r="AC372" s="207"/>
      <c r="AD372" s="207"/>
      <c r="AE372" s="207"/>
      <c r="AF372" s="207"/>
      <c r="AG372" s="207"/>
      <c r="AH372" s="207"/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</row>
    <row r="373" ht="18.75" hidden="1" customHeight="1">
      <c r="A373" s="207"/>
      <c r="B373" s="207"/>
      <c r="C373" s="207"/>
      <c r="D373" s="207"/>
      <c r="E373" s="207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  <c r="AA373" s="207"/>
      <c r="AB373" s="207"/>
      <c r="AC373" s="207"/>
      <c r="AD373" s="207"/>
      <c r="AE373" s="207"/>
      <c r="AF373" s="207"/>
      <c r="AG373" s="207"/>
      <c r="AH373" s="207"/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</row>
    <row r="374" ht="18.75" hidden="1" customHeight="1">
      <c r="A374" s="207"/>
      <c r="B374" s="207"/>
      <c r="C374" s="207"/>
      <c r="D374" s="207"/>
      <c r="E374" s="207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  <c r="AA374" s="207"/>
      <c r="AB374" s="207"/>
      <c r="AC374" s="207"/>
      <c r="AD374" s="207"/>
      <c r="AE374" s="207"/>
      <c r="AF374" s="207"/>
      <c r="AG374" s="207"/>
      <c r="AH374" s="207"/>
      <c r="AI374" s="207"/>
      <c r="AJ374" s="207"/>
      <c r="AK374" s="207"/>
      <c r="AL374" s="207"/>
      <c r="AM374" s="207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7"/>
    </row>
    <row r="375" ht="18.75" hidden="1" customHeight="1">
      <c r="A375" s="207"/>
      <c r="B375" s="207"/>
      <c r="C375" s="207"/>
      <c r="D375" s="207"/>
      <c r="E375" s="207"/>
      <c r="F375" s="207"/>
      <c r="G375" s="207"/>
      <c r="H375" s="207"/>
      <c r="I375" s="207"/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  <c r="AA375" s="207"/>
      <c r="AB375" s="207"/>
      <c r="AC375" s="207"/>
      <c r="AD375" s="207"/>
      <c r="AE375" s="207"/>
      <c r="AF375" s="207"/>
      <c r="AG375" s="207"/>
      <c r="AH375" s="207"/>
      <c r="AI375" s="207"/>
      <c r="AJ375" s="207"/>
      <c r="AK375" s="207"/>
      <c r="AL375" s="207"/>
      <c r="AM375" s="207"/>
      <c r="AN375" s="207"/>
      <c r="AO375" s="207"/>
      <c r="AP375" s="207"/>
      <c r="AQ375" s="207"/>
      <c r="AR375" s="207"/>
      <c r="AS375" s="207"/>
      <c r="AT375" s="207"/>
      <c r="AU375" s="207"/>
      <c r="AV375" s="207"/>
      <c r="AW375" s="207"/>
      <c r="AX375" s="207"/>
      <c r="AY375" s="207"/>
      <c r="AZ375" s="207"/>
      <c r="BA375" s="207"/>
    </row>
    <row r="376" ht="18.75" hidden="1" customHeight="1">
      <c r="A376" s="207"/>
      <c r="B376" s="207"/>
      <c r="C376" s="207"/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  <c r="AA376" s="207"/>
      <c r="AB376" s="207"/>
      <c r="AC376" s="207"/>
      <c r="AD376" s="207"/>
      <c r="AE376" s="207"/>
      <c r="AF376" s="207"/>
      <c r="AG376" s="207"/>
      <c r="AH376" s="207"/>
      <c r="AI376" s="207"/>
      <c r="AJ376" s="207"/>
      <c r="AK376" s="207"/>
      <c r="AL376" s="207"/>
      <c r="AM376" s="207"/>
      <c r="AN376" s="207"/>
      <c r="AO376" s="207"/>
      <c r="AP376" s="207"/>
      <c r="AQ376" s="207"/>
      <c r="AR376" s="207"/>
      <c r="AS376" s="207"/>
      <c r="AT376" s="207"/>
      <c r="AU376" s="207"/>
      <c r="AV376" s="207"/>
      <c r="AW376" s="207"/>
      <c r="AX376" s="207"/>
      <c r="AY376" s="207"/>
      <c r="AZ376" s="207"/>
      <c r="BA376" s="207"/>
    </row>
    <row r="377" ht="18.75" hidden="1" customHeight="1">
      <c r="A377" s="207"/>
      <c r="B377" s="207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  <c r="AA377" s="207"/>
      <c r="AB377" s="207"/>
      <c r="AC377" s="207"/>
      <c r="AD377" s="207"/>
      <c r="AE377" s="207"/>
      <c r="AF377" s="207"/>
      <c r="AG377" s="207"/>
      <c r="AH377" s="207"/>
      <c r="AI377" s="207"/>
      <c r="AJ377" s="207"/>
      <c r="AK377" s="207"/>
      <c r="AL377" s="207"/>
      <c r="AM377" s="207"/>
      <c r="AN377" s="207"/>
      <c r="AO377" s="207"/>
      <c r="AP377" s="207"/>
      <c r="AQ377" s="207"/>
      <c r="AR377" s="207"/>
      <c r="AS377" s="207"/>
      <c r="AT377" s="207"/>
      <c r="AU377" s="207"/>
      <c r="AV377" s="207"/>
      <c r="AW377" s="207"/>
      <c r="AX377" s="207"/>
      <c r="AY377" s="207"/>
      <c r="AZ377" s="207"/>
      <c r="BA377" s="207"/>
    </row>
    <row r="378" ht="18.75" hidden="1" customHeight="1">
      <c r="A378" s="207"/>
      <c r="B378" s="207"/>
      <c r="C378" s="207"/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  <c r="AA378" s="207"/>
      <c r="AB378" s="207"/>
      <c r="AC378" s="207"/>
      <c r="AD378" s="207"/>
      <c r="AE378" s="207"/>
      <c r="AF378" s="207"/>
      <c r="AG378" s="207"/>
      <c r="AH378" s="207"/>
      <c r="AI378" s="207"/>
      <c r="AJ378" s="207"/>
      <c r="AK378" s="207"/>
      <c r="AL378" s="207"/>
      <c r="AM378" s="207"/>
      <c r="AN378" s="207"/>
      <c r="AO378" s="207"/>
      <c r="AP378" s="207"/>
      <c r="AQ378" s="207"/>
      <c r="AR378" s="207"/>
      <c r="AS378" s="207"/>
      <c r="AT378" s="207"/>
      <c r="AU378" s="207"/>
      <c r="AV378" s="207"/>
      <c r="AW378" s="207"/>
      <c r="AX378" s="207"/>
      <c r="AY378" s="207"/>
      <c r="AZ378" s="207"/>
      <c r="BA378" s="207"/>
    </row>
    <row r="379" ht="18.75" hidden="1" customHeight="1">
      <c r="A379" s="207"/>
      <c r="B379" s="207"/>
      <c r="C379" s="207"/>
      <c r="D379" s="207"/>
      <c r="E379" s="207"/>
      <c r="F379" s="207"/>
      <c r="G379" s="207"/>
      <c r="H379" s="207"/>
      <c r="I379" s="207"/>
      <c r="J379" s="207"/>
      <c r="K379" s="207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  <c r="AA379" s="207"/>
      <c r="AB379" s="207"/>
      <c r="AC379" s="207"/>
      <c r="AD379" s="207"/>
      <c r="AE379" s="207"/>
      <c r="AF379" s="207"/>
      <c r="AG379" s="207"/>
      <c r="AH379" s="207"/>
      <c r="AI379" s="207"/>
      <c r="AJ379" s="207"/>
      <c r="AK379" s="207"/>
      <c r="AL379" s="207"/>
      <c r="AM379" s="207"/>
      <c r="AN379" s="207"/>
      <c r="AO379" s="207"/>
      <c r="AP379" s="207"/>
      <c r="AQ379" s="207"/>
      <c r="AR379" s="207"/>
      <c r="AS379" s="207"/>
      <c r="AT379" s="207"/>
      <c r="AU379" s="207"/>
      <c r="AV379" s="207"/>
      <c r="AW379" s="207"/>
      <c r="AX379" s="207"/>
      <c r="AY379" s="207"/>
      <c r="AZ379" s="207"/>
      <c r="BA379" s="207"/>
    </row>
    <row r="380" ht="18.75" hidden="1" customHeight="1">
      <c r="A380" s="207"/>
      <c r="B380" s="207"/>
      <c r="C380" s="207"/>
      <c r="D380" s="207"/>
      <c r="E380" s="207"/>
      <c r="F380" s="207"/>
      <c r="G380" s="207"/>
      <c r="H380" s="207"/>
      <c r="I380" s="207"/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  <c r="AA380" s="207"/>
      <c r="AB380" s="207"/>
      <c r="AC380" s="207"/>
      <c r="AD380" s="207"/>
      <c r="AE380" s="207"/>
      <c r="AF380" s="207"/>
      <c r="AG380" s="207"/>
      <c r="AH380" s="207"/>
      <c r="AI380" s="207"/>
      <c r="AJ380" s="207"/>
      <c r="AK380" s="207"/>
      <c r="AL380" s="207"/>
      <c r="AM380" s="207"/>
      <c r="AN380" s="207"/>
      <c r="AO380" s="207"/>
      <c r="AP380" s="207"/>
      <c r="AQ380" s="207"/>
      <c r="AR380" s="207"/>
      <c r="AS380" s="207"/>
      <c r="AT380" s="207"/>
      <c r="AU380" s="207"/>
      <c r="AV380" s="207"/>
      <c r="AW380" s="207"/>
      <c r="AX380" s="207"/>
      <c r="AY380" s="207"/>
      <c r="AZ380" s="207"/>
      <c r="BA380" s="207"/>
    </row>
    <row r="381" ht="18.75" hidden="1" customHeight="1">
      <c r="A381" s="207"/>
      <c r="B381" s="207"/>
      <c r="C381" s="207"/>
      <c r="D381" s="207"/>
      <c r="E381" s="207"/>
      <c r="F381" s="207"/>
      <c r="G381" s="207"/>
      <c r="H381" s="207"/>
      <c r="I381" s="207"/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  <c r="AA381" s="207"/>
      <c r="AB381" s="207"/>
      <c r="AC381" s="207"/>
      <c r="AD381" s="207"/>
      <c r="AE381" s="207"/>
      <c r="AF381" s="207"/>
      <c r="AG381" s="207"/>
      <c r="AH381" s="207"/>
      <c r="AI381" s="207"/>
      <c r="AJ381" s="207"/>
      <c r="AK381" s="207"/>
      <c r="AL381" s="207"/>
      <c r="AM381" s="207"/>
      <c r="AN381" s="207"/>
      <c r="AO381" s="207"/>
      <c r="AP381" s="207"/>
      <c r="AQ381" s="207"/>
      <c r="AR381" s="207"/>
      <c r="AS381" s="207"/>
      <c r="AT381" s="207"/>
      <c r="AU381" s="207"/>
      <c r="AV381" s="207"/>
      <c r="AW381" s="207"/>
      <c r="AX381" s="207"/>
      <c r="AY381" s="207"/>
      <c r="AZ381" s="207"/>
      <c r="BA381" s="207"/>
    </row>
    <row r="382" ht="18.75" hidden="1" customHeight="1">
      <c r="A382" s="207"/>
      <c r="B382" s="207"/>
      <c r="C382" s="207"/>
      <c r="D382" s="207"/>
      <c r="E382" s="207"/>
      <c r="F382" s="207"/>
      <c r="G382" s="207"/>
      <c r="H382" s="207"/>
      <c r="I382" s="207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  <c r="AA382" s="207"/>
      <c r="AB382" s="207"/>
      <c r="AC382" s="207"/>
      <c r="AD382" s="207"/>
      <c r="AE382" s="207"/>
      <c r="AF382" s="207"/>
      <c r="AG382" s="207"/>
      <c r="AH382" s="207"/>
      <c r="AI382" s="207"/>
      <c r="AJ382" s="207"/>
      <c r="AK382" s="207"/>
      <c r="AL382" s="207"/>
      <c r="AM382" s="207"/>
      <c r="AN382" s="207"/>
      <c r="AO382" s="207"/>
      <c r="AP382" s="207"/>
      <c r="AQ382" s="207"/>
      <c r="AR382" s="207"/>
      <c r="AS382" s="207"/>
      <c r="AT382" s="207"/>
      <c r="AU382" s="207"/>
      <c r="AV382" s="207"/>
      <c r="AW382" s="207"/>
      <c r="AX382" s="207"/>
      <c r="AY382" s="207"/>
      <c r="AZ382" s="207"/>
      <c r="BA382" s="207"/>
    </row>
    <row r="383" ht="18.75" hidden="1" customHeight="1">
      <c r="A383" s="207"/>
      <c r="B383" s="207"/>
      <c r="C383" s="207"/>
      <c r="D383" s="207"/>
      <c r="E383" s="207"/>
      <c r="F383" s="207"/>
      <c r="G383" s="207"/>
      <c r="H383" s="207"/>
      <c r="I383" s="207"/>
      <c r="J383" s="207"/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  <c r="AA383" s="207"/>
      <c r="AB383" s="207"/>
      <c r="AC383" s="207"/>
      <c r="AD383" s="207"/>
      <c r="AE383" s="207"/>
      <c r="AF383" s="207"/>
      <c r="AG383" s="207"/>
      <c r="AH383" s="207"/>
      <c r="AI383" s="207"/>
      <c r="AJ383" s="207"/>
      <c r="AK383" s="207"/>
      <c r="AL383" s="207"/>
      <c r="AM383" s="207"/>
      <c r="AN383" s="207"/>
      <c r="AO383" s="207"/>
      <c r="AP383" s="207"/>
      <c r="AQ383" s="207"/>
      <c r="AR383" s="207"/>
      <c r="AS383" s="207"/>
      <c r="AT383" s="207"/>
      <c r="AU383" s="207"/>
      <c r="AV383" s="207"/>
      <c r="AW383" s="207"/>
      <c r="AX383" s="207"/>
      <c r="AY383" s="207"/>
      <c r="AZ383" s="207"/>
      <c r="BA383" s="207"/>
    </row>
    <row r="384" ht="18.75" hidden="1" customHeight="1">
      <c r="A384" s="207"/>
      <c r="B384" s="207"/>
      <c r="C384" s="207"/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  <c r="AB384" s="207"/>
      <c r="AC384" s="207"/>
      <c r="AD384" s="207"/>
      <c r="AE384" s="207"/>
      <c r="AF384" s="207"/>
      <c r="AG384" s="207"/>
      <c r="AH384" s="207"/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</row>
    <row r="385" ht="18.75" hidden="1" customHeight="1">
      <c r="A385" s="207"/>
      <c r="B385" s="207"/>
      <c r="C385" s="207"/>
      <c r="D385" s="207"/>
      <c r="E385" s="207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  <c r="AA385" s="207"/>
      <c r="AB385" s="207"/>
      <c r="AC385" s="207"/>
      <c r="AD385" s="207"/>
      <c r="AE385" s="207"/>
      <c r="AF385" s="207"/>
      <c r="AG385" s="207"/>
      <c r="AH385" s="207"/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07"/>
    </row>
    <row r="386" ht="18.75" hidden="1" customHeight="1">
      <c r="A386" s="207"/>
      <c r="B386" s="207"/>
      <c r="C386" s="207"/>
      <c r="D386" s="207"/>
      <c r="E386" s="207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  <c r="AB386" s="207"/>
      <c r="AC386" s="207"/>
      <c r="AD386" s="207"/>
      <c r="AE386" s="207"/>
      <c r="AF386" s="207"/>
      <c r="AG386" s="207"/>
      <c r="AH386" s="207"/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</row>
    <row r="387" ht="18.75" hidden="1" customHeight="1">
      <c r="A387" s="207"/>
      <c r="B387" s="207"/>
      <c r="C387" s="207"/>
      <c r="D387" s="207"/>
      <c r="E387" s="207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  <c r="AB387" s="207"/>
      <c r="AC387" s="207"/>
      <c r="AD387" s="207"/>
      <c r="AE387" s="207"/>
      <c r="AF387" s="207"/>
      <c r="AG387" s="207"/>
      <c r="AH387" s="207"/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</row>
    <row r="388" ht="18.75" hidden="1" customHeight="1">
      <c r="A388" s="207"/>
      <c r="B388" s="207"/>
      <c r="C388" s="207"/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  <c r="AA388" s="207"/>
      <c r="AB388" s="207"/>
      <c r="AC388" s="207"/>
      <c r="AD388" s="207"/>
      <c r="AE388" s="207"/>
      <c r="AF388" s="207"/>
      <c r="AG388" s="207"/>
      <c r="AH388" s="207"/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07"/>
    </row>
    <row r="389" ht="18.75" hidden="1" customHeight="1">
      <c r="A389" s="207"/>
      <c r="B389" s="207"/>
      <c r="C389" s="207"/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  <c r="AA389" s="207"/>
      <c r="AB389" s="207"/>
      <c r="AC389" s="207"/>
      <c r="AD389" s="207"/>
      <c r="AE389" s="207"/>
      <c r="AF389" s="207"/>
      <c r="AG389" s="207"/>
      <c r="AH389" s="207"/>
      <c r="AI389" s="207"/>
      <c r="AJ389" s="207"/>
      <c r="AK389" s="207"/>
      <c r="AL389" s="207"/>
      <c r="AM389" s="207"/>
      <c r="AN389" s="207"/>
      <c r="AO389" s="207"/>
      <c r="AP389" s="207"/>
      <c r="AQ389" s="207"/>
      <c r="AR389" s="207"/>
      <c r="AS389" s="207"/>
      <c r="AT389" s="207"/>
      <c r="AU389" s="207"/>
      <c r="AV389" s="207"/>
      <c r="AW389" s="207"/>
      <c r="AX389" s="207"/>
      <c r="AY389" s="207"/>
      <c r="AZ389" s="207"/>
      <c r="BA389" s="207"/>
    </row>
    <row r="390" ht="18.75" hidden="1" customHeight="1">
      <c r="A390" s="207"/>
      <c r="B390" s="207"/>
      <c r="C390" s="207"/>
      <c r="D390" s="207"/>
      <c r="E390" s="207"/>
      <c r="F390" s="207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  <c r="AA390" s="207"/>
      <c r="AB390" s="207"/>
      <c r="AC390" s="207"/>
      <c r="AD390" s="207"/>
      <c r="AE390" s="207"/>
      <c r="AF390" s="207"/>
      <c r="AG390" s="207"/>
      <c r="AH390" s="207"/>
      <c r="AI390" s="207"/>
      <c r="AJ390" s="207"/>
      <c r="AK390" s="207"/>
      <c r="AL390" s="207"/>
      <c r="AM390" s="207"/>
      <c r="AN390" s="207"/>
      <c r="AO390" s="207"/>
      <c r="AP390" s="207"/>
      <c r="AQ390" s="207"/>
      <c r="AR390" s="207"/>
      <c r="AS390" s="207"/>
      <c r="AT390" s="207"/>
      <c r="AU390" s="207"/>
      <c r="AV390" s="207"/>
      <c r="AW390" s="207"/>
      <c r="AX390" s="207"/>
      <c r="AY390" s="207"/>
      <c r="AZ390" s="207"/>
      <c r="BA390" s="207"/>
    </row>
    <row r="391" ht="18.75" hidden="1" customHeight="1">
      <c r="A391" s="207"/>
      <c r="B391" s="207"/>
      <c r="C391" s="207"/>
      <c r="D391" s="207"/>
      <c r="E391" s="207"/>
      <c r="F391" s="207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  <c r="AA391" s="207"/>
      <c r="AB391" s="207"/>
      <c r="AC391" s="207"/>
      <c r="AD391" s="207"/>
      <c r="AE391" s="207"/>
      <c r="AF391" s="207"/>
      <c r="AG391" s="207"/>
      <c r="AH391" s="207"/>
      <c r="AI391" s="207"/>
      <c r="AJ391" s="207"/>
      <c r="AK391" s="207"/>
      <c r="AL391" s="207"/>
      <c r="AM391" s="207"/>
      <c r="AN391" s="207"/>
      <c r="AO391" s="207"/>
      <c r="AP391" s="207"/>
      <c r="AQ391" s="207"/>
      <c r="AR391" s="207"/>
      <c r="AS391" s="207"/>
      <c r="AT391" s="207"/>
      <c r="AU391" s="207"/>
      <c r="AV391" s="207"/>
      <c r="AW391" s="207"/>
      <c r="AX391" s="207"/>
      <c r="AY391" s="207"/>
      <c r="AZ391" s="207"/>
      <c r="BA391" s="207"/>
    </row>
    <row r="392" ht="18.75" hidden="1" customHeight="1">
      <c r="A392" s="207"/>
      <c r="B392" s="207"/>
      <c r="C392" s="207"/>
      <c r="D392" s="207"/>
      <c r="E392" s="207"/>
      <c r="F392" s="207"/>
      <c r="G392" s="207"/>
      <c r="H392" s="207"/>
      <c r="I392" s="207"/>
      <c r="J392" s="207"/>
      <c r="K392" s="207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  <c r="AA392" s="207"/>
      <c r="AB392" s="207"/>
      <c r="AC392" s="207"/>
      <c r="AD392" s="207"/>
      <c r="AE392" s="207"/>
      <c r="AF392" s="207"/>
      <c r="AG392" s="207"/>
      <c r="AH392" s="207"/>
      <c r="AI392" s="207"/>
      <c r="AJ392" s="207"/>
      <c r="AK392" s="207"/>
      <c r="AL392" s="207"/>
      <c r="AM392" s="207"/>
      <c r="AN392" s="207"/>
      <c r="AO392" s="207"/>
      <c r="AP392" s="207"/>
      <c r="AQ392" s="207"/>
      <c r="AR392" s="207"/>
      <c r="AS392" s="207"/>
      <c r="AT392" s="207"/>
      <c r="AU392" s="207"/>
      <c r="AV392" s="207"/>
      <c r="AW392" s="207"/>
      <c r="AX392" s="207"/>
      <c r="AY392" s="207"/>
      <c r="AZ392" s="207"/>
      <c r="BA392" s="207"/>
    </row>
    <row r="393" ht="18.75" hidden="1" customHeight="1">
      <c r="A393" s="207"/>
      <c r="B393" s="207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  <c r="AA393" s="207"/>
      <c r="AB393" s="207"/>
      <c r="AC393" s="207"/>
      <c r="AD393" s="207"/>
      <c r="AE393" s="207"/>
      <c r="AF393" s="207"/>
      <c r="AG393" s="207"/>
      <c r="AH393" s="207"/>
      <c r="AI393" s="207"/>
      <c r="AJ393" s="207"/>
      <c r="AK393" s="207"/>
      <c r="AL393" s="207"/>
      <c r="AM393" s="207"/>
      <c r="AN393" s="207"/>
      <c r="AO393" s="207"/>
      <c r="AP393" s="207"/>
      <c r="AQ393" s="207"/>
      <c r="AR393" s="207"/>
      <c r="AS393" s="207"/>
      <c r="AT393" s="207"/>
      <c r="AU393" s="207"/>
      <c r="AV393" s="207"/>
      <c r="AW393" s="207"/>
      <c r="AX393" s="207"/>
      <c r="AY393" s="207"/>
      <c r="AZ393" s="207"/>
      <c r="BA393" s="207"/>
    </row>
    <row r="394" ht="18.75" hidden="1" customHeight="1">
      <c r="A394" s="207"/>
      <c r="B394" s="207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  <c r="AA394" s="207"/>
      <c r="AB394" s="207"/>
      <c r="AC394" s="207"/>
      <c r="AD394" s="207"/>
      <c r="AE394" s="207"/>
      <c r="AF394" s="207"/>
      <c r="AG394" s="207"/>
      <c r="AH394" s="207"/>
      <c r="AI394" s="207"/>
      <c r="AJ394" s="207"/>
      <c r="AK394" s="207"/>
      <c r="AL394" s="207"/>
      <c r="AM394" s="207"/>
      <c r="AN394" s="207"/>
      <c r="AO394" s="207"/>
      <c r="AP394" s="207"/>
      <c r="AQ394" s="207"/>
      <c r="AR394" s="207"/>
      <c r="AS394" s="207"/>
      <c r="AT394" s="207"/>
      <c r="AU394" s="207"/>
      <c r="AV394" s="207"/>
      <c r="AW394" s="207"/>
      <c r="AX394" s="207"/>
      <c r="AY394" s="207"/>
      <c r="AZ394" s="207"/>
      <c r="BA394" s="207"/>
    </row>
    <row r="395" ht="18.75" hidden="1" customHeight="1">
      <c r="A395" s="207"/>
      <c r="B395" s="207"/>
      <c r="C395" s="207"/>
      <c r="D395" s="207"/>
      <c r="E395" s="207"/>
      <c r="F395" s="207"/>
      <c r="G395" s="207"/>
      <c r="H395" s="207"/>
      <c r="I395" s="207"/>
      <c r="J395" s="207"/>
      <c r="K395" s="207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  <c r="AA395" s="207"/>
      <c r="AB395" s="207"/>
      <c r="AC395" s="207"/>
      <c r="AD395" s="207"/>
      <c r="AE395" s="207"/>
      <c r="AF395" s="207"/>
      <c r="AG395" s="207"/>
      <c r="AH395" s="207"/>
      <c r="AI395" s="207"/>
      <c r="AJ395" s="207"/>
      <c r="AK395" s="207"/>
      <c r="AL395" s="207"/>
      <c r="AM395" s="207"/>
      <c r="AN395" s="207"/>
      <c r="AO395" s="207"/>
      <c r="AP395" s="207"/>
      <c r="AQ395" s="207"/>
      <c r="AR395" s="207"/>
      <c r="AS395" s="207"/>
      <c r="AT395" s="207"/>
      <c r="AU395" s="207"/>
      <c r="AV395" s="207"/>
      <c r="AW395" s="207"/>
      <c r="AX395" s="207"/>
      <c r="AY395" s="207"/>
      <c r="AZ395" s="207"/>
      <c r="BA395" s="207"/>
    </row>
    <row r="396" ht="18.75" hidden="1" customHeight="1">
      <c r="A396" s="207"/>
      <c r="B396" s="207"/>
      <c r="C396" s="207"/>
      <c r="D396" s="207"/>
      <c r="E396" s="207"/>
      <c r="F396" s="207"/>
      <c r="G396" s="207"/>
      <c r="H396" s="207"/>
      <c r="I396" s="207"/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  <c r="AA396" s="207"/>
      <c r="AB396" s="207"/>
      <c r="AC396" s="207"/>
      <c r="AD396" s="207"/>
      <c r="AE396" s="207"/>
      <c r="AF396" s="207"/>
      <c r="AG396" s="207"/>
      <c r="AH396" s="207"/>
      <c r="AI396" s="207"/>
      <c r="AJ396" s="207"/>
      <c r="AK396" s="207"/>
      <c r="AL396" s="207"/>
      <c r="AM396" s="207"/>
      <c r="AN396" s="207"/>
      <c r="AO396" s="207"/>
      <c r="AP396" s="207"/>
      <c r="AQ396" s="207"/>
      <c r="AR396" s="207"/>
      <c r="AS396" s="207"/>
      <c r="AT396" s="207"/>
      <c r="AU396" s="207"/>
      <c r="AV396" s="207"/>
      <c r="AW396" s="207"/>
      <c r="AX396" s="207"/>
      <c r="AY396" s="207"/>
      <c r="AZ396" s="207"/>
      <c r="BA396" s="207"/>
    </row>
    <row r="397" ht="18.75" hidden="1" customHeight="1">
      <c r="A397" s="207"/>
      <c r="B397" s="207"/>
      <c r="C397" s="207"/>
      <c r="D397" s="207"/>
      <c r="E397" s="207"/>
      <c r="F397" s="207"/>
      <c r="G397" s="207"/>
      <c r="H397" s="207"/>
      <c r="I397" s="207"/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  <c r="AA397" s="207"/>
      <c r="AB397" s="207"/>
      <c r="AC397" s="207"/>
      <c r="AD397" s="207"/>
      <c r="AE397" s="207"/>
      <c r="AF397" s="207"/>
      <c r="AG397" s="207"/>
      <c r="AH397" s="207"/>
      <c r="AI397" s="207"/>
      <c r="AJ397" s="207"/>
      <c r="AK397" s="207"/>
      <c r="AL397" s="207"/>
      <c r="AM397" s="207"/>
      <c r="AN397" s="207"/>
      <c r="AO397" s="207"/>
      <c r="AP397" s="207"/>
      <c r="AQ397" s="207"/>
      <c r="AR397" s="207"/>
      <c r="AS397" s="207"/>
      <c r="AT397" s="207"/>
      <c r="AU397" s="207"/>
      <c r="AV397" s="207"/>
      <c r="AW397" s="207"/>
      <c r="AX397" s="207"/>
      <c r="AY397" s="207"/>
      <c r="AZ397" s="207"/>
      <c r="BA397" s="207"/>
    </row>
    <row r="398" ht="18.75" hidden="1" customHeight="1">
      <c r="A398" s="207"/>
      <c r="B398" s="207"/>
      <c r="C398" s="207"/>
      <c r="D398" s="207"/>
      <c r="E398" s="207"/>
      <c r="F398" s="207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  <c r="AA398" s="207"/>
      <c r="AB398" s="207"/>
      <c r="AC398" s="207"/>
      <c r="AD398" s="207"/>
      <c r="AE398" s="207"/>
      <c r="AF398" s="207"/>
      <c r="AG398" s="207"/>
      <c r="AH398" s="207"/>
      <c r="AI398" s="207"/>
      <c r="AJ398" s="207"/>
      <c r="AK398" s="207"/>
      <c r="AL398" s="207"/>
      <c r="AM398" s="207"/>
      <c r="AN398" s="207"/>
      <c r="AO398" s="207"/>
      <c r="AP398" s="207"/>
      <c r="AQ398" s="207"/>
      <c r="AR398" s="207"/>
      <c r="AS398" s="207"/>
      <c r="AT398" s="207"/>
      <c r="AU398" s="207"/>
      <c r="AV398" s="207"/>
      <c r="AW398" s="207"/>
      <c r="AX398" s="207"/>
      <c r="AY398" s="207"/>
      <c r="AZ398" s="207"/>
      <c r="BA398" s="207"/>
    </row>
    <row r="399" ht="18.75" hidden="1" customHeight="1">
      <c r="A399" s="207"/>
      <c r="B399" s="207"/>
      <c r="C399" s="207"/>
      <c r="D399" s="207"/>
      <c r="E399" s="207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  <c r="AA399" s="207"/>
      <c r="AB399" s="207"/>
      <c r="AC399" s="207"/>
      <c r="AD399" s="207"/>
      <c r="AE399" s="207"/>
      <c r="AF399" s="207"/>
      <c r="AG399" s="207"/>
      <c r="AH399" s="207"/>
      <c r="AI399" s="207"/>
      <c r="AJ399" s="207"/>
      <c r="AK399" s="207"/>
      <c r="AL399" s="207"/>
      <c r="AM399" s="207"/>
      <c r="AN399" s="207"/>
      <c r="AO399" s="207"/>
      <c r="AP399" s="207"/>
      <c r="AQ399" s="207"/>
      <c r="AR399" s="207"/>
      <c r="AS399" s="207"/>
      <c r="AT399" s="207"/>
      <c r="AU399" s="207"/>
      <c r="AV399" s="207"/>
      <c r="AW399" s="207"/>
      <c r="AX399" s="207"/>
      <c r="AY399" s="207"/>
      <c r="AZ399" s="207"/>
      <c r="BA399" s="207"/>
    </row>
    <row r="400" ht="18.75" hidden="1" customHeight="1">
      <c r="A400" s="207"/>
      <c r="B400" s="207"/>
      <c r="C400" s="207"/>
      <c r="D400" s="207"/>
      <c r="E400" s="207"/>
      <c r="F400" s="207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  <c r="AA400" s="207"/>
      <c r="AB400" s="207"/>
      <c r="AC400" s="207"/>
      <c r="AD400" s="207"/>
      <c r="AE400" s="207"/>
      <c r="AF400" s="207"/>
      <c r="AG400" s="207"/>
      <c r="AH400" s="207"/>
      <c r="AI400" s="207"/>
      <c r="AJ400" s="207"/>
      <c r="AK400" s="207"/>
      <c r="AL400" s="207"/>
      <c r="AM400" s="207"/>
      <c r="AN400" s="207"/>
      <c r="AO400" s="207"/>
      <c r="AP400" s="207"/>
      <c r="AQ400" s="207"/>
      <c r="AR400" s="207"/>
      <c r="AS400" s="207"/>
      <c r="AT400" s="207"/>
      <c r="AU400" s="207"/>
      <c r="AV400" s="207"/>
      <c r="AW400" s="207"/>
      <c r="AX400" s="207"/>
      <c r="AY400" s="207"/>
      <c r="AZ400" s="207"/>
      <c r="BA400" s="207"/>
    </row>
    <row r="401" ht="18.75" hidden="1" customHeight="1">
      <c r="A401" s="207"/>
      <c r="B401" s="207"/>
      <c r="C401" s="207"/>
      <c r="D401" s="207"/>
      <c r="E401" s="207"/>
      <c r="F401" s="207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  <c r="AA401" s="207"/>
      <c r="AB401" s="207"/>
      <c r="AC401" s="207"/>
      <c r="AD401" s="207"/>
      <c r="AE401" s="207"/>
      <c r="AF401" s="207"/>
      <c r="AG401" s="207"/>
      <c r="AH401" s="207"/>
      <c r="AI401" s="207"/>
      <c r="AJ401" s="207"/>
      <c r="AK401" s="207"/>
      <c r="AL401" s="207"/>
      <c r="AM401" s="207"/>
      <c r="AN401" s="207"/>
      <c r="AO401" s="207"/>
      <c r="AP401" s="207"/>
      <c r="AQ401" s="207"/>
      <c r="AR401" s="207"/>
      <c r="AS401" s="207"/>
      <c r="AT401" s="207"/>
      <c r="AU401" s="207"/>
      <c r="AV401" s="207"/>
      <c r="AW401" s="207"/>
      <c r="AX401" s="207"/>
      <c r="AY401" s="207"/>
      <c r="AZ401" s="207"/>
      <c r="BA401" s="207"/>
    </row>
    <row r="402" ht="18.75" hidden="1" customHeight="1">
      <c r="A402" s="207"/>
      <c r="B402" s="207"/>
      <c r="C402" s="207"/>
      <c r="D402" s="207"/>
      <c r="E402" s="207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  <c r="AA402" s="207"/>
      <c r="AB402" s="207"/>
      <c r="AC402" s="207"/>
      <c r="AD402" s="207"/>
      <c r="AE402" s="207"/>
      <c r="AF402" s="207"/>
      <c r="AG402" s="207"/>
      <c r="AH402" s="207"/>
      <c r="AI402" s="207"/>
      <c r="AJ402" s="207"/>
      <c r="AK402" s="207"/>
      <c r="AL402" s="207"/>
      <c r="AM402" s="207"/>
      <c r="AN402" s="207"/>
      <c r="AO402" s="207"/>
      <c r="AP402" s="207"/>
      <c r="AQ402" s="207"/>
      <c r="AR402" s="207"/>
      <c r="AS402" s="207"/>
      <c r="AT402" s="207"/>
      <c r="AU402" s="207"/>
      <c r="AV402" s="207"/>
      <c r="AW402" s="207"/>
      <c r="AX402" s="207"/>
      <c r="AY402" s="207"/>
      <c r="AZ402" s="207"/>
      <c r="BA402" s="207"/>
    </row>
    <row r="403" ht="18.75" hidden="1" customHeight="1">
      <c r="A403" s="207"/>
      <c r="B403" s="207"/>
      <c r="C403" s="207"/>
      <c r="D403" s="207"/>
      <c r="E403" s="207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  <c r="AA403" s="207"/>
      <c r="AB403" s="207"/>
      <c r="AC403" s="207"/>
      <c r="AD403" s="207"/>
      <c r="AE403" s="207"/>
      <c r="AF403" s="207"/>
      <c r="AG403" s="207"/>
      <c r="AH403" s="207"/>
      <c r="AI403" s="207"/>
      <c r="AJ403" s="207"/>
      <c r="AK403" s="207"/>
      <c r="AL403" s="207"/>
      <c r="AM403" s="207"/>
      <c r="AN403" s="207"/>
      <c r="AO403" s="207"/>
      <c r="AP403" s="207"/>
      <c r="AQ403" s="207"/>
      <c r="AR403" s="207"/>
      <c r="AS403" s="207"/>
      <c r="AT403" s="207"/>
      <c r="AU403" s="207"/>
      <c r="AV403" s="207"/>
      <c r="AW403" s="207"/>
      <c r="AX403" s="207"/>
      <c r="AY403" s="207"/>
      <c r="AZ403" s="207"/>
      <c r="BA403" s="207"/>
    </row>
    <row r="404" ht="18.75" hidden="1" customHeight="1">
      <c r="A404" s="207"/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  <c r="AA404" s="207"/>
      <c r="AB404" s="207"/>
      <c r="AC404" s="207"/>
      <c r="AD404" s="207"/>
      <c r="AE404" s="207"/>
      <c r="AF404" s="207"/>
      <c r="AG404" s="207"/>
      <c r="AH404" s="207"/>
      <c r="AI404" s="207"/>
      <c r="AJ404" s="207"/>
      <c r="AK404" s="207"/>
      <c r="AL404" s="207"/>
      <c r="AM404" s="207"/>
      <c r="AN404" s="207"/>
      <c r="AO404" s="207"/>
      <c r="AP404" s="207"/>
      <c r="AQ404" s="207"/>
      <c r="AR404" s="207"/>
      <c r="AS404" s="207"/>
      <c r="AT404" s="207"/>
      <c r="AU404" s="207"/>
      <c r="AV404" s="207"/>
      <c r="AW404" s="207"/>
      <c r="AX404" s="207"/>
      <c r="AY404" s="207"/>
      <c r="AZ404" s="207"/>
      <c r="BA404" s="207"/>
    </row>
    <row r="405" ht="18.75" hidden="1" customHeight="1">
      <c r="A405" s="207"/>
      <c r="B405" s="207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  <c r="AA405" s="207"/>
      <c r="AB405" s="207"/>
      <c r="AC405" s="207"/>
      <c r="AD405" s="207"/>
      <c r="AE405" s="207"/>
      <c r="AF405" s="207"/>
      <c r="AG405" s="207"/>
      <c r="AH405" s="207"/>
      <c r="AI405" s="207"/>
      <c r="AJ405" s="207"/>
      <c r="AK405" s="207"/>
      <c r="AL405" s="207"/>
      <c r="AM405" s="207"/>
      <c r="AN405" s="207"/>
      <c r="AO405" s="207"/>
      <c r="AP405" s="207"/>
      <c r="AQ405" s="207"/>
      <c r="AR405" s="207"/>
      <c r="AS405" s="207"/>
      <c r="AT405" s="207"/>
      <c r="AU405" s="207"/>
      <c r="AV405" s="207"/>
      <c r="AW405" s="207"/>
      <c r="AX405" s="207"/>
      <c r="AY405" s="207"/>
      <c r="AZ405" s="207"/>
      <c r="BA405" s="207"/>
    </row>
    <row r="406" ht="18.75" hidden="1" customHeight="1">
      <c r="A406" s="207"/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  <c r="AA406" s="207"/>
      <c r="AB406" s="207"/>
      <c r="AC406" s="207"/>
      <c r="AD406" s="207"/>
      <c r="AE406" s="207"/>
      <c r="AF406" s="207"/>
      <c r="AG406" s="207"/>
      <c r="AH406" s="207"/>
      <c r="AI406" s="207"/>
      <c r="AJ406" s="207"/>
      <c r="AK406" s="207"/>
      <c r="AL406" s="207"/>
      <c r="AM406" s="207"/>
      <c r="AN406" s="207"/>
      <c r="AO406" s="207"/>
      <c r="AP406" s="207"/>
      <c r="AQ406" s="207"/>
      <c r="AR406" s="207"/>
      <c r="AS406" s="207"/>
      <c r="AT406" s="207"/>
      <c r="AU406" s="207"/>
      <c r="AV406" s="207"/>
      <c r="AW406" s="207"/>
      <c r="AX406" s="207"/>
      <c r="AY406" s="207"/>
      <c r="AZ406" s="207"/>
      <c r="BA406" s="207"/>
    </row>
    <row r="407" ht="18.75" hidden="1" customHeight="1">
      <c r="A407" s="207"/>
      <c r="B407" s="207"/>
      <c r="C407" s="207"/>
      <c r="D407" s="207"/>
      <c r="E407" s="207"/>
      <c r="F407" s="207"/>
      <c r="G407" s="207"/>
      <c r="H407" s="207"/>
      <c r="I407" s="207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  <c r="AA407" s="207"/>
      <c r="AB407" s="207"/>
      <c r="AC407" s="207"/>
      <c r="AD407" s="207"/>
      <c r="AE407" s="207"/>
      <c r="AF407" s="207"/>
      <c r="AG407" s="207"/>
      <c r="AH407" s="207"/>
      <c r="AI407" s="207"/>
      <c r="AJ407" s="207"/>
      <c r="AK407" s="207"/>
      <c r="AL407" s="207"/>
      <c r="AM407" s="207"/>
      <c r="AN407" s="207"/>
      <c r="AO407" s="207"/>
      <c r="AP407" s="207"/>
      <c r="AQ407" s="207"/>
      <c r="AR407" s="207"/>
      <c r="AS407" s="207"/>
      <c r="AT407" s="207"/>
      <c r="AU407" s="207"/>
      <c r="AV407" s="207"/>
      <c r="AW407" s="207"/>
      <c r="AX407" s="207"/>
      <c r="AY407" s="207"/>
      <c r="AZ407" s="207"/>
      <c r="BA407" s="207"/>
    </row>
    <row r="408" ht="18.75" hidden="1" customHeight="1">
      <c r="A408" s="207"/>
      <c r="B408" s="207"/>
      <c r="C408" s="207"/>
      <c r="D408" s="207"/>
      <c r="E408" s="207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  <c r="AA408" s="207"/>
      <c r="AB408" s="207"/>
      <c r="AC408" s="207"/>
      <c r="AD408" s="207"/>
      <c r="AE408" s="207"/>
      <c r="AF408" s="207"/>
      <c r="AG408" s="207"/>
      <c r="AH408" s="207"/>
      <c r="AI408" s="207"/>
      <c r="AJ408" s="207"/>
      <c r="AK408" s="207"/>
      <c r="AL408" s="207"/>
      <c r="AM408" s="207"/>
      <c r="AN408" s="207"/>
      <c r="AO408" s="207"/>
      <c r="AP408" s="207"/>
      <c r="AQ408" s="207"/>
      <c r="AR408" s="207"/>
      <c r="AS408" s="207"/>
      <c r="AT408" s="207"/>
      <c r="AU408" s="207"/>
      <c r="AV408" s="207"/>
      <c r="AW408" s="207"/>
      <c r="AX408" s="207"/>
      <c r="AY408" s="207"/>
      <c r="AZ408" s="207"/>
      <c r="BA408" s="207"/>
    </row>
    <row r="409" ht="18.75" hidden="1" customHeight="1">
      <c r="A409" s="207"/>
      <c r="B409" s="207"/>
      <c r="C409" s="207"/>
      <c r="D409" s="207"/>
      <c r="E409" s="207"/>
      <c r="F409" s="207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  <c r="AA409" s="207"/>
      <c r="AB409" s="207"/>
      <c r="AC409" s="207"/>
      <c r="AD409" s="207"/>
      <c r="AE409" s="207"/>
      <c r="AF409" s="207"/>
      <c r="AG409" s="207"/>
      <c r="AH409" s="207"/>
      <c r="AI409" s="207"/>
      <c r="AJ409" s="207"/>
      <c r="AK409" s="207"/>
      <c r="AL409" s="207"/>
      <c r="AM409" s="207"/>
      <c r="AN409" s="207"/>
      <c r="AO409" s="207"/>
      <c r="AP409" s="207"/>
      <c r="AQ409" s="207"/>
      <c r="AR409" s="207"/>
      <c r="AS409" s="207"/>
      <c r="AT409" s="207"/>
      <c r="AU409" s="207"/>
      <c r="AV409" s="207"/>
      <c r="AW409" s="207"/>
      <c r="AX409" s="207"/>
      <c r="AY409" s="207"/>
      <c r="AZ409" s="207"/>
      <c r="BA409" s="207"/>
    </row>
    <row r="410" ht="18.75" hidden="1" customHeight="1">
      <c r="A410" s="207"/>
      <c r="B410" s="207"/>
      <c r="C410" s="207"/>
      <c r="D410" s="207"/>
      <c r="E410" s="207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  <c r="AA410" s="207"/>
      <c r="AB410" s="207"/>
      <c r="AC410" s="207"/>
      <c r="AD410" s="207"/>
      <c r="AE410" s="207"/>
      <c r="AF410" s="207"/>
      <c r="AG410" s="207"/>
      <c r="AH410" s="207"/>
      <c r="AI410" s="207"/>
      <c r="AJ410" s="207"/>
      <c r="AK410" s="207"/>
      <c r="AL410" s="207"/>
      <c r="AM410" s="207"/>
      <c r="AN410" s="207"/>
      <c r="AO410" s="207"/>
      <c r="AP410" s="207"/>
      <c r="AQ410" s="207"/>
      <c r="AR410" s="207"/>
      <c r="AS410" s="207"/>
      <c r="AT410" s="207"/>
      <c r="AU410" s="207"/>
      <c r="AV410" s="207"/>
      <c r="AW410" s="207"/>
      <c r="AX410" s="207"/>
      <c r="AY410" s="207"/>
      <c r="AZ410" s="207"/>
      <c r="BA410" s="207"/>
    </row>
    <row r="411" ht="18.75" hidden="1" customHeight="1">
      <c r="A411" s="207"/>
      <c r="B411" s="207"/>
      <c r="C411" s="207"/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  <c r="AB411" s="207"/>
      <c r="AC411" s="207"/>
      <c r="AD411" s="207"/>
      <c r="AE411" s="207"/>
      <c r="AF411" s="207"/>
      <c r="AG411" s="207"/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</row>
    <row r="412" ht="18.75" hidden="1" customHeight="1">
      <c r="A412" s="207"/>
      <c r="B412" s="207"/>
      <c r="C412" s="207"/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</row>
    <row r="413" ht="18.75" hidden="1" customHeight="1">
      <c r="A413" s="207"/>
      <c r="B413" s="207"/>
      <c r="C413" s="207"/>
      <c r="D413" s="207"/>
      <c r="E413" s="207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</row>
    <row r="414" ht="18.75" hidden="1" customHeight="1">
      <c r="A414" s="207"/>
      <c r="B414" s="207"/>
      <c r="C414" s="207"/>
      <c r="D414" s="207"/>
      <c r="E414" s="207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/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</row>
    <row r="415" ht="18.75" hidden="1" customHeight="1">
      <c r="A415" s="207"/>
      <c r="B415" s="207"/>
      <c r="C415" s="207"/>
      <c r="D415" s="207"/>
      <c r="E415" s="207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/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</row>
    <row r="416" ht="18.75" hidden="1" customHeight="1">
      <c r="A416" s="207"/>
      <c r="B416" s="207"/>
      <c r="C416" s="207"/>
      <c r="D416" s="207"/>
      <c r="E416" s="207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</row>
    <row r="417" ht="18.75" hidden="1" customHeight="1">
      <c r="A417" s="207"/>
      <c r="B417" s="207"/>
      <c r="C417" s="207"/>
      <c r="D417" s="207"/>
      <c r="E417" s="207"/>
      <c r="F417" s="207"/>
      <c r="G417" s="207"/>
      <c r="H417" s="207"/>
      <c r="I417" s="207"/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  <c r="AA417" s="207"/>
      <c r="AB417" s="207"/>
      <c r="AC417" s="207"/>
      <c r="AD417" s="207"/>
      <c r="AE417" s="207"/>
      <c r="AF417" s="207"/>
      <c r="AG417" s="207"/>
      <c r="AH417" s="207"/>
      <c r="AI417" s="207"/>
      <c r="AJ417" s="207"/>
      <c r="AK417" s="207"/>
      <c r="AL417" s="207"/>
      <c r="AM417" s="207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7"/>
    </row>
    <row r="418" ht="18.75" hidden="1" customHeight="1">
      <c r="A418" s="207"/>
      <c r="B418" s="207"/>
      <c r="C418" s="207"/>
      <c r="D418" s="207"/>
      <c r="E418" s="207"/>
      <c r="F418" s="207"/>
      <c r="G418" s="207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  <c r="AA418" s="207"/>
      <c r="AB418" s="207"/>
      <c r="AC418" s="207"/>
      <c r="AD418" s="207"/>
      <c r="AE418" s="207"/>
      <c r="AF418" s="207"/>
      <c r="AG418" s="207"/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</row>
    <row r="419" ht="18.75" hidden="1" customHeight="1">
      <c r="A419" s="207"/>
      <c r="B419" s="207"/>
      <c r="C419" s="207"/>
      <c r="D419" s="207"/>
      <c r="E419" s="207"/>
      <c r="F419" s="207"/>
      <c r="G419" s="207"/>
      <c r="H419" s="207"/>
      <c r="I419" s="207"/>
      <c r="J419" s="207"/>
      <c r="K419" s="207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  <c r="AA419" s="207"/>
      <c r="AB419" s="207"/>
      <c r="AC419" s="207"/>
      <c r="AD419" s="207"/>
      <c r="AE419" s="207"/>
      <c r="AF419" s="207"/>
      <c r="AG419" s="207"/>
      <c r="AH419" s="207"/>
      <c r="AI419" s="207"/>
      <c r="AJ419" s="207"/>
      <c r="AK419" s="207"/>
      <c r="AL419" s="207"/>
      <c r="AM419" s="207"/>
      <c r="AN419" s="207"/>
      <c r="AO419" s="207"/>
      <c r="AP419" s="207"/>
      <c r="AQ419" s="207"/>
      <c r="AR419" s="207"/>
      <c r="AS419" s="207"/>
      <c r="AT419" s="207"/>
      <c r="AU419" s="207"/>
      <c r="AV419" s="207"/>
      <c r="AW419" s="207"/>
      <c r="AX419" s="207"/>
      <c r="AY419" s="207"/>
      <c r="AZ419" s="207"/>
      <c r="BA419" s="207"/>
    </row>
    <row r="420" ht="18.75" hidden="1" customHeight="1">
      <c r="A420" s="207"/>
      <c r="B420" s="207"/>
      <c r="C420" s="207"/>
      <c r="D420" s="207"/>
      <c r="E420" s="207"/>
      <c r="F420" s="207"/>
      <c r="G420" s="207"/>
      <c r="H420" s="207"/>
      <c r="I420" s="207"/>
      <c r="J420" s="207"/>
      <c r="K420" s="207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  <c r="AA420" s="207"/>
      <c r="AB420" s="207"/>
      <c r="AC420" s="207"/>
      <c r="AD420" s="207"/>
      <c r="AE420" s="207"/>
      <c r="AF420" s="207"/>
      <c r="AG420" s="207"/>
      <c r="AH420" s="207"/>
      <c r="AI420" s="207"/>
      <c r="AJ420" s="207"/>
      <c r="AK420" s="207"/>
      <c r="AL420" s="207"/>
      <c r="AM420" s="207"/>
      <c r="AN420" s="207"/>
      <c r="AO420" s="207"/>
      <c r="AP420" s="207"/>
      <c r="AQ420" s="207"/>
      <c r="AR420" s="207"/>
      <c r="AS420" s="207"/>
      <c r="AT420" s="207"/>
      <c r="AU420" s="207"/>
      <c r="AV420" s="207"/>
      <c r="AW420" s="207"/>
      <c r="AX420" s="207"/>
      <c r="AY420" s="207"/>
      <c r="AZ420" s="207"/>
      <c r="BA420" s="207"/>
    </row>
    <row r="421" ht="18.75" hidden="1" customHeight="1">
      <c r="A421" s="207"/>
      <c r="B421" s="207"/>
      <c r="C421" s="207"/>
      <c r="D421" s="207"/>
      <c r="E421" s="207"/>
      <c r="F421" s="207"/>
      <c r="G421" s="207"/>
      <c r="H421" s="207"/>
      <c r="I421" s="207"/>
      <c r="J421" s="207"/>
      <c r="K421" s="207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  <c r="AA421" s="207"/>
      <c r="AB421" s="207"/>
      <c r="AC421" s="207"/>
      <c r="AD421" s="207"/>
      <c r="AE421" s="207"/>
      <c r="AF421" s="207"/>
      <c r="AG421" s="207"/>
      <c r="AH421" s="207"/>
      <c r="AI421" s="207"/>
      <c r="AJ421" s="207"/>
      <c r="AK421" s="207"/>
      <c r="AL421" s="207"/>
      <c r="AM421" s="207"/>
      <c r="AN421" s="207"/>
      <c r="AO421" s="207"/>
      <c r="AP421" s="207"/>
      <c r="AQ421" s="207"/>
      <c r="AR421" s="207"/>
      <c r="AS421" s="207"/>
      <c r="AT421" s="207"/>
      <c r="AU421" s="207"/>
      <c r="AV421" s="207"/>
      <c r="AW421" s="207"/>
      <c r="AX421" s="207"/>
      <c r="AY421" s="207"/>
      <c r="AZ421" s="207"/>
      <c r="BA421" s="207"/>
    </row>
    <row r="422" ht="18.75" hidden="1" customHeight="1">
      <c r="A422" s="207"/>
      <c r="B422" s="207"/>
      <c r="C422" s="207"/>
      <c r="D422" s="207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  <c r="AB422" s="207"/>
      <c r="AC422" s="207"/>
      <c r="AD422" s="207"/>
      <c r="AE422" s="207"/>
      <c r="AF422" s="207"/>
      <c r="AG422" s="207"/>
      <c r="AH422" s="207"/>
      <c r="AI422" s="207"/>
      <c r="AJ422" s="207"/>
      <c r="AK422" s="207"/>
      <c r="AL422" s="207"/>
      <c r="AM422" s="207"/>
      <c r="AN422" s="207"/>
      <c r="AO422" s="207"/>
      <c r="AP422" s="207"/>
      <c r="AQ422" s="207"/>
      <c r="AR422" s="207"/>
      <c r="AS422" s="207"/>
      <c r="AT422" s="207"/>
      <c r="AU422" s="207"/>
      <c r="AV422" s="207"/>
      <c r="AW422" s="207"/>
      <c r="AX422" s="207"/>
      <c r="AY422" s="207"/>
      <c r="AZ422" s="207"/>
      <c r="BA422" s="207"/>
    </row>
    <row r="423" ht="18.75" hidden="1" customHeight="1">
      <c r="A423" s="207"/>
      <c r="B423" s="207"/>
      <c r="C423" s="207"/>
      <c r="D423" s="207"/>
      <c r="E423" s="207"/>
      <c r="F423" s="207"/>
      <c r="G423" s="207"/>
      <c r="H423" s="207"/>
      <c r="I423" s="207"/>
      <c r="J423" s="207"/>
      <c r="K423" s="207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  <c r="AA423" s="207"/>
      <c r="AB423" s="207"/>
      <c r="AC423" s="207"/>
      <c r="AD423" s="207"/>
      <c r="AE423" s="207"/>
      <c r="AF423" s="207"/>
      <c r="AG423" s="207"/>
      <c r="AH423" s="207"/>
      <c r="AI423" s="207"/>
      <c r="AJ423" s="207"/>
      <c r="AK423" s="207"/>
      <c r="AL423" s="207"/>
      <c r="AM423" s="207"/>
      <c r="AN423" s="207"/>
      <c r="AO423" s="207"/>
      <c r="AP423" s="207"/>
      <c r="AQ423" s="207"/>
      <c r="AR423" s="207"/>
      <c r="AS423" s="207"/>
      <c r="AT423" s="207"/>
      <c r="AU423" s="207"/>
      <c r="AV423" s="207"/>
      <c r="AW423" s="207"/>
      <c r="AX423" s="207"/>
      <c r="AY423" s="207"/>
      <c r="AZ423" s="207"/>
      <c r="BA423" s="207"/>
    </row>
    <row r="424" ht="18.75" hidden="1" customHeight="1">
      <c r="A424" s="207"/>
      <c r="B424" s="207"/>
      <c r="C424" s="207"/>
      <c r="D424" s="207"/>
      <c r="E424" s="207"/>
      <c r="F424" s="207"/>
      <c r="G424" s="207"/>
      <c r="H424" s="207"/>
      <c r="I424" s="207"/>
      <c r="J424" s="207"/>
      <c r="K424" s="207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  <c r="AA424" s="207"/>
      <c r="AB424" s="207"/>
      <c r="AC424" s="207"/>
      <c r="AD424" s="207"/>
      <c r="AE424" s="207"/>
      <c r="AF424" s="207"/>
      <c r="AG424" s="207"/>
      <c r="AH424" s="207"/>
      <c r="AI424" s="207"/>
      <c r="AJ424" s="207"/>
      <c r="AK424" s="207"/>
      <c r="AL424" s="207"/>
      <c r="AM424" s="207"/>
      <c r="AN424" s="207"/>
      <c r="AO424" s="207"/>
      <c r="AP424" s="207"/>
      <c r="AQ424" s="207"/>
      <c r="AR424" s="207"/>
      <c r="AS424" s="207"/>
      <c r="AT424" s="207"/>
      <c r="AU424" s="207"/>
      <c r="AV424" s="207"/>
      <c r="AW424" s="207"/>
      <c r="AX424" s="207"/>
      <c r="AY424" s="207"/>
      <c r="AZ424" s="207"/>
      <c r="BA424" s="207"/>
    </row>
    <row r="425" ht="18.75" hidden="1" customHeight="1">
      <c r="A425" s="207"/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  <c r="AA425" s="207"/>
      <c r="AB425" s="207"/>
      <c r="AC425" s="207"/>
      <c r="AD425" s="207"/>
      <c r="AE425" s="207"/>
      <c r="AF425" s="207"/>
      <c r="AG425" s="207"/>
      <c r="AH425" s="207"/>
      <c r="AI425" s="207"/>
      <c r="AJ425" s="207"/>
      <c r="AK425" s="207"/>
      <c r="AL425" s="207"/>
      <c r="AM425" s="207"/>
      <c r="AN425" s="207"/>
      <c r="AO425" s="207"/>
      <c r="AP425" s="207"/>
      <c r="AQ425" s="207"/>
      <c r="AR425" s="207"/>
      <c r="AS425" s="207"/>
      <c r="AT425" s="207"/>
      <c r="AU425" s="207"/>
      <c r="AV425" s="207"/>
      <c r="AW425" s="207"/>
      <c r="AX425" s="207"/>
      <c r="AY425" s="207"/>
      <c r="AZ425" s="207"/>
      <c r="BA425" s="207"/>
    </row>
    <row r="426" ht="18.75" hidden="1" customHeight="1">
      <c r="A426" s="207"/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  <c r="AA426" s="207"/>
      <c r="AB426" s="207"/>
      <c r="AC426" s="207"/>
      <c r="AD426" s="207"/>
      <c r="AE426" s="207"/>
      <c r="AF426" s="207"/>
      <c r="AG426" s="207"/>
      <c r="AH426" s="207"/>
      <c r="AI426" s="207"/>
      <c r="AJ426" s="207"/>
      <c r="AK426" s="207"/>
      <c r="AL426" s="207"/>
      <c r="AM426" s="207"/>
      <c r="AN426" s="207"/>
      <c r="AO426" s="207"/>
      <c r="AP426" s="207"/>
      <c r="AQ426" s="207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</row>
    <row r="427" ht="18.75" hidden="1" customHeight="1">
      <c r="A427" s="207"/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  <c r="AB427" s="207"/>
      <c r="AC427" s="207"/>
      <c r="AD427" s="207"/>
      <c r="AE427" s="207"/>
      <c r="AF427" s="207"/>
      <c r="AG427" s="207"/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</row>
    <row r="428" ht="18.75" hidden="1" customHeight="1">
      <c r="A428" s="207"/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  <c r="AA428" s="207"/>
      <c r="AB428" s="207"/>
      <c r="AC428" s="207"/>
      <c r="AD428" s="207"/>
      <c r="AE428" s="207"/>
      <c r="AF428" s="207"/>
      <c r="AG428" s="207"/>
      <c r="AH428" s="207"/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</row>
    <row r="429" ht="18.75" hidden="1" customHeight="1">
      <c r="A429" s="207"/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  <c r="AB429" s="207"/>
      <c r="AC429" s="207"/>
      <c r="AD429" s="207"/>
      <c r="AE429" s="207"/>
      <c r="AF429" s="207"/>
      <c r="AG429" s="207"/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</row>
    <row r="430" ht="18.75" hidden="1" customHeight="1">
      <c r="A430" s="207"/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  <c r="AB430" s="207"/>
      <c r="AC430" s="207"/>
      <c r="AD430" s="207"/>
      <c r="AE430" s="207"/>
      <c r="AF430" s="207"/>
      <c r="AG430" s="207"/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</row>
    <row r="431" ht="18.75" hidden="1" customHeight="1">
      <c r="A431" s="207"/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  <c r="AA431" s="207"/>
      <c r="AB431" s="207"/>
      <c r="AC431" s="207"/>
      <c r="AD431" s="207"/>
      <c r="AE431" s="207"/>
      <c r="AF431" s="207"/>
      <c r="AG431" s="207"/>
      <c r="AH431" s="207"/>
      <c r="AI431" s="207"/>
      <c r="AJ431" s="207"/>
      <c r="AK431" s="207"/>
      <c r="AL431" s="207"/>
      <c r="AM431" s="207"/>
      <c r="AN431" s="207"/>
      <c r="AO431" s="207"/>
      <c r="AP431" s="207"/>
      <c r="AQ431" s="207"/>
      <c r="AR431" s="207"/>
      <c r="AS431" s="207"/>
      <c r="AT431" s="207"/>
      <c r="AU431" s="207"/>
      <c r="AV431" s="207"/>
      <c r="AW431" s="207"/>
      <c r="AX431" s="207"/>
      <c r="AY431" s="207"/>
      <c r="AZ431" s="207"/>
      <c r="BA431" s="207"/>
    </row>
    <row r="432" ht="18.75" hidden="1" customHeight="1">
      <c r="A432" s="207"/>
      <c r="B432" s="207"/>
      <c r="C432" s="207"/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  <c r="AA432" s="207"/>
      <c r="AB432" s="207"/>
      <c r="AC432" s="207"/>
      <c r="AD432" s="207"/>
      <c r="AE432" s="207"/>
      <c r="AF432" s="207"/>
      <c r="AG432" s="207"/>
      <c r="AH432" s="207"/>
      <c r="AI432" s="207"/>
      <c r="AJ432" s="207"/>
      <c r="AK432" s="207"/>
      <c r="AL432" s="207"/>
      <c r="AM432" s="207"/>
      <c r="AN432" s="207"/>
      <c r="AO432" s="207"/>
      <c r="AP432" s="207"/>
      <c r="AQ432" s="207"/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7"/>
    </row>
    <row r="433" ht="18.75" hidden="1" customHeight="1">
      <c r="A433" s="207"/>
      <c r="B433" s="207"/>
      <c r="C433" s="207"/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  <c r="AA433" s="207"/>
      <c r="AB433" s="207"/>
      <c r="AC433" s="207"/>
      <c r="AD433" s="207"/>
      <c r="AE433" s="207"/>
      <c r="AF433" s="207"/>
      <c r="AG433" s="207"/>
      <c r="AH433" s="207"/>
      <c r="AI433" s="207"/>
      <c r="AJ433" s="207"/>
      <c r="AK433" s="207"/>
      <c r="AL433" s="207"/>
      <c r="AM433" s="207"/>
      <c r="AN433" s="207"/>
      <c r="AO433" s="207"/>
      <c r="AP433" s="207"/>
      <c r="AQ433" s="207"/>
      <c r="AR433" s="207"/>
      <c r="AS433" s="207"/>
      <c r="AT433" s="207"/>
      <c r="AU433" s="207"/>
      <c r="AV433" s="207"/>
      <c r="AW433" s="207"/>
      <c r="AX433" s="207"/>
      <c r="AY433" s="207"/>
      <c r="AZ433" s="207"/>
      <c r="BA433" s="207"/>
    </row>
    <row r="434" ht="18.75" hidden="1" customHeight="1">
      <c r="A434" s="207"/>
      <c r="B434" s="207"/>
      <c r="C434" s="207"/>
      <c r="D434" s="207"/>
      <c r="E434" s="207"/>
      <c r="F434" s="207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  <c r="AA434" s="207"/>
      <c r="AB434" s="207"/>
      <c r="AC434" s="207"/>
      <c r="AD434" s="207"/>
      <c r="AE434" s="207"/>
      <c r="AF434" s="207"/>
      <c r="AG434" s="207"/>
      <c r="AH434" s="207"/>
      <c r="AI434" s="207"/>
      <c r="AJ434" s="207"/>
      <c r="AK434" s="207"/>
      <c r="AL434" s="207"/>
      <c r="AM434" s="207"/>
      <c r="AN434" s="207"/>
      <c r="AO434" s="207"/>
      <c r="AP434" s="207"/>
      <c r="AQ434" s="207"/>
      <c r="AR434" s="207"/>
      <c r="AS434" s="207"/>
      <c r="AT434" s="207"/>
      <c r="AU434" s="207"/>
      <c r="AV434" s="207"/>
      <c r="AW434" s="207"/>
      <c r="AX434" s="207"/>
      <c r="AY434" s="207"/>
      <c r="AZ434" s="207"/>
      <c r="BA434" s="207"/>
    </row>
    <row r="435" ht="18.75" hidden="1" customHeight="1">
      <c r="A435" s="207"/>
      <c r="B435" s="207"/>
      <c r="C435" s="207"/>
      <c r="D435" s="207"/>
      <c r="E435" s="207"/>
      <c r="F435" s="207"/>
      <c r="G435" s="207"/>
      <c r="H435" s="207"/>
      <c r="I435" s="207"/>
      <c r="J435" s="207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  <c r="AA435" s="207"/>
      <c r="AB435" s="207"/>
      <c r="AC435" s="207"/>
      <c r="AD435" s="207"/>
      <c r="AE435" s="207"/>
      <c r="AF435" s="207"/>
      <c r="AG435" s="207"/>
      <c r="AH435" s="207"/>
      <c r="AI435" s="207"/>
      <c r="AJ435" s="207"/>
      <c r="AK435" s="207"/>
      <c r="AL435" s="207"/>
      <c r="AM435" s="207"/>
      <c r="AN435" s="207"/>
      <c r="AO435" s="207"/>
      <c r="AP435" s="207"/>
      <c r="AQ435" s="207"/>
      <c r="AR435" s="207"/>
      <c r="AS435" s="207"/>
      <c r="AT435" s="207"/>
      <c r="AU435" s="207"/>
      <c r="AV435" s="207"/>
      <c r="AW435" s="207"/>
      <c r="AX435" s="207"/>
      <c r="AY435" s="207"/>
      <c r="AZ435" s="207"/>
      <c r="BA435" s="207"/>
    </row>
    <row r="436" ht="18.75" hidden="1" customHeight="1">
      <c r="A436" s="207"/>
      <c r="B436" s="207"/>
      <c r="C436" s="207"/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  <c r="AA436" s="207"/>
      <c r="AB436" s="207"/>
      <c r="AC436" s="207"/>
      <c r="AD436" s="207"/>
      <c r="AE436" s="207"/>
      <c r="AF436" s="207"/>
      <c r="AG436" s="207"/>
      <c r="AH436" s="207"/>
      <c r="AI436" s="207"/>
      <c r="AJ436" s="207"/>
      <c r="AK436" s="207"/>
      <c r="AL436" s="207"/>
      <c r="AM436" s="207"/>
      <c r="AN436" s="207"/>
      <c r="AO436" s="207"/>
      <c r="AP436" s="207"/>
      <c r="AQ436" s="207"/>
      <c r="AR436" s="207"/>
      <c r="AS436" s="207"/>
      <c r="AT436" s="207"/>
      <c r="AU436" s="207"/>
      <c r="AV436" s="207"/>
      <c r="AW436" s="207"/>
      <c r="AX436" s="207"/>
      <c r="AY436" s="207"/>
      <c r="AZ436" s="207"/>
      <c r="BA436" s="207"/>
    </row>
    <row r="437" ht="18.75" hidden="1" customHeight="1">
      <c r="A437" s="207"/>
      <c r="B437" s="207"/>
      <c r="C437" s="207"/>
      <c r="D437" s="207"/>
      <c r="E437" s="207"/>
      <c r="F437" s="207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  <c r="AA437" s="207"/>
      <c r="AB437" s="207"/>
      <c r="AC437" s="207"/>
      <c r="AD437" s="207"/>
      <c r="AE437" s="207"/>
      <c r="AF437" s="207"/>
      <c r="AG437" s="207"/>
      <c r="AH437" s="207"/>
      <c r="AI437" s="207"/>
      <c r="AJ437" s="207"/>
      <c r="AK437" s="207"/>
      <c r="AL437" s="207"/>
      <c r="AM437" s="207"/>
      <c r="AN437" s="207"/>
      <c r="AO437" s="207"/>
      <c r="AP437" s="207"/>
      <c r="AQ437" s="207"/>
      <c r="AR437" s="207"/>
      <c r="AS437" s="207"/>
      <c r="AT437" s="207"/>
      <c r="AU437" s="207"/>
      <c r="AV437" s="207"/>
      <c r="AW437" s="207"/>
      <c r="AX437" s="207"/>
      <c r="AY437" s="207"/>
      <c r="AZ437" s="207"/>
      <c r="BA437" s="207"/>
    </row>
    <row r="438" ht="18.75" hidden="1" customHeight="1">
      <c r="A438" s="207"/>
      <c r="B438" s="207"/>
      <c r="C438" s="207"/>
      <c r="D438" s="207"/>
      <c r="E438" s="207"/>
      <c r="F438" s="207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  <c r="AA438" s="207"/>
      <c r="AB438" s="207"/>
      <c r="AC438" s="207"/>
      <c r="AD438" s="207"/>
      <c r="AE438" s="207"/>
      <c r="AF438" s="207"/>
      <c r="AG438" s="207"/>
      <c r="AH438" s="207"/>
      <c r="AI438" s="207"/>
      <c r="AJ438" s="207"/>
      <c r="AK438" s="207"/>
      <c r="AL438" s="207"/>
      <c r="AM438" s="207"/>
      <c r="AN438" s="207"/>
      <c r="AO438" s="207"/>
      <c r="AP438" s="207"/>
      <c r="AQ438" s="207"/>
      <c r="AR438" s="207"/>
      <c r="AS438" s="207"/>
      <c r="AT438" s="207"/>
      <c r="AU438" s="207"/>
      <c r="AV438" s="207"/>
      <c r="AW438" s="207"/>
      <c r="AX438" s="207"/>
      <c r="AY438" s="207"/>
      <c r="AZ438" s="207"/>
      <c r="BA438" s="207"/>
    </row>
    <row r="439" ht="18.75" hidden="1" customHeight="1">
      <c r="A439" s="207"/>
      <c r="B439" s="207"/>
      <c r="C439" s="207"/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  <c r="AA439" s="207"/>
      <c r="AB439" s="207"/>
      <c r="AC439" s="207"/>
      <c r="AD439" s="207"/>
      <c r="AE439" s="207"/>
      <c r="AF439" s="207"/>
      <c r="AG439" s="207"/>
      <c r="AH439" s="207"/>
      <c r="AI439" s="207"/>
      <c r="AJ439" s="207"/>
      <c r="AK439" s="207"/>
      <c r="AL439" s="207"/>
      <c r="AM439" s="207"/>
      <c r="AN439" s="207"/>
      <c r="AO439" s="207"/>
      <c r="AP439" s="207"/>
      <c r="AQ439" s="207"/>
      <c r="AR439" s="207"/>
      <c r="AS439" s="207"/>
      <c r="AT439" s="207"/>
      <c r="AU439" s="207"/>
      <c r="AV439" s="207"/>
      <c r="AW439" s="207"/>
      <c r="AX439" s="207"/>
      <c r="AY439" s="207"/>
      <c r="AZ439" s="207"/>
      <c r="BA439" s="207"/>
    </row>
    <row r="440" ht="18.75" hidden="1" customHeight="1">
      <c r="A440" s="207"/>
      <c r="B440" s="207"/>
      <c r="C440" s="207"/>
      <c r="D440" s="207"/>
      <c r="E440" s="207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  <c r="AA440" s="207"/>
      <c r="AB440" s="207"/>
      <c r="AC440" s="207"/>
      <c r="AD440" s="207"/>
      <c r="AE440" s="207"/>
      <c r="AF440" s="207"/>
      <c r="AG440" s="207"/>
      <c r="AH440" s="207"/>
      <c r="AI440" s="207"/>
      <c r="AJ440" s="207"/>
      <c r="AK440" s="207"/>
      <c r="AL440" s="207"/>
      <c r="AM440" s="207"/>
      <c r="AN440" s="207"/>
      <c r="AO440" s="207"/>
      <c r="AP440" s="207"/>
      <c r="AQ440" s="207"/>
      <c r="AR440" s="207"/>
      <c r="AS440" s="207"/>
      <c r="AT440" s="207"/>
      <c r="AU440" s="207"/>
      <c r="AV440" s="207"/>
      <c r="AW440" s="207"/>
      <c r="AX440" s="207"/>
      <c r="AY440" s="207"/>
      <c r="AZ440" s="207"/>
      <c r="BA440" s="207"/>
    </row>
    <row r="441" ht="18.75" hidden="1" customHeight="1">
      <c r="A441" s="207"/>
      <c r="B441" s="207"/>
      <c r="C441" s="207"/>
      <c r="D441" s="207"/>
      <c r="E441" s="207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  <c r="AA441" s="207"/>
      <c r="AB441" s="207"/>
      <c r="AC441" s="207"/>
      <c r="AD441" s="207"/>
      <c r="AE441" s="207"/>
      <c r="AF441" s="207"/>
      <c r="AG441" s="207"/>
      <c r="AH441" s="207"/>
      <c r="AI441" s="207"/>
      <c r="AJ441" s="207"/>
      <c r="AK441" s="207"/>
      <c r="AL441" s="207"/>
      <c r="AM441" s="207"/>
      <c r="AN441" s="207"/>
      <c r="AO441" s="207"/>
      <c r="AP441" s="207"/>
      <c r="AQ441" s="207"/>
      <c r="AR441" s="207"/>
      <c r="AS441" s="207"/>
      <c r="AT441" s="207"/>
      <c r="AU441" s="207"/>
      <c r="AV441" s="207"/>
      <c r="AW441" s="207"/>
      <c r="AX441" s="207"/>
      <c r="AY441" s="207"/>
      <c r="AZ441" s="207"/>
      <c r="BA441" s="207"/>
    </row>
    <row r="442" ht="18.75" hidden="1" customHeight="1">
      <c r="A442" s="207"/>
      <c r="B442" s="207"/>
      <c r="C442" s="207"/>
      <c r="D442" s="207"/>
      <c r="E442" s="207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  <c r="AA442" s="207"/>
      <c r="AB442" s="207"/>
      <c r="AC442" s="207"/>
      <c r="AD442" s="207"/>
      <c r="AE442" s="207"/>
      <c r="AF442" s="207"/>
      <c r="AG442" s="207"/>
      <c r="AH442" s="207"/>
      <c r="AI442" s="207"/>
      <c r="AJ442" s="207"/>
      <c r="AK442" s="207"/>
      <c r="AL442" s="207"/>
      <c r="AM442" s="207"/>
      <c r="AN442" s="207"/>
      <c r="AO442" s="207"/>
      <c r="AP442" s="207"/>
      <c r="AQ442" s="207"/>
      <c r="AR442" s="207"/>
      <c r="AS442" s="207"/>
      <c r="AT442" s="207"/>
      <c r="AU442" s="207"/>
      <c r="AV442" s="207"/>
      <c r="AW442" s="207"/>
      <c r="AX442" s="207"/>
      <c r="AY442" s="207"/>
      <c r="AZ442" s="207"/>
      <c r="BA442" s="207"/>
    </row>
    <row r="443" ht="18.75" hidden="1" customHeight="1">
      <c r="A443" s="207"/>
      <c r="B443" s="207"/>
      <c r="C443" s="207"/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  <c r="AA443" s="207"/>
      <c r="AB443" s="207"/>
      <c r="AC443" s="207"/>
      <c r="AD443" s="207"/>
      <c r="AE443" s="207"/>
      <c r="AF443" s="207"/>
      <c r="AG443" s="207"/>
      <c r="AH443" s="207"/>
      <c r="AI443" s="207"/>
      <c r="AJ443" s="207"/>
      <c r="AK443" s="207"/>
      <c r="AL443" s="207"/>
      <c r="AM443" s="207"/>
      <c r="AN443" s="207"/>
      <c r="AO443" s="207"/>
      <c r="AP443" s="207"/>
      <c r="AQ443" s="207"/>
      <c r="AR443" s="207"/>
      <c r="AS443" s="207"/>
      <c r="AT443" s="207"/>
      <c r="AU443" s="207"/>
      <c r="AV443" s="207"/>
      <c r="AW443" s="207"/>
      <c r="AX443" s="207"/>
      <c r="AY443" s="207"/>
      <c r="AZ443" s="207"/>
      <c r="BA443" s="207"/>
    </row>
    <row r="444" ht="18.75" hidden="1" customHeight="1">
      <c r="A444" s="207"/>
      <c r="B444" s="207"/>
      <c r="C444" s="207"/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  <c r="AA444" s="207"/>
      <c r="AB444" s="207"/>
      <c r="AC444" s="207"/>
      <c r="AD444" s="207"/>
      <c r="AE444" s="207"/>
      <c r="AF444" s="207"/>
      <c r="AG444" s="207"/>
      <c r="AH444" s="207"/>
      <c r="AI444" s="207"/>
      <c r="AJ444" s="207"/>
      <c r="AK444" s="207"/>
      <c r="AL444" s="207"/>
      <c r="AM444" s="207"/>
      <c r="AN444" s="207"/>
      <c r="AO444" s="207"/>
      <c r="AP444" s="207"/>
      <c r="AQ444" s="207"/>
      <c r="AR444" s="207"/>
      <c r="AS444" s="207"/>
      <c r="AT444" s="207"/>
      <c r="AU444" s="207"/>
      <c r="AV444" s="207"/>
      <c r="AW444" s="207"/>
      <c r="AX444" s="207"/>
      <c r="AY444" s="207"/>
      <c r="AZ444" s="207"/>
      <c r="BA444" s="207"/>
    </row>
    <row r="445" ht="18.75" hidden="1" customHeight="1">
      <c r="A445" s="207"/>
      <c r="B445" s="207"/>
      <c r="C445" s="207"/>
      <c r="D445" s="207"/>
      <c r="E445" s="207"/>
      <c r="F445" s="207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  <c r="AA445" s="207"/>
      <c r="AB445" s="207"/>
      <c r="AC445" s="207"/>
      <c r="AD445" s="207"/>
      <c r="AE445" s="207"/>
      <c r="AF445" s="207"/>
      <c r="AG445" s="207"/>
      <c r="AH445" s="207"/>
      <c r="AI445" s="207"/>
      <c r="AJ445" s="207"/>
      <c r="AK445" s="207"/>
      <c r="AL445" s="207"/>
      <c r="AM445" s="207"/>
      <c r="AN445" s="207"/>
      <c r="AO445" s="207"/>
      <c r="AP445" s="207"/>
      <c r="AQ445" s="207"/>
      <c r="AR445" s="207"/>
      <c r="AS445" s="207"/>
      <c r="AT445" s="207"/>
      <c r="AU445" s="207"/>
      <c r="AV445" s="207"/>
      <c r="AW445" s="207"/>
      <c r="AX445" s="207"/>
      <c r="AY445" s="207"/>
      <c r="AZ445" s="207"/>
      <c r="BA445" s="207"/>
    </row>
    <row r="446" ht="18.75" hidden="1" customHeight="1">
      <c r="A446" s="207"/>
      <c r="B446" s="207"/>
      <c r="C446" s="207"/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  <c r="AA446" s="207"/>
      <c r="AB446" s="207"/>
      <c r="AC446" s="207"/>
      <c r="AD446" s="207"/>
      <c r="AE446" s="207"/>
      <c r="AF446" s="207"/>
      <c r="AG446" s="207"/>
      <c r="AH446" s="207"/>
      <c r="AI446" s="207"/>
      <c r="AJ446" s="207"/>
      <c r="AK446" s="207"/>
      <c r="AL446" s="207"/>
      <c r="AM446" s="207"/>
      <c r="AN446" s="207"/>
      <c r="AO446" s="207"/>
      <c r="AP446" s="207"/>
      <c r="AQ446" s="207"/>
      <c r="AR446" s="207"/>
      <c r="AS446" s="207"/>
      <c r="AT446" s="207"/>
      <c r="AU446" s="207"/>
      <c r="AV446" s="207"/>
      <c r="AW446" s="207"/>
      <c r="AX446" s="207"/>
      <c r="AY446" s="207"/>
      <c r="AZ446" s="207"/>
      <c r="BA446" s="207"/>
    </row>
    <row r="447" ht="18.75" hidden="1" customHeight="1">
      <c r="A447" s="207"/>
      <c r="B447" s="207"/>
      <c r="C447" s="207"/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  <c r="AA447" s="207"/>
      <c r="AB447" s="207"/>
      <c r="AC447" s="207"/>
      <c r="AD447" s="207"/>
      <c r="AE447" s="207"/>
      <c r="AF447" s="207"/>
      <c r="AG447" s="207"/>
      <c r="AH447" s="207"/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</row>
    <row r="448" ht="18.75" hidden="1" customHeight="1">
      <c r="A448" s="207"/>
      <c r="B448" s="207"/>
      <c r="C448" s="207"/>
      <c r="D448" s="207"/>
      <c r="E448" s="207"/>
      <c r="F448" s="207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  <c r="AA448" s="207"/>
      <c r="AB448" s="207"/>
      <c r="AC448" s="207"/>
      <c r="AD448" s="207"/>
      <c r="AE448" s="207"/>
      <c r="AF448" s="207"/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</row>
    <row r="449" ht="18.75" hidden="1" customHeight="1">
      <c r="A449" s="207"/>
      <c r="B449" s="207"/>
      <c r="C449" s="207"/>
      <c r="D449" s="207"/>
      <c r="E449" s="207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  <c r="AA449" s="207"/>
      <c r="AB449" s="207"/>
      <c r="AC449" s="207"/>
      <c r="AD449" s="207"/>
      <c r="AE449" s="207"/>
      <c r="AF449" s="207"/>
      <c r="AG449" s="207"/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</row>
    <row r="450" ht="18.75" hidden="1" customHeight="1">
      <c r="A450" s="207"/>
      <c r="B450" s="207"/>
      <c r="C450" s="207"/>
      <c r="D450" s="207"/>
      <c r="E450" s="207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  <c r="AA450" s="207"/>
      <c r="AB450" s="207"/>
      <c r="AC450" s="207"/>
      <c r="AD450" s="207"/>
      <c r="AE450" s="207"/>
      <c r="AF450" s="207"/>
      <c r="AG450" s="207"/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</row>
    <row r="451" ht="18.75" hidden="1" customHeight="1">
      <c r="A451" s="207"/>
      <c r="B451" s="207"/>
      <c r="C451" s="207"/>
      <c r="D451" s="207"/>
      <c r="E451" s="207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  <c r="AA451" s="207"/>
      <c r="AB451" s="207"/>
      <c r="AC451" s="207"/>
      <c r="AD451" s="207"/>
      <c r="AE451" s="207"/>
      <c r="AF451" s="207"/>
      <c r="AG451" s="207"/>
      <c r="AH451" s="207"/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</row>
    <row r="452" ht="18.75" hidden="1" customHeight="1">
      <c r="A452" s="207"/>
      <c r="B452" s="207"/>
      <c r="C452" s="207"/>
      <c r="D452" s="207"/>
      <c r="E452" s="207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  <c r="AA452" s="207"/>
      <c r="AB452" s="207"/>
      <c r="AC452" s="207"/>
      <c r="AD452" s="207"/>
      <c r="AE452" s="207"/>
      <c r="AF452" s="207"/>
      <c r="AG452" s="207"/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</row>
    <row r="453" ht="18.75" hidden="1" customHeight="1">
      <c r="A453" s="207"/>
      <c r="B453" s="207"/>
      <c r="C453" s="207"/>
      <c r="D453" s="207"/>
      <c r="E453" s="207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  <c r="AA453" s="207"/>
      <c r="AB453" s="207"/>
      <c r="AC453" s="207"/>
      <c r="AD453" s="207"/>
      <c r="AE453" s="207"/>
      <c r="AF453" s="207"/>
      <c r="AG453" s="207"/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</row>
    <row r="454" ht="18.75" hidden="1" customHeight="1">
      <c r="A454" s="207"/>
      <c r="B454" s="207"/>
      <c r="C454" s="207"/>
      <c r="D454" s="207"/>
      <c r="E454" s="207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  <c r="AA454" s="207"/>
      <c r="AB454" s="207"/>
      <c r="AC454" s="207"/>
      <c r="AD454" s="207"/>
      <c r="AE454" s="207"/>
      <c r="AF454" s="207"/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</row>
    <row r="455" ht="18.75" hidden="1" customHeight="1">
      <c r="A455" s="207"/>
      <c r="B455" s="207"/>
      <c r="C455" s="207"/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  <c r="AA455" s="207"/>
      <c r="AB455" s="207"/>
      <c r="AC455" s="207"/>
      <c r="AD455" s="207"/>
      <c r="AE455" s="207"/>
      <c r="AF455" s="207"/>
      <c r="AG455" s="207"/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</row>
    <row r="456" ht="18.75" hidden="1" customHeight="1">
      <c r="A456" s="207"/>
      <c r="B456" s="207"/>
      <c r="C456" s="207"/>
      <c r="D456" s="207"/>
      <c r="E456" s="207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  <c r="AA456" s="207"/>
      <c r="AB456" s="207"/>
      <c r="AC456" s="207"/>
      <c r="AD456" s="207"/>
      <c r="AE456" s="207"/>
      <c r="AF456" s="207"/>
      <c r="AG456" s="207"/>
      <c r="AH456" s="207"/>
      <c r="AI456" s="207"/>
      <c r="AJ456" s="207"/>
      <c r="AK456" s="207"/>
      <c r="AL456" s="207"/>
      <c r="AM456" s="207"/>
      <c r="AN456" s="207"/>
      <c r="AO456" s="207"/>
      <c r="AP456" s="207"/>
      <c r="AQ456" s="207"/>
      <c r="AR456" s="207"/>
      <c r="AS456" s="207"/>
      <c r="AT456" s="207"/>
      <c r="AU456" s="207"/>
      <c r="AV456" s="207"/>
      <c r="AW456" s="207"/>
      <c r="AX456" s="207"/>
      <c r="AY456" s="207"/>
      <c r="AZ456" s="207"/>
      <c r="BA456" s="207"/>
    </row>
    <row r="457" ht="18.75" hidden="1" customHeight="1">
      <c r="A457" s="207"/>
      <c r="B457" s="207"/>
      <c r="C457" s="207"/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  <c r="AB457" s="207"/>
      <c r="AC457" s="207"/>
      <c r="AD457" s="207"/>
      <c r="AE457" s="207"/>
      <c r="AF457" s="207"/>
      <c r="AG457" s="207"/>
      <c r="AH457" s="207"/>
      <c r="AI457" s="207"/>
      <c r="AJ457" s="207"/>
      <c r="AK457" s="207"/>
      <c r="AL457" s="207"/>
      <c r="AM457" s="207"/>
      <c r="AN457" s="207"/>
      <c r="AO457" s="207"/>
      <c r="AP457" s="207"/>
      <c r="AQ457" s="207"/>
      <c r="AR457" s="207"/>
      <c r="AS457" s="207"/>
      <c r="AT457" s="207"/>
      <c r="AU457" s="207"/>
      <c r="AV457" s="207"/>
      <c r="AW457" s="207"/>
      <c r="AX457" s="207"/>
      <c r="AY457" s="207"/>
      <c r="AZ457" s="207"/>
      <c r="BA457" s="207"/>
    </row>
    <row r="458" ht="18.75" hidden="1" customHeight="1">
      <c r="A458" s="207"/>
      <c r="B458" s="207"/>
      <c r="C458" s="207"/>
      <c r="D458" s="207"/>
      <c r="E458" s="207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  <c r="AB458" s="207"/>
      <c r="AC458" s="207"/>
      <c r="AD458" s="207"/>
      <c r="AE458" s="207"/>
      <c r="AF458" s="207"/>
      <c r="AG458" s="207"/>
      <c r="AH458" s="207"/>
      <c r="AI458" s="207"/>
      <c r="AJ458" s="207"/>
      <c r="AK458" s="207"/>
      <c r="AL458" s="207"/>
      <c r="AM458" s="207"/>
      <c r="AN458" s="207"/>
      <c r="AO458" s="207"/>
      <c r="AP458" s="207"/>
      <c r="AQ458" s="207"/>
      <c r="AR458" s="207"/>
      <c r="AS458" s="207"/>
      <c r="AT458" s="207"/>
      <c r="AU458" s="207"/>
      <c r="AV458" s="207"/>
      <c r="AW458" s="207"/>
      <c r="AX458" s="207"/>
      <c r="AY458" s="207"/>
      <c r="AZ458" s="207"/>
      <c r="BA458" s="207"/>
    </row>
    <row r="459" ht="18.75" hidden="1" customHeight="1">
      <c r="A459" s="207"/>
      <c r="B459" s="207"/>
      <c r="C459" s="207"/>
      <c r="D459" s="207"/>
      <c r="E459" s="207"/>
      <c r="F459" s="207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  <c r="AA459" s="207"/>
      <c r="AB459" s="207"/>
      <c r="AC459" s="207"/>
      <c r="AD459" s="207"/>
      <c r="AE459" s="207"/>
      <c r="AF459" s="207"/>
      <c r="AG459" s="207"/>
      <c r="AH459" s="207"/>
      <c r="AI459" s="207"/>
      <c r="AJ459" s="207"/>
      <c r="AK459" s="207"/>
      <c r="AL459" s="207"/>
      <c r="AM459" s="207"/>
      <c r="AN459" s="207"/>
      <c r="AO459" s="207"/>
      <c r="AP459" s="207"/>
      <c r="AQ459" s="207"/>
      <c r="AR459" s="207"/>
      <c r="AS459" s="207"/>
      <c r="AT459" s="207"/>
      <c r="AU459" s="207"/>
      <c r="AV459" s="207"/>
      <c r="AW459" s="207"/>
      <c r="AX459" s="207"/>
      <c r="AY459" s="207"/>
      <c r="AZ459" s="207"/>
      <c r="BA459" s="207"/>
    </row>
    <row r="460" ht="18.75" hidden="1" customHeight="1">
      <c r="A460" s="207"/>
      <c r="B460" s="207"/>
      <c r="C460" s="207"/>
      <c r="D460" s="207"/>
      <c r="E460" s="207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  <c r="AA460" s="207"/>
      <c r="AB460" s="207"/>
      <c r="AC460" s="207"/>
      <c r="AD460" s="207"/>
      <c r="AE460" s="207"/>
      <c r="AF460" s="207"/>
      <c r="AG460" s="207"/>
      <c r="AH460" s="207"/>
      <c r="AI460" s="207"/>
      <c r="AJ460" s="207"/>
      <c r="AK460" s="207"/>
      <c r="AL460" s="207"/>
      <c r="AM460" s="207"/>
      <c r="AN460" s="207"/>
      <c r="AO460" s="207"/>
      <c r="AP460" s="207"/>
      <c r="AQ460" s="207"/>
      <c r="AR460" s="207"/>
      <c r="AS460" s="207"/>
      <c r="AT460" s="207"/>
      <c r="AU460" s="207"/>
      <c r="AV460" s="207"/>
      <c r="AW460" s="207"/>
      <c r="AX460" s="207"/>
      <c r="AY460" s="207"/>
      <c r="AZ460" s="207"/>
      <c r="BA460" s="207"/>
    </row>
    <row r="461" ht="18.75" hidden="1" customHeight="1">
      <c r="A461" s="207"/>
      <c r="B461" s="207"/>
      <c r="C461" s="207"/>
      <c r="D461" s="207"/>
      <c r="E461" s="207"/>
      <c r="F461" s="207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  <c r="AA461" s="207"/>
      <c r="AB461" s="207"/>
      <c r="AC461" s="207"/>
      <c r="AD461" s="207"/>
      <c r="AE461" s="207"/>
      <c r="AF461" s="207"/>
      <c r="AG461" s="207"/>
      <c r="AH461" s="207"/>
      <c r="AI461" s="207"/>
      <c r="AJ461" s="207"/>
      <c r="AK461" s="207"/>
      <c r="AL461" s="207"/>
      <c r="AM461" s="207"/>
      <c r="AN461" s="207"/>
      <c r="AO461" s="207"/>
      <c r="AP461" s="207"/>
      <c r="AQ461" s="207"/>
      <c r="AR461" s="207"/>
      <c r="AS461" s="207"/>
      <c r="AT461" s="207"/>
      <c r="AU461" s="207"/>
      <c r="AV461" s="207"/>
      <c r="AW461" s="207"/>
      <c r="AX461" s="207"/>
      <c r="AY461" s="207"/>
      <c r="AZ461" s="207"/>
      <c r="BA461" s="207"/>
    </row>
    <row r="462" ht="18.75" hidden="1" customHeight="1">
      <c r="A462" s="207"/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  <c r="AA462" s="207"/>
      <c r="AB462" s="207"/>
      <c r="AC462" s="207"/>
      <c r="AD462" s="207"/>
      <c r="AE462" s="207"/>
      <c r="AF462" s="207"/>
      <c r="AG462" s="207"/>
      <c r="AH462" s="207"/>
      <c r="AI462" s="207"/>
      <c r="AJ462" s="207"/>
      <c r="AK462" s="207"/>
      <c r="AL462" s="207"/>
      <c r="AM462" s="207"/>
      <c r="AN462" s="207"/>
      <c r="AO462" s="207"/>
      <c r="AP462" s="207"/>
      <c r="AQ462" s="207"/>
      <c r="AR462" s="207"/>
      <c r="AS462" s="207"/>
      <c r="AT462" s="207"/>
      <c r="AU462" s="207"/>
      <c r="AV462" s="207"/>
      <c r="AW462" s="207"/>
      <c r="AX462" s="207"/>
      <c r="AY462" s="207"/>
      <c r="AZ462" s="207"/>
      <c r="BA462" s="207"/>
    </row>
    <row r="463" ht="18.75" hidden="1" customHeight="1">
      <c r="A463" s="207"/>
      <c r="B463" s="207"/>
      <c r="C463" s="207"/>
      <c r="D463" s="207"/>
      <c r="E463" s="207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  <c r="AA463" s="207"/>
      <c r="AB463" s="207"/>
      <c r="AC463" s="207"/>
      <c r="AD463" s="207"/>
      <c r="AE463" s="207"/>
      <c r="AF463" s="207"/>
      <c r="AG463" s="207"/>
      <c r="AH463" s="207"/>
      <c r="AI463" s="207"/>
      <c r="AJ463" s="207"/>
      <c r="AK463" s="207"/>
      <c r="AL463" s="207"/>
      <c r="AM463" s="207"/>
      <c r="AN463" s="207"/>
      <c r="AO463" s="207"/>
      <c r="AP463" s="207"/>
      <c r="AQ463" s="207"/>
      <c r="AR463" s="207"/>
      <c r="AS463" s="207"/>
      <c r="AT463" s="207"/>
      <c r="AU463" s="207"/>
      <c r="AV463" s="207"/>
      <c r="AW463" s="207"/>
      <c r="AX463" s="207"/>
      <c r="AY463" s="207"/>
      <c r="AZ463" s="207"/>
      <c r="BA463" s="207"/>
    </row>
    <row r="464" ht="18.75" hidden="1" customHeight="1">
      <c r="A464" s="207"/>
      <c r="B464" s="207"/>
      <c r="C464" s="207"/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  <c r="AA464" s="207"/>
      <c r="AB464" s="207"/>
      <c r="AC464" s="207"/>
      <c r="AD464" s="207"/>
      <c r="AE464" s="207"/>
      <c r="AF464" s="207"/>
      <c r="AG464" s="207"/>
      <c r="AH464" s="207"/>
      <c r="AI464" s="207"/>
      <c r="AJ464" s="207"/>
      <c r="AK464" s="207"/>
      <c r="AL464" s="207"/>
      <c r="AM464" s="207"/>
      <c r="AN464" s="207"/>
      <c r="AO464" s="207"/>
      <c r="AP464" s="207"/>
      <c r="AQ464" s="207"/>
      <c r="AR464" s="207"/>
      <c r="AS464" s="207"/>
      <c r="AT464" s="207"/>
      <c r="AU464" s="207"/>
      <c r="AV464" s="207"/>
      <c r="AW464" s="207"/>
      <c r="AX464" s="207"/>
      <c r="AY464" s="207"/>
      <c r="AZ464" s="207"/>
      <c r="BA464" s="207"/>
    </row>
    <row r="465" ht="18.75" hidden="1" customHeight="1">
      <c r="A465" s="207"/>
      <c r="B465" s="207"/>
      <c r="C465" s="207"/>
      <c r="D465" s="207"/>
      <c r="E465" s="207"/>
      <c r="F465" s="207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  <c r="AA465" s="207"/>
      <c r="AB465" s="207"/>
      <c r="AC465" s="207"/>
      <c r="AD465" s="207"/>
      <c r="AE465" s="207"/>
      <c r="AF465" s="207"/>
      <c r="AG465" s="207"/>
      <c r="AH465" s="207"/>
      <c r="AI465" s="207"/>
      <c r="AJ465" s="207"/>
      <c r="AK465" s="207"/>
      <c r="AL465" s="207"/>
      <c r="AM465" s="207"/>
      <c r="AN465" s="207"/>
      <c r="AO465" s="207"/>
      <c r="AP465" s="207"/>
      <c r="AQ465" s="207"/>
      <c r="AR465" s="207"/>
      <c r="AS465" s="207"/>
      <c r="AT465" s="207"/>
      <c r="AU465" s="207"/>
      <c r="AV465" s="207"/>
      <c r="AW465" s="207"/>
      <c r="AX465" s="207"/>
      <c r="AY465" s="207"/>
      <c r="AZ465" s="207"/>
      <c r="BA465" s="207"/>
    </row>
    <row r="466" ht="18.75" hidden="1" customHeight="1">
      <c r="A466" s="207"/>
      <c r="B466" s="207"/>
      <c r="C466" s="207"/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  <c r="AA466" s="207"/>
      <c r="AB466" s="207"/>
      <c r="AC466" s="207"/>
      <c r="AD466" s="207"/>
      <c r="AE466" s="207"/>
      <c r="AF466" s="207"/>
      <c r="AG466" s="207"/>
      <c r="AH466" s="207"/>
      <c r="AI466" s="207"/>
      <c r="AJ466" s="207"/>
      <c r="AK466" s="207"/>
      <c r="AL466" s="207"/>
      <c r="AM466" s="207"/>
      <c r="AN466" s="207"/>
      <c r="AO466" s="207"/>
      <c r="AP466" s="207"/>
      <c r="AQ466" s="207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</row>
    <row r="467" ht="18.75" hidden="1" customHeight="1">
      <c r="A467" s="207"/>
      <c r="B467" s="207"/>
      <c r="C467" s="207"/>
      <c r="D467" s="207"/>
      <c r="E467" s="207"/>
      <c r="F467" s="207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  <c r="AA467" s="207"/>
      <c r="AB467" s="207"/>
      <c r="AC467" s="207"/>
      <c r="AD467" s="207"/>
      <c r="AE467" s="207"/>
      <c r="AF467" s="207"/>
      <c r="AG467" s="207"/>
      <c r="AH467" s="207"/>
      <c r="AI467" s="207"/>
      <c r="AJ467" s="207"/>
      <c r="AK467" s="207"/>
      <c r="AL467" s="207"/>
      <c r="AM467" s="207"/>
      <c r="AN467" s="207"/>
      <c r="AO467" s="207"/>
      <c r="AP467" s="207"/>
      <c r="AQ467" s="207"/>
      <c r="AR467" s="207"/>
      <c r="AS467" s="207"/>
      <c r="AT467" s="207"/>
      <c r="AU467" s="207"/>
      <c r="AV467" s="207"/>
      <c r="AW467" s="207"/>
      <c r="AX467" s="207"/>
      <c r="AY467" s="207"/>
      <c r="AZ467" s="207"/>
      <c r="BA467" s="207"/>
    </row>
    <row r="468" ht="18.75" hidden="1" customHeight="1">
      <c r="A468" s="207"/>
      <c r="B468" s="207"/>
      <c r="C468" s="207"/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  <c r="AA468" s="207"/>
      <c r="AB468" s="207"/>
      <c r="AC468" s="207"/>
      <c r="AD468" s="207"/>
      <c r="AE468" s="207"/>
      <c r="AF468" s="207"/>
      <c r="AG468" s="207"/>
      <c r="AH468" s="207"/>
      <c r="AI468" s="207"/>
      <c r="AJ468" s="207"/>
      <c r="AK468" s="207"/>
      <c r="AL468" s="207"/>
      <c r="AM468" s="207"/>
      <c r="AN468" s="207"/>
      <c r="AO468" s="207"/>
      <c r="AP468" s="207"/>
      <c r="AQ468" s="207"/>
      <c r="AR468" s="207"/>
      <c r="AS468" s="207"/>
      <c r="AT468" s="207"/>
      <c r="AU468" s="207"/>
      <c r="AV468" s="207"/>
      <c r="AW468" s="207"/>
      <c r="AX468" s="207"/>
      <c r="AY468" s="207"/>
      <c r="AZ468" s="207"/>
      <c r="BA468" s="207"/>
    </row>
    <row r="469" ht="18.75" hidden="1" customHeight="1">
      <c r="A469" s="207"/>
      <c r="B469" s="207"/>
      <c r="C469" s="207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  <c r="AB469" s="207"/>
      <c r="AC469" s="207"/>
      <c r="AD469" s="207"/>
      <c r="AE469" s="207"/>
      <c r="AF469" s="207"/>
      <c r="AG469" s="207"/>
      <c r="AH469" s="207"/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</row>
    <row r="470" ht="18.75" hidden="1" customHeight="1">
      <c r="A470" s="207"/>
      <c r="B470" s="207"/>
      <c r="C470" s="207"/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  <c r="AA470" s="207"/>
      <c r="AB470" s="207"/>
      <c r="AC470" s="207"/>
      <c r="AD470" s="207"/>
      <c r="AE470" s="207"/>
      <c r="AF470" s="207"/>
      <c r="AG470" s="207"/>
      <c r="AH470" s="207"/>
      <c r="AI470" s="207"/>
      <c r="AJ470" s="207"/>
      <c r="AK470" s="207"/>
      <c r="AL470" s="207"/>
      <c r="AM470" s="207"/>
      <c r="AN470" s="207"/>
      <c r="AO470" s="207"/>
      <c r="AP470" s="207"/>
      <c r="AQ470" s="207"/>
      <c r="AR470" s="207"/>
      <c r="AS470" s="207"/>
      <c r="AT470" s="207"/>
      <c r="AU470" s="207"/>
      <c r="AV470" s="207"/>
      <c r="AW470" s="207"/>
      <c r="AX470" s="207"/>
      <c r="AY470" s="207"/>
      <c r="AZ470" s="207"/>
      <c r="BA470" s="207"/>
    </row>
    <row r="471" ht="18.75" hidden="1" customHeight="1">
      <c r="A471" s="207"/>
      <c r="B471" s="207"/>
      <c r="C471" s="207"/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  <c r="AA471" s="207"/>
      <c r="AB471" s="207"/>
      <c r="AC471" s="207"/>
      <c r="AD471" s="207"/>
      <c r="AE471" s="207"/>
      <c r="AF471" s="207"/>
      <c r="AG471" s="207"/>
      <c r="AH471" s="207"/>
      <c r="AI471" s="207"/>
      <c r="AJ471" s="207"/>
      <c r="AK471" s="207"/>
      <c r="AL471" s="207"/>
      <c r="AM471" s="207"/>
      <c r="AN471" s="207"/>
      <c r="AO471" s="207"/>
      <c r="AP471" s="207"/>
      <c r="AQ471" s="207"/>
      <c r="AR471" s="207"/>
      <c r="AS471" s="207"/>
      <c r="AT471" s="207"/>
      <c r="AU471" s="207"/>
      <c r="AV471" s="207"/>
      <c r="AW471" s="207"/>
      <c r="AX471" s="207"/>
      <c r="AY471" s="207"/>
      <c r="AZ471" s="207"/>
      <c r="BA471" s="207"/>
    </row>
    <row r="472" ht="18.75" hidden="1" customHeight="1">
      <c r="A472" s="207"/>
      <c r="B472" s="207"/>
      <c r="C472" s="207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  <c r="AA472" s="207"/>
      <c r="AB472" s="207"/>
      <c r="AC472" s="207"/>
      <c r="AD472" s="207"/>
      <c r="AE472" s="207"/>
      <c r="AF472" s="207"/>
      <c r="AG472" s="207"/>
      <c r="AH472" s="207"/>
      <c r="AI472" s="207"/>
      <c r="AJ472" s="207"/>
      <c r="AK472" s="207"/>
      <c r="AL472" s="207"/>
      <c r="AM472" s="207"/>
      <c r="AN472" s="207"/>
      <c r="AO472" s="207"/>
      <c r="AP472" s="207"/>
      <c r="AQ472" s="207"/>
      <c r="AR472" s="207"/>
      <c r="AS472" s="207"/>
      <c r="AT472" s="207"/>
      <c r="AU472" s="207"/>
      <c r="AV472" s="207"/>
      <c r="AW472" s="207"/>
      <c r="AX472" s="207"/>
      <c r="AY472" s="207"/>
      <c r="AZ472" s="207"/>
      <c r="BA472" s="207"/>
    </row>
    <row r="473" ht="18.75" hidden="1" customHeight="1">
      <c r="A473" s="207"/>
      <c r="B473" s="207"/>
      <c r="C473" s="207"/>
      <c r="D473" s="207"/>
      <c r="E473" s="207"/>
      <c r="F473" s="207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  <c r="AA473" s="207"/>
      <c r="AB473" s="207"/>
      <c r="AC473" s="207"/>
      <c r="AD473" s="207"/>
      <c r="AE473" s="207"/>
      <c r="AF473" s="207"/>
      <c r="AG473" s="207"/>
      <c r="AH473" s="207"/>
      <c r="AI473" s="207"/>
      <c r="AJ473" s="207"/>
      <c r="AK473" s="207"/>
      <c r="AL473" s="207"/>
      <c r="AM473" s="207"/>
      <c r="AN473" s="207"/>
      <c r="AO473" s="207"/>
      <c r="AP473" s="207"/>
      <c r="AQ473" s="207"/>
      <c r="AR473" s="207"/>
      <c r="AS473" s="207"/>
      <c r="AT473" s="207"/>
      <c r="AU473" s="207"/>
      <c r="AV473" s="207"/>
      <c r="AW473" s="207"/>
      <c r="AX473" s="207"/>
      <c r="AY473" s="207"/>
      <c r="AZ473" s="207"/>
      <c r="BA473" s="207"/>
    </row>
    <row r="474" ht="18.75" hidden="1" customHeight="1">
      <c r="A474" s="207"/>
      <c r="B474" s="207"/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  <c r="AA474" s="207"/>
      <c r="AB474" s="207"/>
      <c r="AC474" s="207"/>
      <c r="AD474" s="207"/>
      <c r="AE474" s="207"/>
      <c r="AF474" s="207"/>
      <c r="AG474" s="207"/>
      <c r="AH474" s="207"/>
      <c r="AI474" s="207"/>
      <c r="AJ474" s="207"/>
      <c r="AK474" s="207"/>
      <c r="AL474" s="207"/>
      <c r="AM474" s="207"/>
      <c r="AN474" s="207"/>
      <c r="AO474" s="207"/>
      <c r="AP474" s="207"/>
      <c r="AQ474" s="207"/>
      <c r="AR474" s="207"/>
      <c r="AS474" s="207"/>
      <c r="AT474" s="207"/>
      <c r="AU474" s="207"/>
      <c r="AV474" s="207"/>
      <c r="AW474" s="207"/>
      <c r="AX474" s="207"/>
      <c r="AY474" s="207"/>
      <c r="AZ474" s="207"/>
      <c r="BA474" s="207"/>
    </row>
    <row r="475" ht="18.75" hidden="1" customHeight="1">
      <c r="A475" s="207"/>
      <c r="B475" s="207"/>
      <c r="C475" s="207"/>
      <c r="D475" s="207"/>
      <c r="E475" s="207"/>
      <c r="F475" s="207"/>
      <c r="G475" s="207"/>
      <c r="H475" s="207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  <c r="AA475" s="207"/>
      <c r="AB475" s="207"/>
      <c r="AC475" s="207"/>
      <c r="AD475" s="207"/>
      <c r="AE475" s="207"/>
      <c r="AF475" s="207"/>
      <c r="AG475" s="207"/>
      <c r="AH475" s="207"/>
      <c r="AI475" s="207"/>
      <c r="AJ475" s="207"/>
      <c r="AK475" s="207"/>
      <c r="AL475" s="207"/>
      <c r="AM475" s="207"/>
      <c r="AN475" s="207"/>
      <c r="AO475" s="207"/>
      <c r="AP475" s="207"/>
      <c r="AQ475" s="207"/>
      <c r="AR475" s="207"/>
      <c r="AS475" s="207"/>
      <c r="AT475" s="207"/>
      <c r="AU475" s="207"/>
      <c r="AV475" s="207"/>
      <c r="AW475" s="207"/>
      <c r="AX475" s="207"/>
      <c r="AY475" s="207"/>
      <c r="AZ475" s="207"/>
      <c r="BA475" s="207"/>
    </row>
    <row r="476" ht="18.75" hidden="1" customHeight="1">
      <c r="A476" s="207"/>
      <c r="B476" s="207"/>
      <c r="C476" s="207"/>
      <c r="D476" s="207"/>
      <c r="E476" s="207"/>
      <c r="F476" s="207"/>
      <c r="G476" s="207"/>
      <c r="H476" s="207"/>
      <c r="I476" s="207"/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  <c r="AA476" s="207"/>
      <c r="AB476" s="207"/>
      <c r="AC476" s="207"/>
      <c r="AD476" s="207"/>
      <c r="AE476" s="207"/>
      <c r="AF476" s="207"/>
      <c r="AG476" s="207"/>
      <c r="AH476" s="207"/>
      <c r="AI476" s="207"/>
      <c r="AJ476" s="207"/>
      <c r="AK476" s="207"/>
      <c r="AL476" s="207"/>
      <c r="AM476" s="207"/>
      <c r="AN476" s="207"/>
      <c r="AO476" s="207"/>
      <c r="AP476" s="207"/>
      <c r="AQ476" s="207"/>
      <c r="AR476" s="207"/>
      <c r="AS476" s="207"/>
      <c r="AT476" s="207"/>
      <c r="AU476" s="207"/>
      <c r="AV476" s="207"/>
      <c r="AW476" s="207"/>
      <c r="AX476" s="207"/>
      <c r="AY476" s="207"/>
      <c r="AZ476" s="207"/>
      <c r="BA476" s="207"/>
    </row>
    <row r="477" ht="18.75" hidden="1" customHeight="1">
      <c r="A477" s="207"/>
      <c r="B477" s="207"/>
      <c r="C477" s="207"/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  <c r="AA477" s="207"/>
      <c r="AB477" s="207"/>
      <c r="AC477" s="207"/>
      <c r="AD477" s="207"/>
      <c r="AE477" s="207"/>
      <c r="AF477" s="207"/>
      <c r="AG477" s="207"/>
      <c r="AH477" s="207"/>
      <c r="AI477" s="207"/>
      <c r="AJ477" s="207"/>
      <c r="AK477" s="207"/>
      <c r="AL477" s="207"/>
      <c r="AM477" s="207"/>
      <c r="AN477" s="207"/>
      <c r="AO477" s="207"/>
      <c r="AP477" s="207"/>
      <c r="AQ477" s="207"/>
      <c r="AR477" s="207"/>
      <c r="AS477" s="207"/>
      <c r="AT477" s="207"/>
      <c r="AU477" s="207"/>
      <c r="AV477" s="207"/>
      <c r="AW477" s="207"/>
      <c r="AX477" s="207"/>
      <c r="AY477" s="207"/>
      <c r="AZ477" s="207"/>
      <c r="BA477" s="207"/>
    </row>
    <row r="478" ht="18.75" hidden="1" customHeight="1">
      <c r="A478" s="207"/>
      <c r="B478" s="207"/>
      <c r="C478" s="207"/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  <c r="AA478" s="207"/>
      <c r="AB478" s="207"/>
      <c r="AC478" s="207"/>
      <c r="AD478" s="207"/>
      <c r="AE478" s="207"/>
      <c r="AF478" s="207"/>
      <c r="AG478" s="207"/>
      <c r="AH478" s="207"/>
      <c r="AI478" s="207"/>
      <c r="AJ478" s="207"/>
      <c r="AK478" s="207"/>
      <c r="AL478" s="207"/>
      <c r="AM478" s="207"/>
      <c r="AN478" s="207"/>
      <c r="AO478" s="207"/>
      <c r="AP478" s="207"/>
      <c r="AQ478" s="207"/>
      <c r="AR478" s="207"/>
      <c r="AS478" s="207"/>
      <c r="AT478" s="207"/>
      <c r="AU478" s="207"/>
      <c r="AV478" s="207"/>
      <c r="AW478" s="207"/>
      <c r="AX478" s="207"/>
      <c r="AY478" s="207"/>
      <c r="AZ478" s="207"/>
      <c r="BA478" s="207"/>
    </row>
    <row r="479" ht="18.75" hidden="1" customHeight="1">
      <c r="A479" s="207"/>
      <c r="B479" s="207"/>
      <c r="C479" s="207"/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  <c r="AA479" s="207"/>
      <c r="AB479" s="207"/>
      <c r="AC479" s="207"/>
      <c r="AD479" s="207"/>
      <c r="AE479" s="207"/>
      <c r="AF479" s="207"/>
      <c r="AG479" s="207"/>
      <c r="AH479" s="207"/>
      <c r="AI479" s="207"/>
      <c r="AJ479" s="207"/>
      <c r="AK479" s="207"/>
      <c r="AL479" s="207"/>
      <c r="AM479" s="207"/>
      <c r="AN479" s="207"/>
      <c r="AO479" s="207"/>
      <c r="AP479" s="207"/>
      <c r="AQ479" s="207"/>
      <c r="AR479" s="207"/>
      <c r="AS479" s="207"/>
      <c r="AT479" s="207"/>
      <c r="AU479" s="207"/>
      <c r="AV479" s="207"/>
      <c r="AW479" s="207"/>
      <c r="AX479" s="207"/>
      <c r="AY479" s="207"/>
      <c r="AZ479" s="207"/>
      <c r="BA479" s="207"/>
    </row>
    <row r="480" ht="18.75" hidden="1" customHeight="1">
      <c r="A480" s="207"/>
      <c r="B480" s="207"/>
      <c r="C480" s="207"/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  <c r="AA480" s="207"/>
      <c r="AB480" s="207"/>
      <c r="AC480" s="207"/>
      <c r="AD480" s="207"/>
      <c r="AE480" s="207"/>
      <c r="AF480" s="207"/>
      <c r="AG480" s="207"/>
      <c r="AH480" s="207"/>
      <c r="AI480" s="207"/>
      <c r="AJ480" s="207"/>
      <c r="AK480" s="207"/>
      <c r="AL480" s="207"/>
      <c r="AM480" s="207"/>
      <c r="AN480" s="207"/>
      <c r="AO480" s="207"/>
      <c r="AP480" s="207"/>
      <c r="AQ480" s="207"/>
      <c r="AR480" s="207"/>
      <c r="AS480" s="207"/>
      <c r="AT480" s="207"/>
      <c r="AU480" s="207"/>
      <c r="AV480" s="207"/>
      <c r="AW480" s="207"/>
      <c r="AX480" s="207"/>
      <c r="AY480" s="207"/>
      <c r="AZ480" s="207"/>
      <c r="BA480" s="207"/>
    </row>
    <row r="481" ht="18.75" hidden="1" customHeight="1">
      <c r="A481" s="207"/>
      <c r="B481" s="207"/>
      <c r="C481" s="207"/>
      <c r="D481" s="207"/>
      <c r="E481" s="207"/>
      <c r="F481" s="207"/>
      <c r="G481" s="207"/>
      <c r="H481" s="207"/>
      <c r="I481" s="207"/>
      <c r="J481" s="207"/>
      <c r="K481" s="207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  <c r="AA481" s="207"/>
      <c r="AB481" s="207"/>
      <c r="AC481" s="207"/>
      <c r="AD481" s="207"/>
      <c r="AE481" s="207"/>
      <c r="AF481" s="207"/>
      <c r="AG481" s="207"/>
      <c r="AH481" s="207"/>
      <c r="AI481" s="207"/>
      <c r="AJ481" s="207"/>
      <c r="AK481" s="207"/>
      <c r="AL481" s="207"/>
      <c r="AM481" s="207"/>
      <c r="AN481" s="207"/>
      <c r="AO481" s="207"/>
      <c r="AP481" s="207"/>
      <c r="AQ481" s="207"/>
      <c r="AR481" s="207"/>
      <c r="AS481" s="207"/>
      <c r="AT481" s="207"/>
      <c r="AU481" s="207"/>
      <c r="AV481" s="207"/>
      <c r="AW481" s="207"/>
      <c r="AX481" s="207"/>
      <c r="AY481" s="207"/>
      <c r="AZ481" s="207"/>
      <c r="BA481" s="207"/>
    </row>
    <row r="482" ht="18.75" hidden="1" customHeight="1">
      <c r="A482" s="207"/>
      <c r="B482" s="207"/>
      <c r="C482" s="207"/>
      <c r="D482" s="207"/>
      <c r="E482" s="207"/>
      <c r="F482" s="207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  <c r="AA482" s="207"/>
      <c r="AB482" s="207"/>
      <c r="AC482" s="207"/>
      <c r="AD482" s="207"/>
      <c r="AE482" s="207"/>
      <c r="AF482" s="207"/>
      <c r="AG482" s="207"/>
      <c r="AH482" s="207"/>
      <c r="AI482" s="207"/>
      <c r="AJ482" s="207"/>
      <c r="AK482" s="207"/>
      <c r="AL482" s="207"/>
      <c r="AM482" s="207"/>
      <c r="AN482" s="207"/>
      <c r="AO482" s="207"/>
      <c r="AP482" s="207"/>
      <c r="AQ482" s="207"/>
      <c r="AR482" s="207"/>
      <c r="AS482" s="207"/>
      <c r="AT482" s="207"/>
      <c r="AU482" s="207"/>
      <c r="AV482" s="207"/>
      <c r="AW482" s="207"/>
      <c r="AX482" s="207"/>
      <c r="AY482" s="207"/>
      <c r="AZ482" s="207"/>
      <c r="BA482" s="207"/>
    </row>
    <row r="483" ht="18.75" hidden="1" customHeight="1">
      <c r="A483" s="207"/>
      <c r="B483" s="207"/>
      <c r="C483" s="207"/>
      <c r="D483" s="207"/>
      <c r="E483" s="207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  <c r="AA483" s="207"/>
      <c r="AB483" s="207"/>
      <c r="AC483" s="207"/>
      <c r="AD483" s="207"/>
      <c r="AE483" s="207"/>
      <c r="AF483" s="207"/>
      <c r="AG483" s="207"/>
      <c r="AH483" s="207"/>
      <c r="AI483" s="207"/>
      <c r="AJ483" s="207"/>
      <c r="AK483" s="207"/>
      <c r="AL483" s="207"/>
      <c r="AM483" s="207"/>
      <c r="AN483" s="207"/>
      <c r="AO483" s="207"/>
      <c r="AP483" s="207"/>
      <c r="AQ483" s="207"/>
      <c r="AR483" s="207"/>
      <c r="AS483" s="207"/>
      <c r="AT483" s="207"/>
      <c r="AU483" s="207"/>
      <c r="AV483" s="207"/>
      <c r="AW483" s="207"/>
      <c r="AX483" s="207"/>
      <c r="AY483" s="207"/>
      <c r="AZ483" s="207"/>
      <c r="BA483" s="207"/>
    </row>
    <row r="484" ht="18.75" hidden="1" customHeight="1">
      <c r="A484" s="207"/>
      <c r="B484" s="207"/>
      <c r="C484" s="207"/>
      <c r="D484" s="207"/>
      <c r="E484" s="207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  <c r="AA484" s="207"/>
      <c r="AB484" s="207"/>
      <c r="AC484" s="207"/>
      <c r="AD484" s="207"/>
      <c r="AE484" s="207"/>
      <c r="AF484" s="207"/>
      <c r="AG484" s="207"/>
      <c r="AH484" s="207"/>
      <c r="AI484" s="207"/>
      <c r="AJ484" s="207"/>
      <c r="AK484" s="207"/>
      <c r="AL484" s="207"/>
      <c r="AM484" s="207"/>
      <c r="AN484" s="207"/>
      <c r="AO484" s="207"/>
      <c r="AP484" s="207"/>
      <c r="AQ484" s="207"/>
      <c r="AR484" s="207"/>
      <c r="AS484" s="207"/>
      <c r="AT484" s="207"/>
      <c r="AU484" s="207"/>
      <c r="AV484" s="207"/>
      <c r="AW484" s="207"/>
      <c r="AX484" s="207"/>
      <c r="AY484" s="207"/>
      <c r="AZ484" s="207"/>
      <c r="BA484" s="207"/>
    </row>
    <row r="485" ht="18.75" hidden="1" customHeight="1">
      <c r="A485" s="207"/>
      <c r="B485" s="207"/>
      <c r="C485" s="207"/>
      <c r="D485" s="207"/>
      <c r="E485" s="207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  <c r="AA485" s="207"/>
      <c r="AB485" s="207"/>
      <c r="AC485" s="207"/>
      <c r="AD485" s="207"/>
      <c r="AE485" s="207"/>
      <c r="AF485" s="207"/>
      <c r="AG485" s="207"/>
      <c r="AH485" s="207"/>
      <c r="AI485" s="207"/>
      <c r="AJ485" s="207"/>
      <c r="AK485" s="207"/>
      <c r="AL485" s="207"/>
      <c r="AM485" s="207"/>
      <c r="AN485" s="207"/>
      <c r="AO485" s="207"/>
      <c r="AP485" s="207"/>
      <c r="AQ485" s="207"/>
      <c r="AR485" s="207"/>
      <c r="AS485" s="207"/>
      <c r="AT485" s="207"/>
      <c r="AU485" s="207"/>
      <c r="AV485" s="207"/>
      <c r="AW485" s="207"/>
      <c r="AX485" s="207"/>
      <c r="AY485" s="207"/>
      <c r="AZ485" s="207"/>
      <c r="BA485" s="207"/>
    </row>
    <row r="486" ht="18.75" hidden="1" customHeight="1">
      <c r="A486" s="207"/>
      <c r="B486" s="207"/>
      <c r="C486" s="207"/>
      <c r="D486" s="207"/>
      <c r="E486" s="207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  <c r="AA486" s="207"/>
      <c r="AB486" s="207"/>
      <c r="AC486" s="207"/>
      <c r="AD486" s="207"/>
      <c r="AE486" s="207"/>
      <c r="AF486" s="207"/>
      <c r="AG486" s="207"/>
      <c r="AH486" s="207"/>
      <c r="AI486" s="207"/>
      <c r="AJ486" s="207"/>
      <c r="AK486" s="207"/>
      <c r="AL486" s="207"/>
      <c r="AM486" s="207"/>
      <c r="AN486" s="207"/>
      <c r="AO486" s="207"/>
      <c r="AP486" s="207"/>
      <c r="AQ486" s="207"/>
      <c r="AR486" s="207"/>
      <c r="AS486" s="207"/>
      <c r="AT486" s="207"/>
      <c r="AU486" s="207"/>
      <c r="AV486" s="207"/>
      <c r="AW486" s="207"/>
      <c r="AX486" s="207"/>
      <c r="AY486" s="207"/>
      <c r="AZ486" s="207"/>
      <c r="BA486" s="207"/>
    </row>
    <row r="487" ht="18.75" hidden="1" customHeight="1">
      <c r="A487" s="207"/>
      <c r="B487" s="207"/>
      <c r="C487" s="207"/>
      <c r="D487" s="207"/>
      <c r="E487" s="207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  <c r="AA487" s="207"/>
      <c r="AB487" s="207"/>
      <c r="AC487" s="207"/>
      <c r="AD487" s="207"/>
      <c r="AE487" s="207"/>
      <c r="AF487" s="207"/>
      <c r="AG487" s="207"/>
      <c r="AH487" s="207"/>
      <c r="AI487" s="207"/>
      <c r="AJ487" s="207"/>
      <c r="AK487" s="207"/>
      <c r="AL487" s="207"/>
      <c r="AM487" s="207"/>
      <c r="AN487" s="207"/>
      <c r="AO487" s="207"/>
      <c r="AP487" s="207"/>
      <c r="AQ487" s="207"/>
      <c r="AR487" s="207"/>
      <c r="AS487" s="207"/>
      <c r="AT487" s="207"/>
      <c r="AU487" s="207"/>
      <c r="AV487" s="207"/>
      <c r="AW487" s="207"/>
      <c r="AX487" s="207"/>
      <c r="AY487" s="207"/>
      <c r="AZ487" s="207"/>
      <c r="BA487" s="207"/>
    </row>
    <row r="488" ht="18.75" hidden="1" customHeight="1">
      <c r="A488" s="207"/>
      <c r="B488" s="207"/>
      <c r="C488" s="207"/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  <c r="AA488" s="207"/>
      <c r="AB488" s="207"/>
      <c r="AC488" s="207"/>
      <c r="AD488" s="207"/>
      <c r="AE488" s="207"/>
      <c r="AF488" s="207"/>
      <c r="AG488" s="207"/>
      <c r="AH488" s="207"/>
      <c r="AI488" s="207"/>
      <c r="AJ488" s="207"/>
      <c r="AK488" s="207"/>
      <c r="AL488" s="207"/>
      <c r="AM488" s="207"/>
      <c r="AN488" s="207"/>
      <c r="AO488" s="207"/>
      <c r="AP488" s="207"/>
      <c r="AQ488" s="207"/>
      <c r="AR488" s="207"/>
      <c r="AS488" s="207"/>
      <c r="AT488" s="207"/>
      <c r="AU488" s="207"/>
      <c r="AV488" s="207"/>
      <c r="AW488" s="207"/>
      <c r="AX488" s="207"/>
      <c r="AY488" s="207"/>
      <c r="AZ488" s="207"/>
      <c r="BA488" s="207"/>
    </row>
    <row r="489" ht="18.75" hidden="1" customHeight="1">
      <c r="A489" s="207"/>
      <c r="B489" s="207"/>
      <c r="C489" s="207"/>
      <c r="D489" s="207"/>
      <c r="E489" s="207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  <c r="AA489" s="207"/>
      <c r="AB489" s="207"/>
      <c r="AC489" s="207"/>
      <c r="AD489" s="207"/>
      <c r="AE489" s="207"/>
      <c r="AF489" s="207"/>
      <c r="AG489" s="207"/>
      <c r="AH489" s="207"/>
      <c r="AI489" s="207"/>
      <c r="AJ489" s="207"/>
      <c r="AK489" s="207"/>
      <c r="AL489" s="207"/>
      <c r="AM489" s="207"/>
      <c r="AN489" s="207"/>
      <c r="AO489" s="207"/>
      <c r="AP489" s="207"/>
      <c r="AQ489" s="207"/>
      <c r="AR489" s="207"/>
      <c r="AS489" s="207"/>
      <c r="AT489" s="207"/>
      <c r="AU489" s="207"/>
      <c r="AV489" s="207"/>
      <c r="AW489" s="207"/>
      <c r="AX489" s="207"/>
      <c r="AY489" s="207"/>
      <c r="AZ489" s="207"/>
      <c r="BA489" s="207"/>
    </row>
    <row r="490" ht="18.75" hidden="1" customHeight="1">
      <c r="A490" s="207"/>
      <c r="B490" s="207"/>
      <c r="C490" s="207"/>
      <c r="D490" s="207"/>
      <c r="E490" s="207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  <c r="AA490" s="207"/>
      <c r="AB490" s="207"/>
      <c r="AC490" s="207"/>
      <c r="AD490" s="207"/>
      <c r="AE490" s="207"/>
      <c r="AF490" s="207"/>
      <c r="AG490" s="207"/>
      <c r="AH490" s="207"/>
      <c r="AI490" s="207"/>
      <c r="AJ490" s="207"/>
      <c r="AK490" s="207"/>
      <c r="AL490" s="207"/>
      <c r="AM490" s="207"/>
      <c r="AN490" s="207"/>
      <c r="AO490" s="207"/>
      <c r="AP490" s="207"/>
      <c r="AQ490" s="207"/>
      <c r="AR490" s="207"/>
      <c r="AS490" s="207"/>
      <c r="AT490" s="207"/>
      <c r="AU490" s="207"/>
      <c r="AV490" s="207"/>
      <c r="AW490" s="207"/>
      <c r="AX490" s="207"/>
      <c r="AY490" s="207"/>
      <c r="AZ490" s="207"/>
      <c r="BA490" s="207"/>
    </row>
    <row r="491" ht="18.75" hidden="1" customHeight="1">
      <c r="A491" s="207"/>
      <c r="B491" s="207"/>
      <c r="C491" s="207"/>
      <c r="D491" s="207"/>
      <c r="E491" s="207"/>
      <c r="F491" s="207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  <c r="AA491" s="207"/>
      <c r="AB491" s="207"/>
      <c r="AC491" s="207"/>
      <c r="AD491" s="207"/>
      <c r="AE491" s="207"/>
      <c r="AF491" s="207"/>
      <c r="AG491" s="207"/>
      <c r="AH491" s="207"/>
      <c r="AI491" s="207"/>
      <c r="AJ491" s="207"/>
      <c r="AK491" s="207"/>
      <c r="AL491" s="207"/>
      <c r="AM491" s="207"/>
      <c r="AN491" s="207"/>
      <c r="AO491" s="207"/>
      <c r="AP491" s="207"/>
      <c r="AQ491" s="207"/>
      <c r="AR491" s="207"/>
      <c r="AS491" s="207"/>
      <c r="AT491" s="207"/>
      <c r="AU491" s="207"/>
      <c r="AV491" s="207"/>
      <c r="AW491" s="207"/>
      <c r="AX491" s="207"/>
      <c r="AY491" s="207"/>
      <c r="AZ491" s="207"/>
      <c r="BA491" s="207"/>
    </row>
    <row r="492" ht="18.75" hidden="1" customHeight="1">
      <c r="A492" s="207"/>
      <c r="B492" s="207"/>
      <c r="C492" s="207"/>
      <c r="D492" s="207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  <c r="AB492" s="207"/>
      <c r="AC492" s="207"/>
      <c r="AD492" s="207"/>
      <c r="AE492" s="207"/>
      <c r="AF492" s="207"/>
      <c r="AG492" s="207"/>
      <c r="AH492" s="207"/>
      <c r="AI492" s="207"/>
      <c r="AJ492" s="207"/>
      <c r="AK492" s="207"/>
      <c r="AL492" s="207"/>
      <c r="AM492" s="207"/>
      <c r="AN492" s="207"/>
      <c r="AO492" s="207"/>
      <c r="AP492" s="207"/>
      <c r="AQ492" s="207"/>
      <c r="AR492" s="207"/>
      <c r="AS492" s="207"/>
      <c r="AT492" s="207"/>
      <c r="AU492" s="207"/>
      <c r="AV492" s="207"/>
      <c r="AW492" s="207"/>
      <c r="AX492" s="207"/>
      <c r="AY492" s="207"/>
      <c r="AZ492" s="207"/>
      <c r="BA492" s="207"/>
    </row>
    <row r="493" ht="18.75" hidden="1" customHeight="1">
      <c r="A493" s="207"/>
      <c r="B493" s="207"/>
      <c r="C493" s="207"/>
      <c r="D493" s="207"/>
      <c r="E493" s="207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  <c r="AA493" s="207"/>
      <c r="AB493" s="207"/>
      <c r="AC493" s="207"/>
      <c r="AD493" s="207"/>
      <c r="AE493" s="207"/>
      <c r="AF493" s="207"/>
      <c r="AG493" s="207"/>
      <c r="AH493" s="207"/>
      <c r="AI493" s="207"/>
      <c r="AJ493" s="207"/>
      <c r="AK493" s="207"/>
      <c r="AL493" s="207"/>
      <c r="AM493" s="207"/>
      <c r="AN493" s="207"/>
      <c r="AO493" s="207"/>
      <c r="AP493" s="207"/>
      <c r="AQ493" s="207"/>
      <c r="AR493" s="207"/>
      <c r="AS493" s="207"/>
      <c r="AT493" s="207"/>
      <c r="AU493" s="207"/>
      <c r="AV493" s="207"/>
      <c r="AW493" s="207"/>
      <c r="AX493" s="207"/>
      <c r="AY493" s="207"/>
      <c r="AZ493" s="207"/>
      <c r="BA493" s="207"/>
    </row>
    <row r="494" ht="18.75" hidden="1" customHeight="1">
      <c r="A494" s="207"/>
      <c r="B494" s="207"/>
      <c r="C494" s="207"/>
      <c r="D494" s="207"/>
      <c r="E494" s="207"/>
      <c r="F494" s="207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  <c r="AA494" s="207"/>
      <c r="AB494" s="207"/>
      <c r="AC494" s="207"/>
      <c r="AD494" s="207"/>
      <c r="AE494" s="207"/>
      <c r="AF494" s="207"/>
      <c r="AG494" s="207"/>
      <c r="AH494" s="207"/>
      <c r="AI494" s="207"/>
      <c r="AJ494" s="207"/>
      <c r="AK494" s="207"/>
      <c r="AL494" s="207"/>
      <c r="AM494" s="207"/>
      <c r="AN494" s="207"/>
      <c r="AO494" s="207"/>
      <c r="AP494" s="207"/>
      <c r="AQ494" s="207"/>
      <c r="AR494" s="207"/>
      <c r="AS494" s="207"/>
      <c r="AT494" s="207"/>
      <c r="AU494" s="207"/>
      <c r="AV494" s="207"/>
      <c r="AW494" s="207"/>
      <c r="AX494" s="207"/>
      <c r="AY494" s="207"/>
      <c r="AZ494" s="207"/>
      <c r="BA494" s="207"/>
    </row>
    <row r="495" ht="18.75" hidden="1" customHeight="1">
      <c r="A495" s="207"/>
      <c r="B495" s="207"/>
      <c r="C495" s="207"/>
      <c r="D495" s="207"/>
      <c r="E495" s="207"/>
      <c r="F495" s="207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  <c r="AA495" s="207"/>
      <c r="AB495" s="207"/>
      <c r="AC495" s="207"/>
      <c r="AD495" s="207"/>
      <c r="AE495" s="207"/>
      <c r="AF495" s="207"/>
      <c r="AG495" s="207"/>
      <c r="AH495" s="207"/>
      <c r="AI495" s="207"/>
      <c r="AJ495" s="207"/>
      <c r="AK495" s="207"/>
      <c r="AL495" s="207"/>
      <c r="AM495" s="207"/>
      <c r="AN495" s="207"/>
      <c r="AO495" s="207"/>
      <c r="AP495" s="207"/>
      <c r="AQ495" s="207"/>
      <c r="AR495" s="207"/>
      <c r="AS495" s="207"/>
      <c r="AT495" s="207"/>
      <c r="AU495" s="207"/>
      <c r="AV495" s="207"/>
      <c r="AW495" s="207"/>
      <c r="AX495" s="207"/>
      <c r="AY495" s="207"/>
      <c r="AZ495" s="207"/>
      <c r="BA495" s="207"/>
    </row>
    <row r="496" ht="18.75" hidden="1" customHeight="1">
      <c r="A496" s="207"/>
      <c r="B496" s="207"/>
      <c r="C496" s="207"/>
      <c r="D496" s="207"/>
      <c r="E496" s="207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  <c r="AA496" s="207"/>
      <c r="AB496" s="207"/>
      <c r="AC496" s="207"/>
      <c r="AD496" s="207"/>
      <c r="AE496" s="207"/>
      <c r="AF496" s="207"/>
      <c r="AG496" s="207"/>
      <c r="AH496" s="207"/>
      <c r="AI496" s="207"/>
      <c r="AJ496" s="207"/>
      <c r="AK496" s="207"/>
      <c r="AL496" s="207"/>
      <c r="AM496" s="207"/>
      <c r="AN496" s="207"/>
      <c r="AO496" s="207"/>
      <c r="AP496" s="207"/>
      <c r="AQ496" s="207"/>
      <c r="AR496" s="207"/>
      <c r="AS496" s="207"/>
      <c r="AT496" s="207"/>
      <c r="AU496" s="207"/>
      <c r="AV496" s="207"/>
      <c r="AW496" s="207"/>
      <c r="AX496" s="207"/>
      <c r="AY496" s="207"/>
      <c r="AZ496" s="207"/>
      <c r="BA496" s="207"/>
    </row>
    <row r="497" ht="18.75" hidden="1" customHeight="1">
      <c r="A497" s="207"/>
      <c r="B497" s="207"/>
      <c r="C497" s="207"/>
      <c r="D497" s="207"/>
      <c r="E497" s="207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  <c r="AA497" s="207"/>
      <c r="AB497" s="207"/>
      <c r="AC497" s="207"/>
      <c r="AD497" s="207"/>
      <c r="AE497" s="207"/>
      <c r="AF497" s="207"/>
      <c r="AG497" s="207"/>
      <c r="AH497" s="207"/>
      <c r="AI497" s="207"/>
      <c r="AJ497" s="207"/>
      <c r="AK497" s="207"/>
      <c r="AL497" s="207"/>
      <c r="AM497" s="207"/>
      <c r="AN497" s="207"/>
      <c r="AO497" s="207"/>
      <c r="AP497" s="207"/>
      <c r="AQ497" s="207"/>
      <c r="AR497" s="207"/>
      <c r="AS497" s="207"/>
      <c r="AT497" s="207"/>
      <c r="AU497" s="207"/>
      <c r="AV497" s="207"/>
      <c r="AW497" s="207"/>
      <c r="AX497" s="207"/>
      <c r="AY497" s="207"/>
      <c r="AZ497" s="207"/>
      <c r="BA497" s="207"/>
    </row>
    <row r="498" ht="18.75" hidden="1" customHeight="1">
      <c r="A498" s="207"/>
      <c r="B498" s="207"/>
      <c r="C498" s="207"/>
      <c r="D498" s="207"/>
      <c r="E498" s="207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  <c r="AA498" s="207"/>
      <c r="AB498" s="207"/>
      <c r="AC498" s="207"/>
      <c r="AD498" s="207"/>
      <c r="AE498" s="207"/>
      <c r="AF498" s="207"/>
      <c r="AG498" s="207"/>
      <c r="AH498" s="207"/>
      <c r="AI498" s="207"/>
      <c r="AJ498" s="207"/>
      <c r="AK498" s="207"/>
      <c r="AL498" s="207"/>
      <c r="AM498" s="207"/>
      <c r="AN498" s="207"/>
      <c r="AO498" s="207"/>
      <c r="AP498" s="207"/>
      <c r="AQ498" s="207"/>
      <c r="AR498" s="207"/>
      <c r="AS498" s="207"/>
      <c r="AT498" s="207"/>
      <c r="AU498" s="207"/>
      <c r="AV498" s="207"/>
      <c r="AW498" s="207"/>
      <c r="AX498" s="207"/>
      <c r="AY498" s="207"/>
      <c r="AZ498" s="207"/>
      <c r="BA498" s="207"/>
    </row>
    <row r="499" ht="18.75" hidden="1" customHeight="1">
      <c r="A499" s="207"/>
      <c r="B499" s="207"/>
      <c r="C499" s="207"/>
      <c r="D499" s="207"/>
      <c r="E499" s="207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  <c r="AA499" s="207"/>
      <c r="AB499" s="207"/>
      <c r="AC499" s="207"/>
      <c r="AD499" s="207"/>
      <c r="AE499" s="207"/>
      <c r="AF499" s="207"/>
      <c r="AG499" s="207"/>
      <c r="AH499" s="207"/>
      <c r="AI499" s="207"/>
      <c r="AJ499" s="207"/>
      <c r="AK499" s="207"/>
      <c r="AL499" s="207"/>
      <c r="AM499" s="207"/>
      <c r="AN499" s="207"/>
      <c r="AO499" s="207"/>
      <c r="AP499" s="207"/>
      <c r="AQ499" s="207"/>
      <c r="AR499" s="207"/>
      <c r="AS499" s="207"/>
      <c r="AT499" s="207"/>
      <c r="AU499" s="207"/>
      <c r="AV499" s="207"/>
      <c r="AW499" s="207"/>
      <c r="AX499" s="207"/>
      <c r="AY499" s="207"/>
      <c r="AZ499" s="207"/>
      <c r="BA499" s="207"/>
    </row>
    <row r="500" ht="18.75" hidden="1" customHeight="1">
      <c r="A500" s="207"/>
      <c r="B500" s="207"/>
      <c r="C500" s="207"/>
      <c r="D500" s="207"/>
      <c r="E500" s="207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  <c r="AA500" s="207"/>
      <c r="AB500" s="207"/>
      <c r="AC500" s="207"/>
      <c r="AD500" s="207"/>
      <c r="AE500" s="207"/>
      <c r="AF500" s="207"/>
      <c r="AG500" s="207"/>
      <c r="AH500" s="207"/>
      <c r="AI500" s="207"/>
      <c r="AJ500" s="207"/>
      <c r="AK500" s="207"/>
      <c r="AL500" s="207"/>
      <c r="AM500" s="207"/>
      <c r="AN500" s="207"/>
      <c r="AO500" s="207"/>
      <c r="AP500" s="207"/>
      <c r="AQ500" s="207"/>
      <c r="AR500" s="207"/>
      <c r="AS500" s="207"/>
      <c r="AT500" s="207"/>
      <c r="AU500" s="207"/>
      <c r="AV500" s="207"/>
      <c r="AW500" s="207"/>
      <c r="AX500" s="207"/>
      <c r="AY500" s="207"/>
      <c r="AZ500" s="207"/>
      <c r="BA500" s="207"/>
    </row>
    <row r="501" ht="18.75" hidden="1" customHeight="1">
      <c r="A501" s="207"/>
      <c r="B501" s="207"/>
      <c r="C501" s="207"/>
      <c r="D501" s="207"/>
      <c r="E501" s="207"/>
      <c r="F501" s="207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  <c r="AA501" s="207"/>
      <c r="AB501" s="207"/>
      <c r="AC501" s="207"/>
      <c r="AD501" s="207"/>
      <c r="AE501" s="207"/>
      <c r="AF501" s="207"/>
      <c r="AG501" s="207"/>
      <c r="AH501" s="207"/>
      <c r="AI501" s="207"/>
      <c r="AJ501" s="207"/>
      <c r="AK501" s="207"/>
      <c r="AL501" s="207"/>
      <c r="AM501" s="207"/>
      <c r="AN501" s="207"/>
      <c r="AO501" s="207"/>
      <c r="AP501" s="207"/>
      <c r="AQ501" s="207"/>
      <c r="AR501" s="207"/>
      <c r="AS501" s="207"/>
      <c r="AT501" s="207"/>
      <c r="AU501" s="207"/>
      <c r="AV501" s="207"/>
      <c r="AW501" s="207"/>
      <c r="AX501" s="207"/>
      <c r="AY501" s="207"/>
      <c r="AZ501" s="207"/>
      <c r="BA501" s="207"/>
    </row>
    <row r="502" ht="18.75" hidden="1" customHeight="1">
      <c r="A502" s="207"/>
      <c r="B502" s="207"/>
      <c r="C502" s="207"/>
      <c r="D502" s="207"/>
      <c r="E502" s="207"/>
      <c r="F502" s="207"/>
      <c r="G502" s="207"/>
      <c r="H502" s="207"/>
      <c r="I502" s="207"/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  <c r="AA502" s="207"/>
      <c r="AB502" s="207"/>
      <c r="AC502" s="207"/>
      <c r="AD502" s="207"/>
      <c r="AE502" s="207"/>
      <c r="AF502" s="207"/>
      <c r="AG502" s="207"/>
      <c r="AH502" s="207"/>
      <c r="AI502" s="207"/>
      <c r="AJ502" s="207"/>
      <c r="AK502" s="207"/>
      <c r="AL502" s="207"/>
      <c r="AM502" s="207"/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</row>
    <row r="503" ht="18.75" hidden="1" customHeight="1">
      <c r="A503" s="207"/>
      <c r="B503" s="207"/>
      <c r="C503" s="207"/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  <c r="AA503" s="207"/>
      <c r="AB503" s="207"/>
      <c r="AC503" s="207"/>
      <c r="AD503" s="207"/>
      <c r="AE503" s="207"/>
      <c r="AF503" s="207"/>
      <c r="AG503" s="207"/>
      <c r="AH503" s="207"/>
      <c r="AI503" s="207"/>
      <c r="AJ503" s="207"/>
      <c r="AK503" s="207"/>
      <c r="AL503" s="207"/>
      <c r="AM503" s="207"/>
      <c r="AN503" s="207"/>
      <c r="AO503" s="207"/>
      <c r="AP503" s="207"/>
      <c r="AQ503" s="207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</row>
    <row r="504" ht="18.75" hidden="1" customHeight="1">
      <c r="A504" s="207"/>
      <c r="B504" s="207"/>
      <c r="C504" s="207"/>
      <c r="D504" s="207"/>
      <c r="E504" s="207"/>
      <c r="F504" s="207"/>
      <c r="G504" s="207"/>
      <c r="H504" s="207"/>
      <c r="I504" s="207"/>
      <c r="J504" s="207"/>
      <c r="K504" s="207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  <c r="AA504" s="207"/>
      <c r="AB504" s="207"/>
      <c r="AC504" s="207"/>
      <c r="AD504" s="207"/>
      <c r="AE504" s="207"/>
      <c r="AF504" s="207"/>
      <c r="AG504" s="207"/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</row>
    <row r="505" ht="18.75" hidden="1" customHeight="1">
      <c r="A505" s="207"/>
      <c r="B505" s="207"/>
      <c r="C505" s="207"/>
      <c r="D505" s="207"/>
      <c r="E505" s="207"/>
      <c r="F505" s="207"/>
      <c r="G505" s="207"/>
      <c r="H505" s="207"/>
      <c r="I505" s="207"/>
      <c r="J505" s="207"/>
      <c r="K505" s="207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  <c r="AA505" s="207"/>
      <c r="AB505" s="207"/>
      <c r="AC505" s="207"/>
      <c r="AD505" s="207"/>
      <c r="AE505" s="207"/>
      <c r="AF505" s="207"/>
      <c r="AG505" s="207"/>
      <c r="AH505" s="207"/>
      <c r="AI505" s="207"/>
      <c r="AJ505" s="207"/>
      <c r="AK505" s="207"/>
      <c r="AL505" s="207"/>
      <c r="AM505" s="207"/>
      <c r="AN505" s="207"/>
      <c r="AO505" s="207"/>
      <c r="AP505" s="207"/>
      <c r="AQ505" s="207"/>
      <c r="AR505" s="207"/>
      <c r="AS505" s="207"/>
      <c r="AT505" s="207"/>
      <c r="AU505" s="207"/>
      <c r="AV505" s="207"/>
      <c r="AW505" s="207"/>
      <c r="AX505" s="207"/>
      <c r="AY505" s="207"/>
      <c r="AZ505" s="207"/>
      <c r="BA505" s="207"/>
    </row>
    <row r="506" ht="18.75" hidden="1" customHeight="1">
      <c r="A506" s="207"/>
      <c r="B506" s="207"/>
      <c r="C506" s="207"/>
      <c r="D506" s="207"/>
      <c r="E506" s="207"/>
      <c r="F506" s="207"/>
      <c r="G506" s="207"/>
      <c r="H506" s="207"/>
      <c r="I506" s="207"/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  <c r="AA506" s="207"/>
      <c r="AB506" s="207"/>
      <c r="AC506" s="207"/>
      <c r="AD506" s="207"/>
      <c r="AE506" s="207"/>
      <c r="AF506" s="207"/>
      <c r="AG506" s="207"/>
      <c r="AH506" s="207"/>
      <c r="AI506" s="207"/>
      <c r="AJ506" s="207"/>
      <c r="AK506" s="207"/>
      <c r="AL506" s="207"/>
      <c r="AM506" s="207"/>
      <c r="AN506" s="207"/>
      <c r="AO506" s="207"/>
      <c r="AP506" s="207"/>
      <c r="AQ506" s="207"/>
      <c r="AR506" s="207"/>
      <c r="AS506" s="207"/>
      <c r="AT506" s="207"/>
      <c r="AU506" s="207"/>
      <c r="AV506" s="207"/>
      <c r="AW506" s="207"/>
      <c r="AX506" s="207"/>
      <c r="AY506" s="207"/>
      <c r="AZ506" s="207"/>
      <c r="BA506" s="207"/>
    </row>
    <row r="507" ht="18.75" hidden="1" customHeight="1">
      <c r="A507" s="207"/>
      <c r="B507" s="207"/>
      <c r="C507" s="207"/>
      <c r="D507" s="207"/>
      <c r="E507" s="207"/>
      <c r="F507" s="207"/>
      <c r="G507" s="207"/>
      <c r="H507" s="207"/>
      <c r="I507" s="207"/>
      <c r="J507" s="207"/>
      <c r="K507" s="207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  <c r="AA507" s="207"/>
      <c r="AB507" s="207"/>
      <c r="AC507" s="207"/>
      <c r="AD507" s="207"/>
      <c r="AE507" s="207"/>
      <c r="AF507" s="207"/>
      <c r="AG507" s="207"/>
      <c r="AH507" s="207"/>
      <c r="AI507" s="207"/>
      <c r="AJ507" s="207"/>
      <c r="AK507" s="207"/>
      <c r="AL507" s="207"/>
      <c r="AM507" s="207"/>
      <c r="AN507" s="207"/>
      <c r="AO507" s="207"/>
      <c r="AP507" s="207"/>
      <c r="AQ507" s="207"/>
      <c r="AR507" s="207"/>
      <c r="AS507" s="207"/>
      <c r="AT507" s="207"/>
      <c r="AU507" s="207"/>
      <c r="AV507" s="207"/>
      <c r="AW507" s="207"/>
      <c r="AX507" s="207"/>
      <c r="AY507" s="207"/>
      <c r="AZ507" s="207"/>
      <c r="BA507" s="207"/>
    </row>
    <row r="508" ht="18.75" hidden="1" customHeight="1">
      <c r="A508" s="207"/>
      <c r="B508" s="207"/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  <c r="AA508" s="207"/>
      <c r="AB508" s="207"/>
      <c r="AC508" s="207"/>
      <c r="AD508" s="207"/>
      <c r="AE508" s="207"/>
      <c r="AF508" s="207"/>
      <c r="AG508" s="207"/>
      <c r="AH508" s="207"/>
      <c r="AI508" s="207"/>
      <c r="AJ508" s="207"/>
      <c r="AK508" s="207"/>
      <c r="AL508" s="207"/>
      <c r="AM508" s="207"/>
      <c r="AN508" s="207"/>
      <c r="AO508" s="207"/>
      <c r="AP508" s="207"/>
      <c r="AQ508" s="207"/>
      <c r="AR508" s="207"/>
      <c r="AS508" s="207"/>
      <c r="AT508" s="207"/>
      <c r="AU508" s="207"/>
      <c r="AV508" s="207"/>
      <c r="AW508" s="207"/>
      <c r="AX508" s="207"/>
      <c r="AY508" s="207"/>
      <c r="AZ508" s="207"/>
      <c r="BA508" s="207"/>
    </row>
    <row r="509" ht="18.75" hidden="1" customHeight="1">
      <c r="A509" s="207"/>
      <c r="B509" s="207"/>
      <c r="C509" s="207"/>
      <c r="D509" s="207"/>
      <c r="E509" s="207"/>
      <c r="F509" s="207"/>
      <c r="G509" s="207"/>
      <c r="H509" s="207"/>
      <c r="I509" s="207"/>
      <c r="J509" s="207"/>
      <c r="K509" s="207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  <c r="AA509" s="207"/>
      <c r="AB509" s="207"/>
      <c r="AC509" s="207"/>
      <c r="AD509" s="207"/>
      <c r="AE509" s="207"/>
      <c r="AF509" s="207"/>
      <c r="AG509" s="207"/>
      <c r="AH509" s="207"/>
      <c r="AI509" s="207"/>
      <c r="AJ509" s="207"/>
      <c r="AK509" s="207"/>
      <c r="AL509" s="207"/>
      <c r="AM509" s="207"/>
      <c r="AN509" s="207"/>
      <c r="AO509" s="207"/>
      <c r="AP509" s="207"/>
      <c r="AQ509" s="207"/>
      <c r="AR509" s="207"/>
      <c r="AS509" s="207"/>
      <c r="AT509" s="207"/>
      <c r="AU509" s="207"/>
      <c r="AV509" s="207"/>
      <c r="AW509" s="207"/>
      <c r="AX509" s="207"/>
      <c r="AY509" s="207"/>
      <c r="AZ509" s="207"/>
      <c r="BA509" s="207"/>
    </row>
    <row r="510" ht="18.75" hidden="1" customHeight="1">
      <c r="A510" s="207"/>
      <c r="B510" s="207"/>
      <c r="C510" s="207"/>
      <c r="D510" s="207"/>
      <c r="E510" s="207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  <c r="AA510" s="207"/>
      <c r="AB510" s="207"/>
      <c r="AC510" s="207"/>
      <c r="AD510" s="207"/>
      <c r="AE510" s="207"/>
      <c r="AF510" s="207"/>
      <c r="AG510" s="207"/>
      <c r="AH510" s="207"/>
      <c r="AI510" s="207"/>
      <c r="AJ510" s="207"/>
      <c r="AK510" s="207"/>
      <c r="AL510" s="207"/>
      <c r="AM510" s="207"/>
      <c r="AN510" s="207"/>
      <c r="AO510" s="207"/>
      <c r="AP510" s="207"/>
      <c r="AQ510" s="207"/>
      <c r="AR510" s="207"/>
      <c r="AS510" s="207"/>
      <c r="AT510" s="207"/>
      <c r="AU510" s="207"/>
      <c r="AV510" s="207"/>
      <c r="AW510" s="207"/>
      <c r="AX510" s="207"/>
      <c r="AY510" s="207"/>
      <c r="AZ510" s="207"/>
      <c r="BA510" s="207"/>
    </row>
    <row r="511" ht="18.75" hidden="1" customHeight="1">
      <c r="A511" s="207"/>
      <c r="B511" s="207"/>
      <c r="C511" s="207"/>
      <c r="D511" s="207"/>
      <c r="E511" s="207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  <c r="AA511" s="207"/>
      <c r="AB511" s="207"/>
      <c r="AC511" s="207"/>
      <c r="AD511" s="207"/>
      <c r="AE511" s="207"/>
      <c r="AF511" s="207"/>
      <c r="AG511" s="207"/>
      <c r="AH511" s="207"/>
      <c r="AI511" s="207"/>
      <c r="AJ511" s="207"/>
      <c r="AK511" s="207"/>
      <c r="AL511" s="207"/>
      <c r="AM511" s="207"/>
      <c r="AN511" s="207"/>
      <c r="AO511" s="207"/>
      <c r="AP511" s="207"/>
      <c r="AQ511" s="207"/>
      <c r="AR511" s="207"/>
      <c r="AS511" s="207"/>
      <c r="AT511" s="207"/>
      <c r="AU511" s="207"/>
      <c r="AV511" s="207"/>
      <c r="AW511" s="207"/>
      <c r="AX511" s="207"/>
      <c r="AY511" s="207"/>
      <c r="AZ511" s="207"/>
      <c r="BA511" s="207"/>
    </row>
    <row r="512" ht="18.75" hidden="1" customHeight="1">
      <c r="A512" s="207"/>
      <c r="B512" s="207"/>
      <c r="C512" s="207"/>
      <c r="D512" s="207"/>
      <c r="E512" s="207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  <c r="AA512" s="207"/>
      <c r="AB512" s="207"/>
      <c r="AC512" s="207"/>
      <c r="AD512" s="207"/>
      <c r="AE512" s="207"/>
      <c r="AF512" s="207"/>
      <c r="AG512" s="207"/>
      <c r="AH512" s="207"/>
      <c r="AI512" s="207"/>
      <c r="AJ512" s="207"/>
      <c r="AK512" s="207"/>
      <c r="AL512" s="207"/>
      <c r="AM512" s="207"/>
      <c r="AN512" s="207"/>
      <c r="AO512" s="207"/>
      <c r="AP512" s="207"/>
      <c r="AQ512" s="207"/>
      <c r="AR512" s="207"/>
      <c r="AS512" s="207"/>
      <c r="AT512" s="207"/>
      <c r="AU512" s="207"/>
      <c r="AV512" s="207"/>
      <c r="AW512" s="207"/>
      <c r="AX512" s="207"/>
      <c r="AY512" s="207"/>
      <c r="AZ512" s="207"/>
      <c r="BA512" s="207"/>
    </row>
    <row r="513" ht="18.75" hidden="1" customHeight="1">
      <c r="A513" s="207"/>
      <c r="B513" s="207"/>
      <c r="C513" s="207"/>
      <c r="D513" s="207"/>
      <c r="E513" s="207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  <c r="AA513" s="207"/>
      <c r="AB513" s="207"/>
      <c r="AC513" s="207"/>
      <c r="AD513" s="207"/>
      <c r="AE513" s="207"/>
      <c r="AF513" s="207"/>
      <c r="AG513" s="207"/>
      <c r="AH513" s="207"/>
      <c r="AI513" s="207"/>
      <c r="AJ513" s="207"/>
      <c r="AK513" s="207"/>
      <c r="AL513" s="207"/>
      <c r="AM513" s="207"/>
      <c r="AN513" s="207"/>
      <c r="AO513" s="207"/>
      <c r="AP513" s="207"/>
      <c r="AQ513" s="207"/>
      <c r="AR513" s="207"/>
      <c r="AS513" s="207"/>
      <c r="AT513" s="207"/>
      <c r="AU513" s="207"/>
      <c r="AV513" s="207"/>
      <c r="AW513" s="207"/>
      <c r="AX513" s="207"/>
      <c r="AY513" s="207"/>
      <c r="AZ513" s="207"/>
      <c r="BA513" s="207"/>
    </row>
    <row r="514" ht="18.75" hidden="1" customHeight="1">
      <c r="A514" s="207"/>
      <c r="B514" s="207"/>
      <c r="C514" s="207"/>
      <c r="D514" s="207"/>
      <c r="E514" s="207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  <c r="AA514" s="207"/>
      <c r="AB514" s="207"/>
      <c r="AC514" s="207"/>
      <c r="AD514" s="207"/>
      <c r="AE514" s="207"/>
      <c r="AF514" s="207"/>
      <c r="AG514" s="207"/>
      <c r="AH514" s="207"/>
      <c r="AI514" s="207"/>
      <c r="AJ514" s="207"/>
      <c r="AK514" s="207"/>
      <c r="AL514" s="207"/>
      <c r="AM514" s="207"/>
      <c r="AN514" s="207"/>
      <c r="AO514" s="207"/>
      <c r="AP514" s="207"/>
      <c r="AQ514" s="207"/>
      <c r="AR514" s="207"/>
      <c r="AS514" s="207"/>
      <c r="AT514" s="207"/>
      <c r="AU514" s="207"/>
      <c r="AV514" s="207"/>
      <c r="AW514" s="207"/>
      <c r="AX514" s="207"/>
      <c r="AY514" s="207"/>
      <c r="AZ514" s="207"/>
      <c r="BA514" s="207"/>
    </row>
    <row r="515" ht="18.75" hidden="1" customHeight="1">
      <c r="A515" s="207"/>
      <c r="B515" s="207"/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  <c r="AA515" s="207"/>
      <c r="AB515" s="207"/>
      <c r="AC515" s="207"/>
      <c r="AD515" s="207"/>
      <c r="AE515" s="207"/>
      <c r="AF515" s="207"/>
      <c r="AG515" s="207"/>
      <c r="AH515" s="207"/>
      <c r="AI515" s="207"/>
      <c r="AJ515" s="207"/>
      <c r="AK515" s="207"/>
      <c r="AL515" s="207"/>
      <c r="AM515" s="207"/>
      <c r="AN515" s="207"/>
      <c r="AO515" s="207"/>
      <c r="AP515" s="207"/>
      <c r="AQ515" s="207"/>
      <c r="AR515" s="207"/>
      <c r="AS515" s="207"/>
      <c r="AT515" s="207"/>
      <c r="AU515" s="207"/>
      <c r="AV515" s="207"/>
      <c r="AW515" s="207"/>
      <c r="AX515" s="207"/>
      <c r="AY515" s="207"/>
      <c r="AZ515" s="207"/>
      <c r="BA515" s="207"/>
    </row>
    <row r="516" ht="18.75" hidden="1" customHeight="1">
      <c r="A516" s="207"/>
      <c r="B516" s="207"/>
      <c r="C516" s="207"/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  <c r="AA516" s="207"/>
      <c r="AB516" s="207"/>
      <c r="AC516" s="207"/>
      <c r="AD516" s="207"/>
      <c r="AE516" s="207"/>
      <c r="AF516" s="207"/>
      <c r="AG516" s="207"/>
      <c r="AH516" s="207"/>
      <c r="AI516" s="207"/>
      <c r="AJ516" s="207"/>
      <c r="AK516" s="207"/>
      <c r="AL516" s="207"/>
      <c r="AM516" s="207"/>
      <c r="AN516" s="207"/>
      <c r="AO516" s="207"/>
      <c r="AP516" s="207"/>
      <c r="AQ516" s="207"/>
      <c r="AR516" s="207"/>
      <c r="AS516" s="207"/>
      <c r="AT516" s="207"/>
      <c r="AU516" s="207"/>
      <c r="AV516" s="207"/>
      <c r="AW516" s="207"/>
      <c r="AX516" s="207"/>
      <c r="AY516" s="207"/>
      <c r="AZ516" s="207"/>
      <c r="BA516" s="207"/>
    </row>
    <row r="517" ht="18.75" hidden="1" customHeight="1">
      <c r="A517" s="207"/>
      <c r="B517" s="207"/>
      <c r="C517" s="207"/>
      <c r="D517" s="207"/>
      <c r="E517" s="207"/>
      <c r="F517" s="207"/>
      <c r="G517" s="207"/>
      <c r="H517" s="207"/>
      <c r="I517" s="207"/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  <c r="AA517" s="207"/>
      <c r="AB517" s="207"/>
      <c r="AC517" s="207"/>
      <c r="AD517" s="207"/>
      <c r="AE517" s="207"/>
      <c r="AF517" s="207"/>
      <c r="AG517" s="207"/>
      <c r="AH517" s="207"/>
      <c r="AI517" s="207"/>
      <c r="AJ517" s="207"/>
      <c r="AK517" s="207"/>
      <c r="AL517" s="207"/>
      <c r="AM517" s="207"/>
      <c r="AN517" s="207"/>
      <c r="AO517" s="207"/>
      <c r="AP517" s="207"/>
      <c r="AQ517" s="207"/>
      <c r="AR517" s="207"/>
      <c r="AS517" s="207"/>
      <c r="AT517" s="207"/>
      <c r="AU517" s="207"/>
      <c r="AV517" s="207"/>
      <c r="AW517" s="207"/>
      <c r="AX517" s="207"/>
      <c r="AY517" s="207"/>
      <c r="AZ517" s="207"/>
      <c r="BA517" s="207"/>
    </row>
    <row r="518" ht="18.75" hidden="1" customHeight="1">
      <c r="A518" s="207"/>
      <c r="B518" s="207"/>
      <c r="C518" s="207"/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  <c r="AA518" s="207"/>
      <c r="AB518" s="207"/>
      <c r="AC518" s="207"/>
      <c r="AD518" s="207"/>
      <c r="AE518" s="207"/>
      <c r="AF518" s="207"/>
      <c r="AG518" s="207"/>
      <c r="AH518" s="207"/>
      <c r="AI518" s="207"/>
      <c r="AJ518" s="207"/>
      <c r="AK518" s="207"/>
      <c r="AL518" s="207"/>
      <c r="AM518" s="207"/>
      <c r="AN518" s="207"/>
      <c r="AO518" s="207"/>
      <c r="AP518" s="207"/>
      <c r="AQ518" s="207"/>
      <c r="AR518" s="207"/>
      <c r="AS518" s="207"/>
      <c r="AT518" s="207"/>
      <c r="AU518" s="207"/>
      <c r="AV518" s="207"/>
      <c r="AW518" s="207"/>
      <c r="AX518" s="207"/>
      <c r="AY518" s="207"/>
      <c r="AZ518" s="207"/>
      <c r="BA518" s="207"/>
    </row>
    <row r="519" ht="18.75" hidden="1" customHeight="1">
      <c r="A519" s="207"/>
      <c r="B519" s="207"/>
      <c r="C519" s="207"/>
      <c r="D519" s="207"/>
      <c r="E519" s="207"/>
      <c r="F519" s="207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  <c r="AA519" s="207"/>
      <c r="AB519" s="207"/>
      <c r="AC519" s="207"/>
      <c r="AD519" s="207"/>
      <c r="AE519" s="207"/>
      <c r="AF519" s="207"/>
      <c r="AG519" s="207"/>
      <c r="AH519" s="207"/>
      <c r="AI519" s="207"/>
      <c r="AJ519" s="207"/>
      <c r="AK519" s="207"/>
      <c r="AL519" s="207"/>
      <c r="AM519" s="207"/>
      <c r="AN519" s="207"/>
      <c r="AO519" s="207"/>
      <c r="AP519" s="207"/>
      <c r="AQ519" s="207"/>
      <c r="AR519" s="207"/>
      <c r="AS519" s="207"/>
      <c r="AT519" s="207"/>
      <c r="AU519" s="207"/>
      <c r="AV519" s="207"/>
      <c r="AW519" s="207"/>
      <c r="AX519" s="207"/>
      <c r="AY519" s="207"/>
      <c r="AZ519" s="207"/>
      <c r="BA519" s="207"/>
    </row>
    <row r="520" ht="18.75" hidden="1" customHeight="1">
      <c r="A520" s="207"/>
      <c r="B520" s="207"/>
      <c r="C520" s="207"/>
      <c r="D520" s="207"/>
      <c r="E520" s="207"/>
      <c r="F520" s="207"/>
      <c r="G520" s="207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  <c r="AA520" s="207"/>
      <c r="AB520" s="207"/>
      <c r="AC520" s="207"/>
      <c r="AD520" s="207"/>
      <c r="AE520" s="207"/>
      <c r="AF520" s="207"/>
      <c r="AG520" s="207"/>
      <c r="AH520" s="207"/>
      <c r="AI520" s="207"/>
      <c r="AJ520" s="207"/>
      <c r="AK520" s="207"/>
      <c r="AL520" s="207"/>
      <c r="AM520" s="207"/>
      <c r="AN520" s="207"/>
      <c r="AO520" s="207"/>
      <c r="AP520" s="207"/>
      <c r="AQ520" s="207"/>
      <c r="AR520" s="207"/>
      <c r="AS520" s="207"/>
      <c r="AT520" s="207"/>
      <c r="AU520" s="207"/>
      <c r="AV520" s="207"/>
      <c r="AW520" s="207"/>
      <c r="AX520" s="207"/>
      <c r="AY520" s="207"/>
      <c r="AZ520" s="207"/>
      <c r="BA520" s="207"/>
    </row>
    <row r="521" ht="18.75" hidden="1" customHeight="1">
      <c r="A521" s="207"/>
      <c r="B521" s="207"/>
      <c r="C521" s="207"/>
      <c r="D521" s="207"/>
      <c r="E521" s="207"/>
      <c r="F521" s="207"/>
      <c r="G521" s="207"/>
      <c r="H521" s="207"/>
      <c r="I521" s="207"/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  <c r="AA521" s="207"/>
      <c r="AB521" s="207"/>
      <c r="AC521" s="207"/>
      <c r="AD521" s="207"/>
      <c r="AE521" s="207"/>
      <c r="AF521" s="207"/>
      <c r="AG521" s="207"/>
      <c r="AH521" s="207"/>
      <c r="AI521" s="207"/>
      <c r="AJ521" s="207"/>
      <c r="AK521" s="207"/>
      <c r="AL521" s="207"/>
      <c r="AM521" s="207"/>
      <c r="AN521" s="207"/>
      <c r="AO521" s="207"/>
      <c r="AP521" s="207"/>
      <c r="AQ521" s="207"/>
      <c r="AR521" s="207"/>
      <c r="AS521" s="207"/>
      <c r="AT521" s="207"/>
      <c r="AU521" s="207"/>
      <c r="AV521" s="207"/>
      <c r="AW521" s="207"/>
      <c r="AX521" s="207"/>
      <c r="AY521" s="207"/>
      <c r="AZ521" s="207"/>
      <c r="BA521" s="207"/>
    </row>
    <row r="522" ht="18.75" hidden="1" customHeight="1">
      <c r="A522" s="207"/>
      <c r="B522" s="207"/>
      <c r="C522" s="207"/>
      <c r="D522" s="207"/>
      <c r="E522" s="207"/>
      <c r="F522" s="207"/>
      <c r="G522" s="207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  <c r="AA522" s="207"/>
      <c r="AB522" s="207"/>
      <c r="AC522" s="207"/>
      <c r="AD522" s="207"/>
      <c r="AE522" s="207"/>
      <c r="AF522" s="207"/>
      <c r="AG522" s="207"/>
      <c r="AH522" s="207"/>
      <c r="AI522" s="207"/>
      <c r="AJ522" s="207"/>
      <c r="AK522" s="207"/>
      <c r="AL522" s="207"/>
      <c r="AM522" s="207"/>
      <c r="AN522" s="207"/>
      <c r="AO522" s="207"/>
      <c r="AP522" s="207"/>
      <c r="AQ522" s="207"/>
      <c r="AR522" s="207"/>
      <c r="AS522" s="207"/>
      <c r="AT522" s="207"/>
      <c r="AU522" s="207"/>
      <c r="AV522" s="207"/>
      <c r="AW522" s="207"/>
      <c r="AX522" s="207"/>
      <c r="AY522" s="207"/>
      <c r="AZ522" s="207"/>
      <c r="BA522" s="207"/>
    </row>
    <row r="523" ht="18.75" hidden="1" customHeight="1">
      <c r="A523" s="207"/>
      <c r="B523" s="207"/>
      <c r="C523" s="207"/>
      <c r="D523" s="207"/>
      <c r="E523" s="207"/>
      <c r="F523" s="207"/>
      <c r="G523" s="207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  <c r="AA523" s="207"/>
      <c r="AB523" s="207"/>
      <c r="AC523" s="207"/>
      <c r="AD523" s="207"/>
      <c r="AE523" s="207"/>
      <c r="AF523" s="207"/>
      <c r="AG523" s="207"/>
      <c r="AH523" s="207"/>
      <c r="AI523" s="207"/>
      <c r="AJ523" s="207"/>
      <c r="AK523" s="207"/>
      <c r="AL523" s="207"/>
      <c r="AM523" s="207"/>
      <c r="AN523" s="207"/>
      <c r="AO523" s="207"/>
      <c r="AP523" s="207"/>
      <c r="AQ523" s="207"/>
      <c r="AR523" s="207"/>
      <c r="AS523" s="207"/>
      <c r="AT523" s="207"/>
      <c r="AU523" s="207"/>
      <c r="AV523" s="207"/>
      <c r="AW523" s="207"/>
      <c r="AX523" s="207"/>
      <c r="AY523" s="207"/>
      <c r="AZ523" s="207"/>
      <c r="BA523" s="207"/>
    </row>
    <row r="524" ht="18.75" hidden="1" customHeight="1">
      <c r="A524" s="207"/>
      <c r="B524" s="207"/>
      <c r="C524" s="207"/>
      <c r="D524" s="207"/>
      <c r="E524" s="207"/>
      <c r="F524" s="207"/>
      <c r="G524" s="207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  <c r="AA524" s="207"/>
      <c r="AB524" s="207"/>
      <c r="AC524" s="207"/>
      <c r="AD524" s="207"/>
      <c r="AE524" s="207"/>
      <c r="AF524" s="207"/>
      <c r="AG524" s="207"/>
      <c r="AH524" s="207"/>
      <c r="AI524" s="207"/>
      <c r="AJ524" s="207"/>
      <c r="AK524" s="207"/>
      <c r="AL524" s="207"/>
      <c r="AM524" s="207"/>
      <c r="AN524" s="207"/>
      <c r="AO524" s="207"/>
      <c r="AP524" s="207"/>
      <c r="AQ524" s="207"/>
      <c r="AR524" s="207"/>
      <c r="AS524" s="207"/>
      <c r="AT524" s="207"/>
      <c r="AU524" s="207"/>
      <c r="AV524" s="207"/>
      <c r="AW524" s="207"/>
      <c r="AX524" s="207"/>
      <c r="AY524" s="207"/>
      <c r="AZ524" s="207"/>
      <c r="BA524" s="207"/>
    </row>
    <row r="525" ht="18.75" hidden="1" customHeight="1">
      <c r="A525" s="207"/>
      <c r="B525" s="207"/>
      <c r="C525" s="207"/>
      <c r="D525" s="207"/>
      <c r="E525" s="207"/>
      <c r="F525" s="207"/>
      <c r="G525" s="207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  <c r="AA525" s="207"/>
      <c r="AB525" s="207"/>
      <c r="AC525" s="207"/>
      <c r="AD525" s="207"/>
      <c r="AE525" s="207"/>
      <c r="AF525" s="207"/>
      <c r="AG525" s="207"/>
      <c r="AH525" s="207"/>
      <c r="AI525" s="207"/>
      <c r="AJ525" s="207"/>
      <c r="AK525" s="207"/>
      <c r="AL525" s="207"/>
      <c r="AM525" s="207"/>
      <c r="AN525" s="207"/>
      <c r="AO525" s="207"/>
      <c r="AP525" s="207"/>
      <c r="AQ525" s="207"/>
      <c r="AR525" s="207"/>
      <c r="AS525" s="207"/>
      <c r="AT525" s="207"/>
      <c r="AU525" s="207"/>
      <c r="AV525" s="207"/>
      <c r="AW525" s="207"/>
      <c r="AX525" s="207"/>
      <c r="AY525" s="207"/>
      <c r="AZ525" s="207"/>
      <c r="BA525" s="207"/>
    </row>
    <row r="526" ht="18.75" hidden="1" customHeight="1">
      <c r="A526" s="207"/>
      <c r="B526" s="207"/>
      <c r="C526" s="207"/>
      <c r="D526" s="207"/>
      <c r="E526" s="207"/>
      <c r="F526" s="207"/>
      <c r="G526" s="207"/>
      <c r="H526" s="207"/>
      <c r="I526" s="207"/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  <c r="AA526" s="207"/>
      <c r="AB526" s="207"/>
      <c r="AC526" s="207"/>
      <c r="AD526" s="207"/>
      <c r="AE526" s="207"/>
      <c r="AF526" s="207"/>
      <c r="AG526" s="207"/>
      <c r="AH526" s="207"/>
      <c r="AI526" s="207"/>
      <c r="AJ526" s="207"/>
      <c r="AK526" s="207"/>
      <c r="AL526" s="207"/>
      <c r="AM526" s="207"/>
      <c r="AN526" s="207"/>
      <c r="AO526" s="207"/>
      <c r="AP526" s="207"/>
      <c r="AQ526" s="207"/>
      <c r="AR526" s="207"/>
      <c r="AS526" s="207"/>
      <c r="AT526" s="207"/>
      <c r="AU526" s="207"/>
      <c r="AV526" s="207"/>
      <c r="AW526" s="207"/>
      <c r="AX526" s="207"/>
      <c r="AY526" s="207"/>
      <c r="AZ526" s="207"/>
      <c r="BA526" s="207"/>
    </row>
    <row r="527" ht="18.75" hidden="1" customHeight="1">
      <c r="A527" s="207"/>
      <c r="B527" s="207"/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  <c r="AA527" s="207"/>
      <c r="AB527" s="207"/>
      <c r="AC527" s="207"/>
      <c r="AD527" s="207"/>
      <c r="AE527" s="207"/>
      <c r="AF527" s="207"/>
      <c r="AG527" s="207"/>
      <c r="AH527" s="207"/>
      <c r="AI527" s="207"/>
      <c r="AJ527" s="207"/>
      <c r="AK527" s="207"/>
      <c r="AL527" s="207"/>
      <c r="AM527" s="207"/>
      <c r="AN527" s="207"/>
      <c r="AO527" s="207"/>
      <c r="AP527" s="207"/>
      <c r="AQ527" s="207"/>
      <c r="AR527" s="207"/>
      <c r="AS527" s="207"/>
      <c r="AT527" s="207"/>
      <c r="AU527" s="207"/>
      <c r="AV527" s="207"/>
      <c r="AW527" s="207"/>
      <c r="AX527" s="207"/>
      <c r="AY527" s="207"/>
      <c r="AZ527" s="207"/>
      <c r="BA527" s="207"/>
    </row>
    <row r="528" ht="18.75" hidden="1" customHeight="1">
      <c r="A528" s="207"/>
      <c r="B528" s="207"/>
      <c r="C528" s="207"/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  <c r="AA528" s="207"/>
      <c r="AB528" s="207"/>
      <c r="AC528" s="207"/>
      <c r="AD528" s="207"/>
      <c r="AE528" s="207"/>
      <c r="AF528" s="207"/>
      <c r="AG528" s="207"/>
      <c r="AH528" s="207"/>
      <c r="AI528" s="207"/>
      <c r="AJ528" s="207"/>
      <c r="AK528" s="207"/>
      <c r="AL528" s="207"/>
      <c r="AM528" s="207"/>
      <c r="AN528" s="207"/>
      <c r="AO528" s="207"/>
      <c r="AP528" s="207"/>
      <c r="AQ528" s="207"/>
      <c r="AR528" s="207"/>
      <c r="AS528" s="207"/>
      <c r="AT528" s="207"/>
      <c r="AU528" s="207"/>
      <c r="AV528" s="207"/>
      <c r="AW528" s="207"/>
      <c r="AX528" s="207"/>
      <c r="AY528" s="207"/>
      <c r="AZ528" s="207"/>
      <c r="BA528" s="207"/>
    </row>
    <row r="529" ht="18.75" hidden="1" customHeight="1">
      <c r="A529" s="207"/>
      <c r="B529" s="207"/>
      <c r="C529" s="207"/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  <c r="AA529" s="207"/>
      <c r="AB529" s="207"/>
      <c r="AC529" s="207"/>
      <c r="AD529" s="207"/>
      <c r="AE529" s="207"/>
      <c r="AF529" s="207"/>
      <c r="AG529" s="207"/>
      <c r="AH529" s="207"/>
      <c r="AI529" s="207"/>
      <c r="AJ529" s="207"/>
      <c r="AK529" s="207"/>
      <c r="AL529" s="207"/>
      <c r="AM529" s="207"/>
      <c r="AN529" s="207"/>
      <c r="AO529" s="207"/>
      <c r="AP529" s="207"/>
      <c r="AQ529" s="207"/>
      <c r="AR529" s="207"/>
      <c r="AS529" s="207"/>
      <c r="AT529" s="207"/>
      <c r="AU529" s="207"/>
      <c r="AV529" s="207"/>
      <c r="AW529" s="207"/>
      <c r="AX529" s="207"/>
      <c r="AY529" s="207"/>
      <c r="AZ529" s="207"/>
      <c r="BA529" s="207"/>
    </row>
    <row r="530" ht="18.75" hidden="1" customHeight="1">
      <c r="A530" s="207"/>
      <c r="B530" s="207"/>
      <c r="C530" s="207"/>
      <c r="D530" s="207"/>
      <c r="E530" s="207"/>
      <c r="F530" s="207"/>
      <c r="G530" s="207"/>
      <c r="H530" s="207"/>
      <c r="I530" s="207"/>
      <c r="J530" s="207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  <c r="AA530" s="207"/>
      <c r="AB530" s="207"/>
      <c r="AC530" s="207"/>
      <c r="AD530" s="207"/>
      <c r="AE530" s="207"/>
      <c r="AF530" s="207"/>
      <c r="AG530" s="207"/>
      <c r="AH530" s="207"/>
      <c r="AI530" s="207"/>
      <c r="AJ530" s="207"/>
      <c r="AK530" s="207"/>
      <c r="AL530" s="207"/>
      <c r="AM530" s="207"/>
      <c r="AN530" s="207"/>
      <c r="AO530" s="207"/>
      <c r="AP530" s="207"/>
      <c r="AQ530" s="207"/>
      <c r="AR530" s="207"/>
      <c r="AS530" s="207"/>
      <c r="AT530" s="207"/>
      <c r="AU530" s="207"/>
      <c r="AV530" s="207"/>
      <c r="AW530" s="207"/>
      <c r="AX530" s="207"/>
      <c r="AY530" s="207"/>
      <c r="AZ530" s="207"/>
      <c r="BA530" s="207"/>
    </row>
    <row r="531" ht="18.75" hidden="1" customHeight="1">
      <c r="A531" s="207"/>
      <c r="B531" s="207"/>
      <c r="C531" s="207"/>
      <c r="D531" s="207"/>
      <c r="E531" s="207"/>
      <c r="F531" s="207"/>
      <c r="G531" s="207"/>
      <c r="H531" s="207"/>
      <c r="I531" s="207"/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  <c r="AA531" s="207"/>
      <c r="AB531" s="207"/>
      <c r="AC531" s="207"/>
      <c r="AD531" s="207"/>
      <c r="AE531" s="207"/>
      <c r="AF531" s="207"/>
      <c r="AG531" s="207"/>
      <c r="AH531" s="207"/>
      <c r="AI531" s="207"/>
      <c r="AJ531" s="207"/>
      <c r="AK531" s="207"/>
      <c r="AL531" s="207"/>
      <c r="AM531" s="207"/>
      <c r="AN531" s="207"/>
      <c r="AO531" s="207"/>
      <c r="AP531" s="207"/>
      <c r="AQ531" s="207"/>
      <c r="AR531" s="207"/>
      <c r="AS531" s="207"/>
      <c r="AT531" s="207"/>
      <c r="AU531" s="207"/>
      <c r="AV531" s="207"/>
      <c r="AW531" s="207"/>
      <c r="AX531" s="207"/>
      <c r="AY531" s="207"/>
      <c r="AZ531" s="207"/>
      <c r="BA531" s="207"/>
    </row>
    <row r="532" ht="18.75" hidden="1" customHeight="1">
      <c r="A532" s="207"/>
      <c r="B532" s="207"/>
      <c r="C532" s="207"/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  <c r="AA532" s="207"/>
      <c r="AB532" s="207"/>
      <c r="AC532" s="207"/>
      <c r="AD532" s="207"/>
      <c r="AE532" s="207"/>
      <c r="AF532" s="207"/>
      <c r="AG532" s="207"/>
      <c r="AH532" s="207"/>
      <c r="AI532" s="207"/>
      <c r="AJ532" s="207"/>
      <c r="AK532" s="207"/>
      <c r="AL532" s="207"/>
      <c r="AM532" s="207"/>
      <c r="AN532" s="207"/>
      <c r="AO532" s="207"/>
      <c r="AP532" s="207"/>
      <c r="AQ532" s="207"/>
      <c r="AR532" s="207"/>
      <c r="AS532" s="207"/>
      <c r="AT532" s="207"/>
      <c r="AU532" s="207"/>
      <c r="AV532" s="207"/>
      <c r="AW532" s="207"/>
      <c r="AX532" s="207"/>
      <c r="AY532" s="207"/>
      <c r="AZ532" s="207"/>
      <c r="BA532" s="207"/>
    </row>
    <row r="533" ht="18.75" hidden="1" customHeight="1">
      <c r="A533" s="207"/>
      <c r="B533" s="207"/>
      <c r="C533" s="207"/>
      <c r="D533" s="207"/>
      <c r="E533" s="207"/>
      <c r="F533" s="207"/>
      <c r="G533" s="207"/>
      <c r="H533" s="207"/>
      <c r="I533" s="207"/>
      <c r="J533" s="207"/>
      <c r="K533" s="207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  <c r="AA533" s="207"/>
      <c r="AB533" s="207"/>
      <c r="AC533" s="207"/>
      <c r="AD533" s="207"/>
      <c r="AE533" s="207"/>
      <c r="AF533" s="207"/>
      <c r="AG533" s="207"/>
      <c r="AH533" s="207"/>
      <c r="AI533" s="207"/>
      <c r="AJ533" s="207"/>
      <c r="AK533" s="207"/>
      <c r="AL533" s="207"/>
      <c r="AM533" s="207"/>
      <c r="AN533" s="207"/>
      <c r="AO533" s="207"/>
      <c r="AP533" s="207"/>
      <c r="AQ533" s="207"/>
      <c r="AR533" s="207"/>
      <c r="AS533" s="207"/>
      <c r="AT533" s="207"/>
      <c r="AU533" s="207"/>
      <c r="AV533" s="207"/>
      <c r="AW533" s="207"/>
      <c r="AX533" s="207"/>
      <c r="AY533" s="207"/>
      <c r="AZ533" s="207"/>
      <c r="BA533" s="207"/>
    </row>
    <row r="534" ht="18.75" hidden="1" customHeight="1">
      <c r="A534" s="207"/>
      <c r="B534" s="207"/>
      <c r="C534" s="207"/>
      <c r="D534" s="207"/>
      <c r="E534" s="207"/>
      <c r="F534" s="207"/>
      <c r="G534" s="207"/>
      <c r="H534" s="207"/>
      <c r="I534" s="207"/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  <c r="AA534" s="207"/>
      <c r="AB534" s="207"/>
      <c r="AC534" s="207"/>
      <c r="AD534" s="207"/>
      <c r="AE534" s="207"/>
      <c r="AF534" s="207"/>
      <c r="AG534" s="207"/>
      <c r="AH534" s="207"/>
      <c r="AI534" s="207"/>
      <c r="AJ534" s="207"/>
      <c r="AK534" s="207"/>
      <c r="AL534" s="207"/>
      <c r="AM534" s="207"/>
      <c r="AN534" s="207"/>
      <c r="AO534" s="207"/>
      <c r="AP534" s="207"/>
      <c r="AQ534" s="207"/>
      <c r="AR534" s="207"/>
      <c r="AS534" s="207"/>
      <c r="AT534" s="207"/>
      <c r="AU534" s="207"/>
      <c r="AV534" s="207"/>
      <c r="AW534" s="207"/>
      <c r="AX534" s="207"/>
      <c r="AY534" s="207"/>
      <c r="AZ534" s="207"/>
      <c r="BA534" s="207"/>
    </row>
    <row r="535" ht="18.75" hidden="1" customHeight="1">
      <c r="A535" s="207"/>
      <c r="B535" s="207"/>
      <c r="C535" s="207"/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  <c r="AA535" s="207"/>
      <c r="AB535" s="207"/>
      <c r="AC535" s="207"/>
      <c r="AD535" s="207"/>
      <c r="AE535" s="207"/>
      <c r="AF535" s="207"/>
      <c r="AG535" s="207"/>
      <c r="AH535" s="207"/>
      <c r="AI535" s="207"/>
      <c r="AJ535" s="207"/>
      <c r="AK535" s="207"/>
      <c r="AL535" s="207"/>
      <c r="AM535" s="207"/>
      <c r="AN535" s="207"/>
      <c r="AO535" s="207"/>
      <c r="AP535" s="207"/>
      <c r="AQ535" s="207"/>
      <c r="AR535" s="207"/>
      <c r="AS535" s="207"/>
      <c r="AT535" s="207"/>
      <c r="AU535" s="207"/>
      <c r="AV535" s="207"/>
      <c r="AW535" s="207"/>
      <c r="AX535" s="207"/>
      <c r="AY535" s="207"/>
      <c r="AZ535" s="207"/>
      <c r="BA535" s="207"/>
    </row>
    <row r="536" ht="18.75" hidden="1" customHeight="1">
      <c r="A536" s="207"/>
      <c r="B536" s="207"/>
      <c r="C536" s="207"/>
      <c r="D536" s="207"/>
      <c r="E536" s="207"/>
      <c r="F536" s="207"/>
      <c r="G536" s="207"/>
      <c r="H536" s="207"/>
      <c r="I536" s="207"/>
      <c r="J536" s="207"/>
      <c r="K536" s="207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  <c r="AA536" s="207"/>
      <c r="AB536" s="207"/>
      <c r="AC536" s="207"/>
      <c r="AD536" s="207"/>
      <c r="AE536" s="207"/>
      <c r="AF536" s="207"/>
      <c r="AG536" s="207"/>
      <c r="AH536" s="207"/>
      <c r="AI536" s="207"/>
      <c r="AJ536" s="207"/>
      <c r="AK536" s="207"/>
      <c r="AL536" s="207"/>
      <c r="AM536" s="207"/>
      <c r="AN536" s="207"/>
      <c r="AO536" s="207"/>
      <c r="AP536" s="207"/>
      <c r="AQ536" s="207"/>
      <c r="AR536" s="207"/>
      <c r="AS536" s="207"/>
      <c r="AT536" s="207"/>
      <c r="AU536" s="207"/>
      <c r="AV536" s="207"/>
      <c r="AW536" s="207"/>
      <c r="AX536" s="207"/>
      <c r="AY536" s="207"/>
      <c r="AZ536" s="207"/>
      <c r="BA536" s="207"/>
    </row>
    <row r="537" ht="18.75" hidden="1" customHeight="1">
      <c r="A537" s="207"/>
      <c r="B537" s="207"/>
      <c r="C537" s="207"/>
      <c r="D537" s="207"/>
      <c r="E537" s="207"/>
      <c r="F537" s="207"/>
      <c r="G537" s="207"/>
      <c r="H537" s="207"/>
      <c r="I537" s="207"/>
      <c r="J537" s="207"/>
      <c r="K537" s="207"/>
      <c r="L537" s="207"/>
      <c r="M537" s="207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  <c r="AA537" s="207"/>
      <c r="AB537" s="207"/>
      <c r="AC537" s="207"/>
      <c r="AD537" s="207"/>
      <c r="AE537" s="207"/>
      <c r="AF537" s="207"/>
      <c r="AG537" s="207"/>
      <c r="AH537" s="207"/>
      <c r="AI537" s="207"/>
      <c r="AJ537" s="207"/>
      <c r="AK537" s="207"/>
      <c r="AL537" s="207"/>
      <c r="AM537" s="207"/>
      <c r="AN537" s="207"/>
      <c r="AO537" s="207"/>
      <c r="AP537" s="207"/>
      <c r="AQ537" s="207"/>
      <c r="AR537" s="207"/>
      <c r="AS537" s="207"/>
      <c r="AT537" s="207"/>
      <c r="AU537" s="207"/>
      <c r="AV537" s="207"/>
      <c r="AW537" s="207"/>
      <c r="AX537" s="207"/>
      <c r="AY537" s="207"/>
      <c r="AZ537" s="207"/>
      <c r="BA537" s="207"/>
    </row>
    <row r="538" ht="18.75" hidden="1" customHeight="1">
      <c r="A538" s="207"/>
      <c r="B538" s="207"/>
      <c r="C538" s="207"/>
      <c r="D538" s="207"/>
      <c r="E538" s="207"/>
      <c r="F538" s="207"/>
      <c r="G538" s="207"/>
      <c r="H538" s="207"/>
      <c r="I538" s="207"/>
      <c r="J538" s="207"/>
      <c r="K538" s="207"/>
      <c r="L538" s="207"/>
      <c r="M538" s="207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  <c r="AA538" s="207"/>
      <c r="AB538" s="207"/>
      <c r="AC538" s="207"/>
      <c r="AD538" s="207"/>
      <c r="AE538" s="207"/>
      <c r="AF538" s="207"/>
      <c r="AG538" s="207"/>
      <c r="AH538" s="207"/>
      <c r="AI538" s="207"/>
      <c r="AJ538" s="207"/>
      <c r="AK538" s="207"/>
      <c r="AL538" s="207"/>
      <c r="AM538" s="207"/>
      <c r="AN538" s="207"/>
      <c r="AO538" s="207"/>
      <c r="AP538" s="207"/>
      <c r="AQ538" s="207"/>
      <c r="AR538" s="207"/>
      <c r="AS538" s="207"/>
      <c r="AT538" s="207"/>
      <c r="AU538" s="207"/>
      <c r="AV538" s="207"/>
      <c r="AW538" s="207"/>
      <c r="AX538" s="207"/>
      <c r="AY538" s="207"/>
      <c r="AZ538" s="207"/>
      <c r="BA538" s="207"/>
    </row>
    <row r="539" ht="18.75" hidden="1" customHeight="1">
      <c r="A539" s="207"/>
      <c r="B539" s="207"/>
      <c r="C539" s="207"/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  <c r="AA539" s="207"/>
      <c r="AB539" s="207"/>
      <c r="AC539" s="207"/>
      <c r="AD539" s="207"/>
      <c r="AE539" s="207"/>
      <c r="AF539" s="207"/>
      <c r="AG539" s="207"/>
      <c r="AH539" s="207"/>
      <c r="AI539" s="207"/>
      <c r="AJ539" s="207"/>
      <c r="AK539" s="207"/>
      <c r="AL539" s="207"/>
      <c r="AM539" s="207"/>
      <c r="AN539" s="207"/>
      <c r="AO539" s="207"/>
      <c r="AP539" s="207"/>
      <c r="AQ539" s="207"/>
      <c r="AR539" s="207"/>
      <c r="AS539" s="207"/>
      <c r="AT539" s="207"/>
      <c r="AU539" s="207"/>
      <c r="AV539" s="207"/>
      <c r="AW539" s="207"/>
      <c r="AX539" s="207"/>
      <c r="AY539" s="207"/>
      <c r="AZ539" s="207"/>
      <c r="BA539" s="207"/>
    </row>
    <row r="540" ht="18.75" hidden="1" customHeight="1">
      <c r="A540" s="207"/>
      <c r="B540" s="207"/>
      <c r="C540" s="207"/>
      <c r="D540" s="207"/>
      <c r="E540" s="207"/>
      <c r="F540" s="207"/>
      <c r="G540" s="207"/>
      <c r="H540" s="207"/>
      <c r="I540" s="207"/>
      <c r="J540" s="207"/>
      <c r="K540" s="207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  <c r="AA540" s="207"/>
      <c r="AB540" s="207"/>
      <c r="AC540" s="207"/>
      <c r="AD540" s="207"/>
      <c r="AE540" s="207"/>
      <c r="AF540" s="207"/>
      <c r="AG540" s="207"/>
      <c r="AH540" s="207"/>
      <c r="AI540" s="207"/>
      <c r="AJ540" s="207"/>
      <c r="AK540" s="207"/>
      <c r="AL540" s="207"/>
      <c r="AM540" s="207"/>
      <c r="AN540" s="207"/>
      <c r="AO540" s="207"/>
      <c r="AP540" s="207"/>
      <c r="AQ540" s="207"/>
      <c r="AR540" s="207"/>
      <c r="AS540" s="207"/>
      <c r="AT540" s="207"/>
      <c r="AU540" s="207"/>
      <c r="AV540" s="207"/>
      <c r="AW540" s="207"/>
      <c r="AX540" s="207"/>
      <c r="AY540" s="207"/>
      <c r="AZ540" s="207"/>
      <c r="BA540" s="207"/>
    </row>
    <row r="541" ht="18.75" hidden="1" customHeight="1">
      <c r="A541" s="207"/>
      <c r="B541" s="207"/>
      <c r="C541" s="207"/>
      <c r="D541" s="207"/>
      <c r="E541" s="207"/>
      <c r="F541" s="207"/>
      <c r="G541" s="207"/>
      <c r="H541" s="207"/>
      <c r="I541" s="207"/>
      <c r="J541" s="207"/>
      <c r="K541" s="207"/>
      <c r="L541" s="207"/>
      <c r="M541" s="207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  <c r="AA541" s="207"/>
      <c r="AB541" s="207"/>
      <c r="AC541" s="207"/>
      <c r="AD541" s="207"/>
      <c r="AE541" s="207"/>
      <c r="AF541" s="207"/>
      <c r="AG541" s="207"/>
      <c r="AH541" s="207"/>
      <c r="AI541" s="207"/>
      <c r="AJ541" s="207"/>
      <c r="AK541" s="207"/>
      <c r="AL541" s="207"/>
      <c r="AM541" s="207"/>
      <c r="AN541" s="207"/>
      <c r="AO541" s="207"/>
      <c r="AP541" s="207"/>
      <c r="AQ541" s="207"/>
      <c r="AR541" s="207"/>
      <c r="AS541" s="207"/>
      <c r="AT541" s="207"/>
      <c r="AU541" s="207"/>
      <c r="AV541" s="207"/>
      <c r="AW541" s="207"/>
      <c r="AX541" s="207"/>
      <c r="AY541" s="207"/>
      <c r="AZ541" s="207"/>
      <c r="BA541" s="207"/>
    </row>
    <row r="542" ht="18.75" hidden="1" customHeight="1">
      <c r="A542" s="207"/>
      <c r="B542" s="207"/>
      <c r="C542" s="207"/>
      <c r="D542" s="207"/>
      <c r="E542" s="207"/>
      <c r="F542" s="207"/>
      <c r="G542" s="207"/>
      <c r="H542" s="207"/>
      <c r="I542" s="207"/>
      <c r="J542" s="207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  <c r="AA542" s="207"/>
      <c r="AB542" s="207"/>
      <c r="AC542" s="207"/>
      <c r="AD542" s="207"/>
      <c r="AE542" s="207"/>
      <c r="AF542" s="207"/>
      <c r="AG542" s="207"/>
      <c r="AH542" s="207"/>
      <c r="AI542" s="207"/>
      <c r="AJ542" s="207"/>
      <c r="AK542" s="207"/>
      <c r="AL542" s="207"/>
      <c r="AM542" s="207"/>
      <c r="AN542" s="207"/>
      <c r="AO542" s="207"/>
      <c r="AP542" s="207"/>
      <c r="AQ542" s="207"/>
      <c r="AR542" s="207"/>
      <c r="AS542" s="207"/>
      <c r="AT542" s="207"/>
      <c r="AU542" s="207"/>
      <c r="AV542" s="207"/>
      <c r="AW542" s="207"/>
      <c r="AX542" s="207"/>
      <c r="AY542" s="207"/>
      <c r="AZ542" s="207"/>
      <c r="BA542" s="207"/>
    </row>
    <row r="543" ht="18.75" hidden="1" customHeight="1">
      <c r="A543" s="207"/>
      <c r="B543" s="207"/>
      <c r="C543" s="207"/>
      <c r="D543" s="207"/>
      <c r="E543" s="207"/>
      <c r="F543" s="207"/>
      <c r="G543" s="207"/>
      <c r="H543" s="207"/>
      <c r="I543" s="207"/>
      <c r="J543" s="207"/>
      <c r="K543" s="207"/>
      <c r="L543" s="207"/>
      <c r="M543" s="207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  <c r="AA543" s="207"/>
      <c r="AB543" s="207"/>
      <c r="AC543" s="207"/>
      <c r="AD543" s="207"/>
      <c r="AE543" s="207"/>
      <c r="AF543" s="207"/>
      <c r="AG543" s="207"/>
      <c r="AH543" s="207"/>
      <c r="AI543" s="207"/>
      <c r="AJ543" s="207"/>
      <c r="AK543" s="207"/>
      <c r="AL543" s="207"/>
      <c r="AM543" s="207"/>
      <c r="AN543" s="207"/>
      <c r="AO543" s="207"/>
      <c r="AP543" s="207"/>
      <c r="AQ543" s="207"/>
      <c r="AR543" s="207"/>
      <c r="AS543" s="207"/>
      <c r="AT543" s="207"/>
      <c r="AU543" s="207"/>
      <c r="AV543" s="207"/>
      <c r="AW543" s="207"/>
      <c r="AX543" s="207"/>
      <c r="AY543" s="207"/>
      <c r="AZ543" s="207"/>
      <c r="BA543" s="207"/>
    </row>
    <row r="544" ht="18.75" hidden="1" customHeight="1">
      <c r="A544" s="207"/>
      <c r="B544" s="207"/>
      <c r="C544" s="207"/>
      <c r="D544" s="207"/>
      <c r="E544" s="207"/>
      <c r="F544" s="207"/>
      <c r="G544" s="207"/>
      <c r="H544" s="207"/>
      <c r="I544" s="207"/>
      <c r="J544" s="207"/>
      <c r="K544" s="207"/>
      <c r="L544" s="207"/>
      <c r="M544" s="207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  <c r="AA544" s="207"/>
      <c r="AB544" s="207"/>
      <c r="AC544" s="207"/>
      <c r="AD544" s="207"/>
      <c r="AE544" s="207"/>
      <c r="AF544" s="207"/>
      <c r="AG544" s="207"/>
      <c r="AH544" s="207"/>
      <c r="AI544" s="207"/>
      <c r="AJ544" s="207"/>
      <c r="AK544" s="207"/>
      <c r="AL544" s="207"/>
      <c r="AM544" s="207"/>
      <c r="AN544" s="207"/>
      <c r="AO544" s="207"/>
      <c r="AP544" s="207"/>
      <c r="AQ544" s="207"/>
      <c r="AR544" s="207"/>
      <c r="AS544" s="207"/>
      <c r="AT544" s="207"/>
      <c r="AU544" s="207"/>
      <c r="AV544" s="207"/>
      <c r="AW544" s="207"/>
      <c r="AX544" s="207"/>
      <c r="AY544" s="207"/>
      <c r="AZ544" s="207"/>
      <c r="BA544" s="207"/>
    </row>
    <row r="545" ht="18.75" hidden="1" customHeight="1">
      <c r="A545" s="207"/>
      <c r="B545" s="207"/>
      <c r="C545" s="207"/>
      <c r="D545" s="207"/>
      <c r="E545" s="207"/>
      <c r="F545" s="207"/>
      <c r="G545" s="207"/>
      <c r="H545" s="207"/>
      <c r="I545" s="207"/>
      <c r="J545" s="207"/>
      <c r="K545" s="207"/>
      <c r="L545" s="207"/>
      <c r="M545" s="207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  <c r="AA545" s="207"/>
      <c r="AB545" s="207"/>
      <c r="AC545" s="207"/>
      <c r="AD545" s="207"/>
      <c r="AE545" s="207"/>
      <c r="AF545" s="207"/>
      <c r="AG545" s="207"/>
      <c r="AH545" s="207"/>
      <c r="AI545" s="207"/>
      <c r="AJ545" s="207"/>
      <c r="AK545" s="207"/>
      <c r="AL545" s="207"/>
      <c r="AM545" s="207"/>
      <c r="AN545" s="207"/>
      <c r="AO545" s="207"/>
      <c r="AP545" s="207"/>
      <c r="AQ545" s="207"/>
      <c r="AR545" s="207"/>
      <c r="AS545" s="207"/>
      <c r="AT545" s="207"/>
      <c r="AU545" s="207"/>
      <c r="AV545" s="207"/>
      <c r="AW545" s="207"/>
      <c r="AX545" s="207"/>
      <c r="AY545" s="207"/>
      <c r="AZ545" s="207"/>
      <c r="BA545" s="207"/>
    </row>
    <row r="546" ht="18.75" hidden="1" customHeight="1">
      <c r="A546" s="207"/>
      <c r="B546" s="207"/>
      <c r="C546" s="207"/>
      <c r="D546" s="207"/>
      <c r="E546" s="207"/>
      <c r="F546" s="207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  <c r="AA546" s="207"/>
      <c r="AB546" s="207"/>
      <c r="AC546" s="207"/>
      <c r="AD546" s="207"/>
      <c r="AE546" s="207"/>
      <c r="AF546" s="207"/>
      <c r="AG546" s="207"/>
      <c r="AH546" s="207"/>
      <c r="AI546" s="207"/>
      <c r="AJ546" s="207"/>
      <c r="AK546" s="207"/>
      <c r="AL546" s="207"/>
      <c r="AM546" s="207"/>
      <c r="AN546" s="207"/>
      <c r="AO546" s="207"/>
      <c r="AP546" s="207"/>
      <c r="AQ546" s="207"/>
      <c r="AR546" s="207"/>
      <c r="AS546" s="207"/>
      <c r="AT546" s="207"/>
      <c r="AU546" s="207"/>
      <c r="AV546" s="207"/>
      <c r="AW546" s="207"/>
      <c r="AX546" s="207"/>
      <c r="AY546" s="207"/>
      <c r="AZ546" s="207"/>
      <c r="BA546" s="207"/>
    </row>
    <row r="547" ht="18.75" hidden="1" customHeight="1">
      <c r="A547" s="207"/>
      <c r="B547" s="207"/>
      <c r="C547" s="207"/>
      <c r="D547" s="207"/>
      <c r="E547" s="207"/>
      <c r="F547" s="207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  <c r="AA547" s="207"/>
      <c r="AB547" s="207"/>
      <c r="AC547" s="207"/>
      <c r="AD547" s="207"/>
      <c r="AE547" s="207"/>
      <c r="AF547" s="207"/>
      <c r="AG547" s="207"/>
      <c r="AH547" s="207"/>
      <c r="AI547" s="207"/>
      <c r="AJ547" s="207"/>
      <c r="AK547" s="207"/>
      <c r="AL547" s="207"/>
      <c r="AM547" s="207"/>
      <c r="AN547" s="207"/>
      <c r="AO547" s="207"/>
      <c r="AP547" s="207"/>
      <c r="AQ547" s="207"/>
      <c r="AR547" s="207"/>
      <c r="AS547" s="207"/>
      <c r="AT547" s="207"/>
      <c r="AU547" s="207"/>
      <c r="AV547" s="207"/>
      <c r="AW547" s="207"/>
      <c r="AX547" s="207"/>
      <c r="AY547" s="207"/>
      <c r="AZ547" s="207"/>
      <c r="BA547" s="207"/>
    </row>
    <row r="548" ht="18.75" hidden="1" customHeight="1">
      <c r="A548" s="207"/>
      <c r="B548" s="207"/>
      <c r="C548" s="207"/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  <c r="AA548" s="207"/>
      <c r="AB548" s="207"/>
      <c r="AC548" s="207"/>
      <c r="AD548" s="207"/>
      <c r="AE548" s="207"/>
      <c r="AF548" s="207"/>
      <c r="AG548" s="207"/>
      <c r="AH548" s="207"/>
      <c r="AI548" s="207"/>
      <c r="AJ548" s="207"/>
      <c r="AK548" s="207"/>
      <c r="AL548" s="207"/>
      <c r="AM548" s="207"/>
      <c r="AN548" s="207"/>
      <c r="AO548" s="207"/>
      <c r="AP548" s="207"/>
      <c r="AQ548" s="207"/>
      <c r="AR548" s="207"/>
      <c r="AS548" s="207"/>
      <c r="AT548" s="207"/>
      <c r="AU548" s="207"/>
      <c r="AV548" s="207"/>
      <c r="AW548" s="207"/>
      <c r="AX548" s="207"/>
      <c r="AY548" s="207"/>
      <c r="AZ548" s="207"/>
      <c r="BA548" s="207"/>
    </row>
    <row r="549" ht="18.75" hidden="1" customHeight="1">
      <c r="A549" s="207"/>
      <c r="B549" s="207"/>
      <c r="C549" s="207"/>
      <c r="D549" s="207"/>
      <c r="E549" s="207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  <c r="AA549" s="207"/>
      <c r="AB549" s="207"/>
      <c r="AC549" s="207"/>
      <c r="AD549" s="207"/>
      <c r="AE549" s="207"/>
      <c r="AF549" s="207"/>
      <c r="AG549" s="207"/>
      <c r="AH549" s="207"/>
      <c r="AI549" s="207"/>
      <c r="AJ549" s="207"/>
      <c r="AK549" s="207"/>
      <c r="AL549" s="207"/>
      <c r="AM549" s="207"/>
      <c r="AN549" s="207"/>
      <c r="AO549" s="207"/>
      <c r="AP549" s="207"/>
      <c r="AQ549" s="207"/>
      <c r="AR549" s="207"/>
      <c r="AS549" s="207"/>
      <c r="AT549" s="207"/>
      <c r="AU549" s="207"/>
      <c r="AV549" s="207"/>
      <c r="AW549" s="207"/>
      <c r="AX549" s="207"/>
      <c r="AY549" s="207"/>
      <c r="AZ549" s="207"/>
      <c r="BA549" s="207"/>
    </row>
    <row r="550" ht="18.75" hidden="1" customHeight="1">
      <c r="A550" s="207"/>
      <c r="B550" s="207"/>
      <c r="C550" s="207"/>
      <c r="D550" s="207"/>
      <c r="E550" s="207"/>
      <c r="F550" s="207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  <c r="AA550" s="207"/>
      <c r="AB550" s="207"/>
      <c r="AC550" s="207"/>
      <c r="AD550" s="207"/>
      <c r="AE550" s="207"/>
      <c r="AF550" s="207"/>
      <c r="AG550" s="207"/>
      <c r="AH550" s="207"/>
      <c r="AI550" s="207"/>
      <c r="AJ550" s="207"/>
      <c r="AK550" s="207"/>
      <c r="AL550" s="207"/>
      <c r="AM550" s="207"/>
      <c r="AN550" s="207"/>
      <c r="AO550" s="207"/>
      <c r="AP550" s="207"/>
      <c r="AQ550" s="207"/>
      <c r="AR550" s="207"/>
      <c r="AS550" s="207"/>
      <c r="AT550" s="207"/>
      <c r="AU550" s="207"/>
      <c r="AV550" s="207"/>
      <c r="AW550" s="207"/>
      <c r="AX550" s="207"/>
      <c r="AY550" s="207"/>
      <c r="AZ550" s="207"/>
      <c r="BA550" s="207"/>
    </row>
    <row r="551" ht="18.75" hidden="1" customHeight="1">
      <c r="A551" s="207"/>
      <c r="B551" s="207"/>
      <c r="C551" s="207"/>
      <c r="D551" s="207"/>
      <c r="E551" s="207"/>
      <c r="F551" s="207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  <c r="AA551" s="207"/>
      <c r="AB551" s="207"/>
      <c r="AC551" s="207"/>
      <c r="AD551" s="207"/>
      <c r="AE551" s="207"/>
      <c r="AF551" s="207"/>
      <c r="AG551" s="207"/>
      <c r="AH551" s="207"/>
      <c r="AI551" s="207"/>
      <c r="AJ551" s="207"/>
      <c r="AK551" s="207"/>
      <c r="AL551" s="207"/>
      <c r="AM551" s="207"/>
      <c r="AN551" s="207"/>
      <c r="AO551" s="207"/>
      <c r="AP551" s="207"/>
      <c r="AQ551" s="207"/>
      <c r="AR551" s="207"/>
      <c r="AS551" s="207"/>
      <c r="AT551" s="207"/>
      <c r="AU551" s="207"/>
      <c r="AV551" s="207"/>
      <c r="AW551" s="207"/>
      <c r="AX551" s="207"/>
      <c r="AY551" s="207"/>
      <c r="AZ551" s="207"/>
      <c r="BA551" s="207"/>
    </row>
    <row r="552" ht="18.75" hidden="1" customHeight="1">
      <c r="A552" s="207"/>
      <c r="B552" s="207"/>
      <c r="C552" s="207"/>
      <c r="D552" s="207"/>
      <c r="E552" s="207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  <c r="AA552" s="207"/>
      <c r="AB552" s="207"/>
      <c r="AC552" s="207"/>
      <c r="AD552" s="207"/>
      <c r="AE552" s="207"/>
      <c r="AF552" s="207"/>
      <c r="AG552" s="207"/>
      <c r="AH552" s="207"/>
      <c r="AI552" s="207"/>
      <c r="AJ552" s="207"/>
      <c r="AK552" s="207"/>
      <c r="AL552" s="207"/>
      <c r="AM552" s="207"/>
      <c r="AN552" s="207"/>
      <c r="AO552" s="207"/>
      <c r="AP552" s="207"/>
      <c r="AQ552" s="207"/>
      <c r="AR552" s="207"/>
      <c r="AS552" s="207"/>
      <c r="AT552" s="207"/>
      <c r="AU552" s="207"/>
      <c r="AV552" s="207"/>
      <c r="AW552" s="207"/>
      <c r="AX552" s="207"/>
      <c r="AY552" s="207"/>
      <c r="AZ552" s="207"/>
      <c r="BA552" s="207"/>
    </row>
    <row r="553" ht="18.75" hidden="1" customHeight="1">
      <c r="A553" s="207"/>
      <c r="B553" s="207"/>
      <c r="C553" s="207"/>
      <c r="D553" s="207"/>
      <c r="E553" s="207"/>
      <c r="F553" s="207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  <c r="AA553" s="207"/>
      <c r="AB553" s="207"/>
      <c r="AC553" s="207"/>
      <c r="AD553" s="207"/>
      <c r="AE553" s="207"/>
      <c r="AF553" s="207"/>
      <c r="AG553" s="207"/>
      <c r="AH553" s="207"/>
      <c r="AI553" s="207"/>
      <c r="AJ553" s="207"/>
      <c r="AK553" s="207"/>
      <c r="AL553" s="207"/>
      <c r="AM553" s="207"/>
      <c r="AN553" s="207"/>
      <c r="AO553" s="207"/>
      <c r="AP553" s="207"/>
      <c r="AQ553" s="207"/>
      <c r="AR553" s="207"/>
      <c r="AS553" s="207"/>
      <c r="AT553" s="207"/>
      <c r="AU553" s="207"/>
      <c r="AV553" s="207"/>
      <c r="AW553" s="207"/>
      <c r="AX553" s="207"/>
      <c r="AY553" s="207"/>
      <c r="AZ553" s="207"/>
      <c r="BA553" s="207"/>
    </row>
    <row r="554" ht="18.75" hidden="1" customHeight="1">
      <c r="A554" s="207"/>
      <c r="B554" s="207"/>
      <c r="C554" s="207"/>
      <c r="D554" s="207"/>
      <c r="E554" s="207"/>
      <c r="F554" s="207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  <c r="AA554" s="207"/>
      <c r="AB554" s="207"/>
      <c r="AC554" s="207"/>
      <c r="AD554" s="207"/>
      <c r="AE554" s="207"/>
      <c r="AF554" s="207"/>
      <c r="AG554" s="207"/>
      <c r="AH554" s="207"/>
      <c r="AI554" s="207"/>
      <c r="AJ554" s="207"/>
      <c r="AK554" s="207"/>
      <c r="AL554" s="207"/>
      <c r="AM554" s="207"/>
      <c r="AN554" s="207"/>
      <c r="AO554" s="207"/>
      <c r="AP554" s="207"/>
      <c r="AQ554" s="207"/>
      <c r="AR554" s="207"/>
      <c r="AS554" s="207"/>
      <c r="AT554" s="207"/>
      <c r="AU554" s="207"/>
      <c r="AV554" s="207"/>
      <c r="AW554" s="207"/>
      <c r="AX554" s="207"/>
      <c r="AY554" s="207"/>
      <c r="AZ554" s="207"/>
      <c r="BA554" s="207"/>
    </row>
    <row r="555" ht="18.75" hidden="1" customHeight="1">
      <c r="A555" s="207"/>
      <c r="B555" s="207"/>
      <c r="C555" s="207"/>
      <c r="D555" s="207"/>
      <c r="E555" s="207"/>
      <c r="F555" s="207"/>
      <c r="G555" s="207"/>
      <c r="H555" s="207"/>
      <c r="I555" s="207"/>
      <c r="J555" s="207"/>
      <c r="K555" s="207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  <c r="AA555" s="207"/>
      <c r="AB555" s="207"/>
      <c r="AC555" s="207"/>
      <c r="AD555" s="207"/>
      <c r="AE555" s="207"/>
      <c r="AF555" s="207"/>
      <c r="AG555" s="207"/>
      <c r="AH555" s="207"/>
      <c r="AI555" s="207"/>
      <c r="AJ555" s="207"/>
      <c r="AK555" s="207"/>
      <c r="AL555" s="207"/>
      <c r="AM555" s="207"/>
      <c r="AN555" s="207"/>
      <c r="AO555" s="207"/>
      <c r="AP555" s="207"/>
      <c r="AQ555" s="207"/>
      <c r="AR555" s="207"/>
      <c r="AS555" s="207"/>
      <c r="AT555" s="207"/>
      <c r="AU555" s="207"/>
      <c r="AV555" s="207"/>
      <c r="AW555" s="207"/>
      <c r="AX555" s="207"/>
      <c r="AY555" s="207"/>
      <c r="AZ555" s="207"/>
      <c r="BA555" s="207"/>
    </row>
    <row r="556" ht="18.75" hidden="1" customHeight="1">
      <c r="A556" s="207"/>
      <c r="B556" s="207"/>
      <c r="C556" s="207"/>
      <c r="D556" s="207"/>
      <c r="E556" s="207"/>
      <c r="F556" s="207"/>
      <c r="G556" s="207"/>
      <c r="H556" s="207"/>
      <c r="I556" s="207"/>
      <c r="J556" s="207"/>
      <c r="K556" s="207"/>
      <c r="L556" s="207"/>
      <c r="M556" s="207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  <c r="AA556" s="207"/>
      <c r="AB556" s="207"/>
      <c r="AC556" s="207"/>
      <c r="AD556" s="207"/>
      <c r="AE556" s="207"/>
      <c r="AF556" s="207"/>
      <c r="AG556" s="207"/>
      <c r="AH556" s="207"/>
      <c r="AI556" s="207"/>
      <c r="AJ556" s="207"/>
      <c r="AK556" s="207"/>
      <c r="AL556" s="207"/>
      <c r="AM556" s="207"/>
      <c r="AN556" s="207"/>
      <c r="AO556" s="207"/>
      <c r="AP556" s="207"/>
      <c r="AQ556" s="207"/>
      <c r="AR556" s="207"/>
      <c r="AS556" s="207"/>
      <c r="AT556" s="207"/>
      <c r="AU556" s="207"/>
      <c r="AV556" s="207"/>
      <c r="AW556" s="207"/>
      <c r="AX556" s="207"/>
      <c r="AY556" s="207"/>
      <c r="AZ556" s="207"/>
      <c r="BA556" s="207"/>
    </row>
    <row r="557" ht="18.75" hidden="1" customHeight="1">
      <c r="A557" s="207"/>
      <c r="B557" s="207"/>
      <c r="C557" s="207"/>
      <c r="D557" s="207"/>
      <c r="E557" s="207"/>
      <c r="F557" s="207"/>
      <c r="G557" s="207"/>
      <c r="H557" s="207"/>
      <c r="I557" s="207"/>
      <c r="J557" s="207"/>
      <c r="K557" s="207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  <c r="AA557" s="207"/>
      <c r="AB557" s="207"/>
      <c r="AC557" s="207"/>
      <c r="AD557" s="207"/>
      <c r="AE557" s="207"/>
      <c r="AF557" s="207"/>
      <c r="AG557" s="207"/>
      <c r="AH557" s="207"/>
      <c r="AI557" s="207"/>
      <c r="AJ557" s="207"/>
      <c r="AK557" s="207"/>
      <c r="AL557" s="207"/>
      <c r="AM557" s="207"/>
      <c r="AN557" s="207"/>
      <c r="AO557" s="207"/>
      <c r="AP557" s="207"/>
      <c r="AQ557" s="207"/>
      <c r="AR557" s="207"/>
      <c r="AS557" s="207"/>
      <c r="AT557" s="207"/>
      <c r="AU557" s="207"/>
      <c r="AV557" s="207"/>
      <c r="AW557" s="207"/>
      <c r="AX557" s="207"/>
      <c r="AY557" s="207"/>
      <c r="AZ557" s="207"/>
      <c r="BA557" s="207"/>
    </row>
    <row r="558" ht="18.75" hidden="1" customHeight="1">
      <c r="A558" s="207"/>
      <c r="B558" s="207"/>
      <c r="C558" s="207"/>
      <c r="D558" s="207"/>
      <c r="E558" s="207"/>
      <c r="F558" s="207"/>
      <c r="G558" s="207"/>
      <c r="H558" s="207"/>
      <c r="I558" s="207"/>
      <c r="J558" s="207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  <c r="AA558" s="207"/>
      <c r="AB558" s="207"/>
      <c r="AC558" s="207"/>
      <c r="AD558" s="207"/>
      <c r="AE558" s="207"/>
      <c r="AF558" s="207"/>
      <c r="AG558" s="207"/>
      <c r="AH558" s="207"/>
      <c r="AI558" s="207"/>
      <c r="AJ558" s="207"/>
      <c r="AK558" s="207"/>
      <c r="AL558" s="207"/>
      <c r="AM558" s="207"/>
      <c r="AN558" s="207"/>
      <c r="AO558" s="207"/>
      <c r="AP558" s="207"/>
      <c r="AQ558" s="207"/>
      <c r="AR558" s="207"/>
      <c r="AS558" s="207"/>
      <c r="AT558" s="207"/>
      <c r="AU558" s="207"/>
      <c r="AV558" s="207"/>
      <c r="AW558" s="207"/>
      <c r="AX558" s="207"/>
      <c r="AY558" s="207"/>
      <c r="AZ558" s="207"/>
      <c r="BA558" s="207"/>
    </row>
    <row r="559" ht="18.75" hidden="1" customHeight="1">
      <c r="A559" s="207"/>
      <c r="B559" s="207"/>
      <c r="C559" s="207"/>
      <c r="D559" s="207"/>
      <c r="E559" s="207"/>
      <c r="F559" s="207"/>
      <c r="G559" s="207"/>
      <c r="H559" s="207"/>
      <c r="I559" s="207"/>
      <c r="J559" s="207"/>
      <c r="K559" s="207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  <c r="AA559" s="207"/>
      <c r="AB559" s="207"/>
      <c r="AC559" s="207"/>
      <c r="AD559" s="207"/>
      <c r="AE559" s="207"/>
      <c r="AF559" s="207"/>
      <c r="AG559" s="207"/>
      <c r="AH559" s="207"/>
      <c r="AI559" s="207"/>
      <c r="AJ559" s="207"/>
      <c r="AK559" s="207"/>
      <c r="AL559" s="207"/>
      <c r="AM559" s="207"/>
      <c r="AN559" s="207"/>
      <c r="AO559" s="207"/>
      <c r="AP559" s="207"/>
      <c r="AQ559" s="207"/>
      <c r="AR559" s="207"/>
      <c r="AS559" s="207"/>
      <c r="AT559" s="207"/>
      <c r="AU559" s="207"/>
      <c r="AV559" s="207"/>
      <c r="AW559" s="207"/>
      <c r="AX559" s="207"/>
      <c r="AY559" s="207"/>
      <c r="AZ559" s="207"/>
      <c r="BA559" s="207"/>
    </row>
    <row r="560" ht="18.75" hidden="1" customHeight="1">
      <c r="A560" s="207"/>
      <c r="B560" s="207"/>
      <c r="C560" s="207"/>
      <c r="D560" s="207"/>
      <c r="E560" s="207"/>
      <c r="F560" s="207"/>
      <c r="G560" s="207"/>
      <c r="H560" s="207"/>
      <c r="I560" s="207"/>
      <c r="J560" s="207"/>
      <c r="K560" s="207"/>
      <c r="L560" s="207"/>
      <c r="M560" s="207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  <c r="AA560" s="207"/>
      <c r="AB560" s="207"/>
      <c r="AC560" s="207"/>
      <c r="AD560" s="207"/>
      <c r="AE560" s="207"/>
      <c r="AF560" s="207"/>
      <c r="AG560" s="207"/>
      <c r="AH560" s="207"/>
      <c r="AI560" s="207"/>
      <c r="AJ560" s="207"/>
      <c r="AK560" s="207"/>
      <c r="AL560" s="207"/>
      <c r="AM560" s="207"/>
      <c r="AN560" s="207"/>
      <c r="AO560" s="207"/>
      <c r="AP560" s="207"/>
      <c r="AQ560" s="207"/>
      <c r="AR560" s="207"/>
      <c r="AS560" s="207"/>
      <c r="AT560" s="207"/>
      <c r="AU560" s="207"/>
      <c r="AV560" s="207"/>
      <c r="AW560" s="207"/>
      <c r="AX560" s="207"/>
      <c r="AY560" s="207"/>
      <c r="AZ560" s="207"/>
      <c r="BA560" s="207"/>
    </row>
    <row r="561" ht="18.75" hidden="1" customHeight="1">
      <c r="A561" s="207"/>
      <c r="B561" s="207"/>
      <c r="C561" s="207"/>
      <c r="D561" s="207"/>
      <c r="E561" s="207"/>
      <c r="F561" s="207"/>
      <c r="G561" s="207"/>
      <c r="H561" s="207"/>
      <c r="I561" s="207"/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  <c r="AA561" s="207"/>
      <c r="AB561" s="207"/>
      <c r="AC561" s="207"/>
      <c r="AD561" s="207"/>
      <c r="AE561" s="207"/>
      <c r="AF561" s="207"/>
      <c r="AG561" s="207"/>
      <c r="AH561" s="207"/>
      <c r="AI561" s="207"/>
      <c r="AJ561" s="207"/>
      <c r="AK561" s="207"/>
      <c r="AL561" s="207"/>
      <c r="AM561" s="207"/>
      <c r="AN561" s="207"/>
      <c r="AO561" s="207"/>
      <c r="AP561" s="207"/>
      <c r="AQ561" s="207"/>
      <c r="AR561" s="207"/>
      <c r="AS561" s="207"/>
      <c r="AT561" s="207"/>
      <c r="AU561" s="207"/>
      <c r="AV561" s="207"/>
      <c r="AW561" s="207"/>
      <c r="AX561" s="207"/>
      <c r="AY561" s="207"/>
      <c r="AZ561" s="207"/>
      <c r="BA561" s="207"/>
    </row>
    <row r="562" ht="18.75" hidden="1" customHeight="1">
      <c r="A562" s="207"/>
      <c r="B562" s="207"/>
      <c r="C562" s="207"/>
      <c r="D562" s="207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  <c r="AA562" s="207"/>
      <c r="AB562" s="207"/>
      <c r="AC562" s="207"/>
      <c r="AD562" s="207"/>
      <c r="AE562" s="207"/>
      <c r="AF562" s="207"/>
      <c r="AG562" s="207"/>
      <c r="AH562" s="207"/>
      <c r="AI562" s="207"/>
      <c r="AJ562" s="207"/>
      <c r="AK562" s="207"/>
      <c r="AL562" s="207"/>
      <c r="AM562" s="207"/>
      <c r="AN562" s="207"/>
      <c r="AO562" s="207"/>
      <c r="AP562" s="207"/>
      <c r="AQ562" s="207"/>
      <c r="AR562" s="207"/>
      <c r="AS562" s="207"/>
      <c r="AT562" s="207"/>
      <c r="AU562" s="207"/>
      <c r="AV562" s="207"/>
      <c r="AW562" s="207"/>
      <c r="AX562" s="207"/>
      <c r="AY562" s="207"/>
      <c r="AZ562" s="207"/>
      <c r="BA562" s="207"/>
    </row>
    <row r="563" ht="18.75" hidden="1" customHeight="1">
      <c r="A563" s="207"/>
      <c r="B563" s="207"/>
      <c r="C563" s="207"/>
      <c r="D563" s="207"/>
      <c r="E563" s="207"/>
      <c r="F563" s="207"/>
      <c r="G563" s="207"/>
      <c r="H563" s="207"/>
      <c r="I563" s="207"/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  <c r="AA563" s="207"/>
      <c r="AB563" s="207"/>
      <c r="AC563" s="207"/>
      <c r="AD563" s="207"/>
      <c r="AE563" s="207"/>
      <c r="AF563" s="207"/>
      <c r="AG563" s="207"/>
      <c r="AH563" s="207"/>
      <c r="AI563" s="207"/>
      <c r="AJ563" s="207"/>
      <c r="AK563" s="207"/>
      <c r="AL563" s="207"/>
      <c r="AM563" s="207"/>
      <c r="AN563" s="207"/>
      <c r="AO563" s="207"/>
      <c r="AP563" s="207"/>
      <c r="AQ563" s="207"/>
      <c r="AR563" s="207"/>
      <c r="AS563" s="207"/>
      <c r="AT563" s="207"/>
      <c r="AU563" s="207"/>
      <c r="AV563" s="207"/>
      <c r="AW563" s="207"/>
      <c r="AX563" s="207"/>
      <c r="AY563" s="207"/>
      <c r="AZ563" s="207"/>
      <c r="BA563" s="207"/>
    </row>
    <row r="564" ht="18.75" hidden="1" customHeight="1">
      <c r="A564" s="207"/>
      <c r="B564" s="207"/>
      <c r="C564" s="207"/>
      <c r="D564" s="207"/>
      <c r="E564" s="207"/>
      <c r="F564" s="207"/>
      <c r="G564" s="207"/>
      <c r="H564" s="207"/>
      <c r="I564" s="207"/>
      <c r="J564" s="207"/>
      <c r="K564" s="207"/>
      <c r="L564" s="207"/>
      <c r="M564" s="207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  <c r="AA564" s="207"/>
      <c r="AB564" s="207"/>
      <c r="AC564" s="207"/>
      <c r="AD564" s="207"/>
      <c r="AE564" s="207"/>
      <c r="AF564" s="207"/>
      <c r="AG564" s="207"/>
      <c r="AH564" s="207"/>
      <c r="AI564" s="207"/>
      <c r="AJ564" s="207"/>
      <c r="AK564" s="207"/>
      <c r="AL564" s="207"/>
      <c r="AM564" s="207"/>
      <c r="AN564" s="207"/>
      <c r="AO564" s="207"/>
      <c r="AP564" s="207"/>
      <c r="AQ564" s="207"/>
      <c r="AR564" s="207"/>
      <c r="AS564" s="207"/>
      <c r="AT564" s="207"/>
      <c r="AU564" s="207"/>
      <c r="AV564" s="207"/>
      <c r="AW564" s="207"/>
      <c r="AX564" s="207"/>
      <c r="AY564" s="207"/>
      <c r="AZ564" s="207"/>
      <c r="BA564" s="207"/>
    </row>
    <row r="565" ht="18.75" hidden="1" customHeight="1">
      <c r="A565" s="207"/>
      <c r="B565" s="207"/>
      <c r="C565" s="207"/>
      <c r="D565" s="207"/>
      <c r="E565" s="207"/>
      <c r="F565" s="207"/>
      <c r="G565" s="207"/>
      <c r="H565" s="207"/>
      <c r="I565" s="207"/>
      <c r="J565" s="207"/>
      <c r="K565" s="207"/>
      <c r="L565" s="207"/>
      <c r="M565" s="207"/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  <c r="AA565" s="207"/>
      <c r="AB565" s="207"/>
      <c r="AC565" s="207"/>
      <c r="AD565" s="207"/>
      <c r="AE565" s="207"/>
      <c r="AF565" s="207"/>
      <c r="AG565" s="207"/>
      <c r="AH565" s="207"/>
      <c r="AI565" s="207"/>
      <c r="AJ565" s="207"/>
      <c r="AK565" s="207"/>
      <c r="AL565" s="207"/>
      <c r="AM565" s="207"/>
      <c r="AN565" s="207"/>
      <c r="AO565" s="207"/>
      <c r="AP565" s="207"/>
      <c r="AQ565" s="207"/>
      <c r="AR565" s="207"/>
      <c r="AS565" s="207"/>
      <c r="AT565" s="207"/>
      <c r="AU565" s="207"/>
      <c r="AV565" s="207"/>
      <c r="AW565" s="207"/>
      <c r="AX565" s="207"/>
      <c r="AY565" s="207"/>
      <c r="AZ565" s="207"/>
      <c r="BA565" s="207"/>
    </row>
    <row r="566" ht="18.75" hidden="1" customHeight="1">
      <c r="A566" s="207"/>
      <c r="B566" s="207"/>
      <c r="C566" s="207"/>
      <c r="D566" s="207"/>
      <c r="E566" s="207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  <c r="AA566" s="207"/>
      <c r="AB566" s="207"/>
      <c r="AC566" s="207"/>
      <c r="AD566" s="207"/>
      <c r="AE566" s="207"/>
      <c r="AF566" s="207"/>
      <c r="AG566" s="207"/>
      <c r="AH566" s="207"/>
      <c r="AI566" s="207"/>
      <c r="AJ566" s="207"/>
      <c r="AK566" s="207"/>
      <c r="AL566" s="207"/>
      <c r="AM566" s="207"/>
      <c r="AN566" s="207"/>
      <c r="AO566" s="207"/>
      <c r="AP566" s="207"/>
      <c r="AQ566" s="207"/>
      <c r="AR566" s="207"/>
      <c r="AS566" s="207"/>
      <c r="AT566" s="207"/>
      <c r="AU566" s="207"/>
      <c r="AV566" s="207"/>
      <c r="AW566" s="207"/>
      <c r="AX566" s="207"/>
      <c r="AY566" s="207"/>
      <c r="AZ566" s="207"/>
      <c r="BA566" s="207"/>
    </row>
    <row r="567" ht="18.75" hidden="1" customHeight="1">
      <c r="A567" s="207"/>
      <c r="B567" s="207"/>
      <c r="C567" s="207"/>
      <c r="D567" s="207"/>
      <c r="E567" s="207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  <c r="AA567" s="207"/>
      <c r="AB567" s="207"/>
      <c r="AC567" s="207"/>
      <c r="AD567" s="207"/>
      <c r="AE567" s="207"/>
      <c r="AF567" s="207"/>
      <c r="AG567" s="207"/>
      <c r="AH567" s="207"/>
      <c r="AI567" s="207"/>
      <c r="AJ567" s="207"/>
      <c r="AK567" s="207"/>
      <c r="AL567" s="207"/>
      <c r="AM567" s="207"/>
      <c r="AN567" s="207"/>
      <c r="AO567" s="207"/>
      <c r="AP567" s="207"/>
      <c r="AQ567" s="207"/>
      <c r="AR567" s="207"/>
      <c r="AS567" s="207"/>
      <c r="AT567" s="207"/>
      <c r="AU567" s="207"/>
      <c r="AV567" s="207"/>
      <c r="AW567" s="207"/>
      <c r="AX567" s="207"/>
      <c r="AY567" s="207"/>
      <c r="AZ567" s="207"/>
      <c r="BA567" s="207"/>
    </row>
    <row r="568" ht="18.75" hidden="1" customHeight="1">
      <c r="A568" s="207"/>
      <c r="B568" s="207"/>
      <c r="C568" s="207"/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  <c r="AA568" s="207"/>
      <c r="AB568" s="207"/>
      <c r="AC568" s="207"/>
      <c r="AD568" s="207"/>
      <c r="AE568" s="207"/>
      <c r="AF568" s="207"/>
      <c r="AG568" s="207"/>
      <c r="AH568" s="207"/>
      <c r="AI568" s="207"/>
      <c r="AJ568" s="207"/>
      <c r="AK568" s="207"/>
      <c r="AL568" s="207"/>
      <c r="AM568" s="207"/>
      <c r="AN568" s="207"/>
      <c r="AO568" s="207"/>
      <c r="AP568" s="207"/>
      <c r="AQ568" s="207"/>
      <c r="AR568" s="207"/>
      <c r="AS568" s="207"/>
      <c r="AT568" s="207"/>
      <c r="AU568" s="207"/>
      <c r="AV568" s="207"/>
      <c r="AW568" s="207"/>
      <c r="AX568" s="207"/>
      <c r="AY568" s="207"/>
      <c r="AZ568" s="207"/>
      <c r="BA568" s="207"/>
    </row>
    <row r="569" ht="18.75" hidden="1" customHeight="1">
      <c r="A569" s="207"/>
      <c r="B569" s="207"/>
      <c r="C569" s="207"/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  <c r="AA569" s="207"/>
      <c r="AB569" s="207"/>
      <c r="AC569" s="207"/>
      <c r="AD569" s="207"/>
      <c r="AE569" s="207"/>
      <c r="AF569" s="207"/>
      <c r="AG569" s="207"/>
      <c r="AH569" s="207"/>
      <c r="AI569" s="207"/>
      <c r="AJ569" s="207"/>
      <c r="AK569" s="207"/>
      <c r="AL569" s="207"/>
      <c r="AM569" s="207"/>
      <c r="AN569" s="207"/>
      <c r="AO569" s="207"/>
      <c r="AP569" s="207"/>
      <c r="AQ569" s="207"/>
      <c r="AR569" s="207"/>
      <c r="AS569" s="207"/>
      <c r="AT569" s="207"/>
      <c r="AU569" s="207"/>
      <c r="AV569" s="207"/>
      <c r="AW569" s="207"/>
      <c r="AX569" s="207"/>
      <c r="AY569" s="207"/>
      <c r="AZ569" s="207"/>
      <c r="BA569" s="207"/>
    </row>
    <row r="570" ht="18.75" hidden="1" customHeight="1">
      <c r="A570" s="207"/>
      <c r="B570" s="207"/>
      <c r="C570" s="207"/>
      <c r="D570" s="207"/>
      <c r="E570" s="207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  <c r="AA570" s="207"/>
      <c r="AB570" s="207"/>
      <c r="AC570" s="207"/>
      <c r="AD570" s="207"/>
      <c r="AE570" s="207"/>
      <c r="AF570" s="207"/>
      <c r="AG570" s="207"/>
      <c r="AH570" s="207"/>
      <c r="AI570" s="207"/>
      <c r="AJ570" s="207"/>
      <c r="AK570" s="207"/>
      <c r="AL570" s="207"/>
      <c r="AM570" s="207"/>
      <c r="AN570" s="207"/>
      <c r="AO570" s="207"/>
      <c r="AP570" s="207"/>
      <c r="AQ570" s="207"/>
      <c r="AR570" s="207"/>
      <c r="AS570" s="207"/>
      <c r="AT570" s="207"/>
      <c r="AU570" s="207"/>
      <c r="AV570" s="207"/>
      <c r="AW570" s="207"/>
      <c r="AX570" s="207"/>
      <c r="AY570" s="207"/>
      <c r="AZ570" s="207"/>
      <c r="BA570" s="207"/>
    </row>
    <row r="571" ht="18.75" hidden="1" customHeight="1">
      <c r="A571" s="207"/>
      <c r="B571" s="207"/>
      <c r="C571" s="207"/>
      <c r="D571" s="207"/>
      <c r="E571" s="207"/>
      <c r="F571" s="207"/>
      <c r="G571" s="207"/>
      <c r="H571" s="207"/>
      <c r="I571" s="207"/>
      <c r="J571" s="207"/>
      <c r="K571" s="207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  <c r="AA571" s="207"/>
      <c r="AB571" s="207"/>
      <c r="AC571" s="207"/>
      <c r="AD571" s="207"/>
      <c r="AE571" s="207"/>
      <c r="AF571" s="207"/>
      <c r="AG571" s="207"/>
      <c r="AH571" s="207"/>
      <c r="AI571" s="207"/>
      <c r="AJ571" s="207"/>
      <c r="AK571" s="207"/>
      <c r="AL571" s="207"/>
      <c r="AM571" s="207"/>
      <c r="AN571" s="207"/>
      <c r="AO571" s="207"/>
      <c r="AP571" s="207"/>
      <c r="AQ571" s="207"/>
      <c r="AR571" s="207"/>
      <c r="AS571" s="207"/>
      <c r="AT571" s="207"/>
      <c r="AU571" s="207"/>
      <c r="AV571" s="207"/>
      <c r="AW571" s="207"/>
      <c r="AX571" s="207"/>
      <c r="AY571" s="207"/>
      <c r="AZ571" s="207"/>
      <c r="BA571" s="207"/>
    </row>
    <row r="572" ht="18.75" hidden="1" customHeight="1">
      <c r="A572" s="207"/>
      <c r="B572" s="207"/>
      <c r="C572" s="207"/>
      <c r="D572" s="207"/>
      <c r="E572" s="207"/>
      <c r="F572" s="207"/>
      <c r="G572" s="207"/>
      <c r="H572" s="207"/>
      <c r="I572" s="207"/>
      <c r="J572" s="207"/>
      <c r="K572" s="207"/>
      <c r="L572" s="207"/>
      <c r="M572" s="207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  <c r="AA572" s="207"/>
      <c r="AB572" s="207"/>
      <c r="AC572" s="207"/>
      <c r="AD572" s="207"/>
      <c r="AE572" s="207"/>
      <c r="AF572" s="207"/>
      <c r="AG572" s="207"/>
      <c r="AH572" s="207"/>
      <c r="AI572" s="207"/>
      <c r="AJ572" s="207"/>
      <c r="AK572" s="207"/>
      <c r="AL572" s="207"/>
      <c r="AM572" s="207"/>
      <c r="AN572" s="207"/>
      <c r="AO572" s="207"/>
      <c r="AP572" s="207"/>
      <c r="AQ572" s="207"/>
      <c r="AR572" s="207"/>
      <c r="AS572" s="207"/>
      <c r="AT572" s="207"/>
      <c r="AU572" s="207"/>
      <c r="AV572" s="207"/>
      <c r="AW572" s="207"/>
      <c r="AX572" s="207"/>
      <c r="AY572" s="207"/>
      <c r="AZ572" s="207"/>
      <c r="BA572" s="207"/>
    </row>
    <row r="573" ht="18.75" hidden="1" customHeight="1">
      <c r="A573" s="207"/>
      <c r="B573" s="207"/>
      <c r="C573" s="207"/>
      <c r="D573" s="207"/>
      <c r="E573" s="207"/>
      <c r="F573" s="207"/>
      <c r="G573" s="207"/>
      <c r="H573" s="207"/>
      <c r="I573" s="207"/>
      <c r="J573" s="207"/>
      <c r="K573" s="207"/>
      <c r="L573" s="207"/>
      <c r="M573" s="207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  <c r="AA573" s="207"/>
      <c r="AB573" s="207"/>
      <c r="AC573" s="207"/>
      <c r="AD573" s="207"/>
      <c r="AE573" s="207"/>
      <c r="AF573" s="207"/>
      <c r="AG573" s="207"/>
      <c r="AH573" s="207"/>
      <c r="AI573" s="207"/>
      <c r="AJ573" s="207"/>
      <c r="AK573" s="207"/>
      <c r="AL573" s="207"/>
      <c r="AM573" s="207"/>
      <c r="AN573" s="207"/>
      <c r="AO573" s="207"/>
      <c r="AP573" s="207"/>
      <c r="AQ573" s="207"/>
      <c r="AR573" s="207"/>
      <c r="AS573" s="207"/>
      <c r="AT573" s="207"/>
      <c r="AU573" s="207"/>
      <c r="AV573" s="207"/>
      <c r="AW573" s="207"/>
      <c r="AX573" s="207"/>
      <c r="AY573" s="207"/>
      <c r="AZ573" s="207"/>
      <c r="BA573" s="207"/>
    </row>
    <row r="574" ht="18.75" hidden="1" customHeight="1">
      <c r="A574" s="207"/>
      <c r="B574" s="207"/>
      <c r="C574" s="207"/>
      <c r="D574" s="207"/>
      <c r="E574" s="207"/>
      <c r="F574" s="207"/>
      <c r="G574" s="207"/>
      <c r="H574" s="207"/>
      <c r="I574" s="207"/>
      <c r="J574" s="207"/>
      <c r="K574" s="207"/>
      <c r="L574" s="207"/>
      <c r="M574" s="207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  <c r="AA574" s="207"/>
      <c r="AB574" s="207"/>
      <c r="AC574" s="207"/>
      <c r="AD574" s="207"/>
      <c r="AE574" s="207"/>
      <c r="AF574" s="207"/>
      <c r="AG574" s="207"/>
      <c r="AH574" s="207"/>
      <c r="AI574" s="207"/>
      <c r="AJ574" s="207"/>
      <c r="AK574" s="207"/>
      <c r="AL574" s="207"/>
      <c r="AM574" s="207"/>
      <c r="AN574" s="207"/>
      <c r="AO574" s="207"/>
      <c r="AP574" s="207"/>
      <c r="AQ574" s="207"/>
      <c r="AR574" s="207"/>
      <c r="AS574" s="207"/>
      <c r="AT574" s="207"/>
      <c r="AU574" s="207"/>
      <c r="AV574" s="207"/>
      <c r="AW574" s="207"/>
      <c r="AX574" s="207"/>
      <c r="AY574" s="207"/>
      <c r="AZ574" s="207"/>
      <c r="BA574" s="207"/>
    </row>
    <row r="575" ht="18.75" hidden="1" customHeight="1">
      <c r="A575" s="207"/>
      <c r="B575" s="207"/>
      <c r="C575" s="207"/>
      <c r="D575" s="207"/>
      <c r="E575" s="207"/>
      <c r="F575" s="207"/>
      <c r="G575" s="207"/>
      <c r="H575" s="207"/>
      <c r="I575" s="207"/>
      <c r="J575" s="207"/>
      <c r="K575" s="207"/>
      <c r="L575" s="207"/>
      <c r="M575" s="207"/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  <c r="AA575" s="207"/>
      <c r="AB575" s="207"/>
      <c r="AC575" s="207"/>
      <c r="AD575" s="207"/>
      <c r="AE575" s="207"/>
      <c r="AF575" s="207"/>
      <c r="AG575" s="207"/>
      <c r="AH575" s="207"/>
      <c r="AI575" s="207"/>
      <c r="AJ575" s="207"/>
      <c r="AK575" s="207"/>
      <c r="AL575" s="207"/>
      <c r="AM575" s="207"/>
      <c r="AN575" s="207"/>
      <c r="AO575" s="207"/>
      <c r="AP575" s="207"/>
      <c r="AQ575" s="207"/>
      <c r="AR575" s="207"/>
      <c r="AS575" s="207"/>
      <c r="AT575" s="207"/>
      <c r="AU575" s="207"/>
      <c r="AV575" s="207"/>
      <c r="AW575" s="207"/>
      <c r="AX575" s="207"/>
      <c r="AY575" s="207"/>
      <c r="AZ575" s="207"/>
      <c r="BA575" s="207"/>
    </row>
    <row r="576" ht="18.75" hidden="1" customHeight="1">
      <c r="A576" s="207"/>
      <c r="B576" s="207"/>
      <c r="C576" s="207"/>
      <c r="D576" s="207"/>
      <c r="E576" s="207"/>
      <c r="F576" s="207"/>
      <c r="G576" s="207"/>
      <c r="H576" s="207"/>
      <c r="I576" s="207"/>
      <c r="J576" s="207"/>
      <c r="K576" s="207"/>
      <c r="L576" s="207"/>
      <c r="M576" s="207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  <c r="AA576" s="207"/>
      <c r="AB576" s="207"/>
      <c r="AC576" s="207"/>
      <c r="AD576" s="207"/>
      <c r="AE576" s="207"/>
      <c r="AF576" s="207"/>
      <c r="AG576" s="207"/>
      <c r="AH576" s="207"/>
      <c r="AI576" s="207"/>
      <c r="AJ576" s="207"/>
      <c r="AK576" s="207"/>
      <c r="AL576" s="207"/>
      <c r="AM576" s="207"/>
      <c r="AN576" s="207"/>
      <c r="AO576" s="207"/>
      <c r="AP576" s="207"/>
      <c r="AQ576" s="207"/>
      <c r="AR576" s="207"/>
      <c r="AS576" s="207"/>
      <c r="AT576" s="207"/>
      <c r="AU576" s="207"/>
      <c r="AV576" s="207"/>
      <c r="AW576" s="207"/>
      <c r="AX576" s="207"/>
      <c r="AY576" s="207"/>
      <c r="AZ576" s="207"/>
      <c r="BA576" s="207"/>
    </row>
    <row r="577" ht="18.75" hidden="1" customHeight="1">
      <c r="A577" s="207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  <c r="AA577" s="207"/>
      <c r="AB577" s="207"/>
      <c r="AC577" s="207"/>
      <c r="AD577" s="207"/>
      <c r="AE577" s="207"/>
      <c r="AF577" s="207"/>
      <c r="AG577" s="207"/>
      <c r="AH577" s="207"/>
      <c r="AI577" s="207"/>
      <c r="AJ577" s="207"/>
      <c r="AK577" s="207"/>
      <c r="AL577" s="207"/>
      <c r="AM577" s="207"/>
      <c r="AN577" s="207"/>
      <c r="AO577" s="207"/>
      <c r="AP577" s="207"/>
      <c r="AQ577" s="207"/>
      <c r="AR577" s="207"/>
      <c r="AS577" s="207"/>
      <c r="AT577" s="207"/>
      <c r="AU577" s="207"/>
      <c r="AV577" s="207"/>
      <c r="AW577" s="207"/>
      <c r="AX577" s="207"/>
      <c r="AY577" s="207"/>
      <c r="AZ577" s="207"/>
      <c r="BA577" s="207"/>
    </row>
    <row r="578" ht="18.75" hidden="1" customHeight="1">
      <c r="A578" s="207"/>
      <c r="B578" s="207"/>
      <c r="C578" s="207"/>
      <c r="D578" s="207"/>
      <c r="E578" s="207"/>
      <c r="F578" s="207"/>
      <c r="G578" s="207"/>
      <c r="H578" s="207"/>
      <c r="I578" s="207"/>
      <c r="J578" s="207"/>
      <c r="K578" s="207"/>
      <c r="L578" s="207"/>
      <c r="M578" s="207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  <c r="AA578" s="207"/>
      <c r="AB578" s="207"/>
      <c r="AC578" s="207"/>
      <c r="AD578" s="207"/>
      <c r="AE578" s="207"/>
      <c r="AF578" s="207"/>
      <c r="AG578" s="207"/>
      <c r="AH578" s="207"/>
      <c r="AI578" s="207"/>
      <c r="AJ578" s="207"/>
      <c r="AK578" s="207"/>
      <c r="AL578" s="207"/>
      <c r="AM578" s="207"/>
      <c r="AN578" s="207"/>
      <c r="AO578" s="207"/>
      <c r="AP578" s="207"/>
      <c r="AQ578" s="207"/>
      <c r="AR578" s="207"/>
      <c r="AS578" s="207"/>
      <c r="AT578" s="207"/>
      <c r="AU578" s="207"/>
      <c r="AV578" s="207"/>
      <c r="AW578" s="207"/>
      <c r="AX578" s="207"/>
      <c r="AY578" s="207"/>
      <c r="AZ578" s="207"/>
      <c r="BA578" s="207"/>
    </row>
    <row r="579" ht="18.75" hidden="1" customHeight="1">
      <c r="A579" s="207"/>
      <c r="B579" s="207"/>
      <c r="C579" s="207"/>
      <c r="D579" s="207"/>
      <c r="E579" s="207"/>
      <c r="F579" s="207"/>
      <c r="G579" s="207"/>
      <c r="H579" s="207"/>
      <c r="I579" s="207"/>
      <c r="J579" s="207"/>
      <c r="K579" s="207"/>
      <c r="L579" s="207"/>
      <c r="M579" s="207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  <c r="AA579" s="207"/>
      <c r="AB579" s="207"/>
      <c r="AC579" s="207"/>
      <c r="AD579" s="207"/>
      <c r="AE579" s="207"/>
      <c r="AF579" s="207"/>
      <c r="AG579" s="207"/>
      <c r="AH579" s="207"/>
      <c r="AI579" s="207"/>
      <c r="AJ579" s="207"/>
      <c r="AK579" s="207"/>
      <c r="AL579" s="207"/>
      <c r="AM579" s="207"/>
      <c r="AN579" s="207"/>
      <c r="AO579" s="207"/>
      <c r="AP579" s="207"/>
      <c r="AQ579" s="207"/>
      <c r="AR579" s="207"/>
      <c r="AS579" s="207"/>
      <c r="AT579" s="207"/>
      <c r="AU579" s="207"/>
      <c r="AV579" s="207"/>
      <c r="AW579" s="207"/>
      <c r="AX579" s="207"/>
      <c r="AY579" s="207"/>
      <c r="AZ579" s="207"/>
      <c r="BA579" s="207"/>
    </row>
    <row r="580" ht="18.75" hidden="1" customHeight="1">
      <c r="A580" s="207"/>
      <c r="B580" s="207"/>
      <c r="C580" s="207"/>
      <c r="D580" s="207"/>
      <c r="E580" s="207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  <c r="AA580" s="207"/>
      <c r="AB580" s="207"/>
      <c r="AC580" s="207"/>
      <c r="AD580" s="207"/>
      <c r="AE580" s="207"/>
      <c r="AF580" s="207"/>
      <c r="AG580" s="207"/>
      <c r="AH580" s="207"/>
      <c r="AI580" s="207"/>
      <c r="AJ580" s="207"/>
      <c r="AK580" s="207"/>
      <c r="AL580" s="207"/>
      <c r="AM580" s="207"/>
      <c r="AN580" s="207"/>
      <c r="AO580" s="207"/>
      <c r="AP580" s="207"/>
      <c r="AQ580" s="207"/>
      <c r="AR580" s="207"/>
      <c r="AS580" s="207"/>
      <c r="AT580" s="207"/>
      <c r="AU580" s="207"/>
      <c r="AV580" s="207"/>
      <c r="AW580" s="207"/>
      <c r="AX580" s="207"/>
      <c r="AY580" s="207"/>
      <c r="AZ580" s="207"/>
      <c r="BA580" s="207"/>
    </row>
    <row r="581" ht="18.75" hidden="1" customHeight="1">
      <c r="A581" s="207"/>
      <c r="B581" s="207"/>
      <c r="C581" s="207"/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  <c r="AA581" s="207"/>
      <c r="AB581" s="207"/>
      <c r="AC581" s="207"/>
      <c r="AD581" s="207"/>
      <c r="AE581" s="207"/>
      <c r="AF581" s="207"/>
      <c r="AG581" s="207"/>
      <c r="AH581" s="207"/>
      <c r="AI581" s="207"/>
      <c r="AJ581" s="207"/>
      <c r="AK581" s="207"/>
      <c r="AL581" s="207"/>
      <c r="AM581" s="207"/>
      <c r="AN581" s="207"/>
      <c r="AO581" s="207"/>
      <c r="AP581" s="207"/>
      <c r="AQ581" s="207"/>
      <c r="AR581" s="207"/>
      <c r="AS581" s="207"/>
      <c r="AT581" s="207"/>
      <c r="AU581" s="207"/>
      <c r="AV581" s="207"/>
      <c r="AW581" s="207"/>
      <c r="AX581" s="207"/>
      <c r="AY581" s="207"/>
      <c r="AZ581" s="207"/>
      <c r="BA581" s="207"/>
    </row>
    <row r="582" ht="18.75" hidden="1" customHeight="1">
      <c r="A582" s="207"/>
      <c r="B582" s="207"/>
      <c r="C582" s="207"/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  <c r="AA582" s="207"/>
      <c r="AB582" s="207"/>
      <c r="AC582" s="207"/>
      <c r="AD582" s="207"/>
      <c r="AE582" s="207"/>
      <c r="AF582" s="207"/>
      <c r="AG582" s="207"/>
      <c r="AH582" s="207"/>
      <c r="AI582" s="207"/>
      <c r="AJ582" s="207"/>
      <c r="AK582" s="207"/>
      <c r="AL582" s="207"/>
      <c r="AM582" s="207"/>
      <c r="AN582" s="207"/>
      <c r="AO582" s="207"/>
      <c r="AP582" s="207"/>
      <c r="AQ582" s="207"/>
      <c r="AR582" s="207"/>
      <c r="AS582" s="207"/>
      <c r="AT582" s="207"/>
      <c r="AU582" s="207"/>
      <c r="AV582" s="207"/>
      <c r="AW582" s="207"/>
      <c r="AX582" s="207"/>
      <c r="AY582" s="207"/>
      <c r="AZ582" s="207"/>
      <c r="BA582" s="207"/>
    </row>
    <row r="583" ht="18.75" hidden="1" customHeight="1">
      <c r="A583" s="207"/>
      <c r="B583" s="207"/>
      <c r="C583" s="207"/>
      <c r="D583" s="207"/>
      <c r="E583" s="207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  <c r="AA583" s="207"/>
      <c r="AB583" s="207"/>
      <c r="AC583" s="207"/>
      <c r="AD583" s="207"/>
      <c r="AE583" s="207"/>
      <c r="AF583" s="207"/>
      <c r="AG583" s="207"/>
      <c r="AH583" s="207"/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7"/>
    </row>
    <row r="584" ht="18.75" hidden="1" customHeight="1">
      <c r="A584" s="207"/>
      <c r="B584" s="207"/>
      <c r="C584" s="207"/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  <c r="AB584" s="207"/>
      <c r="AC584" s="207"/>
      <c r="AD584" s="207"/>
      <c r="AE584" s="207"/>
      <c r="AF584" s="207"/>
      <c r="AG584" s="207"/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</row>
    <row r="585" ht="18.75" hidden="1" customHeight="1">
      <c r="A585" s="207"/>
      <c r="B585" s="207"/>
      <c r="C585" s="207"/>
      <c r="D585" s="207"/>
      <c r="E585" s="207"/>
      <c r="F585" s="207"/>
      <c r="G585" s="207"/>
      <c r="H585" s="207"/>
      <c r="I585" s="207"/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  <c r="AA585" s="207"/>
      <c r="AB585" s="207"/>
      <c r="AC585" s="207"/>
      <c r="AD585" s="207"/>
      <c r="AE585" s="207"/>
      <c r="AF585" s="207"/>
      <c r="AG585" s="207"/>
      <c r="AH585" s="207"/>
      <c r="AI585" s="207"/>
      <c r="AJ585" s="207"/>
      <c r="AK585" s="207"/>
      <c r="AL585" s="207"/>
      <c r="AM585" s="207"/>
      <c r="AN585" s="207"/>
      <c r="AO585" s="207"/>
      <c r="AP585" s="207"/>
      <c r="AQ585" s="207"/>
      <c r="AR585" s="207"/>
      <c r="AS585" s="207"/>
      <c r="AT585" s="207"/>
      <c r="AU585" s="207"/>
      <c r="AV585" s="207"/>
      <c r="AW585" s="207"/>
      <c r="AX585" s="207"/>
      <c r="AY585" s="207"/>
      <c r="AZ585" s="207"/>
      <c r="BA585" s="207"/>
    </row>
    <row r="586" ht="18.75" hidden="1" customHeight="1">
      <c r="A586" s="207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  <c r="AA586" s="207"/>
      <c r="AB586" s="207"/>
      <c r="AC586" s="207"/>
      <c r="AD586" s="207"/>
      <c r="AE586" s="207"/>
      <c r="AF586" s="207"/>
      <c r="AG586" s="207"/>
      <c r="AH586" s="207"/>
      <c r="AI586" s="207"/>
      <c r="AJ586" s="207"/>
      <c r="AK586" s="207"/>
      <c r="AL586" s="207"/>
      <c r="AM586" s="207"/>
      <c r="AN586" s="207"/>
      <c r="AO586" s="207"/>
      <c r="AP586" s="207"/>
      <c r="AQ586" s="207"/>
      <c r="AR586" s="207"/>
      <c r="AS586" s="207"/>
      <c r="AT586" s="207"/>
      <c r="AU586" s="207"/>
      <c r="AV586" s="207"/>
      <c r="AW586" s="207"/>
      <c r="AX586" s="207"/>
      <c r="AY586" s="207"/>
      <c r="AZ586" s="207"/>
      <c r="BA586" s="207"/>
    </row>
    <row r="587" ht="18.75" hidden="1" customHeight="1">
      <c r="A587" s="207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  <c r="AA587" s="207"/>
      <c r="AB587" s="207"/>
      <c r="AC587" s="207"/>
      <c r="AD587" s="207"/>
      <c r="AE587" s="207"/>
      <c r="AF587" s="207"/>
      <c r="AG587" s="207"/>
      <c r="AH587" s="207"/>
      <c r="AI587" s="207"/>
      <c r="AJ587" s="207"/>
      <c r="AK587" s="207"/>
      <c r="AL587" s="207"/>
      <c r="AM587" s="207"/>
      <c r="AN587" s="207"/>
      <c r="AO587" s="207"/>
      <c r="AP587" s="207"/>
      <c r="AQ587" s="207"/>
      <c r="AR587" s="207"/>
      <c r="AS587" s="207"/>
      <c r="AT587" s="207"/>
      <c r="AU587" s="207"/>
      <c r="AV587" s="207"/>
      <c r="AW587" s="207"/>
      <c r="AX587" s="207"/>
      <c r="AY587" s="207"/>
      <c r="AZ587" s="207"/>
      <c r="BA587" s="207"/>
    </row>
    <row r="588" ht="18.75" hidden="1" customHeight="1">
      <c r="A588" s="207"/>
      <c r="B588" s="207"/>
      <c r="C588" s="20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  <c r="AA588" s="207"/>
      <c r="AB588" s="207"/>
      <c r="AC588" s="207"/>
      <c r="AD588" s="207"/>
      <c r="AE588" s="207"/>
      <c r="AF588" s="207"/>
      <c r="AG588" s="207"/>
      <c r="AH588" s="207"/>
      <c r="AI588" s="207"/>
      <c r="AJ588" s="207"/>
      <c r="AK588" s="207"/>
      <c r="AL588" s="207"/>
      <c r="AM588" s="207"/>
      <c r="AN588" s="207"/>
      <c r="AO588" s="207"/>
      <c r="AP588" s="207"/>
      <c r="AQ588" s="207"/>
      <c r="AR588" s="207"/>
      <c r="AS588" s="207"/>
      <c r="AT588" s="207"/>
      <c r="AU588" s="207"/>
      <c r="AV588" s="207"/>
      <c r="AW588" s="207"/>
      <c r="AX588" s="207"/>
      <c r="AY588" s="207"/>
      <c r="AZ588" s="207"/>
      <c r="BA588" s="207"/>
    </row>
    <row r="589" ht="18.75" hidden="1" customHeight="1">
      <c r="A589" s="207"/>
      <c r="B589" s="207"/>
      <c r="C589" s="207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  <c r="AA589" s="207"/>
      <c r="AB589" s="207"/>
      <c r="AC589" s="207"/>
      <c r="AD589" s="207"/>
      <c r="AE589" s="207"/>
      <c r="AF589" s="207"/>
      <c r="AG589" s="207"/>
      <c r="AH589" s="207"/>
      <c r="AI589" s="207"/>
      <c r="AJ589" s="207"/>
      <c r="AK589" s="207"/>
      <c r="AL589" s="207"/>
      <c r="AM589" s="207"/>
      <c r="AN589" s="207"/>
      <c r="AO589" s="207"/>
      <c r="AP589" s="207"/>
      <c r="AQ589" s="207"/>
      <c r="AR589" s="207"/>
      <c r="AS589" s="207"/>
      <c r="AT589" s="207"/>
      <c r="AU589" s="207"/>
      <c r="AV589" s="207"/>
      <c r="AW589" s="207"/>
      <c r="AX589" s="207"/>
      <c r="AY589" s="207"/>
      <c r="AZ589" s="207"/>
      <c r="BA589" s="207"/>
    </row>
    <row r="590" ht="18.75" hidden="1" customHeight="1">
      <c r="A590" s="207"/>
      <c r="B590" s="207"/>
      <c r="C590" s="207"/>
      <c r="D590" s="207"/>
      <c r="E590" s="207"/>
      <c r="F590" s="207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  <c r="AA590" s="207"/>
      <c r="AB590" s="207"/>
      <c r="AC590" s="207"/>
      <c r="AD590" s="207"/>
      <c r="AE590" s="207"/>
      <c r="AF590" s="207"/>
      <c r="AG590" s="207"/>
      <c r="AH590" s="207"/>
      <c r="AI590" s="207"/>
      <c r="AJ590" s="207"/>
      <c r="AK590" s="207"/>
      <c r="AL590" s="207"/>
      <c r="AM590" s="207"/>
      <c r="AN590" s="207"/>
      <c r="AO590" s="207"/>
      <c r="AP590" s="207"/>
      <c r="AQ590" s="207"/>
      <c r="AR590" s="207"/>
      <c r="AS590" s="207"/>
      <c r="AT590" s="207"/>
      <c r="AU590" s="207"/>
      <c r="AV590" s="207"/>
      <c r="AW590" s="207"/>
      <c r="AX590" s="207"/>
      <c r="AY590" s="207"/>
      <c r="AZ590" s="207"/>
      <c r="BA590" s="207"/>
    </row>
    <row r="591" ht="18.75" hidden="1" customHeight="1">
      <c r="A591" s="207"/>
      <c r="B591" s="207"/>
      <c r="C591" s="207"/>
      <c r="D591" s="207"/>
      <c r="E591" s="207"/>
      <c r="F591" s="207"/>
      <c r="G591" s="207"/>
      <c r="H591" s="207"/>
      <c r="I591" s="207"/>
      <c r="J591" s="207"/>
      <c r="K591" s="207"/>
      <c r="L591" s="207"/>
      <c r="M591" s="207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  <c r="AA591" s="207"/>
      <c r="AB591" s="207"/>
      <c r="AC591" s="207"/>
      <c r="AD591" s="207"/>
      <c r="AE591" s="207"/>
      <c r="AF591" s="207"/>
      <c r="AG591" s="207"/>
      <c r="AH591" s="207"/>
      <c r="AI591" s="207"/>
      <c r="AJ591" s="207"/>
      <c r="AK591" s="207"/>
      <c r="AL591" s="207"/>
      <c r="AM591" s="207"/>
      <c r="AN591" s="207"/>
      <c r="AO591" s="207"/>
      <c r="AP591" s="207"/>
      <c r="AQ591" s="207"/>
      <c r="AR591" s="207"/>
      <c r="AS591" s="207"/>
      <c r="AT591" s="207"/>
      <c r="AU591" s="207"/>
      <c r="AV591" s="207"/>
      <c r="AW591" s="207"/>
      <c r="AX591" s="207"/>
      <c r="AY591" s="207"/>
      <c r="AZ591" s="207"/>
      <c r="BA591" s="207"/>
    </row>
    <row r="592" ht="18.75" hidden="1" customHeight="1">
      <c r="A592" s="207"/>
      <c r="B592" s="207"/>
      <c r="C592" s="207"/>
      <c r="D592" s="207"/>
      <c r="E592" s="207"/>
      <c r="F592" s="207"/>
      <c r="G592" s="207"/>
      <c r="H592" s="207"/>
      <c r="I592" s="207"/>
      <c r="J592" s="207"/>
      <c r="K592" s="207"/>
      <c r="L592" s="207"/>
      <c r="M592" s="207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  <c r="AA592" s="207"/>
      <c r="AB592" s="207"/>
      <c r="AC592" s="207"/>
      <c r="AD592" s="207"/>
      <c r="AE592" s="207"/>
      <c r="AF592" s="207"/>
      <c r="AG592" s="207"/>
      <c r="AH592" s="207"/>
      <c r="AI592" s="207"/>
      <c r="AJ592" s="207"/>
      <c r="AK592" s="207"/>
      <c r="AL592" s="207"/>
      <c r="AM592" s="207"/>
      <c r="AN592" s="207"/>
      <c r="AO592" s="207"/>
      <c r="AP592" s="207"/>
      <c r="AQ592" s="207"/>
      <c r="AR592" s="207"/>
      <c r="AS592" s="207"/>
      <c r="AT592" s="207"/>
      <c r="AU592" s="207"/>
      <c r="AV592" s="207"/>
      <c r="AW592" s="207"/>
      <c r="AX592" s="207"/>
      <c r="AY592" s="207"/>
      <c r="AZ592" s="207"/>
      <c r="BA592" s="207"/>
    </row>
    <row r="593" ht="18.75" hidden="1" customHeight="1">
      <c r="A593" s="207"/>
      <c r="B593" s="207"/>
      <c r="C593" s="207"/>
      <c r="D593" s="207"/>
      <c r="E593" s="207"/>
      <c r="F593" s="207"/>
      <c r="G593" s="207"/>
      <c r="H593" s="207"/>
      <c r="I593" s="207"/>
      <c r="J593" s="207"/>
      <c r="K593" s="207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  <c r="AA593" s="207"/>
      <c r="AB593" s="207"/>
      <c r="AC593" s="207"/>
      <c r="AD593" s="207"/>
      <c r="AE593" s="207"/>
      <c r="AF593" s="207"/>
      <c r="AG593" s="207"/>
      <c r="AH593" s="207"/>
      <c r="AI593" s="207"/>
      <c r="AJ593" s="207"/>
      <c r="AK593" s="207"/>
      <c r="AL593" s="207"/>
      <c r="AM593" s="207"/>
      <c r="AN593" s="207"/>
      <c r="AO593" s="207"/>
      <c r="AP593" s="207"/>
      <c r="AQ593" s="207"/>
      <c r="AR593" s="207"/>
      <c r="AS593" s="207"/>
      <c r="AT593" s="207"/>
      <c r="AU593" s="207"/>
      <c r="AV593" s="207"/>
      <c r="AW593" s="207"/>
      <c r="AX593" s="207"/>
      <c r="AY593" s="207"/>
      <c r="AZ593" s="207"/>
      <c r="BA593" s="207"/>
    </row>
    <row r="594" ht="18.75" hidden="1" customHeight="1">
      <c r="A594" s="207"/>
      <c r="B594" s="207"/>
      <c r="C594" s="207"/>
      <c r="D594" s="207"/>
      <c r="E594" s="207"/>
      <c r="F594" s="207"/>
      <c r="G594" s="207"/>
      <c r="H594" s="207"/>
      <c r="I594" s="207"/>
      <c r="J594" s="207"/>
      <c r="K594" s="207"/>
      <c r="L594" s="207"/>
      <c r="M594" s="207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  <c r="AA594" s="207"/>
      <c r="AB594" s="207"/>
      <c r="AC594" s="207"/>
      <c r="AD594" s="207"/>
      <c r="AE594" s="207"/>
      <c r="AF594" s="207"/>
      <c r="AG594" s="207"/>
      <c r="AH594" s="207"/>
      <c r="AI594" s="207"/>
      <c r="AJ594" s="207"/>
      <c r="AK594" s="207"/>
      <c r="AL594" s="207"/>
      <c r="AM594" s="207"/>
      <c r="AN594" s="207"/>
      <c r="AO594" s="207"/>
      <c r="AP594" s="207"/>
      <c r="AQ594" s="207"/>
      <c r="AR594" s="207"/>
      <c r="AS594" s="207"/>
      <c r="AT594" s="207"/>
      <c r="AU594" s="207"/>
      <c r="AV594" s="207"/>
      <c r="AW594" s="207"/>
      <c r="AX594" s="207"/>
      <c r="AY594" s="207"/>
      <c r="AZ594" s="207"/>
      <c r="BA594" s="207"/>
    </row>
    <row r="595" ht="18.75" hidden="1" customHeight="1">
      <c r="A595" s="207"/>
      <c r="B595" s="207"/>
      <c r="C595" s="207"/>
      <c r="D595" s="207"/>
      <c r="E595" s="207"/>
      <c r="F595" s="207"/>
      <c r="G595" s="207"/>
      <c r="H595" s="207"/>
      <c r="I595" s="207"/>
      <c r="J595" s="207"/>
      <c r="K595" s="207"/>
      <c r="L595" s="207"/>
      <c r="M595" s="207"/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  <c r="AA595" s="207"/>
      <c r="AB595" s="207"/>
      <c r="AC595" s="207"/>
      <c r="AD595" s="207"/>
      <c r="AE595" s="207"/>
      <c r="AF595" s="207"/>
      <c r="AG595" s="207"/>
      <c r="AH595" s="207"/>
      <c r="AI595" s="207"/>
      <c r="AJ595" s="207"/>
      <c r="AK595" s="207"/>
      <c r="AL595" s="207"/>
      <c r="AM595" s="207"/>
      <c r="AN595" s="207"/>
      <c r="AO595" s="207"/>
      <c r="AP595" s="207"/>
      <c r="AQ595" s="207"/>
      <c r="AR595" s="207"/>
      <c r="AS595" s="207"/>
      <c r="AT595" s="207"/>
      <c r="AU595" s="207"/>
      <c r="AV595" s="207"/>
      <c r="AW595" s="207"/>
      <c r="AX595" s="207"/>
      <c r="AY595" s="207"/>
      <c r="AZ595" s="207"/>
      <c r="BA595" s="207"/>
    </row>
    <row r="596" ht="18.75" hidden="1" customHeight="1">
      <c r="A596" s="207"/>
      <c r="B596" s="207"/>
      <c r="C596" s="207"/>
      <c r="D596" s="207"/>
      <c r="E596" s="207"/>
      <c r="F596" s="207"/>
      <c r="G596" s="207"/>
      <c r="H596" s="207"/>
      <c r="I596" s="207"/>
      <c r="J596" s="207"/>
      <c r="K596" s="207"/>
      <c r="L596" s="207"/>
      <c r="M596" s="207"/>
      <c r="N596" s="207"/>
      <c r="O596" s="207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  <c r="AA596" s="207"/>
      <c r="AB596" s="207"/>
      <c r="AC596" s="207"/>
      <c r="AD596" s="207"/>
      <c r="AE596" s="207"/>
      <c r="AF596" s="207"/>
      <c r="AG596" s="207"/>
      <c r="AH596" s="207"/>
      <c r="AI596" s="207"/>
      <c r="AJ596" s="207"/>
      <c r="AK596" s="207"/>
      <c r="AL596" s="207"/>
      <c r="AM596" s="207"/>
      <c r="AN596" s="207"/>
      <c r="AO596" s="207"/>
      <c r="AP596" s="207"/>
      <c r="AQ596" s="207"/>
      <c r="AR596" s="207"/>
      <c r="AS596" s="207"/>
      <c r="AT596" s="207"/>
      <c r="AU596" s="207"/>
      <c r="AV596" s="207"/>
      <c r="AW596" s="207"/>
      <c r="AX596" s="207"/>
      <c r="AY596" s="207"/>
      <c r="AZ596" s="207"/>
      <c r="BA596" s="207"/>
    </row>
    <row r="597" ht="18.75" hidden="1" customHeight="1">
      <c r="A597" s="207"/>
      <c r="B597" s="207"/>
      <c r="C597" s="207"/>
      <c r="D597" s="207"/>
      <c r="E597" s="207"/>
      <c r="F597" s="207"/>
      <c r="G597" s="207"/>
      <c r="H597" s="207"/>
      <c r="I597" s="207"/>
      <c r="J597" s="207"/>
      <c r="K597" s="207"/>
      <c r="L597" s="207"/>
      <c r="M597" s="207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  <c r="AA597" s="207"/>
      <c r="AB597" s="207"/>
      <c r="AC597" s="207"/>
      <c r="AD597" s="207"/>
      <c r="AE597" s="207"/>
      <c r="AF597" s="207"/>
      <c r="AG597" s="207"/>
      <c r="AH597" s="207"/>
      <c r="AI597" s="207"/>
      <c r="AJ597" s="207"/>
      <c r="AK597" s="207"/>
      <c r="AL597" s="207"/>
      <c r="AM597" s="207"/>
      <c r="AN597" s="207"/>
      <c r="AO597" s="207"/>
      <c r="AP597" s="207"/>
      <c r="AQ597" s="207"/>
      <c r="AR597" s="207"/>
      <c r="AS597" s="207"/>
      <c r="AT597" s="207"/>
      <c r="AU597" s="207"/>
      <c r="AV597" s="207"/>
      <c r="AW597" s="207"/>
      <c r="AX597" s="207"/>
      <c r="AY597" s="207"/>
      <c r="AZ597" s="207"/>
      <c r="BA597" s="207"/>
    </row>
    <row r="598" ht="18.75" hidden="1" customHeight="1">
      <c r="A598" s="207"/>
      <c r="B598" s="207"/>
      <c r="C598" s="207"/>
      <c r="D598" s="207"/>
      <c r="E598" s="207"/>
      <c r="F598" s="207"/>
      <c r="G598" s="207"/>
      <c r="H598" s="207"/>
      <c r="I598" s="207"/>
      <c r="J598" s="207"/>
      <c r="K598" s="207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  <c r="AA598" s="207"/>
      <c r="AB598" s="207"/>
      <c r="AC598" s="207"/>
      <c r="AD598" s="207"/>
      <c r="AE598" s="207"/>
      <c r="AF598" s="207"/>
      <c r="AG598" s="207"/>
      <c r="AH598" s="207"/>
      <c r="AI598" s="207"/>
      <c r="AJ598" s="207"/>
      <c r="AK598" s="207"/>
      <c r="AL598" s="207"/>
      <c r="AM598" s="207"/>
      <c r="AN598" s="207"/>
      <c r="AO598" s="207"/>
      <c r="AP598" s="207"/>
      <c r="AQ598" s="207"/>
      <c r="AR598" s="207"/>
      <c r="AS598" s="207"/>
      <c r="AT598" s="207"/>
      <c r="AU598" s="207"/>
      <c r="AV598" s="207"/>
      <c r="AW598" s="207"/>
      <c r="AX598" s="207"/>
      <c r="AY598" s="207"/>
      <c r="AZ598" s="207"/>
      <c r="BA598" s="207"/>
    </row>
    <row r="599" ht="18.75" hidden="1" customHeight="1">
      <c r="A599" s="207"/>
      <c r="B599" s="207"/>
      <c r="C599" s="207"/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  <c r="AA599" s="207"/>
      <c r="AB599" s="207"/>
      <c r="AC599" s="207"/>
      <c r="AD599" s="207"/>
      <c r="AE599" s="207"/>
      <c r="AF599" s="207"/>
      <c r="AG599" s="207"/>
      <c r="AH599" s="207"/>
      <c r="AI599" s="207"/>
      <c r="AJ599" s="207"/>
      <c r="AK599" s="207"/>
      <c r="AL599" s="207"/>
      <c r="AM599" s="207"/>
      <c r="AN599" s="207"/>
      <c r="AO599" s="207"/>
      <c r="AP599" s="207"/>
      <c r="AQ599" s="207"/>
      <c r="AR599" s="207"/>
      <c r="AS599" s="207"/>
      <c r="AT599" s="207"/>
      <c r="AU599" s="207"/>
      <c r="AV599" s="207"/>
      <c r="AW599" s="207"/>
      <c r="AX599" s="207"/>
      <c r="AY599" s="207"/>
      <c r="AZ599" s="207"/>
      <c r="BA599" s="207"/>
    </row>
    <row r="600" ht="18.75" hidden="1" customHeight="1">
      <c r="A600" s="207"/>
      <c r="B600" s="207"/>
      <c r="C600" s="207"/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  <c r="AA600" s="207"/>
      <c r="AB600" s="207"/>
      <c r="AC600" s="207"/>
      <c r="AD600" s="207"/>
      <c r="AE600" s="207"/>
      <c r="AF600" s="207"/>
      <c r="AG600" s="207"/>
      <c r="AH600" s="207"/>
      <c r="AI600" s="207"/>
      <c r="AJ600" s="207"/>
      <c r="AK600" s="207"/>
      <c r="AL600" s="207"/>
      <c r="AM600" s="207"/>
      <c r="AN600" s="207"/>
      <c r="AO600" s="207"/>
      <c r="AP600" s="207"/>
      <c r="AQ600" s="207"/>
      <c r="AR600" s="207"/>
      <c r="AS600" s="207"/>
      <c r="AT600" s="207"/>
      <c r="AU600" s="207"/>
      <c r="AV600" s="207"/>
      <c r="AW600" s="207"/>
      <c r="AX600" s="207"/>
      <c r="AY600" s="207"/>
      <c r="AZ600" s="207"/>
      <c r="BA600" s="207"/>
    </row>
    <row r="601" ht="18.75" hidden="1" customHeight="1">
      <c r="A601" s="207"/>
      <c r="B601" s="207"/>
      <c r="C601" s="207"/>
      <c r="D601" s="207"/>
      <c r="E601" s="207"/>
      <c r="F601" s="207"/>
      <c r="G601" s="207"/>
      <c r="H601" s="207"/>
      <c r="I601" s="207"/>
      <c r="J601" s="207"/>
      <c r="K601" s="207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  <c r="AA601" s="207"/>
      <c r="AB601" s="207"/>
      <c r="AC601" s="207"/>
      <c r="AD601" s="207"/>
      <c r="AE601" s="207"/>
      <c r="AF601" s="207"/>
      <c r="AG601" s="207"/>
      <c r="AH601" s="207"/>
      <c r="AI601" s="207"/>
      <c r="AJ601" s="207"/>
      <c r="AK601" s="207"/>
      <c r="AL601" s="207"/>
      <c r="AM601" s="207"/>
      <c r="AN601" s="207"/>
      <c r="AO601" s="207"/>
      <c r="AP601" s="207"/>
      <c r="AQ601" s="207"/>
      <c r="AR601" s="207"/>
      <c r="AS601" s="207"/>
      <c r="AT601" s="207"/>
      <c r="AU601" s="207"/>
      <c r="AV601" s="207"/>
      <c r="AW601" s="207"/>
      <c r="AX601" s="207"/>
      <c r="AY601" s="207"/>
      <c r="AZ601" s="207"/>
      <c r="BA601" s="207"/>
    </row>
    <row r="602" ht="18.75" hidden="1" customHeight="1">
      <c r="A602" s="207"/>
      <c r="B602" s="207"/>
      <c r="C602" s="207"/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  <c r="AA602" s="207"/>
      <c r="AB602" s="207"/>
      <c r="AC602" s="207"/>
      <c r="AD602" s="207"/>
      <c r="AE602" s="207"/>
      <c r="AF602" s="207"/>
      <c r="AG602" s="207"/>
      <c r="AH602" s="207"/>
      <c r="AI602" s="207"/>
      <c r="AJ602" s="207"/>
      <c r="AK602" s="207"/>
      <c r="AL602" s="207"/>
      <c r="AM602" s="207"/>
      <c r="AN602" s="207"/>
      <c r="AO602" s="207"/>
      <c r="AP602" s="207"/>
      <c r="AQ602" s="207"/>
      <c r="AR602" s="207"/>
      <c r="AS602" s="207"/>
      <c r="AT602" s="207"/>
      <c r="AU602" s="207"/>
      <c r="AV602" s="207"/>
      <c r="AW602" s="207"/>
      <c r="AX602" s="207"/>
      <c r="AY602" s="207"/>
      <c r="AZ602" s="207"/>
      <c r="BA602" s="207"/>
    </row>
    <row r="603" ht="18.75" hidden="1" customHeight="1">
      <c r="A603" s="207"/>
      <c r="B603" s="207"/>
      <c r="C603" s="207"/>
      <c r="D603" s="207"/>
      <c r="E603" s="207"/>
      <c r="F603" s="207"/>
      <c r="G603" s="207"/>
      <c r="H603" s="207"/>
      <c r="I603" s="207"/>
      <c r="J603" s="207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  <c r="AA603" s="207"/>
      <c r="AB603" s="207"/>
      <c r="AC603" s="207"/>
      <c r="AD603" s="207"/>
      <c r="AE603" s="207"/>
      <c r="AF603" s="207"/>
      <c r="AG603" s="207"/>
      <c r="AH603" s="207"/>
      <c r="AI603" s="207"/>
      <c r="AJ603" s="207"/>
      <c r="AK603" s="207"/>
      <c r="AL603" s="207"/>
      <c r="AM603" s="207"/>
      <c r="AN603" s="207"/>
      <c r="AO603" s="207"/>
      <c r="AP603" s="207"/>
      <c r="AQ603" s="207"/>
      <c r="AR603" s="207"/>
      <c r="AS603" s="207"/>
      <c r="AT603" s="207"/>
      <c r="AU603" s="207"/>
      <c r="AV603" s="207"/>
      <c r="AW603" s="207"/>
      <c r="AX603" s="207"/>
      <c r="AY603" s="207"/>
      <c r="AZ603" s="207"/>
      <c r="BA603" s="207"/>
    </row>
    <row r="604" ht="18.75" hidden="1" customHeight="1">
      <c r="A604" s="207"/>
      <c r="B604" s="207"/>
      <c r="C604" s="207"/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  <c r="AA604" s="207"/>
      <c r="AB604" s="207"/>
      <c r="AC604" s="207"/>
      <c r="AD604" s="207"/>
      <c r="AE604" s="207"/>
      <c r="AF604" s="207"/>
      <c r="AG604" s="207"/>
      <c r="AH604" s="207"/>
      <c r="AI604" s="207"/>
      <c r="AJ604" s="207"/>
      <c r="AK604" s="207"/>
      <c r="AL604" s="207"/>
      <c r="AM604" s="207"/>
      <c r="AN604" s="207"/>
      <c r="AO604" s="207"/>
      <c r="AP604" s="207"/>
      <c r="AQ604" s="207"/>
      <c r="AR604" s="207"/>
      <c r="AS604" s="207"/>
      <c r="AT604" s="207"/>
      <c r="AU604" s="207"/>
      <c r="AV604" s="207"/>
      <c r="AW604" s="207"/>
      <c r="AX604" s="207"/>
      <c r="AY604" s="207"/>
      <c r="AZ604" s="207"/>
      <c r="BA604" s="207"/>
    </row>
    <row r="605" ht="18.75" hidden="1" customHeight="1">
      <c r="A605" s="207"/>
      <c r="B605" s="207"/>
      <c r="C605" s="207"/>
      <c r="D605" s="207"/>
      <c r="E605" s="207"/>
      <c r="F605" s="207"/>
      <c r="G605" s="207"/>
      <c r="H605" s="207"/>
      <c r="I605" s="207"/>
      <c r="J605" s="207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  <c r="AA605" s="207"/>
      <c r="AB605" s="207"/>
      <c r="AC605" s="207"/>
      <c r="AD605" s="207"/>
      <c r="AE605" s="207"/>
      <c r="AF605" s="207"/>
      <c r="AG605" s="207"/>
      <c r="AH605" s="207"/>
      <c r="AI605" s="207"/>
      <c r="AJ605" s="207"/>
      <c r="AK605" s="207"/>
      <c r="AL605" s="207"/>
      <c r="AM605" s="207"/>
      <c r="AN605" s="207"/>
      <c r="AO605" s="207"/>
      <c r="AP605" s="207"/>
      <c r="AQ605" s="207"/>
      <c r="AR605" s="207"/>
      <c r="AS605" s="207"/>
      <c r="AT605" s="207"/>
      <c r="AU605" s="207"/>
      <c r="AV605" s="207"/>
      <c r="AW605" s="207"/>
      <c r="AX605" s="207"/>
      <c r="AY605" s="207"/>
      <c r="AZ605" s="207"/>
      <c r="BA605" s="207"/>
    </row>
    <row r="606" ht="18.75" hidden="1" customHeight="1">
      <c r="A606" s="207"/>
      <c r="B606" s="207"/>
      <c r="C606" s="207"/>
      <c r="D606" s="207"/>
      <c r="E606" s="207"/>
      <c r="F606" s="207"/>
      <c r="G606" s="207"/>
      <c r="H606" s="207"/>
      <c r="I606" s="207"/>
      <c r="J606" s="207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  <c r="AA606" s="207"/>
      <c r="AB606" s="207"/>
      <c r="AC606" s="207"/>
      <c r="AD606" s="207"/>
      <c r="AE606" s="207"/>
      <c r="AF606" s="207"/>
      <c r="AG606" s="207"/>
      <c r="AH606" s="207"/>
      <c r="AI606" s="207"/>
      <c r="AJ606" s="207"/>
      <c r="AK606" s="207"/>
      <c r="AL606" s="207"/>
      <c r="AM606" s="207"/>
      <c r="AN606" s="207"/>
      <c r="AO606" s="207"/>
      <c r="AP606" s="207"/>
      <c r="AQ606" s="207"/>
      <c r="AR606" s="207"/>
      <c r="AS606" s="207"/>
      <c r="AT606" s="207"/>
      <c r="AU606" s="207"/>
      <c r="AV606" s="207"/>
      <c r="AW606" s="207"/>
      <c r="AX606" s="207"/>
      <c r="AY606" s="207"/>
      <c r="AZ606" s="207"/>
      <c r="BA606" s="207"/>
    </row>
    <row r="607" ht="18.75" hidden="1" customHeight="1">
      <c r="A607" s="207"/>
      <c r="B607" s="207"/>
      <c r="C607" s="207"/>
      <c r="D607" s="207"/>
      <c r="E607" s="207"/>
      <c r="F607" s="207"/>
      <c r="G607" s="207"/>
      <c r="H607" s="207"/>
      <c r="I607" s="207"/>
      <c r="J607" s="207"/>
      <c r="K607" s="207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  <c r="AA607" s="207"/>
      <c r="AB607" s="207"/>
      <c r="AC607" s="207"/>
      <c r="AD607" s="207"/>
      <c r="AE607" s="207"/>
      <c r="AF607" s="207"/>
      <c r="AG607" s="207"/>
      <c r="AH607" s="207"/>
      <c r="AI607" s="207"/>
      <c r="AJ607" s="207"/>
      <c r="AK607" s="207"/>
      <c r="AL607" s="207"/>
      <c r="AM607" s="207"/>
      <c r="AN607" s="207"/>
      <c r="AO607" s="207"/>
      <c r="AP607" s="207"/>
      <c r="AQ607" s="207"/>
      <c r="AR607" s="207"/>
      <c r="AS607" s="207"/>
      <c r="AT607" s="207"/>
      <c r="AU607" s="207"/>
      <c r="AV607" s="207"/>
      <c r="AW607" s="207"/>
      <c r="AX607" s="207"/>
      <c r="AY607" s="207"/>
      <c r="AZ607" s="207"/>
      <c r="BA607" s="207"/>
    </row>
    <row r="608" ht="18.75" hidden="1" customHeight="1">
      <c r="A608" s="207"/>
      <c r="B608" s="207"/>
      <c r="C608" s="207"/>
      <c r="D608" s="207"/>
      <c r="E608" s="207"/>
      <c r="F608" s="207"/>
      <c r="G608" s="207"/>
      <c r="H608" s="207"/>
      <c r="I608" s="207"/>
      <c r="J608" s="207"/>
      <c r="K608" s="207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  <c r="AA608" s="207"/>
      <c r="AB608" s="207"/>
      <c r="AC608" s="207"/>
      <c r="AD608" s="207"/>
      <c r="AE608" s="207"/>
      <c r="AF608" s="207"/>
      <c r="AG608" s="207"/>
      <c r="AH608" s="207"/>
      <c r="AI608" s="207"/>
      <c r="AJ608" s="207"/>
      <c r="AK608" s="207"/>
      <c r="AL608" s="207"/>
      <c r="AM608" s="207"/>
      <c r="AN608" s="207"/>
      <c r="AO608" s="207"/>
      <c r="AP608" s="207"/>
      <c r="AQ608" s="207"/>
      <c r="AR608" s="207"/>
      <c r="AS608" s="207"/>
      <c r="AT608" s="207"/>
      <c r="AU608" s="207"/>
      <c r="AV608" s="207"/>
      <c r="AW608" s="207"/>
      <c r="AX608" s="207"/>
      <c r="AY608" s="207"/>
      <c r="AZ608" s="207"/>
      <c r="BA608" s="207"/>
    </row>
    <row r="609" ht="18.75" hidden="1" customHeight="1">
      <c r="A609" s="207"/>
      <c r="B609" s="207"/>
      <c r="C609" s="207"/>
      <c r="D609" s="207"/>
      <c r="E609" s="207"/>
      <c r="F609" s="207"/>
      <c r="G609" s="207"/>
      <c r="H609" s="207"/>
      <c r="I609" s="207"/>
      <c r="J609" s="207"/>
      <c r="K609" s="207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  <c r="AA609" s="207"/>
      <c r="AB609" s="207"/>
      <c r="AC609" s="207"/>
      <c r="AD609" s="207"/>
      <c r="AE609" s="207"/>
      <c r="AF609" s="207"/>
      <c r="AG609" s="207"/>
      <c r="AH609" s="207"/>
      <c r="AI609" s="207"/>
      <c r="AJ609" s="207"/>
      <c r="AK609" s="207"/>
      <c r="AL609" s="207"/>
      <c r="AM609" s="207"/>
      <c r="AN609" s="207"/>
      <c r="AO609" s="207"/>
      <c r="AP609" s="207"/>
      <c r="AQ609" s="207"/>
      <c r="AR609" s="207"/>
      <c r="AS609" s="207"/>
      <c r="AT609" s="207"/>
      <c r="AU609" s="207"/>
      <c r="AV609" s="207"/>
      <c r="AW609" s="207"/>
      <c r="AX609" s="207"/>
      <c r="AY609" s="207"/>
      <c r="AZ609" s="207"/>
      <c r="BA609" s="207"/>
    </row>
    <row r="610" ht="18.75" hidden="1" customHeight="1">
      <c r="A610" s="207"/>
      <c r="B610" s="207"/>
      <c r="C610" s="207"/>
      <c r="D610" s="207"/>
      <c r="E610" s="207"/>
      <c r="F610" s="207"/>
      <c r="G610" s="207"/>
      <c r="H610" s="207"/>
      <c r="I610" s="207"/>
      <c r="J610" s="207"/>
      <c r="K610" s="207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  <c r="AA610" s="207"/>
      <c r="AB610" s="207"/>
      <c r="AC610" s="207"/>
      <c r="AD610" s="207"/>
      <c r="AE610" s="207"/>
      <c r="AF610" s="207"/>
      <c r="AG610" s="207"/>
      <c r="AH610" s="207"/>
      <c r="AI610" s="207"/>
      <c r="AJ610" s="207"/>
      <c r="AK610" s="207"/>
      <c r="AL610" s="207"/>
      <c r="AM610" s="207"/>
      <c r="AN610" s="207"/>
      <c r="AO610" s="207"/>
      <c r="AP610" s="207"/>
      <c r="AQ610" s="207"/>
      <c r="AR610" s="207"/>
      <c r="AS610" s="207"/>
      <c r="AT610" s="207"/>
      <c r="AU610" s="207"/>
      <c r="AV610" s="207"/>
      <c r="AW610" s="207"/>
      <c r="AX610" s="207"/>
      <c r="AY610" s="207"/>
      <c r="AZ610" s="207"/>
      <c r="BA610" s="207"/>
    </row>
    <row r="611" ht="18.75" hidden="1" customHeight="1">
      <c r="A611" s="207"/>
      <c r="B611" s="207"/>
      <c r="C611" s="207"/>
      <c r="D611" s="207"/>
      <c r="E611" s="207"/>
      <c r="F611" s="207"/>
      <c r="G611" s="207"/>
      <c r="H611" s="207"/>
      <c r="I611" s="207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  <c r="AA611" s="207"/>
      <c r="AB611" s="207"/>
      <c r="AC611" s="207"/>
      <c r="AD611" s="207"/>
      <c r="AE611" s="207"/>
      <c r="AF611" s="207"/>
      <c r="AG611" s="207"/>
      <c r="AH611" s="207"/>
      <c r="AI611" s="207"/>
      <c r="AJ611" s="207"/>
      <c r="AK611" s="207"/>
      <c r="AL611" s="207"/>
      <c r="AM611" s="207"/>
      <c r="AN611" s="207"/>
      <c r="AO611" s="207"/>
      <c r="AP611" s="207"/>
      <c r="AQ611" s="207"/>
      <c r="AR611" s="207"/>
      <c r="AS611" s="207"/>
      <c r="AT611" s="207"/>
      <c r="AU611" s="207"/>
      <c r="AV611" s="207"/>
      <c r="AW611" s="207"/>
      <c r="AX611" s="207"/>
      <c r="AY611" s="207"/>
      <c r="AZ611" s="207"/>
      <c r="BA611" s="207"/>
    </row>
    <row r="612" ht="18.75" hidden="1" customHeight="1">
      <c r="A612" s="207"/>
      <c r="B612" s="207"/>
      <c r="C612" s="207"/>
      <c r="D612" s="207"/>
      <c r="E612" s="207"/>
      <c r="F612" s="207"/>
      <c r="G612" s="207"/>
      <c r="H612" s="207"/>
      <c r="I612" s="207"/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  <c r="AA612" s="207"/>
      <c r="AB612" s="207"/>
      <c r="AC612" s="207"/>
      <c r="AD612" s="207"/>
      <c r="AE612" s="207"/>
      <c r="AF612" s="207"/>
      <c r="AG612" s="207"/>
      <c r="AH612" s="207"/>
      <c r="AI612" s="207"/>
      <c r="AJ612" s="207"/>
      <c r="AK612" s="207"/>
      <c r="AL612" s="207"/>
      <c r="AM612" s="207"/>
      <c r="AN612" s="207"/>
      <c r="AO612" s="207"/>
      <c r="AP612" s="207"/>
      <c r="AQ612" s="207"/>
      <c r="AR612" s="207"/>
      <c r="AS612" s="207"/>
      <c r="AT612" s="207"/>
      <c r="AU612" s="207"/>
      <c r="AV612" s="207"/>
      <c r="AW612" s="207"/>
      <c r="AX612" s="207"/>
      <c r="AY612" s="207"/>
      <c r="AZ612" s="207"/>
      <c r="BA612" s="207"/>
    </row>
    <row r="613" ht="18.75" hidden="1" customHeight="1">
      <c r="A613" s="207"/>
      <c r="B613" s="207"/>
      <c r="C613" s="207"/>
      <c r="D613" s="207"/>
      <c r="E613" s="207"/>
      <c r="F613" s="207"/>
      <c r="G613" s="207"/>
      <c r="H613" s="207"/>
      <c r="I613" s="207"/>
      <c r="J613" s="207"/>
      <c r="K613" s="207"/>
      <c r="L613" s="207"/>
      <c r="M613" s="207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  <c r="AA613" s="207"/>
      <c r="AB613" s="207"/>
      <c r="AC613" s="207"/>
      <c r="AD613" s="207"/>
      <c r="AE613" s="207"/>
      <c r="AF613" s="207"/>
      <c r="AG613" s="207"/>
      <c r="AH613" s="207"/>
      <c r="AI613" s="207"/>
      <c r="AJ613" s="207"/>
      <c r="AK613" s="207"/>
      <c r="AL613" s="207"/>
      <c r="AM613" s="207"/>
      <c r="AN613" s="207"/>
      <c r="AO613" s="207"/>
      <c r="AP613" s="207"/>
      <c r="AQ613" s="207"/>
      <c r="AR613" s="207"/>
      <c r="AS613" s="207"/>
      <c r="AT613" s="207"/>
      <c r="AU613" s="207"/>
      <c r="AV613" s="207"/>
      <c r="AW613" s="207"/>
      <c r="AX613" s="207"/>
      <c r="AY613" s="207"/>
      <c r="AZ613" s="207"/>
      <c r="BA613" s="207"/>
    </row>
    <row r="614" ht="18.75" hidden="1" customHeight="1">
      <c r="A614" s="207"/>
      <c r="B614" s="207"/>
      <c r="C614" s="207"/>
      <c r="D614" s="207"/>
      <c r="E614" s="207"/>
      <c r="F614" s="207"/>
      <c r="G614" s="207"/>
      <c r="H614" s="207"/>
      <c r="I614" s="207"/>
      <c r="J614" s="207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  <c r="Z614" s="207"/>
      <c r="AA614" s="207"/>
      <c r="AB614" s="207"/>
      <c r="AC614" s="207"/>
      <c r="AD614" s="207"/>
      <c r="AE614" s="207"/>
      <c r="AF614" s="207"/>
      <c r="AG614" s="207"/>
      <c r="AH614" s="207"/>
      <c r="AI614" s="207"/>
      <c r="AJ614" s="207"/>
      <c r="AK614" s="207"/>
      <c r="AL614" s="207"/>
      <c r="AM614" s="207"/>
      <c r="AN614" s="207"/>
      <c r="AO614" s="207"/>
      <c r="AP614" s="207"/>
      <c r="AQ614" s="207"/>
      <c r="AR614" s="207"/>
      <c r="AS614" s="207"/>
      <c r="AT614" s="207"/>
      <c r="AU614" s="207"/>
      <c r="AV614" s="207"/>
      <c r="AW614" s="207"/>
      <c r="AX614" s="207"/>
      <c r="AY614" s="207"/>
      <c r="AZ614" s="207"/>
      <c r="BA614" s="207"/>
    </row>
    <row r="615" ht="18.75" hidden="1" customHeight="1">
      <c r="A615" s="207"/>
      <c r="B615" s="207"/>
      <c r="C615" s="207"/>
      <c r="D615" s="207"/>
      <c r="E615" s="207"/>
      <c r="F615" s="207"/>
      <c r="G615" s="207"/>
      <c r="H615" s="207"/>
      <c r="I615" s="207"/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  <c r="AA615" s="207"/>
      <c r="AB615" s="207"/>
      <c r="AC615" s="207"/>
      <c r="AD615" s="207"/>
      <c r="AE615" s="207"/>
      <c r="AF615" s="207"/>
      <c r="AG615" s="207"/>
      <c r="AH615" s="207"/>
      <c r="AI615" s="207"/>
      <c r="AJ615" s="207"/>
      <c r="AK615" s="207"/>
      <c r="AL615" s="207"/>
      <c r="AM615" s="207"/>
      <c r="AN615" s="207"/>
      <c r="AO615" s="207"/>
      <c r="AP615" s="207"/>
      <c r="AQ615" s="207"/>
      <c r="AR615" s="207"/>
      <c r="AS615" s="207"/>
      <c r="AT615" s="207"/>
      <c r="AU615" s="207"/>
      <c r="AV615" s="207"/>
      <c r="AW615" s="207"/>
      <c r="AX615" s="207"/>
      <c r="AY615" s="207"/>
      <c r="AZ615" s="207"/>
      <c r="BA615" s="207"/>
    </row>
    <row r="616" ht="18.75" hidden="1" customHeight="1">
      <c r="A616" s="207"/>
      <c r="B616" s="207"/>
      <c r="C616" s="207"/>
      <c r="D616" s="207"/>
      <c r="E616" s="207"/>
      <c r="F616" s="207"/>
      <c r="G616" s="207"/>
      <c r="H616" s="207"/>
      <c r="I616" s="207"/>
      <c r="J616" s="207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  <c r="AA616" s="207"/>
      <c r="AB616" s="207"/>
      <c r="AC616" s="207"/>
      <c r="AD616" s="207"/>
      <c r="AE616" s="207"/>
      <c r="AF616" s="207"/>
      <c r="AG616" s="207"/>
      <c r="AH616" s="207"/>
      <c r="AI616" s="207"/>
      <c r="AJ616" s="207"/>
      <c r="AK616" s="207"/>
      <c r="AL616" s="207"/>
      <c r="AM616" s="207"/>
      <c r="AN616" s="207"/>
      <c r="AO616" s="207"/>
      <c r="AP616" s="207"/>
      <c r="AQ616" s="207"/>
      <c r="AR616" s="207"/>
      <c r="AS616" s="207"/>
      <c r="AT616" s="207"/>
      <c r="AU616" s="207"/>
      <c r="AV616" s="207"/>
      <c r="AW616" s="207"/>
      <c r="AX616" s="207"/>
      <c r="AY616" s="207"/>
      <c r="AZ616" s="207"/>
      <c r="BA616" s="207"/>
    </row>
    <row r="617" ht="18.75" hidden="1" customHeight="1">
      <c r="A617" s="207"/>
      <c r="B617" s="207"/>
      <c r="C617" s="207"/>
      <c r="D617" s="207"/>
      <c r="E617" s="207"/>
      <c r="F617" s="207"/>
      <c r="G617" s="207"/>
      <c r="H617" s="207"/>
      <c r="I617" s="207"/>
      <c r="J617" s="207"/>
      <c r="K617" s="207"/>
      <c r="L617" s="207"/>
      <c r="M617" s="207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  <c r="AA617" s="207"/>
      <c r="AB617" s="207"/>
      <c r="AC617" s="207"/>
      <c r="AD617" s="207"/>
      <c r="AE617" s="207"/>
      <c r="AF617" s="207"/>
      <c r="AG617" s="207"/>
      <c r="AH617" s="207"/>
      <c r="AI617" s="207"/>
      <c r="AJ617" s="207"/>
      <c r="AK617" s="207"/>
      <c r="AL617" s="207"/>
      <c r="AM617" s="207"/>
      <c r="AN617" s="207"/>
      <c r="AO617" s="207"/>
      <c r="AP617" s="207"/>
      <c r="AQ617" s="207"/>
      <c r="AR617" s="207"/>
      <c r="AS617" s="207"/>
      <c r="AT617" s="207"/>
      <c r="AU617" s="207"/>
      <c r="AV617" s="207"/>
      <c r="AW617" s="207"/>
      <c r="AX617" s="207"/>
      <c r="AY617" s="207"/>
      <c r="AZ617" s="207"/>
      <c r="BA617" s="207"/>
    </row>
    <row r="618" ht="18.75" hidden="1" customHeight="1">
      <c r="A618" s="207"/>
      <c r="B618" s="207"/>
      <c r="C618" s="207"/>
      <c r="D618" s="207"/>
      <c r="E618" s="207"/>
      <c r="F618" s="207"/>
      <c r="G618" s="207"/>
      <c r="H618" s="207"/>
      <c r="I618" s="207"/>
      <c r="J618" s="207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  <c r="AA618" s="207"/>
      <c r="AB618" s="207"/>
      <c r="AC618" s="207"/>
      <c r="AD618" s="207"/>
      <c r="AE618" s="207"/>
      <c r="AF618" s="207"/>
      <c r="AG618" s="207"/>
      <c r="AH618" s="207"/>
      <c r="AI618" s="207"/>
      <c r="AJ618" s="207"/>
      <c r="AK618" s="207"/>
      <c r="AL618" s="207"/>
      <c r="AM618" s="207"/>
      <c r="AN618" s="207"/>
      <c r="AO618" s="207"/>
      <c r="AP618" s="207"/>
      <c r="AQ618" s="207"/>
      <c r="AR618" s="207"/>
      <c r="AS618" s="207"/>
      <c r="AT618" s="207"/>
      <c r="AU618" s="207"/>
      <c r="AV618" s="207"/>
      <c r="AW618" s="207"/>
      <c r="AX618" s="207"/>
      <c r="AY618" s="207"/>
      <c r="AZ618" s="207"/>
      <c r="BA618" s="207"/>
    </row>
    <row r="619" ht="18.75" hidden="1" customHeight="1">
      <c r="A619" s="207"/>
      <c r="B619" s="207"/>
      <c r="C619" s="207"/>
      <c r="D619" s="207"/>
      <c r="E619" s="207"/>
      <c r="F619" s="207"/>
      <c r="G619" s="207"/>
      <c r="H619" s="207"/>
      <c r="I619" s="207"/>
      <c r="J619" s="207"/>
      <c r="K619" s="207"/>
      <c r="L619" s="207"/>
      <c r="M619" s="207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  <c r="AA619" s="207"/>
      <c r="AB619" s="207"/>
      <c r="AC619" s="207"/>
      <c r="AD619" s="207"/>
      <c r="AE619" s="207"/>
      <c r="AF619" s="207"/>
      <c r="AG619" s="207"/>
      <c r="AH619" s="207"/>
      <c r="AI619" s="207"/>
      <c r="AJ619" s="207"/>
      <c r="AK619" s="207"/>
      <c r="AL619" s="207"/>
      <c r="AM619" s="207"/>
      <c r="AN619" s="207"/>
      <c r="AO619" s="207"/>
      <c r="AP619" s="207"/>
      <c r="AQ619" s="207"/>
      <c r="AR619" s="207"/>
      <c r="AS619" s="207"/>
      <c r="AT619" s="207"/>
      <c r="AU619" s="207"/>
      <c r="AV619" s="207"/>
      <c r="AW619" s="207"/>
      <c r="AX619" s="207"/>
      <c r="AY619" s="207"/>
      <c r="AZ619" s="207"/>
      <c r="BA619" s="207"/>
    </row>
    <row r="620" ht="18.75" hidden="1" customHeight="1">
      <c r="A620" s="207"/>
      <c r="B620" s="207"/>
      <c r="C620" s="207"/>
      <c r="D620" s="207"/>
      <c r="E620" s="207"/>
      <c r="F620" s="207"/>
      <c r="G620" s="207"/>
      <c r="H620" s="207"/>
      <c r="I620" s="207"/>
      <c r="J620" s="207"/>
      <c r="K620" s="207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  <c r="AA620" s="207"/>
      <c r="AB620" s="207"/>
      <c r="AC620" s="207"/>
      <c r="AD620" s="207"/>
      <c r="AE620" s="207"/>
      <c r="AF620" s="207"/>
      <c r="AG620" s="207"/>
      <c r="AH620" s="207"/>
      <c r="AI620" s="207"/>
      <c r="AJ620" s="207"/>
      <c r="AK620" s="207"/>
      <c r="AL620" s="207"/>
      <c r="AM620" s="207"/>
      <c r="AN620" s="207"/>
      <c r="AO620" s="207"/>
      <c r="AP620" s="207"/>
      <c r="AQ620" s="207"/>
      <c r="AR620" s="207"/>
      <c r="AS620" s="207"/>
      <c r="AT620" s="207"/>
      <c r="AU620" s="207"/>
      <c r="AV620" s="207"/>
      <c r="AW620" s="207"/>
      <c r="AX620" s="207"/>
      <c r="AY620" s="207"/>
      <c r="AZ620" s="207"/>
      <c r="BA620" s="207"/>
    </row>
    <row r="621" ht="18.75" hidden="1" customHeight="1">
      <c r="A621" s="207"/>
      <c r="B621" s="207"/>
      <c r="C621" s="207"/>
      <c r="D621" s="207"/>
      <c r="E621" s="207"/>
      <c r="F621" s="207"/>
      <c r="G621" s="207"/>
      <c r="H621" s="207"/>
      <c r="I621" s="207"/>
      <c r="J621" s="207"/>
      <c r="K621" s="207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  <c r="AA621" s="207"/>
      <c r="AB621" s="207"/>
      <c r="AC621" s="207"/>
      <c r="AD621" s="207"/>
      <c r="AE621" s="207"/>
      <c r="AF621" s="207"/>
      <c r="AG621" s="207"/>
      <c r="AH621" s="207"/>
      <c r="AI621" s="207"/>
      <c r="AJ621" s="207"/>
      <c r="AK621" s="207"/>
      <c r="AL621" s="207"/>
      <c r="AM621" s="207"/>
      <c r="AN621" s="207"/>
      <c r="AO621" s="207"/>
      <c r="AP621" s="207"/>
      <c r="AQ621" s="207"/>
      <c r="AR621" s="207"/>
      <c r="AS621" s="207"/>
      <c r="AT621" s="207"/>
      <c r="AU621" s="207"/>
      <c r="AV621" s="207"/>
      <c r="AW621" s="207"/>
      <c r="AX621" s="207"/>
      <c r="AY621" s="207"/>
      <c r="AZ621" s="207"/>
      <c r="BA621" s="207"/>
    </row>
    <row r="622" ht="18.75" hidden="1" customHeight="1">
      <c r="A622" s="207"/>
      <c r="B622" s="207"/>
      <c r="C622" s="207"/>
      <c r="D622" s="207"/>
      <c r="E622" s="207"/>
      <c r="F622" s="207"/>
      <c r="G622" s="207"/>
      <c r="H622" s="207"/>
      <c r="I622" s="207"/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  <c r="AA622" s="207"/>
      <c r="AB622" s="207"/>
      <c r="AC622" s="207"/>
      <c r="AD622" s="207"/>
      <c r="AE622" s="207"/>
      <c r="AF622" s="207"/>
      <c r="AG622" s="207"/>
      <c r="AH622" s="207"/>
      <c r="AI622" s="207"/>
      <c r="AJ622" s="207"/>
      <c r="AK622" s="207"/>
      <c r="AL622" s="207"/>
      <c r="AM622" s="207"/>
      <c r="AN622" s="207"/>
      <c r="AO622" s="207"/>
      <c r="AP622" s="207"/>
      <c r="AQ622" s="207"/>
      <c r="AR622" s="207"/>
      <c r="AS622" s="207"/>
      <c r="AT622" s="207"/>
      <c r="AU622" s="207"/>
      <c r="AV622" s="207"/>
      <c r="AW622" s="207"/>
      <c r="AX622" s="207"/>
      <c r="AY622" s="207"/>
      <c r="AZ622" s="207"/>
      <c r="BA622" s="207"/>
    </row>
    <row r="623" ht="18.75" hidden="1" customHeight="1">
      <c r="A623" s="207"/>
      <c r="B623" s="207"/>
      <c r="C623" s="207"/>
      <c r="D623" s="207"/>
      <c r="E623" s="207"/>
      <c r="F623" s="207"/>
      <c r="G623" s="207"/>
      <c r="H623" s="207"/>
      <c r="I623" s="207"/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  <c r="AA623" s="207"/>
      <c r="AB623" s="207"/>
      <c r="AC623" s="207"/>
      <c r="AD623" s="207"/>
      <c r="AE623" s="207"/>
      <c r="AF623" s="207"/>
      <c r="AG623" s="207"/>
      <c r="AH623" s="207"/>
      <c r="AI623" s="207"/>
      <c r="AJ623" s="207"/>
      <c r="AK623" s="207"/>
      <c r="AL623" s="207"/>
      <c r="AM623" s="207"/>
      <c r="AN623" s="207"/>
      <c r="AO623" s="207"/>
      <c r="AP623" s="207"/>
      <c r="AQ623" s="207"/>
      <c r="AR623" s="207"/>
      <c r="AS623" s="207"/>
      <c r="AT623" s="207"/>
      <c r="AU623" s="207"/>
      <c r="AV623" s="207"/>
      <c r="AW623" s="207"/>
      <c r="AX623" s="207"/>
      <c r="AY623" s="207"/>
      <c r="AZ623" s="207"/>
      <c r="BA623" s="207"/>
    </row>
    <row r="624" ht="18.75" hidden="1" customHeight="1">
      <c r="A624" s="207"/>
      <c r="B624" s="207"/>
      <c r="C624" s="207"/>
      <c r="D624" s="207"/>
      <c r="E624" s="207"/>
      <c r="F624" s="207"/>
      <c r="G624" s="207"/>
      <c r="H624" s="207"/>
      <c r="I624" s="207"/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  <c r="AA624" s="207"/>
      <c r="AB624" s="207"/>
      <c r="AC624" s="207"/>
      <c r="AD624" s="207"/>
      <c r="AE624" s="207"/>
      <c r="AF624" s="207"/>
      <c r="AG624" s="207"/>
      <c r="AH624" s="207"/>
      <c r="AI624" s="207"/>
      <c r="AJ624" s="207"/>
      <c r="AK624" s="207"/>
      <c r="AL624" s="207"/>
      <c r="AM624" s="207"/>
      <c r="AN624" s="207"/>
      <c r="AO624" s="207"/>
      <c r="AP624" s="207"/>
      <c r="AQ624" s="207"/>
      <c r="AR624" s="207"/>
      <c r="AS624" s="207"/>
      <c r="AT624" s="207"/>
      <c r="AU624" s="207"/>
      <c r="AV624" s="207"/>
      <c r="AW624" s="207"/>
      <c r="AX624" s="207"/>
      <c r="AY624" s="207"/>
      <c r="AZ624" s="207"/>
      <c r="BA624" s="207"/>
    </row>
    <row r="625" ht="18.75" hidden="1" customHeight="1">
      <c r="A625" s="207"/>
      <c r="B625" s="207"/>
      <c r="C625" s="207"/>
      <c r="D625" s="207"/>
      <c r="E625" s="207"/>
      <c r="F625" s="207"/>
      <c r="G625" s="207"/>
      <c r="H625" s="207"/>
      <c r="I625" s="207"/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  <c r="AA625" s="207"/>
      <c r="AB625" s="207"/>
      <c r="AC625" s="207"/>
      <c r="AD625" s="207"/>
      <c r="AE625" s="207"/>
      <c r="AF625" s="207"/>
      <c r="AG625" s="207"/>
      <c r="AH625" s="207"/>
      <c r="AI625" s="207"/>
      <c r="AJ625" s="207"/>
      <c r="AK625" s="207"/>
      <c r="AL625" s="207"/>
      <c r="AM625" s="207"/>
      <c r="AN625" s="207"/>
      <c r="AO625" s="207"/>
      <c r="AP625" s="207"/>
      <c r="AQ625" s="207"/>
      <c r="AR625" s="207"/>
      <c r="AS625" s="207"/>
      <c r="AT625" s="207"/>
      <c r="AU625" s="207"/>
      <c r="AV625" s="207"/>
      <c r="AW625" s="207"/>
      <c r="AX625" s="207"/>
      <c r="AY625" s="207"/>
      <c r="AZ625" s="207"/>
      <c r="BA625" s="207"/>
    </row>
    <row r="626" ht="18.75" hidden="1" customHeight="1">
      <c r="A626" s="207"/>
      <c r="B626" s="207"/>
      <c r="C626" s="207"/>
      <c r="D626" s="207"/>
      <c r="E626" s="207"/>
      <c r="F626" s="207"/>
      <c r="G626" s="207"/>
      <c r="H626" s="207"/>
      <c r="I626" s="207"/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  <c r="AA626" s="207"/>
      <c r="AB626" s="207"/>
      <c r="AC626" s="207"/>
      <c r="AD626" s="207"/>
      <c r="AE626" s="207"/>
      <c r="AF626" s="207"/>
      <c r="AG626" s="207"/>
      <c r="AH626" s="207"/>
      <c r="AI626" s="207"/>
      <c r="AJ626" s="207"/>
      <c r="AK626" s="207"/>
      <c r="AL626" s="207"/>
      <c r="AM626" s="207"/>
      <c r="AN626" s="207"/>
      <c r="AO626" s="207"/>
      <c r="AP626" s="207"/>
      <c r="AQ626" s="207"/>
      <c r="AR626" s="207"/>
      <c r="AS626" s="207"/>
      <c r="AT626" s="207"/>
      <c r="AU626" s="207"/>
      <c r="AV626" s="207"/>
      <c r="AW626" s="207"/>
      <c r="AX626" s="207"/>
      <c r="AY626" s="207"/>
      <c r="AZ626" s="207"/>
      <c r="BA626" s="207"/>
    </row>
    <row r="627" ht="18.75" hidden="1" customHeight="1">
      <c r="A627" s="207"/>
      <c r="B627" s="207"/>
      <c r="C627" s="207"/>
      <c r="D627" s="207"/>
      <c r="E627" s="207"/>
      <c r="F627" s="207"/>
      <c r="G627" s="207"/>
      <c r="H627" s="207"/>
      <c r="I627" s="207"/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  <c r="AA627" s="207"/>
      <c r="AB627" s="207"/>
      <c r="AC627" s="207"/>
      <c r="AD627" s="207"/>
      <c r="AE627" s="207"/>
      <c r="AF627" s="207"/>
      <c r="AG627" s="207"/>
      <c r="AH627" s="207"/>
      <c r="AI627" s="207"/>
      <c r="AJ627" s="207"/>
      <c r="AK627" s="207"/>
      <c r="AL627" s="207"/>
      <c r="AM627" s="207"/>
      <c r="AN627" s="207"/>
      <c r="AO627" s="207"/>
      <c r="AP627" s="207"/>
      <c r="AQ627" s="207"/>
      <c r="AR627" s="207"/>
      <c r="AS627" s="207"/>
      <c r="AT627" s="207"/>
      <c r="AU627" s="207"/>
      <c r="AV627" s="207"/>
      <c r="AW627" s="207"/>
      <c r="AX627" s="207"/>
      <c r="AY627" s="207"/>
      <c r="AZ627" s="207"/>
      <c r="BA627" s="207"/>
    </row>
    <row r="628" ht="18.75" hidden="1" customHeight="1">
      <c r="A628" s="207"/>
      <c r="B628" s="207"/>
      <c r="C628" s="207"/>
      <c r="D628" s="207"/>
      <c r="E628" s="207"/>
      <c r="F628" s="207"/>
      <c r="G628" s="207"/>
      <c r="H628" s="207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  <c r="AA628" s="207"/>
      <c r="AB628" s="207"/>
      <c r="AC628" s="207"/>
      <c r="AD628" s="207"/>
      <c r="AE628" s="207"/>
      <c r="AF628" s="207"/>
      <c r="AG628" s="207"/>
      <c r="AH628" s="207"/>
      <c r="AI628" s="207"/>
      <c r="AJ628" s="207"/>
      <c r="AK628" s="207"/>
      <c r="AL628" s="207"/>
      <c r="AM628" s="207"/>
      <c r="AN628" s="207"/>
      <c r="AO628" s="207"/>
      <c r="AP628" s="207"/>
      <c r="AQ628" s="207"/>
      <c r="AR628" s="207"/>
      <c r="AS628" s="207"/>
      <c r="AT628" s="207"/>
      <c r="AU628" s="207"/>
      <c r="AV628" s="207"/>
      <c r="AW628" s="207"/>
      <c r="AX628" s="207"/>
      <c r="AY628" s="207"/>
      <c r="AZ628" s="207"/>
      <c r="BA628" s="207"/>
    </row>
    <row r="629" ht="18.75" hidden="1" customHeight="1">
      <c r="A629" s="207"/>
      <c r="B629" s="207"/>
      <c r="C629" s="207"/>
      <c r="D629" s="207"/>
      <c r="E629" s="207"/>
      <c r="F629" s="207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  <c r="AA629" s="207"/>
      <c r="AB629" s="207"/>
      <c r="AC629" s="207"/>
      <c r="AD629" s="207"/>
      <c r="AE629" s="207"/>
      <c r="AF629" s="207"/>
      <c r="AG629" s="207"/>
      <c r="AH629" s="207"/>
      <c r="AI629" s="207"/>
      <c r="AJ629" s="207"/>
      <c r="AK629" s="207"/>
      <c r="AL629" s="207"/>
      <c r="AM629" s="207"/>
      <c r="AN629" s="207"/>
      <c r="AO629" s="207"/>
      <c r="AP629" s="207"/>
      <c r="AQ629" s="207"/>
      <c r="AR629" s="207"/>
      <c r="AS629" s="207"/>
      <c r="AT629" s="207"/>
      <c r="AU629" s="207"/>
      <c r="AV629" s="207"/>
      <c r="AW629" s="207"/>
      <c r="AX629" s="207"/>
      <c r="AY629" s="207"/>
      <c r="AZ629" s="207"/>
      <c r="BA629" s="207"/>
    </row>
    <row r="630" ht="18.75" hidden="1" customHeight="1">
      <c r="A630" s="207"/>
      <c r="B630" s="207"/>
      <c r="C630" s="207"/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  <c r="AA630" s="207"/>
      <c r="AB630" s="207"/>
      <c r="AC630" s="207"/>
      <c r="AD630" s="207"/>
      <c r="AE630" s="207"/>
      <c r="AF630" s="207"/>
      <c r="AG630" s="207"/>
      <c r="AH630" s="207"/>
      <c r="AI630" s="207"/>
      <c r="AJ630" s="207"/>
      <c r="AK630" s="207"/>
      <c r="AL630" s="207"/>
      <c r="AM630" s="207"/>
      <c r="AN630" s="207"/>
      <c r="AO630" s="207"/>
      <c r="AP630" s="207"/>
      <c r="AQ630" s="207"/>
      <c r="AR630" s="207"/>
      <c r="AS630" s="207"/>
      <c r="AT630" s="207"/>
      <c r="AU630" s="207"/>
      <c r="AV630" s="207"/>
      <c r="AW630" s="207"/>
      <c r="AX630" s="207"/>
      <c r="AY630" s="207"/>
      <c r="AZ630" s="207"/>
      <c r="BA630" s="207"/>
    </row>
    <row r="631" ht="18.75" hidden="1" customHeight="1">
      <c r="A631" s="207"/>
      <c r="B631" s="207"/>
      <c r="C631" s="207"/>
      <c r="D631" s="207"/>
      <c r="E631" s="207"/>
      <c r="F631" s="207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  <c r="AA631" s="207"/>
      <c r="AB631" s="207"/>
      <c r="AC631" s="207"/>
      <c r="AD631" s="207"/>
      <c r="AE631" s="207"/>
      <c r="AF631" s="207"/>
      <c r="AG631" s="207"/>
      <c r="AH631" s="207"/>
      <c r="AI631" s="207"/>
      <c r="AJ631" s="207"/>
      <c r="AK631" s="207"/>
      <c r="AL631" s="207"/>
      <c r="AM631" s="207"/>
      <c r="AN631" s="207"/>
      <c r="AO631" s="207"/>
      <c r="AP631" s="207"/>
      <c r="AQ631" s="207"/>
      <c r="AR631" s="207"/>
      <c r="AS631" s="207"/>
      <c r="AT631" s="207"/>
      <c r="AU631" s="207"/>
      <c r="AV631" s="207"/>
      <c r="AW631" s="207"/>
      <c r="AX631" s="207"/>
      <c r="AY631" s="207"/>
      <c r="AZ631" s="207"/>
      <c r="BA631" s="207"/>
    </row>
    <row r="632" ht="18.75" hidden="1" customHeight="1">
      <c r="A632" s="207"/>
      <c r="B632" s="207"/>
      <c r="C632" s="207"/>
      <c r="D632" s="207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  <c r="AA632" s="207"/>
      <c r="AB632" s="207"/>
      <c r="AC632" s="207"/>
      <c r="AD632" s="207"/>
      <c r="AE632" s="207"/>
      <c r="AF632" s="207"/>
      <c r="AG632" s="207"/>
      <c r="AH632" s="207"/>
      <c r="AI632" s="207"/>
      <c r="AJ632" s="207"/>
      <c r="AK632" s="207"/>
      <c r="AL632" s="207"/>
      <c r="AM632" s="207"/>
      <c r="AN632" s="207"/>
      <c r="AO632" s="207"/>
      <c r="AP632" s="207"/>
      <c r="AQ632" s="207"/>
      <c r="AR632" s="207"/>
      <c r="AS632" s="207"/>
      <c r="AT632" s="207"/>
      <c r="AU632" s="207"/>
      <c r="AV632" s="207"/>
      <c r="AW632" s="207"/>
      <c r="AX632" s="207"/>
      <c r="AY632" s="207"/>
      <c r="AZ632" s="207"/>
      <c r="BA632" s="207"/>
    </row>
    <row r="633" ht="18.75" hidden="1" customHeight="1">
      <c r="A633" s="207"/>
      <c r="B633" s="207"/>
      <c r="C633" s="207"/>
      <c r="D633" s="207"/>
      <c r="E633" s="207"/>
      <c r="F633" s="207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  <c r="AA633" s="207"/>
      <c r="AB633" s="207"/>
      <c r="AC633" s="207"/>
      <c r="AD633" s="207"/>
      <c r="AE633" s="207"/>
      <c r="AF633" s="207"/>
      <c r="AG633" s="207"/>
      <c r="AH633" s="207"/>
      <c r="AI633" s="207"/>
      <c r="AJ633" s="207"/>
      <c r="AK633" s="207"/>
      <c r="AL633" s="207"/>
      <c r="AM633" s="207"/>
      <c r="AN633" s="207"/>
      <c r="AO633" s="207"/>
      <c r="AP633" s="207"/>
      <c r="AQ633" s="207"/>
      <c r="AR633" s="207"/>
      <c r="AS633" s="207"/>
      <c r="AT633" s="207"/>
      <c r="AU633" s="207"/>
      <c r="AV633" s="207"/>
      <c r="AW633" s="207"/>
      <c r="AX633" s="207"/>
      <c r="AY633" s="207"/>
      <c r="AZ633" s="207"/>
      <c r="BA633" s="207"/>
    </row>
    <row r="634" ht="18.75" hidden="1" customHeight="1">
      <c r="A634" s="207"/>
      <c r="B634" s="207"/>
      <c r="C634" s="207"/>
      <c r="D634" s="207"/>
      <c r="E634" s="207"/>
      <c r="F634" s="207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  <c r="AA634" s="207"/>
      <c r="AB634" s="207"/>
      <c r="AC634" s="207"/>
      <c r="AD634" s="207"/>
      <c r="AE634" s="207"/>
      <c r="AF634" s="207"/>
      <c r="AG634" s="207"/>
      <c r="AH634" s="207"/>
      <c r="AI634" s="207"/>
      <c r="AJ634" s="207"/>
      <c r="AK634" s="207"/>
      <c r="AL634" s="207"/>
      <c r="AM634" s="207"/>
      <c r="AN634" s="207"/>
      <c r="AO634" s="207"/>
      <c r="AP634" s="207"/>
      <c r="AQ634" s="207"/>
      <c r="AR634" s="207"/>
      <c r="AS634" s="207"/>
      <c r="AT634" s="207"/>
      <c r="AU634" s="207"/>
      <c r="AV634" s="207"/>
      <c r="AW634" s="207"/>
      <c r="AX634" s="207"/>
      <c r="AY634" s="207"/>
      <c r="AZ634" s="207"/>
      <c r="BA634" s="207"/>
    </row>
    <row r="635" ht="18.75" hidden="1" customHeight="1">
      <c r="A635" s="207"/>
      <c r="B635" s="207"/>
      <c r="C635" s="207"/>
      <c r="D635" s="207"/>
      <c r="E635" s="207"/>
      <c r="F635" s="207"/>
      <c r="G635" s="207"/>
      <c r="H635" s="207"/>
      <c r="I635" s="207"/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  <c r="AA635" s="207"/>
      <c r="AB635" s="207"/>
      <c r="AC635" s="207"/>
      <c r="AD635" s="207"/>
      <c r="AE635" s="207"/>
      <c r="AF635" s="207"/>
      <c r="AG635" s="207"/>
      <c r="AH635" s="207"/>
      <c r="AI635" s="207"/>
      <c r="AJ635" s="207"/>
      <c r="AK635" s="207"/>
      <c r="AL635" s="207"/>
      <c r="AM635" s="207"/>
      <c r="AN635" s="207"/>
      <c r="AO635" s="207"/>
      <c r="AP635" s="207"/>
      <c r="AQ635" s="207"/>
      <c r="AR635" s="207"/>
      <c r="AS635" s="207"/>
      <c r="AT635" s="207"/>
      <c r="AU635" s="207"/>
      <c r="AV635" s="207"/>
      <c r="AW635" s="207"/>
      <c r="AX635" s="207"/>
      <c r="AY635" s="207"/>
      <c r="AZ635" s="207"/>
      <c r="BA635" s="207"/>
    </row>
    <row r="636" ht="18.75" hidden="1" customHeight="1">
      <c r="A636" s="207"/>
      <c r="B636" s="207"/>
      <c r="C636" s="207"/>
      <c r="D636" s="207"/>
      <c r="E636" s="207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  <c r="AA636" s="207"/>
      <c r="AB636" s="207"/>
      <c r="AC636" s="207"/>
      <c r="AD636" s="207"/>
      <c r="AE636" s="207"/>
      <c r="AF636" s="207"/>
      <c r="AG636" s="207"/>
      <c r="AH636" s="207"/>
      <c r="AI636" s="207"/>
      <c r="AJ636" s="207"/>
      <c r="AK636" s="207"/>
      <c r="AL636" s="207"/>
      <c r="AM636" s="207"/>
      <c r="AN636" s="207"/>
      <c r="AO636" s="207"/>
      <c r="AP636" s="207"/>
      <c r="AQ636" s="207"/>
      <c r="AR636" s="207"/>
      <c r="AS636" s="207"/>
      <c r="AT636" s="207"/>
      <c r="AU636" s="207"/>
      <c r="AV636" s="207"/>
      <c r="AW636" s="207"/>
      <c r="AX636" s="207"/>
      <c r="AY636" s="207"/>
      <c r="AZ636" s="207"/>
      <c r="BA636" s="207"/>
    </row>
    <row r="637" ht="18.75" hidden="1" customHeight="1">
      <c r="A637" s="207"/>
      <c r="B637" s="207"/>
      <c r="C637" s="207"/>
      <c r="D637" s="207"/>
      <c r="E637" s="207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  <c r="AA637" s="207"/>
      <c r="AB637" s="207"/>
      <c r="AC637" s="207"/>
      <c r="AD637" s="207"/>
      <c r="AE637" s="207"/>
      <c r="AF637" s="207"/>
      <c r="AG637" s="207"/>
      <c r="AH637" s="207"/>
      <c r="AI637" s="207"/>
      <c r="AJ637" s="207"/>
      <c r="AK637" s="207"/>
      <c r="AL637" s="207"/>
      <c r="AM637" s="207"/>
      <c r="AN637" s="207"/>
      <c r="AO637" s="207"/>
      <c r="AP637" s="207"/>
      <c r="AQ637" s="207"/>
      <c r="AR637" s="207"/>
      <c r="AS637" s="207"/>
      <c r="AT637" s="207"/>
      <c r="AU637" s="207"/>
      <c r="AV637" s="207"/>
      <c r="AW637" s="207"/>
      <c r="AX637" s="207"/>
      <c r="AY637" s="207"/>
      <c r="AZ637" s="207"/>
      <c r="BA637" s="207"/>
    </row>
    <row r="638" ht="18.75" hidden="1" customHeight="1">
      <c r="A638" s="207"/>
      <c r="B638" s="207"/>
      <c r="C638" s="207"/>
      <c r="D638" s="207"/>
      <c r="E638" s="207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  <c r="AA638" s="207"/>
      <c r="AB638" s="207"/>
      <c r="AC638" s="207"/>
      <c r="AD638" s="207"/>
      <c r="AE638" s="207"/>
      <c r="AF638" s="207"/>
      <c r="AG638" s="207"/>
      <c r="AH638" s="207"/>
      <c r="AI638" s="207"/>
      <c r="AJ638" s="207"/>
      <c r="AK638" s="207"/>
      <c r="AL638" s="207"/>
      <c r="AM638" s="207"/>
      <c r="AN638" s="207"/>
      <c r="AO638" s="207"/>
      <c r="AP638" s="207"/>
      <c r="AQ638" s="207"/>
      <c r="AR638" s="207"/>
      <c r="AS638" s="207"/>
      <c r="AT638" s="207"/>
      <c r="AU638" s="207"/>
      <c r="AV638" s="207"/>
      <c r="AW638" s="207"/>
      <c r="AX638" s="207"/>
      <c r="AY638" s="207"/>
      <c r="AZ638" s="207"/>
      <c r="BA638" s="207"/>
    </row>
    <row r="639" ht="18.75" hidden="1" customHeight="1">
      <c r="A639" s="207"/>
      <c r="B639" s="207"/>
      <c r="C639" s="207"/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  <c r="AA639" s="207"/>
      <c r="AB639" s="207"/>
      <c r="AC639" s="207"/>
      <c r="AD639" s="207"/>
      <c r="AE639" s="207"/>
      <c r="AF639" s="207"/>
      <c r="AG639" s="207"/>
      <c r="AH639" s="207"/>
      <c r="AI639" s="207"/>
      <c r="AJ639" s="207"/>
      <c r="AK639" s="207"/>
      <c r="AL639" s="207"/>
      <c r="AM639" s="207"/>
      <c r="AN639" s="207"/>
      <c r="AO639" s="207"/>
      <c r="AP639" s="207"/>
      <c r="AQ639" s="207"/>
      <c r="AR639" s="207"/>
      <c r="AS639" s="207"/>
      <c r="AT639" s="207"/>
      <c r="AU639" s="207"/>
      <c r="AV639" s="207"/>
      <c r="AW639" s="207"/>
      <c r="AX639" s="207"/>
      <c r="AY639" s="207"/>
      <c r="AZ639" s="207"/>
      <c r="BA639" s="207"/>
    </row>
    <row r="640" ht="18.75" hidden="1" customHeight="1">
      <c r="A640" s="207"/>
      <c r="B640" s="207"/>
      <c r="C640" s="207"/>
      <c r="D640" s="207"/>
      <c r="E640" s="207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  <c r="AA640" s="207"/>
      <c r="AB640" s="207"/>
      <c r="AC640" s="207"/>
      <c r="AD640" s="207"/>
      <c r="AE640" s="207"/>
      <c r="AF640" s="207"/>
      <c r="AG640" s="207"/>
      <c r="AH640" s="207"/>
      <c r="AI640" s="207"/>
      <c r="AJ640" s="207"/>
      <c r="AK640" s="207"/>
      <c r="AL640" s="207"/>
      <c r="AM640" s="207"/>
      <c r="AN640" s="207"/>
      <c r="AO640" s="207"/>
      <c r="AP640" s="207"/>
      <c r="AQ640" s="207"/>
      <c r="AR640" s="207"/>
      <c r="AS640" s="207"/>
      <c r="AT640" s="207"/>
      <c r="AU640" s="207"/>
      <c r="AV640" s="207"/>
      <c r="AW640" s="207"/>
      <c r="AX640" s="207"/>
      <c r="AY640" s="207"/>
      <c r="AZ640" s="207"/>
      <c r="BA640" s="207"/>
    </row>
    <row r="641" ht="18.75" hidden="1" customHeight="1">
      <c r="A641" s="207"/>
      <c r="B641" s="207"/>
      <c r="C641" s="207"/>
      <c r="D641" s="207"/>
      <c r="E641" s="207"/>
      <c r="F641" s="207"/>
      <c r="G641" s="207"/>
      <c r="H641" s="207"/>
      <c r="I641" s="207"/>
      <c r="J641" s="207"/>
      <c r="K641" s="207"/>
      <c r="L641" s="207"/>
      <c r="M641" s="207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  <c r="AA641" s="207"/>
      <c r="AB641" s="207"/>
      <c r="AC641" s="207"/>
      <c r="AD641" s="207"/>
      <c r="AE641" s="207"/>
      <c r="AF641" s="207"/>
      <c r="AG641" s="207"/>
      <c r="AH641" s="207"/>
      <c r="AI641" s="207"/>
      <c r="AJ641" s="207"/>
      <c r="AK641" s="207"/>
      <c r="AL641" s="207"/>
      <c r="AM641" s="207"/>
      <c r="AN641" s="207"/>
      <c r="AO641" s="207"/>
      <c r="AP641" s="207"/>
      <c r="AQ641" s="207"/>
      <c r="AR641" s="207"/>
      <c r="AS641" s="207"/>
      <c r="AT641" s="207"/>
      <c r="AU641" s="207"/>
      <c r="AV641" s="207"/>
      <c r="AW641" s="207"/>
      <c r="AX641" s="207"/>
      <c r="AY641" s="207"/>
      <c r="AZ641" s="207"/>
      <c r="BA641" s="207"/>
    </row>
    <row r="642" ht="18.75" hidden="1" customHeight="1">
      <c r="A642" s="207"/>
      <c r="B642" s="207"/>
      <c r="C642" s="207"/>
      <c r="D642" s="207"/>
      <c r="E642" s="207"/>
      <c r="F642" s="207"/>
      <c r="G642" s="207"/>
      <c r="H642" s="207"/>
      <c r="I642" s="207"/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  <c r="AA642" s="207"/>
      <c r="AB642" s="207"/>
      <c r="AC642" s="207"/>
      <c r="AD642" s="207"/>
      <c r="AE642" s="207"/>
      <c r="AF642" s="207"/>
      <c r="AG642" s="207"/>
      <c r="AH642" s="207"/>
      <c r="AI642" s="207"/>
      <c r="AJ642" s="207"/>
      <c r="AK642" s="207"/>
      <c r="AL642" s="207"/>
      <c r="AM642" s="207"/>
      <c r="AN642" s="207"/>
      <c r="AO642" s="207"/>
      <c r="AP642" s="207"/>
      <c r="AQ642" s="207"/>
      <c r="AR642" s="207"/>
      <c r="AS642" s="207"/>
      <c r="AT642" s="207"/>
      <c r="AU642" s="207"/>
      <c r="AV642" s="207"/>
      <c r="AW642" s="207"/>
      <c r="AX642" s="207"/>
      <c r="AY642" s="207"/>
      <c r="AZ642" s="207"/>
      <c r="BA642" s="207"/>
    </row>
    <row r="643" ht="18.75" hidden="1" customHeight="1">
      <c r="A643" s="207"/>
      <c r="B643" s="207"/>
      <c r="C643" s="207"/>
      <c r="D643" s="207"/>
      <c r="E643" s="207"/>
      <c r="F643" s="207"/>
      <c r="G643" s="207"/>
      <c r="H643" s="207"/>
      <c r="I643" s="207"/>
      <c r="J643" s="207"/>
      <c r="K643" s="207"/>
      <c r="L643" s="207"/>
      <c r="M643" s="207"/>
      <c r="N643" s="207"/>
      <c r="O643" s="207"/>
      <c r="P643" s="207"/>
      <c r="Q643" s="207"/>
      <c r="R643" s="207"/>
      <c r="S643" s="207"/>
      <c r="T643" s="207"/>
      <c r="U643" s="207"/>
      <c r="V643" s="207"/>
      <c r="W643" s="207"/>
      <c r="X643" s="207"/>
      <c r="Y643" s="207"/>
      <c r="Z643" s="207"/>
      <c r="AA643" s="207"/>
      <c r="AB643" s="207"/>
      <c r="AC643" s="207"/>
      <c r="AD643" s="207"/>
      <c r="AE643" s="207"/>
      <c r="AF643" s="207"/>
      <c r="AG643" s="207"/>
      <c r="AH643" s="207"/>
      <c r="AI643" s="207"/>
      <c r="AJ643" s="207"/>
      <c r="AK643" s="207"/>
      <c r="AL643" s="207"/>
      <c r="AM643" s="207"/>
      <c r="AN643" s="207"/>
      <c r="AO643" s="207"/>
      <c r="AP643" s="207"/>
      <c r="AQ643" s="207"/>
      <c r="AR643" s="207"/>
      <c r="AS643" s="207"/>
      <c r="AT643" s="207"/>
      <c r="AU643" s="207"/>
      <c r="AV643" s="207"/>
      <c r="AW643" s="207"/>
      <c r="AX643" s="207"/>
      <c r="AY643" s="207"/>
      <c r="AZ643" s="207"/>
      <c r="BA643" s="207"/>
    </row>
    <row r="644" ht="18.75" hidden="1" customHeight="1">
      <c r="A644" s="207"/>
      <c r="B644" s="207"/>
      <c r="C644" s="207"/>
      <c r="D644" s="207"/>
      <c r="E644" s="207"/>
      <c r="F644" s="207"/>
      <c r="G644" s="207"/>
      <c r="H644" s="207"/>
      <c r="I644" s="207"/>
      <c r="J644" s="207"/>
      <c r="K644" s="207"/>
      <c r="L644" s="207"/>
      <c r="M644" s="207"/>
      <c r="N644" s="207"/>
      <c r="O644" s="207"/>
      <c r="P644" s="207"/>
      <c r="Q644" s="207"/>
      <c r="R644" s="207"/>
      <c r="S644" s="207"/>
      <c r="T644" s="207"/>
      <c r="U644" s="207"/>
      <c r="V644" s="207"/>
      <c r="W644" s="207"/>
      <c r="X644" s="207"/>
      <c r="Y644" s="207"/>
      <c r="Z644" s="207"/>
      <c r="AA644" s="207"/>
      <c r="AB644" s="207"/>
      <c r="AC644" s="207"/>
      <c r="AD644" s="207"/>
      <c r="AE644" s="207"/>
      <c r="AF644" s="207"/>
      <c r="AG644" s="207"/>
      <c r="AH644" s="207"/>
      <c r="AI644" s="207"/>
      <c r="AJ644" s="207"/>
      <c r="AK644" s="207"/>
      <c r="AL644" s="207"/>
      <c r="AM644" s="207"/>
      <c r="AN644" s="207"/>
      <c r="AO644" s="207"/>
      <c r="AP644" s="207"/>
      <c r="AQ644" s="207"/>
      <c r="AR644" s="207"/>
      <c r="AS644" s="207"/>
      <c r="AT644" s="207"/>
      <c r="AU644" s="207"/>
      <c r="AV644" s="207"/>
      <c r="AW644" s="207"/>
      <c r="AX644" s="207"/>
      <c r="AY644" s="207"/>
      <c r="AZ644" s="207"/>
      <c r="BA644" s="207"/>
    </row>
    <row r="645" ht="18.75" hidden="1" customHeight="1">
      <c r="A645" s="207"/>
      <c r="B645" s="207"/>
      <c r="C645" s="207"/>
      <c r="D645" s="207"/>
      <c r="E645" s="207"/>
      <c r="F645" s="207"/>
      <c r="G645" s="207"/>
      <c r="H645" s="207"/>
      <c r="I645" s="207"/>
      <c r="J645" s="207"/>
      <c r="K645" s="207"/>
      <c r="L645" s="207"/>
      <c r="M645" s="207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  <c r="AA645" s="207"/>
      <c r="AB645" s="207"/>
      <c r="AC645" s="207"/>
      <c r="AD645" s="207"/>
      <c r="AE645" s="207"/>
      <c r="AF645" s="207"/>
      <c r="AG645" s="207"/>
      <c r="AH645" s="207"/>
      <c r="AI645" s="207"/>
      <c r="AJ645" s="207"/>
      <c r="AK645" s="207"/>
      <c r="AL645" s="207"/>
      <c r="AM645" s="207"/>
      <c r="AN645" s="207"/>
      <c r="AO645" s="207"/>
      <c r="AP645" s="207"/>
      <c r="AQ645" s="207"/>
      <c r="AR645" s="207"/>
      <c r="AS645" s="207"/>
      <c r="AT645" s="207"/>
      <c r="AU645" s="207"/>
      <c r="AV645" s="207"/>
      <c r="AW645" s="207"/>
      <c r="AX645" s="207"/>
      <c r="AY645" s="207"/>
      <c r="AZ645" s="207"/>
      <c r="BA645" s="207"/>
    </row>
    <row r="646" ht="18.75" hidden="1" customHeight="1">
      <c r="A646" s="207"/>
      <c r="B646" s="207"/>
      <c r="C646" s="207"/>
      <c r="D646" s="207"/>
      <c r="E646" s="207"/>
      <c r="F646" s="207"/>
      <c r="G646" s="207"/>
      <c r="H646" s="207"/>
      <c r="I646" s="207"/>
      <c r="J646" s="207"/>
      <c r="K646" s="207"/>
      <c r="L646" s="207"/>
      <c r="M646" s="207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  <c r="AA646" s="207"/>
      <c r="AB646" s="207"/>
      <c r="AC646" s="207"/>
      <c r="AD646" s="207"/>
      <c r="AE646" s="207"/>
      <c r="AF646" s="207"/>
      <c r="AG646" s="207"/>
      <c r="AH646" s="207"/>
      <c r="AI646" s="207"/>
      <c r="AJ646" s="207"/>
      <c r="AK646" s="207"/>
      <c r="AL646" s="207"/>
      <c r="AM646" s="207"/>
      <c r="AN646" s="207"/>
      <c r="AO646" s="207"/>
      <c r="AP646" s="207"/>
      <c r="AQ646" s="207"/>
      <c r="AR646" s="207"/>
      <c r="AS646" s="207"/>
      <c r="AT646" s="207"/>
      <c r="AU646" s="207"/>
      <c r="AV646" s="207"/>
      <c r="AW646" s="207"/>
      <c r="AX646" s="207"/>
      <c r="AY646" s="207"/>
      <c r="AZ646" s="207"/>
      <c r="BA646" s="207"/>
    </row>
    <row r="647" ht="18.75" hidden="1" customHeight="1">
      <c r="A647" s="207"/>
      <c r="B647" s="207"/>
      <c r="C647" s="207"/>
      <c r="D647" s="207"/>
      <c r="E647" s="207"/>
      <c r="F647" s="207"/>
      <c r="G647" s="207"/>
      <c r="H647" s="207"/>
      <c r="I647" s="207"/>
      <c r="J647" s="207"/>
      <c r="K647" s="207"/>
      <c r="L647" s="207"/>
      <c r="M647" s="207"/>
      <c r="N647" s="207"/>
      <c r="O647" s="207"/>
      <c r="P647" s="207"/>
      <c r="Q647" s="207"/>
      <c r="R647" s="207"/>
      <c r="S647" s="207"/>
      <c r="T647" s="207"/>
      <c r="U647" s="207"/>
      <c r="V647" s="207"/>
      <c r="W647" s="207"/>
      <c r="X647" s="207"/>
      <c r="Y647" s="207"/>
      <c r="Z647" s="207"/>
      <c r="AA647" s="207"/>
      <c r="AB647" s="207"/>
      <c r="AC647" s="207"/>
      <c r="AD647" s="207"/>
      <c r="AE647" s="207"/>
      <c r="AF647" s="207"/>
      <c r="AG647" s="207"/>
      <c r="AH647" s="207"/>
      <c r="AI647" s="207"/>
      <c r="AJ647" s="207"/>
      <c r="AK647" s="207"/>
      <c r="AL647" s="207"/>
      <c r="AM647" s="207"/>
      <c r="AN647" s="207"/>
      <c r="AO647" s="207"/>
      <c r="AP647" s="207"/>
      <c r="AQ647" s="207"/>
      <c r="AR647" s="207"/>
      <c r="AS647" s="207"/>
      <c r="AT647" s="207"/>
      <c r="AU647" s="207"/>
      <c r="AV647" s="207"/>
      <c r="AW647" s="207"/>
      <c r="AX647" s="207"/>
      <c r="AY647" s="207"/>
      <c r="AZ647" s="207"/>
      <c r="BA647" s="207"/>
    </row>
    <row r="648" ht="18.75" hidden="1" customHeight="1">
      <c r="A648" s="207"/>
      <c r="B648" s="207"/>
      <c r="C648" s="207"/>
      <c r="D648" s="207"/>
      <c r="E648" s="207"/>
      <c r="F648" s="207"/>
      <c r="G648" s="207"/>
      <c r="H648" s="207"/>
      <c r="I648" s="207"/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207"/>
      <c r="Y648" s="207"/>
      <c r="Z648" s="207"/>
      <c r="AA648" s="207"/>
      <c r="AB648" s="207"/>
      <c r="AC648" s="207"/>
      <c r="AD648" s="207"/>
      <c r="AE648" s="207"/>
      <c r="AF648" s="207"/>
      <c r="AG648" s="207"/>
      <c r="AH648" s="207"/>
      <c r="AI648" s="207"/>
      <c r="AJ648" s="207"/>
      <c r="AK648" s="207"/>
      <c r="AL648" s="207"/>
      <c r="AM648" s="207"/>
      <c r="AN648" s="207"/>
      <c r="AO648" s="207"/>
      <c r="AP648" s="207"/>
      <c r="AQ648" s="207"/>
      <c r="AR648" s="207"/>
      <c r="AS648" s="207"/>
      <c r="AT648" s="207"/>
      <c r="AU648" s="207"/>
      <c r="AV648" s="207"/>
      <c r="AW648" s="207"/>
      <c r="AX648" s="207"/>
      <c r="AY648" s="207"/>
      <c r="AZ648" s="207"/>
      <c r="BA648" s="207"/>
    </row>
    <row r="649" ht="18.75" hidden="1" customHeight="1">
      <c r="A649" s="207"/>
      <c r="B649" s="207"/>
      <c r="C649" s="207"/>
      <c r="D649" s="207"/>
      <c r="E649" s="207"/>
      <c r="F649" s="207"/>
      <c r="G649" s="207"/>
      <c r="H649" s="207"/>
      <c r="I649" s="207"/>
      <c r="J649" s="207"/>
      <c r="K649" s="207"/>
      <c r="L649" s="207"/>
      <c r="M649" s="207"/>
      <c r="N649" s="207"/>
      <c r="O649" s="207"/>
      <c r="P649" s="207"/>
      <c r="Q649" s="207"/>
      <c r="R649" s="207"/>
      <c r="S649" s="207"/>
      <c r="T649" s="207"/>
      <c r="U649" s="207"/>
      <c r="V649" s="207"/>
      <c r="W649" s="207"/>
      <c r="X649" s="207"/>
      <c r="Y649" s="207"/>
      <c r="Z649" s="207"/>
      <c r="AA649" s="207"/>
      <c r="AB649" s="207"/>
      <c r="AC649" s="207"/>
      <c r="AD649" s="207"/>
      <c r="AE649" s="207"/>
      <c r="AF649" s="207"/>
      <c r="AG649" s="207"/>
      <c r="AH649" s="207"/>
      <c r="AI649" s="207"/>
      <c r="AJ649" s="207"/>
      <c r="AK649" s="207"/>
      <c r="AL649" s="207"/>
      <c r="AM649" s="207"/>
      <c r="AN649" s="207"/>
      <c r="AO649" s="207"/>
      <c r="AP649" s="207"/>
      <c r="AQ649" s="207"/>
      <c r="AR649" s="207"/>
      <c r="AS649" s="207"/>
      <c r="AT649" s="207"/>
      <c r="AU649" s="207"/>
      <c r="AV649" s="207"/>
      <c r="AW649" s="207"/>
      <c r="AX649" s="207"/>
      <c r="AY649" s="207"/>
      <c r="AZ649" s="207"/>
      <c r="BA649" s="207"/>
    </row>
    <row r="650" ht="18.75" hidden="1" customHeight="1">
      <c r="A650" s="207"/>
      <c r="B650" s="207"/>
      <c r="C650" s="207"/>
      <c r="D650" s="207"/>
      <c r="E650" s="207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  <c r="AA650" s="207"/>
      <c r="AB650" s="207"/>
      <c r="AC650" s="207"/>
      <c r="AD650" s="207"/>
      <c r="AE650" s="207"/>
      <c r="AF650" s="207"/>
      <c r="AG650" s="207"/>
      <c r="AH650" s="207"/>
      <c r="AI650" s="207"/>
      <c r="AJ650" s="207"/>
      <c r="AK650" s="207"/>
      <c r="AL650" s="207"/>
      <c r="AM650" s="207"/>
      <c r="AN650" s="207"/>
      <c r="AO650" s="207"/>
      <c r="AP650" s="207"/>
      <c r="AQ650" s="207"/>
      <c r="AR650" s="207"/>
      <c r="AS650" s="207"/>
      <c r="AT650" s="207"/>
      <c r="AU650" s="207"/>
      <c r="AV650" s="207"/>
      <c r="AW650" s="207"/>
      <c r="AX650" s="207"/>
      <c r="AY650" s="207"/>
      <c r="AZ650" s="207"/>
      <c r="BA650" s="207"/>
    </row>
    <row r="651" ht="18.75" hidden="1" customHeight="1">
      <c r="A651" s="207"/>
      <c r="B651" s="207"/>
      <c r="C651" s="207"/>
      <c r="D651" s="207"/>
      <c r="E651" s="207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  <c r="AA651" s="207"/>
      <c r="AB651" s="207"/>
      <c r="AC651" s="207"/>
      <c r="AD651" s="207"/>
      <c r="AE651" s="207"/>
      <c r="AF651" s="207"/>
      <c r="AG651" s="207"/>
      <c r="AH651" s="207"/>
      <c r="AI651" s="207"/>
      <c r="AJ651" s="207"/>
      <c r="AK651" s="207"/>
      <c r="AL651" s="207"/>
      <c r="AM651" s="207"/>
      <c r="AN651" s="207"/>
      <c r="AO651" s="207"/>
      <c r="AP651" s="207"/>
      <c r="AQ651" s="207"/>
      <c r="AR651" s="207"/>
      <c r="AS651" s="207"/>
      <c r="AT651" s="207"/>
      <c r="AU651" s="207"/>
      <c r="AV651" s="207"/>
      <c r="AW651" s="207"/>
      <c r="AX651" s="207"/>
      <c r="AY651" s="207"/>
      <c r="AZ651" s="207"/>
      <c r="BA651" s="207"/>
    </row>
    <row r="652" ht="18.75" hidden="1" customHeight="1">
      <c r="A652" s="207"/>
      <c r="B652" s="207"/>
      <c r="C652" s="207"/>
      <c r="D652" s="207"/>
      <c r="E652" s="207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  <c r="AA652" s="207"/>
      <c r="AB652" s="207"/>
      <c r="AC652" s="207"/>
      <c r="AD652" s="207"/>
      <c r="AE652" s="207"/>
      <c r="AF652" s="207"/>
      <c r="AG652" s="207"/>
      <c r="AH652" s="207"/>
      <c r="AI652" s="207"/>
      <c r="AJ652" s="207"/>
      <c r="AK652" s="207"/>
      <c r="AL652" s="207"/>
      <c r="AM652" s="207"/>
      <c r="AN652" s="207"/>
      <c r="AO652" s="207"/>
      <c r="AP652" s="207"/>
      <c r="AQ652" s="207"/>
      <c r="AR652" s="207"/>
      <c r="AS652" s="207"/>
      <c r="AT652" s="207"/>
      <c r="AU652" s="207"/>
      <c r="AV652" s="207"/>
      <c r="AW652" s="207"/>
      <c r="AX652" s="207"/>
      <c r="AY652" s="207"/>
      <c r="AZ652" s="207"/>
      <c r="BA652" s="207"/>
    </row>
    <row r="653" ht="18.75" hidden="1" customHeight="1">
      <c r="A653" s="207"/>
      <c r="B653" s="207"/>
      <c r="C653" s="207"/>
      <c r="D653" s="207"/>
      <c r="E653" s="207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  <c r="AA653" s="207"/>
      <c r="AB653" s="207"/>
      <c r="AC653" s="207"/>
      <c r="AD653" s="207"/>
      <c r="AE653" s="207"/>
      <c r="AF653" s="207"/>
      <c r="AG653" s="207"/>
      <c r="AH653" s="207"/>
      <c r="AI653" s="207"/>
      <c r="AJ653" s="207"/>
      <c r="AK653" s="207"/>
      <c r="AL653" s="207"/>
      <c r="AM653" s="207"/>
      <c r="AN653" s="207"/>
      <c r="AO653" s="207"/>
      <c r="AP653" s="207"/>
      <c r="AQ653" s="207"/>
      <c r="AR653" s="207"/>
      <c r="AS653" s="207"/>
      <c r="AT653" s="207"/>
      <c r="AU653" s="207"/>
      <c r="AV653" s="207"/>
      <c r="AW653" s="207"/>
      <c r="AX653" s="207"/>
      <c r="AY653" s="207"/>
      <c r="AZ653" s="207"/>
      <c r="BA653" s="207"/>
    </row>
    <row r="654" ht="18.75" hidden="1" customHeight="1">
      <c r="A654" s="207"/>
      <c r="B654" s="207"/>
      <c r="C654" s="207"/>
      <c r="D654" s="207"/>
      <c r="E654" s="207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  <c r="AA654" s="207"/>
      <c r="AB654" s="207"/>
      <c r="AC654" s="207"/>
      <c r="AD654" s="207"/>
      <c r="AE654" s="207"/>
      <c r="AF654" s="207"/>
      <c r="AG654" s="207"/>
      <c r="AH654" s="207"/>
      <c r="AI654" s="207"/>
      <c r="AJ654" s="207"/>
      <c r="AK654" s="207"/>
      <c r="AL654" s="207"/>
      <c r="AM654" s="207"/>
      <c r="AN654" s="207"/>
      <c r="AO654" s="207"/>
      <c r="AP654" s="207"/>
      <c r="AQ654" s="207"/>
      <c r="AR654" s="207"/>
      <c r="AS654" s="207"/>
      <c r="AT654" s="207"/>
      <c r="AU654" s="207"/>
      <c r="AV654" s="207"/>
      <c r="AW654" s="207"/>
      <c r="AX654" s="207"/>
      <c r="AY654" s="207"/>
      <c r="AZ654" s="207"/>
      <c r="BA654" s="207"/>
    </row>
    <row r="655" ht="18.75" hidden="1" customHeight="1">
      <c r="A655" s="207"/>
      <c r="B655" s="207"/>
      <c r="C655" s="207"/>
      <c r="D655" s="207"/>
      <c r="E655" s="207"/>
      <c r="F655" s="207"/>
      <c r="G655" s="207"/>
      <c r="H655" s="207"/>
      <c r="I655" s="207"/>
      <c r="J655" s="207"/>
      <c r="K655" s="207"/>
      <c r="L655" s="207"/>
      <c r="M655" s="207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  <c r="AA655" s="207"/>
      <c r="AB655" s="207"/>
      <c r="AC655" s="207"/>
      <c r="AD655" s="207"/>
      <c r="AE655" s="207"/>
      <c r="AF655" s="207"/>
      <c r="AG655" s="207"/>
      <c r="AH655" s="207"/>
      <c r="AI655" s="207"/>
      <c r="AJ655" s="207"/>
      <c r="AK655" s="207"/>
      <c r="AL655" s="207"/>
      <c r="AM655" s="207"/>
      <c r="AN655" s="207"/>
      <c r="AO655" s="207"/>
      <c r="AP655" s="207"/>
      <c r="AQ655" s="207"/>
      <c r="AR655" s="207"/>
      <c r="AS655" s="207"/>
      <c r="AT655" s="207"/>
      <c r="AU655" s="207"/>
      <c r="AV655" s="207"/>
      <c r="AW655" s="207"/>
      <c r="AX655" s="207"/>
      <c r="AY655" s="207"/>
      <c r="AZ655" s="207"/>
      <c r="BA655" s="207"/>
    </row>
    <row r="656" ht="18.75" hidden="1" customHeight="1">
      <c r="A656" s="207"/>
      <c r="B656" s="207"/>
      <c r="C656" s="207"/>
      <c r="D656" s="207"/>
      <c r="E656" s="207"/>
      <c r="F656" s="207"/>
      <c r="G656" s="207"/>
      <c r="H656" s="207"/>
      <c r="I656" s="207"/>
      <c r="J656" s="207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  <c r="AA656" s="207"/>
      <c r="AB656" s="207"/>
      <c r="AC656" s="207"/>
      <c r="AD656" s="207"/>
      <c r="AE656" s="207"/>
      <c r="AF656" s="207"/>
      <c r="AG656" s="207"/>
      <c r="AH656" s="207"/>
      <c r="AI656" s="207"/>
      <c r="AJ656" s="207"/>
      <c r="AK656" s="207"/>
      <c r="AL656" s="207"/>
      <c r="AM656" s="207"/>
      <c r="AN656" s="207"/>
      <c r="AO656" s="207"/>
      <c r="AP656" s="207"/>
      <c r="AQ656" s="207"/>
      <c r="AR656" s="207"/>
      <c r="AS656" s="207"/>
      <c r="AT656" s="207"/>
      <c r="AU656" s="207"/>
      <c r="AV656" s="207"/>
      <c r="AW656" s="207"/>
      <c r="AX656" s="207"/>
      <c r="AY656" s="207"/>
      <c r="AZ656" s="207"/>
      <c r="BA656" s="207"/>
    </row>
    <row r="657" ht="18.75" hidden="1" customHeight="1">
      <c r="A657" s="207"/>
      <c r="B657" s="207"/>
      <c r="C657" s="207"/>
      <c r="D657" s="207"/>
      <c r="E657" s="207"/>
      <c r="F657" s="207"/>
      <c r="G657" s="207"/>
      <c r="H657" s="207"/>
      <c r="I657" s="207"/>
      <c r="J657" s="207"/>
      <c r="K657" s="207"/>
      <c r="L657" s="207"/>
      <c r="M657" s="207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207"/>
      <c r="Z657" s="207"/>
      <c r="AA657" s="207"/>
      <c r="AB657" s="207"/>
      <c r="AC657" s="207"/>
      <c r="AD657" s="207"/>
      <c r="AE657" s="207"/>
      <c r="AF657" s="207"/>
      <c r="AG657" s="207"/>
      <c r="AH657" s="207"/>
      <c r="AI657" s="207"/>
      <c r="AJ657" s="207"/>
      <c r="AK657" s="207"/>
      <c r="AL657" s="207"/>
      <c r="AM657" s="207"/>
      <c r="AN657" s="207"/>
      <c r="AO657" s="207"/>
      <c r="AP657" s="207"/>
      <c r="AQ657" s="207"/>
      <c r="AR657" s="207"/>
      <c r="AS657" s="207"/>
      <c r="AT657" s="207"/>
      <c r="AU657" s="207"/>
      <c r="AV657" s="207"/>
      <c r="AW657" s="207"/>
      <c r="AX657" s="207"/>
      <c r="AY657" s="207"/>
      <c r="AZ657" s="207"/>
      <c r="BA657" s="207"/>
    </row>
    <row r="658" ht="18.75" hidden="1" customHeight="1">
      <c r="A658" s="207"/>
      <c r="B658" s="207"/>
      <c r="C658" s="207"/>
      <c r="D658" s="207"/>
      <c r="E658" s="207"/>
      <c r="F658" s="207"/>
      <c r="G658" s="207"/>
      <c r="H658" s="207"/>
      <c r="I658" s="207"/>
      <c r="J658" s="207"/>
      <c r="K658" s="207"/>
      <c r="L658" s="207"/>
      <c r="M658" s="207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207"/>
      <c r="Z658" s="207"/>
      <c r="AA658" s="207"/>
      <c r="AB658" s="207"/>
      <c r="AC658" s="207"/>
      <c r="AD658" s="207"/>
      <c r="AE658" s="207"/>
      <c r="AF658" s="207"/>
      <c r="AG658" s="207"/>
      <c r="AH658" s="207"/>
      <c r="AI658" s="207"/>
      <c r="AJ658" s="207"/>
      <c r="AK658" s="207"/>
      <c r="AL658" s="207"/>
      <c r="AM658" s="207"/>
      <c r="AN658" s="207"/>
      <c r="AO658" s="207"/>
      <c r="AP658" s="207"/>
      <c r="AQ658" s="207"/>
      <c r="AR658" s="207"/>
      <c r="AS658" s="207"/>
      <c r="AT658" s="207"/>
      <c r="AU658" s="207"/>
      <c r="AV658" s="207"/>
      <c r="AW658" s="207"/>
      <c r="AX658" s="207"/>
      <c r="AY658" s="207"/>
      <c r="AZ658" s="207"/>
      <c r="BA658" s="207"/>
    </row>
    <row r="659" ht="18.75" hidden="1" customHeight="1">
      <c r="A659" s="207"/>
      <c r="B659" s="207"/>
      <c r="C659" s="207"/>
      <c r="D659" s="207"/>
      <c r="E659" s="207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  <c r="AA659" s="207"/>
      <c r="AB659" s="207"/>
      <c r="AC659" s="207"/>
      <c r="AD659" s="207"/>
      <c r="AE659" s="207"/>
      <c r="AF659" s="207"/>
      <c r="AG659" s="207"/>
      <c r="AH659" s="207"/>
      <c r="AI659" s="207"/>
      <c r="AJ659" s="207"/>
      <c r="AK659" s="207"/>
      <c r="AL659" s="207"/>
      <c r="AM659" s="207"/>
      <c r="AN659" s="207"/>
      <c r="AO659" s="207"/>
      <c r="AP659" s="207"/>
      <c r="AQ659" s="207"/>
      <c r="AR659" s="207"/>
      <c r="AS659" s="207"/>
      <c r="AT659" s="207"/>
      <c r="AU659" s="207"/>
      <c r="AV659" s="207"/>
      <c r="AW659" s="207"/>
      <c r="AX659" s="207"/>
      <c r="AY659" s="207"/>
      <c r="AZ659" s="207"/>
      <c r="BA659" s="207"/>
    </row>
    <row r="660" ht="18.75" hidden="1" customHeight="1">
      <c r="A660" s="207"/>
      <c r="B660" s="207"/>
      <c r="C660" s="207"/>
      <c r="D660" s="207"/>
      <c r="E660" s="207"/>
      <c r="F660" s="207"/>
      <c r="G660" s="207"/>
      <c r="H660" s="207"/>
      <c r="I660" s="207"/>
      <c r="J660" s="207"/>
      <c r="K660" s="207"/>
      <c r="L660" s="207"/>
      <c r="M660" s="207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  <c r="AA660" s="207"/>
      <c r="AB660" s="207"/>
      <c r="AC660" s="207"/>
      <c r="AD660" s="207"/>
      <c r="AE660" s="207"/>
      <c r="AF660" s="207"/>
      <c r="AG660" s="207"/>
      <c r="AH660" s="207"/>
      <c r="AI660" s="207"/>
      <c r="AJ660" s="207"/>
      <c r="AK660" s="207"/>
      <c r="AL660" s="207"/>
      <c r="AM660" s="207"/>
      <c r="AN660" s="207"/>
      <c r="AO660" s="207"/>
      <c r="AP660" s="207"/>
      <c r="AQ660" s="207"/>
      <c r="AR660" s="207"/>
      <c r="AS660" s="207"/>
      <c r="AT660" s="207"/>
      <c r="AU660" s="207"/>
      <c r="AV660" s="207"/>
      <c r="AW660" s="207"/>
      <c r="AX660" s="207"/>
      <c r="AY660" s="207"/>
      <c r="AZ660" s="207"/>
      <c r="BA660" s="207"/>
    </row>
    <row r="661" ht="18.75" hidden="1" customHeight="1">
      <c r="A661" s="207"/>
      <c r="B661" s="207"/>
      <c r="C661" s="207"/>
      <c r="D661" s="207"/>
      <c r="E661" s="207"/>
      <c r="F661" s="207"/>
      <c r="G661" s="207"/>
      <c r="H661" s="207"/>
      <c r="I661" s="207"/>
      <c r="J661" s="207"/>
      <c r="K661" s="207"/>
      <c r="L661" s="207"/>
      <c r="M661" s="207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/>
      <c r="Y661" s="207"/>
      <c r="Z661" s="207"/>
      <c r="AA661" s="207"/>
      <c r="AB661" s="207"/>
      <c r="AC661" s="207"/>
      <c r="AD661" s="207"/>
      <c r="AE661" s="207"/>
      <c r="AF661" s="207"/>
      <c r="AG661" s="207"/>
      <c r="AH661" s="207"/>
      <c r="AI661" s="207"/>
      <c r="AJ661" s="207"/>
      <c r="AK661" s="207"/>
      <c r="AL661" s="207"/>
      <c r="AM661" s="207"/>
      <c r="AN661" s="207"/>
      <c r="AO661" s="207"/>
      <c r="AP661" s="207"/>
      <c r="AQ661" s="207"/>
      <c r="AR661" s="207"/>
      <c r="AS661" s="207"/>
      <c r="AT661" s="207"/>
      <c r="AU661" s="207"/>
      <c r="AV661" s="207"/>
      <c r="AW661" s="207"/>
      <c r="AX661" s="207"/>
      <c r="AY661" s="207"/>
      <c r="AZ661" s="207"/>
      <c r="BA661" s="207"/>
    </row>
    <row r="662" ht="18.75" hidden="1" customHeight="1">
      <c r="A662" s="207"/>
      <c r="B662" s="207"/>
      <c r="C662" s="207"/>
      <c r="D662" s="207"/>
      <c r="E662" s="207"/>
      <c r="F662" s="207"/>
      <c r="G662" s="207"/>
      <c r="H662" s="207"/>
      <c r="I662" s="207"/>
      <c r="J662" s="207"/>
      <c r="K662" s="207"/>
      <c r="L662" s="207"/>
      <c r="M662" s="207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/>
      <c r="Y662" s="207"/>
      <c r="Z662" s="207"/>
      <c r="AA662" s="207"/>
      <c r="AB662" s="207"/>
      <c r="AC662" s="207"/>
      <c r="AD662" s="207"/>
      <c r="AE662" s="207"/>
      <c r="AF662" s="207"/>
      <c r="AG662" s="207"/>
      <c r="AH662" s="207"/>
      <c r="AI662" s="207"/>
      <c r="AJ662" s="207"/>
      <c r="AK662" s="207"/>
      <c r="AL662" s="207"/>
      <c r="AM662" s="207"/>
      <c r="AN662" s="207"/>
      <c r="AO662" s="207"/>
      <c r="AP662" s="207"/>
      <c r="AQ662" s="207"/>
      <c r="AR662" s="207"/>
      <c r="AS662" s="207"/>
      <c r="AT662" s="207"/>
      <c r="AU662" s="207"/>
      <c r="AV662" s="207"/>
      <c r="AW662" s="207"/>
      <c r="AX662" s="207"/>
      <c r="AY662" s="207"/>
      <c r="AZ662" s="207"/>
      <c r="BA662" s="207"/>
    </row>
    <row r="663" ht="18.75" hidden="1" customHeight="1">
      <c r="A663" s="207"/>
      <c r="B663" s="207"/>
      <c r="C663" s="207"/>
      <c r="D663" s="207"/>
      <c r="E663" s="207"/>
      <c r="F663" s="207"/>
      <c r="G663" s="207"/>
      <c r="H663" s="207"/>
      <c r="I663" s="207"/>
      <c r="J663" s="207"/>
      <c r="K663" s="207"/>
      <c r="L663" s="207"/>
      <c r="M663" s="207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  <c r="AA663" s="207"/>
      <c r="AB663" s="207"/>
      <c r="AC663" s="207"/>
      <c r="AD663" s="207"/>
      <c r="AE663" s="207"/>
      <c r="AF663" s="207"/>
      <c r="AG663" s="207"/>
      <c r="AH663" s="207"/>
      <c r="AI663" s="207"/>
      <c r="AJ663" s="207"/>
      <c r="AK663" s="207"/>
      <c r="AL663" s="207"/>
      <c r="AM663" s="207"/>
      <c r="AN663" s="207"/>
      <c r="AO663" s="207"/>
      <c r="AP663" s="207"/>
      <c r="AQ663" s="207"/>
      <c r="AR663" s="207"/>
      <c r="AS663" s="207"/>
      <c r="AT663" s="207"/>
      <c r="AU663" s="207"/>
      <c r="AV663" s="207"/>
      <c r="AW663" s="207"/>
      <c r="AX663" s="207"/>
      <c r="AY663" s="207"/>
      <c r="AZ663" s="207"/>
      <c r="BA663" s="207"/>
    </row>
    <row r="664" ht="18.75" hidden="1" customHeight="1">
      <c r="A664" s="207"/>
      <c r="B664" s="207"/>
      <c r="C664" s="207"/>
      <c r="D664" s="207"/>
      <c r="E664" s="207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  <c r="AA664" s="207"/>
      <c r="AB664" s="207"/>
      <c r="AC664" s="207"/>
      <c r="AD664" s="207"/>
      <c r="AE664" s="207"/>
      <c r="AF664" s="207"/>
      <c r="AG664" s="207"/>
      <c r="AH664" s="207"/>
      <c r="AI664" s="207"/>
      <c r="AJ664" s="207"/>
      <c r="AK664" s="207"/>
      <c r="AL664" s="207"/>
      <c r="AM664" s="207"/>
      <c r="AN664" s="207"/>
      <c r="AO664" s="207"/>
      <c r="AP664" s="207"/>
      <c r="AQ664" s="207"/>
      <c r="AR664" s="207"/>
      <c r="AS664" s="207"/>
      <c r="AT664" s="207"/>
      <c r="AU664" s="207"/>
      <c r="AV664" s="207"/>
      <c r="AW664" s="207"/>
      <c r="AX664" s="207"/>
      <c r="AY664" s="207"/>
      <c r="AZ664" s="207"/>
      <c r="BA664" s="207"/>
    </row>
    <row r="665" ht="18.75" hidden="1" customHeight="1">
      <c r="A665" s="207"/>
      <c r="B665" s="207"/>
      <c r="C665" s="207"/>
      <c r="D665" s="207"/>
      <c r="E665" s="207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  <c r="AA665" s="207"/>
      <c r="AB665" s="207"/>
      <c r="AC665" s="207"/>
      <c r="AD665" s="207"/>
      <c r="AE665" s="207"/>
      <c r="AF665" s="207"/>
      <c r="AG665" s="207"/>
      <c r="AH665" s="207"/>
      <c r="AI665" s="207"/>
      <c r="AJ665" s="207"/>
      <c r="AK665" s="207"/>
      <c r="AL665" s="207"/>
      <c r="AM665" s="207"/>
      <c r="AN665" s="207"/>
      <c r="AO665" s="207"/>
      <c r="AP665" s="207"/>
      <c r="AQ665" s="207"/>
      <c r="AR665" s="207"/>
      <c r="AS665" s="207"/>
      <c r="AT665" s="207"/>
      <c r="AU665" s="207"/>
      <c r="AV665" s="207"/>
      <c r="AW665" s="207"/>
      <c r="AX665" s="207"/>
      <c r="AY665" s="207"/>
      <c r="AZ665" s="207"/>
      <c r="BA665" s="207"/>
    </row>
    <row r="666" ht="18.75" hidden="1" customHeight="1">
      <c r="A666" s="207"/>
      <c r="B666" s="207"/>
      <c r="C666" s="207"/>
      <c r="D666" s="207"/>
      <c r="E666" s="207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  <c r="AA666" s="207"/>
      <c r="AB666" s="207"/>
      <c r="AC666" s="207"/>
      <c r="AD666" s="207"/>
      <c r="AE666" s="207"/>
      <c r="AF666" s="207"/>
      <c r="AG666" s="207"/>
      <c r="AH666" s="207"/>
      <c r="AI666" s="207"/>
      <c r="AJ666" s="207"/>
      <c r="AK666" s="207"/>
      <c r="AL666" s="207"/>
      <c r="AM666" s="207"/>
      <c r="AN666" s="207"/>
      <c r="AO666" s="207"/>
      <c r="AP666" s="207"/>
      <c r="AQ666" s="207"/>
      <c r="AR666" s="207"/>
      <c r="AS666" s="207"/>
      <c r="AT666" s="207"/>
      <c r="AU666" s="207"/>
      <c r="AV666" s="207"/>
      <c r="AW666" s="207"/>
      <c r="AX666" s="207"/>
      <c r="AY666" s="207"/>
      <c r="AZ666" s="207"/>
      <c r="BA666" s="207"/>
    </row>
    <row r="667" ht="18.75" hidden="1" customHeight="1">
      <c r="A667" s="207"/>
      <c r="B667" s="207"/>
      <c r="C667" s="207"/>
      <c r="D667" s="207"/>
      <c r="E667" s="207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  <c r="AA667" s="207"/>
      <c r="AB667" s="207"/>
      <c r="AC667" s="207"/>
      <c r="AD667" s="207"/>
      <c r="AE667" s="207"/>
      <c r="AF667" s="207"/>
      <c r="AG667" s="207"/>
      <c r="AH667" s="207"/>
      <c r="AI667" s="207"/>
      <c r="AJ667" s="207"/>
      <c r="AK667" s="207"/>
      <c r="AL667" s="207"/>
      <c r="AM667" s="207"/>
      <c r="AN667" s="207"/>
      <c r="AO667" s="207"/>
      <c r="AP667" s="207"/>
      <c r="AQ667" s="207"/>
      <c r="AR667" s="207"/>
      <c r="AS667" s="207"/>
      <c r="AT667" s="207"/>
      <c r="AU667" s="207"/>
      <c r="AV667" s="207"/>
      <c r="AW667" s="207"/>
      <c r="AX667" s="207"/>
      <c r="AY667" s="207"/>
      <c r="AZ667" s="207"/>
      <c r="BA667" s="207"/>
    </row>
    <row r="668" ht="18.75" hidden="1" customHeight="1">
      <c r="A668" s="207"/>
      <c r="B668" s="207"/>
      <c r="C668" s="207"/>
      <c r="D668" s="207"/>
      <c r="E668" s="207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  <c r="AA668" s="207"/>
      <c r="AB668" s="207"/>
      <c r="AC668" s="207"/>
      <c r="AD668" s="207"/>
      <c r="AE668" s="207"/>
      <c r="AF668" s="207"/>
      <c r="AG668" s="207"/>
      <c r="AH668" s="207"/>
      <c r="AI668" s="207"/>
      <c r="AJ668" s="207"/>
      <c r="AK668" s="207"/>
      <c r="AL668" s="207"/>
      <c r="AM668" s="207"/>
      <c r="AN668" s="207"/>
      <c r="AO668" s="207"/>
      <c r="AP668" s="207"/>
      <c r="AQ668" s="207"/>
      <c r="AR668" s="207"/>
      <c r="AS668" s="207"/>
      <c r="AT668" s="207"/>
      <c r="AU668" s="207"/>
      <c r="AV668" s="207"/>
      <c r="AW668" s="207"/>
      <c r="AX668" s="207"/>
      <c r="AY668" s="207"/>
      <c r="AZ668" s="207"/>
      <c r="BA668" s="207"/>
    </row>
    <row r="669" ht="18.75" hidden="1" customHeight="1">
      <c r="A669" s="207"/>
      <c r="B669" s="207"/>
      <c r="C669" s="207"/>
      <c r="D669" s="207"/>
      <c r="E669" s="207"/>
      <c r="F669" s="207"/>
      <c r="G669" s="207"/>
      <c r="H669" s="207"/>
      <c r="I669" s="207"/>
      <c r="J669" s="207"/>
      <c r="K669" s="207"/>
      <c r="L669" s="207"/>
      <c r="M669" s="207"/>
      <c r="N669" s="207"/>
      <c r="O669" s="207"/>
      <c r="P669" s="207"/>
      <c r="Q669" s="207"/>
      <c r="R669" s="207"/>
      <c r="S669" s="207"/>
      <c r="T669" s="207"/>
      <c r="U669" s="207"/>
      <c r="V669" s="207"/>
      <c r="W669" s="207"/>
      <c r="X669" s="207"/>
      <c r="Y669" s="207"/>
      <c r="Z669" s="207"/>
      <c r="AA669" s="207"/>
      <c r="AB669" s="207"/>
      <c r="AC669" s="207"/>
      <c r="AD669" s="207"/>
      <c r="AE669" s="207"/>
      <c r="AF669" s="207"/>
      <c r="AG669" s="207"/>
      <c r="AH669" s="207"/>
      <c r="AI669" s="207"/>
      <c r="AJ669" s="207"/>
      <c r="AK669" s="207"/>
      <c r="AL669" s="207"/>
      <c r="AM669" s="207"/>
      <c r="AN669" s="207"/>
      <c r="AO669" s="207"/>
      <c r="AP669" s="207"/>
      <c r="AQ669" s="207"/>
      <c r="AR669" s="207"/>
      <c r="AS669" s="207"/>
      <c r="AT669" s="207"/>
      <c r="AU669" s="207"/>
      <c r="AV669" s="207"/>
      <c r="AW669" s="207"/>
      <c r="AX669" s="207"/>
      <c r="AY669" s="207"/>
      <c r="AZ669" s="207"/>
      <c r="BA669" s="207"/>
    </row>
    <row r="670" ht="18.75" hidden="1" customHeight="1">
      <c r="A670" s="207"/>
      <c r="B670" s="207"/>
      <c r="C670" s="207"/>
      <c r="D670" s="207"/>
      <c r="E670" s="207"/>
      <c r="F670" s="207"/>
      <c r="G670" s="207"/>
      <c r="H670" s="207"/>
      <c r="I670" s="207"/>
      <c r="J670" s="207"/>
      <c r="K670" s="207"/>
      <c r="L670" s="207"/>
      <c r="M670" s="207"/>
      <c r="N670" s="207"/>
      <c r="O670" s="207"/>
      <c r="P670" s="207"/>
      <c r="Q670" s="207"/>
      <c r="R670" s="207"/>
      <c r="S670" s="207"/>
      <c r="T670" s="207"/>
      <c r="U670" s="207"/>
      <c r="V670" s="207"/>
      <c r="W670" s="207"/>
      <c r="X670" s="207"/>
      <c r="Y670" s="207"/>
      <c r="Z670" s="207"/>
      <c r="AA670" s="207"/>
      <c r="AB670" s="207"/>
      <c r="AC670" s="207"/>
      <c r="AD670" s="207"/>
      <c r="AE670" s="207"/>
      <c r="AF670" s="207"/>
      <c r="AG670" s="207"/>
      <c r="AH670" s="207"/>
      <c r="AI670" s="207"/>
      <c r="AJ670" s="207"/>
      <c r="AK670" s="207"/>
      <c r="AL670" s="207"/>
      <c r="AM670" s="207"/>
      <c r="AN670" s="207"/>
      <c r="AO670" s="207"/>
      <c r="AP670" s="207"/>
      <c r="AQ670" s="207"/>
      <c r="AR670" s="207"/>
      <c r="AS670" s="207"/>
      <c r="AT670" s="207"/>
      <c r="AU670" s="207"/>
      <c r="AV670" s="207"/>
      <c r="AW670" s="207"/>
      <c r="AX670" s="207"/>
      <c r="AY670" s="207"/>
      <c r="AZ670" s="207"/>
      <c r="BA670" s="207"/>
    </row>
    <row r="671" ht="18.75" hidden="1" customHeight="1">
      <c r="A671" s="207"/>
      <c r="B671" s="207"/>
      <c r="C671" s="207"/>
      <c r="D671" s="207"/>
      <c r="E671" s="207"/>
      <c r="F671" s="207"/>
      <c r="G671" s="207"/>
      <c r="H671" s="207"/>
      <c r="I671" s="207"/>
      <c r="J671" s="207"/>
      <c r="K671" s="207"/>
      <c r="L671" s="207"/>
      <c r="M671" s="207"/>
      <c r="N671" s="207"/>
      <c r="O671" s="207"/>
      <c r="P671" s="207"/>
      <c r="Q671" s="207"/>
      <c r="R671" s="207"/>
      <c r="S671" s="207"/>
      <c r="T671" s="207"/>
      <c r="U671" s="207"/>
      <c r="V671" s="207"/>
      <c r="W671" s="207"/>
      <c r="X671" s="207"/>
      <c r="Y671" s="207"/>
      <c r="Z671" s="207"/>
      <c r="AA671" s="207"/>
      <c r="AB671" s="207"/>
      <c r="AC671" s="207"/>
      <c r="AD671" s="207"/>
      <c r="AE671" s="207"/>
      <c r="AF671" s="207"/>
      <c r="AG671" s="207"/>
      <c r="AH671" s="207"/>
      <c r="AI671" s="207"/>
      <c r="AJ671" s="207"/>
      <c r="AK671" s="207"/>
      <c r="AL671" s="207"/>
      <c r="AM671" s="207"/>
      <c r="AN671" s="207"/>
      <c r="AO671" s="207"/>
      <c r="AP671" s="207"/>
      <c r="AQ671" s="207"/>
      <c r="AR671" s="207"/>
      <c r="AS671" s="207"/>
      <c r="AT671" s="207"/>
      <c r="AU671" s="207"/>
      <c r="AV671" s="207"/>
      <c r="AW671" s="207"/>
      <c r="AX671" s="207"/>
      <c r="AY671" s="207"/>
      <c r="AZ671" s="207"/>
      <c r="BA671" s="207"/>
    </row>
    <row r="672" ht="18.75" hidden="1" customHeight="1">
      <c r="A672" s="207"/>
      <c r="B672" s="207"/>
      <c r="C672" s="207"/>
      <c r="D672" s="207"/>
      <c r="E672" s="207"/>
      <c r="F672" s="207"/>
      <c r="G672" s="207"/>
      <c r="H672" s="207"/>
      <c r="I672" s="207"/>
      <c r="J672" s="207"/>
      <c r="K672" s="207"/>
      <c r="L672" s="207"/>
      <c r="M672" s="207"/>
      <c r="N672" s="207"/>
      <c r="O672" s="207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  <c r="AA672" s="207"/>
      <c r="AB672" s="207"/>
      <c r="AC672" s="207"/>
      <c r="AD672" s="207"/>
      <c r="AE672" s="207"/>
      <c r="AF672" s="207"/>
      <c r="AG672" s="207"/>
      <c r="AH672" s="207"/>
      <c r="AI672" s="207"/>
      <c r="AJ672" s="207"/>
      <c r="AK672" s="207"/>
      <c r="AL672" s="207"/>
      <c r="AM672" s="207"/>
      <c r="AN672" s="207"/>
      <c r="AO672" s="207"/>
      <c r="AP672" s="207"/>
      <c r="AQ672" s="207"/>
      <c r="AR672" s="207"/>
      <c r="AS672" s="207"/>
      <c r="AT672" s="207"/>
      <c r="AU672" s="207"/>
      <c r="AV672" s="207"/>
      <c r="AW672" s="207"/>
      <c r="AX672" s="207"/>
      <c r="AY672" s="207"/>
      <c r="AZ672" s="207"/>
      <c r="BA672" s="207"/>
    </row>
    <row r="673" ht="18.75" hidden="1" customHeight="1">
      <c r="A673" s="207"/>
      <c r="B673" s="207"/>
      <c r="C673" s="207"/>
      <c r="D673" s="207"/>
      <c r="E673" s="207"/>
      <c r="F673" s="207"/>
      <c r="G673" s="207"/>
      <c r="H673" s="207"/>
      <c r="I673" s="207"/>
      <c r="J673" s="207"/>
      <c r="K673" s="207"/>
      <c r="L673" s="207"/>
      <c r="M673" s="207"/>
      <c r="N673" s="207"/>
      <c r="O673" s="207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  <c r="AA673" s="207"/>
      <c r="AB673" s="207"/>
      <c r="AC673" s="207"/>
      <c r="AD673" s="207"/>
      <c r="AE673" s="207"/>
      <c r="AF673" s="207"/>
      <c r="AG673" s="207"/>
      <c r="AH673" s="207"/>
      <c r="AI673" s="207"/>
      <c r="AJ673" s="207"/>
      <c r="AK673" s="207"/>
      <c r="AL673" s="207"/>
      <c r="AM673" s="207"/>
      <c r="AN673" s="207"/>
      <c r="AO673" s="207"/>
      <c r="AP673" s="207"/>
      <c r="AQ673" s="207"/>
      <c r="AR673" s="207"/>
      <c r="AS673" s="207"/>
      <c r="AT673" s="207"/>
      <c r="AU673" s="207"/>
      <c r="AV673" s="207"/>
      <c r="AW673" s="207"/>
      <c r="AX673" s="207"/>
      <c r="AY673" s="207"/>
      <c r="AZ673" s="207"/>
      <c r="BA673" s="207"/>
    </row>
    <row r="674" ht="18.75" hidden="1" customHeight="1">
      <c r="A674" s="207"/>
      <c r="B674" s="207"/>
      <c r="C674" s="207"/>
      <c r="D674" s="207"/>
      <c r="E674" s="207"/>
      <c r="F674" s="207"/>
      <c r="G674" s="207"/>
      <c r="H674" s="207"/>
      <c r="I674" s="207"/>
      <c r="J674" s="207"/>
      <c r="K674" s="207"/>
      <c r="L674" s="207"/>
      <c r="M674" s="207"/>
      <c r="N674" s="207"/>
      <c r="O674" s="207"/>
      <c r="P674" s="207"/>
      <c r="Q674" s="207"/>
      <c r="R674" s="207"/>
      <c r="S674" s="207"/>
      <c r="T674" s="207"/>
      <c r="U674" s="207"/>
      <c r="V674" s="207"/>
      <c r="W674" s="207"/>
      <c r="X674" s="207"/>
      <c r="Y674" s="207"/>
      <c r="Z674" s="207"/>
      <c r="AA674" s="207"/>
      <c r="AB674" s="207"/>
      <c r="AC674" s="207"/>
      <c r="AD674" s="207"/>
      <c r="AE674" s="207"/>
      <c r="AF674" s="207"/>
      <c r="AG674" s="207"/>
      <c r="AH674" s="207"/>
      <c r="AI674" s="207"/>
      <c r="AJ674" s="207"/>
      <c r="AK674" s="207"/>
      <c r="AL674" s="207"/>
      <c r="AM674" s="207"/>
      <c r="AN674" s="207"/>
      <c r="AO674" s="207"/>
      <c r="AP674" s="207"/>
      <c r="AQ674" s="207"/>
      <c r="AR674" s="207"/>
      <c r="AS674" s="207"/>
      <c r="AT674" s="207"/>
      <c r="AU674" s="207"/>
      <c r="AV674" s="207"/>
      <c r="AW674" s="207"/>
      <c r="AX674" s="207"/>
      <c r="AY674" s="207"/>
      <c r="AZ674" s="207"/>
      <c r="BA674" s="207"/>
    </row>
    <row r="675" ht="18.75" hidden="1" customHeight="1">
      <c r="A675" s="207"/>
      <c r="B675" s="207"/>
      <c r="C675" s="207"/>
      <c r="D675" s="207"/>
      <c r="E675" s="207"/>
      <c r="F675" s="207"/>
      <c r="G675" s="207"/>
      <c r="H675" s="207"/>
      <c r="I675" s="207"/>
      <c r="J675" s="207"/>
      <c r="K675" s="207"/>
      <c r="L675" s="207"/>
      <c r="M675" s="207"/>
      <c r="N675" s="207"/>
      <c r="O675" s="207"/>
      <c r="P675" s="207"/>
      <c r="Q675" s="207"/>
      <c r="R675" s="207"/>
      <c r="S675" s="207"/>
      <c r="T675" s="207"/>
      <c r="U675" s="207"/>
      <c r="V675" s="207"/>
      <c r="W675" s="207"/>
      <c r="X675" s="207"/>
      <c r="Y675" s="207"/>
      <c r="Z675" s="207"/>
      <c r="AA675" s="207"/>
      <c r="AB675" s="207"/>
      <c r="AC675" s="207"/>
      <c r="AD675" s="207"/>
      <c r="AE675" s="207"/>
      <c r="AF675" s="207"/>
      <c r="AG675" s="207"/>
      <c r="AH675" s="207"/>
      <c r="AI675" s="207"/>
      <c r="AJ675" s="207"/>
      <c r="AK675" s="207"/>
      <c r="AL675" s="207"/>
      <c r="AM675" s="207"/>
      <c r="AN675" s="207"/>
      <c r="AO675" s="207"/>
      <c r="AP675" s="207"/>
      <c r="AQ675" s="207"/>
      <c r="AR675" s="207"/>
      <c r="AS675" s="207"/>
      <c r="AT675" s="207"/>
      <c r="AU675" s="207"/>
      <c r="AV675" s="207"/>
      <c r="AW675" s="207"/>
      <c r="AX675" s="207"/>
      <c r="AY675" s="207"/>
      <c r="AZ675" s="207"/>
      <c r="BA675" s="207"/>
    </row>
    <row r="676" ht="18.75" hidden="1" customHeight="1">
      <c r="A676" s="207"/>
      <c r="B676" s="207"/>
      <c r="C676" s="207"/>
      <c r="D676" s="207"/>
      <c r="E676" s="207"/>
      <c r="F676" s="207"/>
      <c r="G676" s="207"/>
      <c r="H676" s="207"/>
      <c r="I676" s="207"/>
      <c r="J676" s="207"/>
      <c r="K676" s="207"/>
      <c r="L676" s="207"/>
      <c r="M676" s="207"/>
      <c r="N676" s="207"/>
      <c r="O676" s="207"/>
      <c r="P676" s="207"/>
      <c r="Q676" s="207"/>
      <c r="R676" s="207"/>
      <c r="S676" s="207"/>
      <c r="T676" s="207"/>
      <c r="U676" s="207"/>
      <c r="V676" s="207"/>
      <c r="W676" s="207"/>
      <c r="X676" s="207"/>
      <c r="Y676" s="207"/>
      <c r="Z676" s="207"/>
      <c r="AA676" s="207"/>
      <c r="AB676" s="207"/>
      <c r="AC676" s="207"/>
      <c r="AD676" s="207"/>
      <c r="AE676" s="207"/>
      <c r="AF676" s="207"/>
      <c r="AG676" s="207"/>
      <c r="AH676" s="207"/>
      <c r="AI676" s="207"/>
      <c r="AJ676" s="207"/>
      <c r="AK676" s="207"/>
      <c r="AL676" s="207"/>
      <c r="AM676" s="207"/>
      <c r="AN676" s="207"/>
      <c r="AO676" s="207"/>
      <c r="AP676" s="207"/>
      <c r="AQ676" s="207"/>
      <c r="AR676" s="207"/>
      <c r="AS676" s="207"/>
      <c r="AT676" s="207"/>
      <c r="AU676" s="207"/>
      <c r="AV676" s="207"/>
      <c r="AW676" s="207"/>
      <c r="AX676" s="207"/>
      <c r="AY676" s="207"/>
      <c r="AZ676" s="207"/>
      <c r="BA676" s="207"/>
    </row>
    <row r="677" ht="18.75" hidden="1" customHeight="1">
      <c r="A677" s="207"/>
      <c r="B677" s="207"/>
      <c r="C677" s="207"/>
      <c r="D677" s="207"/>
      <c r="E677" s="207"/>
      <c r="F677" s="207"/>
      <c r="G677" s="207"/>
      <c r="H677" s="207"/>
      <c r="I677" s="207"/>
      <c r="J677" s="207"/>
      <c r="K677" s="207"/>
      <c r="L677" s="207"/>
      <c r="M677" s="207"/>
      <c r="N677" s="207"/>
      <c r="O677" s="207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  <c r="AA677" s="207"/>
      <c r="AB677" s="207"/>
      <c r="AC677" s="207"/>
      <c r="AD677" s="207"/>
      <c r="AE677" s="207"/>
      <c r="AF677" s="207"/>
      <c r="AG677" s="207"/>
      <c r="AH677" s="207"/>
      <c r="AI677" s="207"/>
      <c r="AJ677" s="207"/>
      <c r="AK677" s="207"/>
      <c r="AL677" s="207"/>
      <c r="AM677" s="207"/>
      <c r="AN677" s="207"/>
      <c r="AO677" s="207"/>
      <c r="AP677" s="207"/>
      <c r="AQ677" s="207"/>
      <c r="AR677" s="207"/>
      <c r="AS677" s="207"/>
      <c r="AT677" s="207"/>
      <c r="AU677" s="207"/>
      <c r="AV677" s="207"/>
      <c r="AW677" s="207"/>
      <c r="AX677" s="207"/>
      <c r="AY677" s="207"/>
      <c r="AZ677" s="207"/>
      <c r="BA677" s="207"/>
    </row>
    <row r="678" ht="18.75" hidden="1" customHeight="1">
      <c r="A678" s="207"/>
      <c r="B678" s="207"/>
      <c r="C678" s="207"/>
      <c r="D678" s="207"/>
      <c r="E678" s="207"/>
      <c r="F678" s="207"/>
      <c r="G678" s="207"/>
      <c r="H678" s="207"/>
      <c r="I678" s="207"/>
      <c r="J678" s="207"/>
      <c r="K678" s="207"/>
      <c r="L678" s="207"/>
      <c r="M678" s="207"/>
      <c r="N678" s="207"/>
      <c r="O678" s="207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  <c r="AA678" s="207"/>
      <c r="AB678" s="207"/>
      <c r="AC678" s="207"/>
      <c r="AD678" s="207"/>
      <c r="AE678" s="207"/>
      <c r="AF678" s="207"/>
      <c r="AG678" s="207"/>
      <c r="AH678" s="207"/>
      <c r="AI678" s="207"/>
      <c r="AJ678" s="207"/>
      <c r="AK678" s="207"/>
      <c r="AL678" s="207"/>
      <c r="AM678" s="207"/>
      <c r="AN678" s="207"/>
      <c r="AO678" s="207"/>
      <c r="AP678" s="207"/>
      <c r="AQ678" s="207"/>
      <c r="AR678" s="207"/>
      <c r="AS678" s="207"/>
      <c r="AT678" s="207"/>
      <c r="AU678" s="207"/>
      <c r="AV678" s="207"/>
      <c r="AW678" s="207"/>
      <c r="AX678" s="207"/>
      <c r="AY678" s="207"/>
      <c r="AZ678" s="207"/>
      <c r="BA678" s="207"/>
    </row>
    <row r="679" ht="18.75" hidden="1" customHeight="1">
      <c r="A679" s="207"/>
      <c r="B679" s="207"/>
      <c r="C679" s="207"/>
      <c r="D679" s="207"/>
      <c r="E679" s="207"/>
      <c r="F679" s="207"/>
      <c r="G679" s="207"/>
      <c r="H679" s="207"/>
      <c r="I679" s="207"/>
      <c r="J679" s="207"/>
      <c r="K679" s="207"/>
      <c r="L679" s="207"/>
      <c r="M679" s="207"/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  <c r="AA679" s="207"/>
      <c r="AB679" s="207"/>
      <c r="AC679" s="207"/>
      <c r="AD679" s="207"/>
      <c r="AE679" s="207"/>
      <c r="AF679" s="207"/>
      <c r="AG679" s="207"/>
      <c r="AH679" s="207"/>
      <c r="AI679" s="207"/>
      <c r="AJ679" s="207"/>
      <c r="AK679" s="207"/>
      <c r="AL679" s="207"/>
      <c r="AM679" s="207"/>
      <c r="AN679" s="207"/>
      <c r="AO679" s="207"/>
      <c r="AP679" s="207"/>
      <c r="AQ679" s="207"/>
      <c r="AR679" s="207"/>
      <c r="AS679" s="207"/>
      <c r="AT679" s="207"/>
      <c r="AU679" s="207"/>
      <c r="AV679" s="207"/>
      <c r="AW679" s="207"/>
      <c r="AX679" s="207"/>
      <c r="AY679" s="207"/>
      <c r="AZ679" s="207"/>
      <c r="BA679" s="207"/>
    </row>
    <row r="680" ht="18.75" hidden="1" customHeight="1">
      <c r="A680" s="207"/>
      <c r="B680" s="207"/>
      <c r="C680" s="207"/>
      <c r="D680" s="207"/>
      <c r="E680" s="207"/>
      <c r="F680" s="207"/>
      <c r="G680" s="207"/>
      <c r="H680" s="207"/>
      <c r="I680" s="207"/>
      <c r="J680" s="207"/>
      <c r="K680" s="207"/>
      <c r="L680" s="207"/>
      <c r="M680" s="207"/>
      <c r="N680" s="207"/>
      <c r="O680" s="20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  <c r="AA680" s="207"/>
      <c r="AB680" s="207"/>
      <c r="AC680" s="207"/>
      <c r="AD680" s="207"/>
      <c r="AE680" s="207"/>
      <c r="AF680" s="207"/>
      <c r="AG680" s="207"/>
      <c r="AH680" s="207"/>
      <c r="AI680" s="207"/>
      <c r="AJ680" s="207"/>
      <c r="AK680" s="207"/>
      <c r="AL680" s="207"/>
      <c r="AM680" s="207"/>
      <c r="AN680" s="207"/>
      <c r="AO680" s="207"/>
      <c r="AP680" s="207"/>
      <c r="AQ680" s="207"/>
      <c r="AR680" s="207"/>
      <c r="AS680" s="207"/>
      <c r="AT680" s="207"/>
      <c r="AU680" s="207"/>
      <c r="AV680" s="207"/>
      <c r="AW680" s="207"/>
      <c r="AX680" s="207"/>
      <c r="AY680" s="207"/>
      <c r="AZ680" s="207"/>
      <c r="BA680" s="207"/>
    </row>
    <row r="681" ht="18.75" hidden="1" customHeight="1">
      <c r="A681" s="207"/>
      <c r="B681" s="207"/>
      <c r="C681" s="207"/>
      <c r="D681" s="207"/>
      <c r="E681" s="207"/>
      <c r="F681" s="207"/>
      <c r="G681" s="207"/>
      <c r="H681" s="207"/>
      <c r="I681" s="207"/>
      <c r="J681" s="207"/>
      <c r="K681" s="207"/>
      <c r="L681" s="207"/>
      <c r="M681" s="207"/>
      <c r="N681" s="207"/>
      <c r="O681" s="207"/>
      <c r="P681" s="207"/>
      <c r="Q681" s="207"/>
      <c r="R681" s="207"/>
      <c r="S681" s="207"/>
      <c r="T681" s="207"/>
      <c r="U681" s="207"/>
      <c r="V681" s="207"/>
      <c r="W681" s="207"/>
      <c r="X681" s="207"/>
      <c r="Y681" s="207"/>
      <c r="Z681" s="207"/>
      <c r="AA681" s="207"/>
      <c r="AB681" s="207"/>
      <c r="AC681" s="207"/>
      <c r="AD681" s="207"/>
      <c r="AE681" s="207"/>
      <c r="AF681" s="207"/>
      <c r="AG681" s="207"/>
      <c r="AH681" s="207"/>
      <c r="AI681" s="207"/>
      <c r="AJ681" s="207"/>
      <c r="AK681" s="207"/>
      <c r="AL681" s="207"/>
      <c r="AM681" s="207"/>
      <c r="AN681" s="207"/>
      <c r="AO681" s="207"/>
      <c r="AP681" s="207"/>
      <c r="AQ681" s="207"/>
      <c r="AR681" s="207"/>
      <c r="AS681" s="207"/>
      <c r="AT681" s="207"/>
      <c r="AU681" s="207"/>
      <c r="AV681" s="207"/>
      <c r="AW681" s="207"/>
      <c r="AX681" s="207"/>
      <c r="AY681" s="207"/>
      <c r="AZ681" s="207"/>
      <c r="BA681" s="207"/>
    </row>
    <row r="682" ht="18.75" hidden="1" customHeight="1">
      <c r="A682" s="207"/>
      <c r="B682" s="207"/>
      <c r="C682" s="207"/>
      <c r="D682" s="207"/>
      <c r="E682" s="207"/>
      <c r="F682" s="207"/>
      <c r="G682" s="207"/>
      <c r="H682" s="207"/>
      <c r="I682" s="207"/>
      <c r="J682" s="207"/>
      <c r="K682" s="207"/>
      <c r="L682" s="207"/>
      <c r="M682" s="207"/>
      <c r="N682" s="207"/>
      <c r="O682" s="207"/>
      <c r="P682" s="207"/>
      <c r="Q682" s="207"/>
      <c r="R682" s="207"/>
      <c r="S682" s="207"/>
      <c r="T682" s="207"/>
      <c r="U682" s="207"/>
      <c r="V682" s="207"/>
      <c r="W682" s="207"/>
      <c r="X682" s="207"/>
      <c r="Y682" s="207"/>
      <c r="Z682" s="207"/>
      <c r="AA682" s="207"/>
      <c r="AB682" s="207"/>
      <c r="AC682" s="207"/>
      <c r="AD682" s="207"/>
      <c r="AE682" s="207"/>
      <c r="AF682" s="207"/>
      <c r="AG682" s="207"/>
      <c r="AH682" s="207"/>
      <c r="AI682" s="207"/>
      <c r="AJ682" s="207"/>
      <c r="AK682" s="207"/>
      <c r="AL682" s="207"/>
      <c r="AM682" s="207"/>
      <c r="AN682" s="207"/>
      <c r="AO682" s="207"/>
      <c r="AP682" s="207"/>
      <c r="AQ682" s="207"/>
      <c r="AR682" s="207"/>
      <c r="AS682" s="207"/>
      <c r="AT682" s="207"/>
      <c r="AU682" s="207"/>
      <c r="AV682" s="207"/>
      <c r="AW682" s="207"/>
      <c r="AX682" s="207"/>
      <c r="AY682" s="207"/>
      <c r="AZ682" s="207"/>
      <c r="BA682" s="207"/>
    </row>
    <row r="683" ht="18.75" hidden="1" customHeight="1">
      <c r="A683" s="207"/>
      <c r="B683" s="207"/>
      <c r="C683" s="207"/>
      <c r="D683" s="207"/>
      <c r="E683" s="207"/>
      <c r="F683" s="207"/>
      <c r="G683" s="207"/>
      <c r="H683" s="207"/>
      <c r="I683" s="207"/>
      <c r="J683" s="207"/>
      <c r="K683" s="207"/>
      <c r="L683" s="207"/>
      <c r="M683" s="207"/>
      <c r="N683" s="207"/>
      <c r="O683" s="207"/>
      <c r="P683" s="207"/>
      <c r="Q683" s="207"/>
      <c r="R683" s="207"/>
      <c r="S683" s="207"/>
      <c r="T683" s="207"/>
      <c r="U683" s="207"/>
      <c r="V683" s="207"/>
      <c r="W683" s="207"/>
      <c r="X683" s="207"/>
      <c r="Y683" s="207"/>
      <c r="Z683" s="207"/>
      <c r="AA683" s="207"/>
      <c r="AB683" s="207"/>
      <c r="AC683" s="207"/>
      <c r="AD683" s="207"/>
      <c r="AE683" s="207"/>
      <c r="AF683" s="207"/>
      <c r="AG683" s="207"/>
      <c r="AH683" s="207"/>
      <c r="AI683" s="207"/>
      <c r="AJ683" s="207"/>
      <c r="AK683" s="207"/>
      <c r="AL683" s="207"/>
      <c r="AM683" s="207"/>
      <c r="AN683" s="207"/>
      <c r="AO683" s="207"/>
      <c r="AP683" s="207"/>
      <c r="AQ683" s="207"/>
      <c r="AR683" s="207"/>
      <c r="AS683" s="207"/>
      <c r="AT683" s="207"/>
      <c r="AU683" s="207"/>
      <c r="AV683" s="207"/>
      <c r="AW683" s="207"/>
      <c r="AX683" s="207"/>
      <c r="AY683" s="207"/>
      <c r="AZ683" s="207"/>
      <c r="BA683" s="207"/>
    </row>
    <row r="684" ht="18.75" hidden="1" customHeight="1">
      <c r="A684" s="207"/>
      <c r="B684" s="207"/>
      <c r="C684" s="207"/>
      <c r="D684" s="207"/>
      <c r="E684" s="207"/>
      <c r="F684" s="207"/>
      <c r="G684" s="207"/>
      <c r="H684" s="207"/>
      <c r="I684" s="207"/>
      <c r="J684" s="207"/>
      <c r="K684" s="207"/>
      <c r="L684" s="207"/>
      <c r="M684" s="207"/>
      <c r="N684" s="207"/>
      <c r="O684" s="207"/>
      <c r="P684" s="207"/>
      <c r="Q684" s="207"/>
      <c r="R684" s="207"/>
      <c r="S684" s="207"/>
      <c r="T684" s="207"/>
      <c r="U684" s="207"/>
      <c r="V684" s="207"/>
      <c r="W684" s="207"/>
      <c r="X684" s="207"/>
      <c r="Y684" s="207"/>
      <c r="Z684" s="207"/>
      <c r="AA684" s="207"/>
      <c r="AB684" s="207"/>
      <c r="AC684" s="207"/>
      <c r="AD684" s="207"/>
      <c r="AE684" s="207"/>
      <c r="AF684" s="207"/>
      <c r="AG684" s="207"/>
      <c r="AH684" s="207"/>
      <c r="AI684" s="207"/>
      <c r="AJ684" s="207"/>
      <c r="AK684" s="207"/>
      <c r="AL684" s="207"/>
      <c r="AM684" s="207"/>
      <c r="AN684" s="207"/>
      <c r="AO684" s="207"/>
      <c r="AP684" s="207"/>
      <c r="AQ684" s="207"/>
      <c r="AR684" s="207"/>
      <c r="AS684" s="207"/>
      <c r="AT684" s="207"/>
      <c r="AU684" s="207"/>
      <c r="AV684" s="207"/>
      <c r="AW684" s="207"/>
      <c r="AX684" s="207"/>
      <c r="AY684" s="207"/>
      <c r="AZ684" s="207"/>
      <c r="BA684" s="207"/>
    </row>
    <row r="685" ht="18.75" hidden="1" customHeight="1">
      <c r="A685" s="207"/>
      <c r="B685" s="207"/>
      <c r="C685" s="207"/>
      <c r="D685" s="207"/>
      <c r="E685" s="207"/>
      <c r="F685" s="207"/>
      <c r="G685" s="207"/>
      <c r="H685" s="207"/>
      <c r="I685" s="207"/>
      <c r="J685" s="207"/>
      <c r="K685" s="207"/>
      <c r="L685" s="207"/>
      <c r="M685" s="207"/>
      <c r="N685" s="207"/>
      <c r="O685" s="207"/>
      <c r="P685" s="207"/>
      <c r="Q685" s="207"/>
      <c r="R685" s="207"/>
      <c r="S685" s="207"/>
      <c r="T685" s="207"/>
      <c r="U685" s="207"/>
      <c r="V685" s="207"/>
      <c r="W685" s="207"/>
      <c r="X685" s="207"/>
      <c r="Y685" s="207"/>
      <c r="Z685" s="207"/>
      <c r="AA685" s="207"/>
      <c r="AB685" s="207"/>
      <c r="AC685" s="207"/>
      <c r="AD685" s="207"/>
      <c r="AE685" s="207"/>
      <c r="AF685" s="207"/>
      <c r="AG685" s="207"/>
      <c r="AH685" s="207"/>
      <c r="AI685" s="207"/>
      <c r="AJ685" s="207"/>
      <c r="AK685" s="207"/>
      <c r="AL685" s="207"/>
      <c r="AM685" s="207"/>
      <c r="AN685" s="207"/>
      <c r="AO685" s="207"/>
      <c r="AP685" s="207"/>
      <c r="AQ685" s="207"/>
      <c r="AR685" s="207"/>
      <c r="AS685" s="207"/>
      <c r="AT685" s="207"/>
      <c r="AU685" s="207"/>
      <c r="AV685" s="207"/>
      <c r="AW685" s="207"/>
      <c r="AX685" s="207"/>
      <c r="AY685" s="207"/>
      <c r="AZ685" s="207"/>
      <c r="BA685" s="207"/>
    </row>
    <row r="686" ht="18.75" hidden="1" customHeight="1">
      <c r="A686" s="207"/>
      <c r="B686" s="207"/>
      <c r="C686" s="207"/>
      <c r="D686" s="207"/>
      <c r="E686" s="207"/>
      <c r="F686" s="207"/>
      <c r="G686" s="207"/>
      <c r="H686" s="207"/>
      <c r="I686" s="207"/>
      <c r="J686" s="207"/>
      <c r="K686" s="207"/>
      <c r="L686" s="207"/>
      <c r="M686" s="207"/>
      <c r="N686" s="207"/>
      <c r="O686" s="207"/>
      <c r="P686" s="207"/>
      <c r="Q686" s="207"/>
      <c r="R686" s="207"/>
      <c r="S686" s="207"/>
      <c r="T686" s="207"/>
      <c r="U686" s="207"/>
      <c r="V686" s="207"/>
      <c r="W686" s="207"/>
      <c r="X686" s="207"/>
      <c r="Y686" s="207"/>
      <c r="Z686" s="207"/>
      <c r="AA686" s="207"/>
      <c r="AB686" s="207"/>
      <c r="AC686" s="207"/>
      <c r="AD686" s="207"/>
      <c r="AE686" s="207"/>
      <c r="AF686" s="207"/>
      <c r="AG686" s="207"/>
      <c r="AH686" s="207"/>
      <c r="AI686" s="207"/>
      <c r="AJ686" s="207"/>
      <c r="AK686" s="207"/>
      <c r="AL686" s="207"/>
      <c r="AM686" s="207"/>
      <c r="AN686" s="207"/>
      <c r="AO686" s="207"/>
      <c r="AP686" s="207"/>
      <c r="AQ686" s="207"/>
      <c r="AR686" s="207"/>
      <c r="AS686" s="207"/>
      <c r="AT686" s="207"/>
      <c r="AU686" s="207"/>
      <c r="AV686" s="207"/>
      <c r="AW686" s="207"/>
      <c r="AX686" s="207"/>
      <c r="AY686" s="207"/>
      <c r="AZ686" s="207"/>
      <c r="BA686" s="207"/>
    </row>
    <row r="687" ht="18.75" hidden="1" customHeight="1">
      <c r="A687" s="207"/>
      <c r="B687" s="207"/>
      <c r="C687" s="207"/>
      <c r="D687" s="207"/>
      <c r="E687" s="207"/>
      <c r="F687" s="207"/>
      <c r="G687" s="207"/>
      <c r="H687" s="207"/>
      <c r="I687" s="207"/>
      <c r="J687" s="207"/>
      <c r="K687" s="207"/>
      <c r="L687" s="207"/>
      <c r="M687" s="207"/>
      <c r="N687" s="207"/>
      <c r="O687" s="207"/>
      <c r="P687" s="207"/>
      <c r="Q687" s="207"/>
      <c r="R687" s="207"/>
      <c r="S687" s="207"/>
      <c r="T687" s="207"/>
      <c r="U687" s="207"/>
      <c r="V687" s="207"/>
      <c r="W687" s="207"/>
      <c r="X687" s="207"/>
      <c r="Y687" s="207"/>
      <c r="Z687" s="207"/>
      <c r="AA687" s="207"/>
      <c r="AB687" s="207"/>
      <c r="AC687" s="207"/>
      <c r="AD687" s="207"/>
      <c r="AE687" s="207"/>
      <c r="AF687" s="207"/>
      <c r="AG687" s="207"/>
      <c r="AH687" s="207"/>
      <c r="AI687" s="207"/>
      <c r="AJ687" s="207"/>
      <c r="AK687" s="207"/>
      <c r="AL687" s="207"/>
      <c r="AM687" s="207"/>
      <c r="AN687" s="207"/>
      <c r="AO687" s="207"/>
      <c r="AP687" s="207"/>
      <c r="AQ687" s="207"/>
      <c r="AR687" s="207"/>
      <c r="AS687" s="207"/>
      <c r="AT687" s="207"/>
      <c r="AU687" s="207"/>
      <c r="AV687" s="207"/>
      <c r="AW687" s="207"/>
      <c r="AX687" s="207"/>
      <c r="AY687" s="207"/>
      <c r="AZ687" s="207"/>
      <c r="BA687" s="207"/>
    </row>
    <row r="688" ht="18.75" hidden="1" customHeight="1">
      <c r="A688" s="207"/>
      <c r="B688" s="207"/>
      <c r="C688" s="207"/>
      <c r="D688" s="207"/>
      <c r="E688" s="207"/>
      <c r="F688" s="207"/>
      <c r="G688" s="207"/>
      <c r="H688" s="207"/>
      <c r="I688" s="207"/>
      <c r="J688" s="207"/>
      <c r="K688" s="207"/>
      <c r="L688" s="207"/>
      <c r="M688" s="207"/>
      <c r="N688" s="207"/>
      <c r="O688" s="207"/>
      <c r="P688" s="207"/>
      <c r="Q688" s="207"/>
      <c r="R688" s="207"/>
      <c r="S688" s="207"/>
      <c r="T688" s="207"/>
      <c r="U688" s="207"/>
      <c r="V688" s="207"/>
      <c r="W688" s="207"/>
      <c r="X688" s="207"/>
      <c r="Y688" s="207"/>
      <c r="Z688" s="207"/>
      <c r="AA688" s="207"/>
      <c r="AB688" s="207"/>
      <c r="AC688" s="207"/>
      <c r="AD688" s="207"/>
      <c r="AE688" s="207"/>
      <c r="AF688" s="207"/>
      <c r="AG688" s="207"/>
      <c r="AH688" s="207"/>
      <c r="AI688" s="207"/>
      <c r="AJ688" s="207"/>
      <c r="AK688" s="207"/>
      <c r="AL688" s="207"/>
      <c r="AM688" s="207"/>
      <c r="AN688" s="207"/>
      <c r="AO688" s="207"/>
      <c r="AP688" s="207"/>
      <c r="AQ688" s="207"/>
      <c r="AR688" s="207"/>
      <c r="AS688" s="207"/>
      <c r="AT688" s="207"/>
      <c r="AU688" s="207"/>
      <c r="AV688" s="207"/>
      <c r="AW688" s="207"/>
      <c r="AX688" s="207"/>
      <c r="AY688" s="207"/>
      <c r="AZ688" s="207"/>
      <c r="BA688" s="207"/>
    </row>
    <row r="689" ht="18.75" hidden="1" customHeight="1">
      <c r="A689" s="207"/>
      <c r="B689" s="207"/>
      <c r="C689" s="207"/>
      <c r="D689" s="207"/>
      <c r="E689" s="207"/>
      <c r="F689" s="207"/>
      <c r="G689" s="207"/>
      <c r="H689" s="207"/>
      <c r="I689" s="207"/>
      <c r="J689" s="207"/>
      <c r="K689" s="207"/>
      <c r="L689" s="207"/>
      <c r="M689" s="207"/>
      <c r="N689" s="207"/>
      <c r="O689" s="207"/>
      <c r="P689" s="207"/>
      <c r="Q689" s="207"/>
      <c r="R689" s="207"/>
      <c r="S689" s="207"/>
      <c r="T689" s="207"/>
      <c r="U689" s="207"/>
      <c r="V689" s="207"/>
      <c r="W689" s="207"/>
      <c r="X689" s="207"/>
      <c r="Y689" s="207"/>
      <c r="Z689" s="207"/>
      <c r="AA689" s="207"/>
      <c r="AB689" s="207"/>
      <c r="AC689" s="207"/>
      <c r="AD689" s="207"/>
      <c r="AE689" s="207"/>
      <c r="AF689" s="207"/>
      <c r="AG689" s="207"/>
      <c r="AH689" s="207"/>
      <c r="AI689" s="207"/>
      <c r="AJ689" s="207"/>
      <c r="AK689" s="207"/>
      <c r="AL689" s="207"/>
      <c r="AM689" s="207"/>
      <c r="AN689" s="207"/>
      <c r="AO689" s="207"/>
      <c r="AP689" s="207"/>
      <c r="AQ689" s="207"/>
      <c r="AR689" s="207"/>
      <c r="AS689" s="207"/>
      <c r="AT689" s="207"/>
      <c r="AU689" s="207"/>
      <c r="AV689" s="207"/>
      <c r="AW689" s="207"/>
      <c r="AX689" s="207"/>
      <c r="AY689" s="207"/>
      <c r="AZ689" s="207"/>
      <c r="BA689" s="207"/>
    </row>
    <row r="690" ht="18.75" hidden="1" customHeight="1">
      <c r="A690" s="207"/>
      <c r="B690" s="207"/>
      <c r="C690" s="207"/>
      <c r="D690" s="207"/>
      <c r="E690" s="207"/>
      <c r="F690" s="207"/>
      <c r="G690" s="207"/>
      <c r="H690" s="207"/>
      <c r="I690" s="207"/>
      <c r="J690" s="207"/>
      <c r="K690" s="207"/>
      <c r="L690" s="207"/>
      <c r="M690" s="207"/>
      <c r="N690" s="207"/>
      <c r="O690" s="207"/>
      <c r="P690" s="207"/>
      <c r="Q690" s="207"/>
      <c r="R690" s="207"/>
      <c r="S690" s="207"/>
      <c r="T690" s="207"/>
      <c r="U690" s="207"/>
      <c r="V690" s="207"/>
      <c r="W690" s="207"/>
      <c r="X690" s="207"/>
      <c r="Y690" s="207"/>
      <c r="Z690" s="207"/>
      <c r="AA690" s="207"/>
      <c r="AB690" s="207"/>
      <c r="AC690" s="207"/>
      <c r="AD690" s="207"/>
      <c r="AE690" s="207"/>
      <c r="AF690" s="207"/>
      <c r="AG690" s="207"/>
      <c r="AH690" s="207"/>
      <c r="AI690" s="207"/>
      <c r="AJ690" s="207"/>
      <c r="AK690" s="207"/>
      <c r="AL690" s="207"/>
      <c r="AM690" s="207"/>
      <c r="AN690" s="207"/>
      <c r="AO690" s="207"/>
      <c r="AP690" s="207"/>
      <c r="AQ690" s="207"/>
      <c r="AR690" s="207"/>
      <c r="AS690" s="207"/>
      <c r="AT690" s="207"/>
      <c r="AU690" s="207"/>
      <c r="AV690" s="207"/>
      <c r="AW690" s="207"/>
      <c r="AX690" s="207"/>
      <c r="AY690" s="207"/>
      <c r="AZ690" s="207"/>
      <c r="BA690" s="207"/>
    </row>
    <row r="691" ht="18.75" hidden="1" customHeight="1">
      <c r="A691" s="207"/>
      <c r="B691" s="207"/>
      <c r="C691" s="207"/>
      <c r="D691" s="207"/>
      <c r="E691" s="207"/>
      <c r="F691" s="207"/>
      <c r="G691" s="207"/>
      <c r="H691" s="207"/>
      <c r="I691" s="207"/>
      <c r="J691" s="207"/>
      <c r="K691" s="207"/>
      <c r="L691" s="207"/>
      <c r="M691" s="207"/>
      <c r="N691" s="207"/>
      <c r="O691" s="207"/>
      <c r="P691" s="207"/>
      <c r="Q691" s="207"/>
      <c r="R691" s="207"/>
      <c r="S691" s="207"/>
      <c r="T691" s="207"/>
      <c r="U691" s="207"/>
      <c r="V691" s="207"/>
      <c r="W691" s="207"/>
      <c r="X691" s="207"/>
      <c r="Y691" s="207"/>
      <c r="Z691" s="207"/>
      <c r="AA691" s="207"/>
      <c r="AB691" s="207"/>
      <c r="AC691" s="207"/>
      <c r="AD691" s="207"/>
      <c r="AE691" s="207"/>
      <c r="AF691" s="207"/>
      <c r="AG691" s="207"/>
      <c r="AH691" s="207"/>
      <c r="AI691" s="207"/>
      <c r="AJ691" s="207"/>
      <c r="AK691" s="207"/>
      <c r="AL691" s="207"/>
      <c r="AM691" s="207"/>
      <c r="AN691" s="207"/>
      <c r="AO691" s="207"/>
      <c r="AP691" s="207"/>
      <c r="AQ691" s="207"/>
      <c r="AR691" s="207"/>
      <c r="AS691" s="207"/>
      <c r="AT691" s="207"/>
      <c r="AU691" s="207"/>
      <c r="AV691" s="207"/>
      <c r="AW691" s="207"/>
      <c r="AX691" s="207"/>
      <c r="AY691" s="207"/>
      <c r="AZ691" s="207"/>
      <c r="BA691" s="207"/>
    </row>
    <row r="692" ht="18.75" hidden="1" customHeight="1">
      <c r="A692" s="207"/>
      <c r="B692" s="207"/>
      <c r="C692" s="207"/>
      <c r="D692" s="207"/>
      <c r="E692" s="207"/>
      <c r="F692" s="207"/>
      <c r="G692" s="207"/>
      <c r="H692" s="207"/>
      <c r="I692" s="207"/>
      <c r="J692" s="207"/>
      <c r="K692" s="207"/>
      <c r="L692" s="207"/>
      <c r="M692" s="207"/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  <c r="AA692" s="207"/>
      <c r="AB692" s="207"/>
      <c r="AC692" s="207"/>
      <c r="AD692" s="207"/>
      <c r="AE692" s="207"/>
      <c r="AF692" s="207"/>
      <c r="AG692" s="207"/>
      <c r="AH692" s="207"/>
      <c r="AI692" s="207"/>
      <c r="AJ692" s="207"/>
      <c r="AK692" s="207"/>
      <c r="AL692" s="207"/>
      <c r="AM692" s="207"/>
      <c r="AN692" s="207"/>
      <c r="AO692" s="207"/>
      <c r="AP692" s="207"/>
      <c r="AQ692" s="207"/>
      <c r="AR692" s="207"/>
      <c r="AS692" s="207"/>
      <c r="AT692" s="207"/>
      <c r="AU692" s="207"/>
      <c r="AV692" s="207"/>
      <c r="AW692" s="207"/>
      <c r="AX692" s="207"/>
      <c r="AY692" s="207"/>
      <c r="AZ692" s="207"/>
      <c r="BA692" s="207"/>
    </row>
    <row r="693" ht="18.75" hidden="1" customHeight="1">
      <c r="A693" s="207"/>
      <c r="B693" s="207"/>
      <c r="C693" s="207"/>
      <c r="D693" s="207"/>
      <c r="E693" s="207"/>
      <c r="F693" s="207"/>
      <c r="G693" s="207"/>
      <c r="H693" s="207"/>
      <c r="I693" s="207"/>
      <c r="J693" s="207"/>
      <c r="K693" s="207"/>
      <c r="L693" s="207"/>
      <c r="M693" s="207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  <c r="AA693" s="207"/>
      <c r="AB693" s="207"/>
      <c r="AC693" s="207"/>
      <c r="AD693" s="207"/>
      <c r="AE693" s="207"/>
      <c r="AF693" s="207"/>
      <c r="AG693" s="207"/>
      <c r="AH693" s="207"/>
      <c r="AI693" s="207"/>
      <c r="AJ693" s="207"/>
      <c r="AK693" s="207"/>
      <c r="AL693" s="207"/>
      <c r="AM693" s="207"/>
      <c r="AN693" s="207"/>
      <c r="AO693" s="207"/>
      <c r="AP693" s="207"/>
      <c r="AQ693" s="207"/>
      <c r="AR693" s="207"/>
      <c r="AS693" s="207"/>
      <c r="AT693" s="207"/>
      <c r="AU693" s="207"/>
      <c r="AV693" s="207"/>
      <c r="AW693" s="207"/>
      <c r="AX693" s="207"/>
      <c r="AY693" s="207"/>
      <c r="AZ693" s="207"/>
      <c r="BA693" s="207"/>
    </row>
    <row r="694" ht="18.75" hidden="1" customHeight="1">
      <c r="A694" s="207"/>
      <c r="B694" s="207"/>
      <c r="C694" s="207"/>
      <c r="D694" s="207"/>
      <c r="E694" s="207"/>
      <c r="F694" s="207"/>
      <c r="G694" s="207"/>
      <c r="H694" s="207"/>
      <c r="I694" s="207"/>
      <c r="J694" s="207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  <c r="AA694" s="207"/>
      <c r="AB694" s="207"/>
      <c r="AC694" s="207"/>
      <c r="AD694" s="207"/>
      <c r="AE694" s="207"/>
      <c r="AF694" s="207"/>
      <c r="AG694" s="207"/>
      <c r="AH694" s="207"/>
      <c r="AI694" s="207"/>
      <c r="AJ694" s="207"/>
      <c r="AK694" s="207"/>
      <c r="AL694" s="207"/>
      <c r="AM694" s="207"/>
      <c r="AN694" s="207"/>
      <c r="AO694" s="207"/>
      <c r="AP694" s="207"/>
      <c r="AQ694" s="207"/>
      <c r="AR694" s="207"/>
      <c r="AS694" s="207"/>
      <c r="AT694" s="207"/>
      <c r="AU694" s="207"/>
      <c r="AV694" s="207"/>
      <c r="AW694" s="207"/>
      <c r="AX694" s="207"/>
      <c r="AY694" s="207"/>
      <c r="AZ694" s="207"/>
      <c r="BA694" s="207"/>
    </row>
    <row r="695" ht="18.75" hidden="1" customHeight="1">
      <c r="A695" s="207"/>
      <c r="B695" s="207"/>
      <c r="C695" s="207"/>
      <c r="D695" s="207"/>
      <c r="E695" s="207"/>
      <c r="F695" s="207"/>
      <c r="G695" s="207"/>
      <c r="H695" s="207"/>
      <c r="I695" s="207"/>
      <c r="J695" s="207"/>
      <c r="K695" s="207"/>
      <c r="L695" s="207"/>
      <c r="M695" s="207"/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  <c r="AA695" s="207"/>
      <c r="AB695" s="207"/>
      <c r="AC695" s="207"/>
      <c r="AD695" s="207"/>
      <c r="AE695" s="207"/>
      <c r="AF695" s="207"/>
      <c r="AG695" s="207"/>
      <c r="AH695" s="207"/>
      <c r="AI695" s="207"/>
      <c r="AJ695" s="207"/>
      <c r="AK695" s="207"/>
      <c r="AL695" s="207"/>
      <c r="AM695" s="207"/>
      <c r="AN695" s="207"/>
      <c r="AO695" s="207"/>
      <c r="AP695" s="207"/>
      <c r="AQ695" s="207"/>
      <c r="AR695" s="207"/>
      <c r="AS695" s="207"/>
      <c r="AT695" s="207"/>
      <c r="AU695" s="207"/>
      <c r="AV695" s="207"/>
      <c r="AW695" s="207"/>
      <c r="AX695" s="207"/>
      <c r="AY695" s="207"/>
      <c r="AZ695" s="207"/>
      <c r="BA695" s="207"/>
    </row>
    <row r="696" ht="18.75" hidden="1" customHeight="1">
      <c r="A696" s="207"/>
      <c r="B696" s="207"/>
      <c r="C696" s="207"/>
      <c r="D696" s="207"/>
      <c r="E696" s="207"/>
      <c r="F696" s="207"/>
      <c r="G696" s="207"/>
      <c r="H696" s="207"/>
      <c r="I696" s="207"/>
      <c r="J696" s="207"/>
      <c r="K696" s="207"/>
      <c r="L696" s="207"/>
      <c r="M696" s="207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  <c r="AA696" s="207"/>
      <c r="AB696" s="207"/>
      <c r="AC696" s="207"/>
      <c r="AD696" s="207"/>
      <c r="AE696" s="207"/>
      <c r="AF696" s="207"/>
      <c r="AG696" s="207"/>
      <c r="AH696" s="207"/>
      <c r="AI696" s="207"/>
      <c r="AJ696" s="207"/>
      <c r="AK696" s="207"/>
      <c r="AL696" s="207"/>
      <c r="AM696" s="207"/>
      <c r="AN696" s="207"/>
      <c r="AO696" s="207"/>
      <c r="AP696" s="207"/>
      <c r="AQ696" s="207"/>
      <c r="AR696" s="207"/>
      <c r="AS696" s="207"/>
      <c r="AT696" s="207"/>
      <c r="AU696" s="207"/>
      <c r="AV696" s="207"/>
      <c r="AW696" s="207"/>
      <c r="AX696" s="207"/>
      <c r="AY696" s="207"/>
      <c r="AZ696" s="207"/>
      <c r="BA696" s="207"/>
    </row>
    <row r="697" ht="18.75" hidden="1" customHeight="1">
      <c r="A697" s="207"/>
      <c r="B697" s="207"/>
      <c r="C697" s="207"/>
      <c r="D697" s="207"/>
      <c r="E697" s="207"/>
      <c r="F697" s="207"/>
      <c r="G697" s="207"/>
      <c r="H697" s="207"/>
      <c r="I697" s="207"/>
      <c r="J697" s="207"/>
      <c r="K697" s="207"/>
      <c r="L697" s="207"/>
      <c r="M697" s="207"/>
      <c r="N697" s="207"/>
      <c r="O697" s="207"/>
      <c r="P697" s="207"/>
      <c r="Q697" s="207"/>
      <c r="R697" s="207"/>
      <c r="S697" s="207"/>
      <c r="T697" s="207"/>
      <c r="U697" s="207"/>
      <c r="V697" s="207"/>
      <c r="W697" s="207"/>
      <c r="X697" s="207"/>
      <c r="Y697" s="207"/>
      <c r="Z697" s="207"/>
      <c r="AA697" s="207"/>
      <c r="AB697" s="207"/>
      <c r="AC697" s="207"/>
      <c r="AD697" s="207"/>
      <c r="AE697" s="207"/>
      <c r="AF697" s="207"/>
      <c r="AG697" s="207"/>
      <c r="AH697" s="207"/>
      <c r="AI697" s="207"/>
      <c r="AJ697" s="207"/>
      <c r="AK697" s="207"/>
      <c r="AL697" s="207"/>
      <c r="AM697" s="207"/>
      <c r="AN697" s="207"/>
      <c r="AO697" s="207"/>
      <c r="AP697" s="207"/>
      <c r="AQ697" s="207"/>
      <c r="AR697" s="207"/>
      <c r="AS697" s="207"/>
      <c r="AT697" s="207"/>
      <c r="AU697" s="207"/>
      <c r="AV697" s="207"/>
      <c r="AW697" s="207"/>
      <c r="AX697" s="207"/>
      <c r="AY697" s="207"/>
      <c r="AZ697" s="207"/>
      <c r="BA697" s="207"/>
    </row>
    <row r="698" ht="18.75" hidden="1" customHeight="1">
      <c r="A698" s="207"/>
      <c r="B698" s="207"/>
      <c r="C698" s="207"/>
      <c r="D698" s="207"/>
      <c r="E698" s="207"/>
      <c r="F698" s="207"/>
      <c r="G698" s="207"/>
      <c r="H698" s="207"/>
      <c r="I698" s="207"/>
      <c r="J698" s="207"/>
      <c r="K698" s="207"/>
      <c r="L698" s="207"/>
      <c r="M698" s="207"/>
      <c r="N698" s="207"/>
      <c r="O698" s="207"/>
      <c r="P698" s="207"/>
      <c r="Q698" s="207"/>
      <c r="R698" s="207"/>
      <c r="S698" s="207"/>
      <c r="T698" s="207"/>
      <c r="U698" s="207"/>
      <c r="V698" s="207"/>
      <c r="W698" s="207"/>
      <c r="X698" s="207"/>
      <c r="Y698" s="207"/>
      <c r="Z698" s="207"/>
      <c r="AA698" s="207"/>
      <c r="AB698" s="207"/>
      <c r="AC698" s="207"/>
      <c r="AD698" s="207"/>
      <c r="AE698" s="207"/>
      <c r="AF698" s="207"/>
      <c r="AG698" s="207"/>
      <c r="AH698" s="207"/>
      <c r="AI698" s="207"/>
      <c r="AJ698" s="207"/>
      <c r="AK698" s="207"/>
      <c r="AL698" s="207"/>
      <c r="AM698" s="207"/>
      <c r="AN698" s="207"/>
      <c r="AO698" s="207"/>
      <c r="AP698" s="207"/>
      <c r="AQ698" s="207"/>
      <c r="AR698" s="207"/>
      <c r="AS698" s="207"/>
      <c r="AT698" s="207"/>
      <c r="AU698" s="207"/>
      <c r="AV698" s="207"/>
      <c r="AW698" s="207"/>
      <c r="AX698" s="207"/>
      <c r="AY698" s="207"/>
      <c r="AZ698" s="207"/>
      <c r="BA698" s="207"/>
    </row>
    <row r="699" ht="18.75" hidden="1" customHeight="1">
      <c r="A699" s="207"/>
      <c r="B699" s="207"/>
      <c r="C699" s="207"/>
      <c r="D699" s="207"/>
      <c r="E699" s="207"/>
      <c r="F699" s="207"/>
      <c r="G699" s="207"/>
      <c r="H699" s="207"/>
      <c r="I699" s="207"/>
      <c r="J699" s="207"/>
      <c r="K699" s="207"/>
      <c r="L699" s="207"/>
      <c r="M699" s="207"/>
      <c r="N699" s="207"/>
      <c r="O699" s="207"/>
      <c r="P699" s="207"/>
      <c r="Q699" s="207"/>
      <c r="R699" s="207"/>
      <c r="S699" s="207"/>
      <c r="T699" s="207"/>
      <c r="U699" s="207"/>
      <c r="V699" s="207"/>
      <c r="W699" s="207"/>
      <c r="X699" s="207"/>
      <c r="Y699" s="207"/>
      <c r="Z699" s="207"/>
      <c r="AA699" s="207"/>
      <c r="AB699" s="207"/>
      <c r="AC699" s="207"/>
      <c r="AD699" s="207"/>
      <c r="AE699" s="207"/>
      <c r="AF699" s="207"/>
      <c r="AG699" s="207"/>
      <c r="AH699" s="207"/>
      <c r="AI699" s="207"/>
      <c r="AJ699" s="207"/>
      <c r="AK699" s="207"/>
      <c r="AL699" s="207"/>
      <c r="AM699" s="207"/>
      <c r="AN699" s="207"/>
      <c r="AO699" s="207"/>
      <c r="AP699" s="207"/>
      <c r="AQ699" s="207"/>
      <c r="AR699" s="207"/>
      <c r="AS699" s="207"/>
      <c r="AT699" s="207"/>
      <c r="AU699" s="207"/>
      <c r="AV699" s="207"/>
      <c r="AW699" s="207"/>
      <c r="AX699" s="207"/>
      <c r="AY699" s="207"/>
      <c r="AZ699" s="207"/>
      <c r="BA699" s="207"/>
    </row>
    <row r="700" ht="18.75" hidden="1" customHeight="1">
      <c r="A700" s="207"/>
      <c r="B700" s="207"/>
      <c r="C700" s="207"/>
      <c r="D700" s="207"/>
      <c r="E700" s="207"/>
      <c r="F700" s="207"/>
      <c r="G700" s="207"/>
      <c r="H700" s="207"/>
      <c r="I700" s="207"/>
      <c r="J700" s="207"/>
      <c r="K700" s="207"/>
      <c r="L700" s="207"/>
      <c r="M700" s="207"/>
      <c r="N700" s="207"/>
      <c r="O700" s="207"/>
      <c r="P700" s="207"/>
      <c r="Q700" s="207"/>
      <c r="R700" s="207"/>
      <c r="S700" s="207"/>
      <c r="T700" s="207"/>
      <c r="U700" s="207"/>
      <c r="V700" s="207"/>
      <c r="W700" s="207"/>
      <c r="X700" s="207"/>
      <c r="Y700" s="207"/>
      <c r="Z700" s="207"/>
      <c r="AA700" s="207"/>
      <c r="AB700" s="207"/>
      <c r="AC700" s="207"/>
      <c r="AD700" s="207"/>
      <c r="AE700" s="207"/>
      <c r="AF700" s="207"/>
      <c r="AG700" s="207"/>
      <c r="AH700" s="207"/>
      <c r="AI700" s="207"/>
      <c r="AJ700" s="207"/>
      <c r="AK700" s="207"/>
      <c r="AL700" s="207"/>
      <c r="AM700" s="207"/>
      <c r="AN700" s="207"/>
      <c r="AO700" s="207"/>
      <c r="AP700" s="207"/>
      <c r="AQ700" s="207"/>
      <c r="AR700" s="207"/>
      <c r="AS700" s="207"/>
      <c r="AT700" s="207"/>
      <c r="AU700" s="207"/>
      <c r="AV700" s="207"/>
      <c r="AW700" s="207"/>
      <c r="AX700" s="207"/>
      <c r="AY700" s="207"/>
      <c r="AZ700" s="207"/>
      <c r="BA700" s="207"/>
    </row>
    <row r="701" ht="18.75" hidden="1" customHeight="1">
      <c r="A701" s="207"/>
      <c r="B701" s="207"/>
      <c r="C701" s="207"/>
      <c r="D701" s="207"/>
      <c r="E701" s="207"/>
      <c r="F701" s="207"/>
      <c r="G701" s="207"/>
      <c r="H701" s="207"/>
      <c r="I701" s="207"/>
      <c r="J701" s="207"/>
      <c r="K701" s="207"/>
      <c r="L701" s="207"/>
      <c r="M701" s="207"/>
      <c r="N701" s="207"/>
      <c r="O701" s="207"/>
      <c r="P701" s="207"/>
      <c r="Q701" s="207"/>
      <c r="R701" s="207"/>
      <c r="S701" s="207"/>
      <c r="T701" s="207"/>
      <c r="U701" s="207"/>
      <c r="V701" s="207"/>
      <c r="W701" s="207"/>
      <c r="X701" s="207"/>
      <c r="Y701" s="207"/>
      <c r="Z701" s="207"/>
      <c r="AA701" s="207"/>
      <c r="AB701" s="207"/>
      <c r="AC701" s="207"/>
      <c r="AD701" s="207"/>
      <c r="AE701" s="207"/>
      <c r="AF701" s="207"/>
      <c r="AG701" s="207"/>
      <c r="AH701" s="207"/>
      <c r="AI701" s="207"/>
      <c r="AJ701" s="207"/>
      <c r="AK701" s="207"/>
      <c r="AL701" s="207"/>
      <c r="AM701" s="207"/>
      <c r="AN701" s="207"/>
      <c r="AO701" s="207"/>
      <c r="AP701" s="207"/>
      <c r="AQ701" s="207"/>
      <c r="AR701" s="207"/>
      <c r="AS701" s="207"/>
      <c r="AT701" s="207"/>
      <c r="AU701" s="207"/>
      <c r="AV701" s="207"/>
      <c r="AW701" s="207"/>
      <c r="AX701" s="207"/>
      <c r="AY701" s="207"/>
      <c r="AZ701" s="207"/>
      <c r="BA701" s="207"/>
    </row>
    <row r="702" ht="18.75" hidden="1" customHeight="1">
      <c r="A702" s="207"/>
      <c r="B702" s="207"/>
      <c r="C702" s="207"/>
      <c r="D702" s="207"/>
      <c r="E702" s="207"/>
      <c r="F702" s="207"/>
      <c r="G702" s="207"/>
      <c r="H702" s="207"/>
      <c r="I702" s="207"/>
      <c r="J702" s="207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  <c r="AA702" s="207"/>
      <c r="AB702" s="207"/>
      <c r="AC702" s="207"/>
      <c r="AD702" s="207"/>
      <c r="AE702" s="207"/>
      <c r="AF702" s="207"/>
      <c r="AG702" s="207"/>
      <c r="AH702" s="207"/>
      <c r="AI702" s="207"/>
      <c r="AJ702" s="207"/>
      <c r="AK702" s="207"/>
      <c r="AL702" s="207"/>
      <c r="AM702" s="207"/>
      <c r="AN702" s="207"/>
      <c r="AO702" s="207"/>
      <c r="AP702" s="207"/>
      <c r="AQ702" s="207"/>
      <c r="AR702" s="207"/>
      <c r="AS702" s="207"/>
      <c r="AT702" s="207"/>
      <c r="AU702" s="207"/>
      <c r="AV702" s="207"/>
      <c r="AW702" s="207"/>
      <c r="AX702" s="207"/>
      <c r="AY702" s="207"/>
      <c r="AZ702" s="207"/>
      <c r="BA702" s="207"/>
    </row>
    <row r="703" ht="18.75" hidden="1" customHeight="1">
      <c r="A703" s="207"/>
      <c r="B703" s="207"/>
      <c r="C703" s="207"/>
      <c r="D703" s="207"/>
      <c r="E703" s="207"/>
      <c r="F703" s="207"/>
      <c r="G703" s="207"/>
      <c r="H703" s="207"/>
      <c r="I703" s="207"/>
      <c r="J703" s="207"/>
      <c r="K703" s="207"/>
      <c r="L703" s="207"/>
      <c r="M703" s="207"/>
      <c r="N703" s="207"/>
      <c r="O703" s="207"/>
      <c r="P703" s="207"/>
      <c r="Q703" s="207"/>
      <c r="R703" s="207"/>
      <c r="S703" s="207"/>
      <c r="T703" s="207"/>
      <c r="U703" s="207"/>
      <c r="V703" s="207"/>
      <c r="W703" s="207"/>
      <c r="X703" s="207"/>
      <c r="Y703" s="207"/>
      <c r="Z703" s="207"/>
      <c r="AA703" s="207"/>
      <c r="AB703" s="207"/>
      <c r="AC703" s="207"/>
      <c r="AD703" s="207"/>
      <c r="AE703" s="207"/>
      <c r="AF703" s="207"/>
      <c r="AG703" s="207"/>
      <c r="AH703" s="207"/>
      <c r="AI703" s="207"/>
      <c r="AJ703" s="207"/>
      <c r="AK703" s="207"/>
      <c r="AL703" s="207"/>
      <c r="AM703" s="207"/>
      <c r="AN703" s="207"/>
      <c r="AO703" s="207"/>
      <c r="AP703" s="207"/>
      <c r="AQ703" s="207"/>
      <c r="AR703" s="207"/>
      <c r="AS703" s="207"/>
      <c r="AT703" s="207"/>
      <c r="AU703" s="207"/>
      <c r="AV703" s="207"/>
      <c r="AW703" s="207"/>
      <c r="AX703" s="207"/>
      <c r="AY703" s="207"/>
      <c r="AZ703" s="207"/>
      <c r="BA703" s="207"/>
    </row>
    <row r="704" ht="18.75" hidden="1" customHeight="1">
      <c r="A704" s="207"/>
      <c r="B704" s="207"/>
      <c r="C704" s="207"/>
      <c r="D704" s="207"/>
      <c r="E704" s="207"/>
      <c r="F704" s="207"/>
      <c r="G704" s="207"/>
      <c r="H704" s="207"/>
      <c r="I704" s="207"/>
      <c r="J704" s="207"/>
      <c r="K704" s="207"/>
      <c r="L704" s="207"/>
      <c r="M704" s="207"/>
      <c r="N704" s="207"/>
      <c r="O704" s="207"/>
      <c r="P704" s="207"/>
      <c r="Q704" s="207"/>
      <c r="R704" s="207"/>
      <c r="S704" s="207"/>
      <c r="T704" s="207"/>
      <c r="U704" s="207"/>
      <c r="V704" s="207"/>
      <c r="W704" s="207"/>
      <c r="X704" s="207"/>
      <c r="Y704" s="207"/>
      <c r="Z704" s="207"/>
      <c r="AA704" s="207"/>
      <c r="AB704" s="207"/>
      <c r="AC704" s="207"/>
      <c r="AD704" s="207"/>
      <c r="AE704" s="207"/>
      <c r="AF704" s="207"/>
      <c r="AG704" s="207"/>
      <c r="AH704" s="207"/>
      <c r="AI704" s="207"/>
      <c r="AJ704" s="207"/>
      <c r="AK704" s="207"/>
      <c r="AL704" s="207"/>
      <c r="AM704" s="207"/>
      <c r="AN704" s="207"/>
      <c r="AO704" s="207"/>
      <c r="AP704" s="207"/>
      <c r="AQ704" s="207"/>
      <c r="AR704" s="207"/>
      <c r="AS704" s="207"/>
      <c r="AT704" s="207"/>
      <c r="AU704" s="207"/>
      <c r="AV704" s="207"/>
      <c r="AW704" s="207"/>
      <c r="AX704" s="207"/>
      <c r="AY704" s="207"/>
      <c r="AZ704" s="207"/>
      <c r="BA704" s="207"/>
    </row>
    <row r="705" ht="18.75" hidden="1" customHeight="1">
      <c r="A705" s="207"/>
      <c r="B705" s="207"/>
      <c r="C705" s="207"/>
      <c r="D705" s="207"/>
      <c r="E705" s="207"/>
      <c r="F705" s="207"/>
      <c r="G705" s="207"/>
      <c r="H705" s="207"/>
      <c r="I705" s="207"/>
      <c r="J705" s="207"/>
      <c r="K705" s="207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  <c r="AA705" s="207"/>
      <c r="AB705" s="207"/>
      <c r="AC705" s="207"/>
      <c r="AD705" s="207"/>
      <c r="AE705" s="207"/>
      <c r="AF705" s="207"/>
      <c r="AG705" s="207"/>
      <c r="AH705" s="207"/>
      <c r="AI705" s="207"/>
      <c r="AJ705" s="207"/>
      <c r="AK705" s="207"/>
      <c r="AL705" s="207"/>
      <c r="AM705" s="207"/>
      <c r="AN705" s="207"/>
      <c r="AO705" s="207"/>
      <c r="AP705" s="207"/>
      <c r="AQ705" s="207"/>
      <c r="AR705" s="207"/>
      <c r="AS705" s="207"/>
      <c r="AT705" s="207"/>
      <c r="AU705" s="207"/>
      <c r="AV705" s="207"/>
      <c r="AW705" s="207"/>
      <c r="AX705" s="207"/>
      <c r="AY705" s="207"/>
      <c r="AZ705" s="207"/>
      <c r="BA705" s="207"/>
    </row>
    <row r="706" ht="18.75" hidden="1" customHeight="1">
      <c r="A706" s="207"/>
      <c r="B706" s="207"/>
      <c r="C706" s="207"/>
      <c r="D706" s="207"/>
      <c r="E706" s="207"/>
      <c r="F706" s="207"/>
      <c r="G706" s="207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  <c r="AA706" s="207"/>
      <c r="AB706" s="207"/>
      <c r="AC706" s="207"/>
      <c r="AD706" s="207"/>
      <c r="AE706" s="207"/>
      <c r="AF706" s="207"/>
      <c r="AG706" s="207"/>
      <c r="AH706" s="207"/>
      <c r="AI706" s="207"/>
      <c r="AJ706" s="207"/>
      <c r="AK706" s="207"/>
      <c r="AL706" s="207"/>
      <c r="AM706" s="207"/>
      <c r="AN706" s="207"/>
      <c r="AO706" s="207"/>
      <c r="AP706" s="207"/>
      <c r="AQ706" s="207"/>
      <c r="AR706" s="207"/>
      <c r="AS706" s="207"/>
      <c r="AT706" s="207"/>
      <c r="AU706" s="207"/>
      <c r="AV706" s="207"/>
      <c r="AW706" s="207"/>
      <c r="AX706" s="207"/>
      <c r="AY706" s="207"/>
      <c r="AZ706" s="207"/>
      <c r="BA706" s="207"/>
    </row>
    <row r="707" ht="18.75" hidden="1" customHeight="1">
      <c r="A707" s="207"/>
      <c r="B707" s="207"/>
      <c r="C707" s="207"/>
      <c r="D707" s="207"/>
      <c r="E707" s="207"/>
      <c r="F707" s="207"/>
      <c r="G707" s="207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  <c r="AA707" s="207"/>
      <c r="AB707" s="207"/>
      <c r="AC707" s="207"/>
      <c r="AD707" s="207"/>
      <c r="AE707" s="207"/>
      <c r="AF707" s="207"/>
      <c r="AG707" s="207"/>
      <c r="AH707" s="207"/>
      <c r="AI707" s="207"/>
      <c r="AJ707" s="207"/>
      <c r="AK707" s="207"/>
      <c r="AL707" s="207"/>
      <c r="AM707" s="207"/>
      <c r="AN707" s="207"/>
      <c r="AO707" s="207"/>
      <c r="AP707" s="207"/>
      <c r="AQ707" s="207"/>
      <c r="AR707" s="207"/>
      <c r="AS707" s="207"/>
      <c r="AT707" s="207"/>
      <c r="AU707" s="207"/>
      <c r="AV707" s="207"/>
      <c r="AW707" s="207"/>
      <c r="AX707" s="207"/>
      <c r="AY707" s="207"/>
      <c r="AZ707" s="207"/>
      <c r="BA707" s="207"/>
    </row>
    <row r="708" ht="18.75" hidden="1" customHeight="1">
      <c r="A708" s="207"/>
      <c r="B708" s="207"/>
      <c r="C708" s="207"/>
      <c r="D708" s="207"/>
      <c r="E708" s="207"/>
      <c r="F708" s="207"/>
      <c r="G708" s="207"/>
      <c r="H708" s="207"/>
      <c r="I708" s="207"/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  <c r="AA708" s="207"/>
      <c r="AB708" s="207"/>
      <c r="AC708" s="207"/>
      <c r="AD708" s="207"/>
      <c r="AE708" s="207"/>
      <c r="AF708" s="207"/>
      <c r="AG708" s="207"/>
      <c r="AH708" s="207"/>
      <c r="AI708" s="207"/>
      <c r="AJ708" s="207"/>
      <c r="AK708" s="207"/>
      <c r="AL708" s="207"/>
      <c r="AM708" s="207"/>
      <c r="AN708" s="207"/>
      <c r="AO708" s="207"/>
      <c r="AP708" s="207"/>
      <c r="AQ708" s="207"/>
      <c r="AR708" s="207"/>
      <c r="AS708" s="207"/>
      <c r="AT708" s="207"/>
      <c r="AU708" s="207"/>
      <c r="AV708" s="207"/>
      <c r="AW708" s="207"/>
      <c r="AX708" s="207"/>
      <c r="AY708" s="207"/>
      <c r="AZ708" s="207"/>
      <c r="BA708" s="207"/>
    </row>
    <row r="709" ht="18.75" hidden="1" customHeight="1">
      <c r="A709" s="207"/>
      <c r="B709" s="207"/>
      <c r="C709" s="207"/>
      <c r="D709" s="207"/>
      <c r="E709" s="207"/>
      <c r="F709" s="207"/>
      <c r="G709" s="207"/>
      <c r="H709" s="207"/>
      <c r="I709" s="207"/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  <c r="AA709" s="207"/>
      <c r="AB709" s="207"/>
      <c r="AC709" s="207"/>
      <c r="AD709" s="207"/>
      <c r="AE709" s="207"/>
      <c r="AF709" s="207"/>
      <c r="AG709" s="207"/>
      <c r="AH709" s="207"/>
      <c r="AI709" s="207"/>
      <c r="AJ709" s="207"/>
      <c r="AK709" s="207"/>
      <c r="AL709" s="207"/>
      <c r="AM709" s="207"/>
      <c r="AN709" s="207"/>
      <c r="AO709" s="207"/>
      <c r="AP709" s="207"/>
      <c r="AQ709" s="207"/>
      <c r="AR709" s="207"/>
      <c r="AS709" s="207"/>
      <c r="AT709" s="207"/>
      <c r="AU709" s="207"/>
      <c r="AV709" s="207"/>
      <c r="AW709" s="207"/>
      <c r="AX709" s="207"/>
      <c r="AY709" s="207"/>
      <c r="AZ709" s="207"/>
      <c r="BA709" s="207"/>
    </row>
    <row r="710" ht="18.75" hidden="1" customHeight="1">
      <c r="A710" s="207"/>
      <c r="B710" s="207"/>
      <c r="C710" s="207"/>
      <c r="D710" s="207"/>
      <c r="E710" s="207"/>
      <c r="F710" s="207"/>
      <c r="G710" s="207"/>
      <c r="H710" s="207"/>
      <c r="I710" s="207"/>
      <c r="J710" s="207"/>
      <c r="K710" s="207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  <c r="AA710" s="207"/>
      <c r="AB710" s="207"/>
      <c r="AC710" s="207"/>
      <c r="AD710" s="207"/>
      <c r="AE710" s="207"/>
      <c r="AF710" s="207"/>
      <c r="AG710" s="207"/>
      <c r="AH710" s="207"/>
      <c r="AI710" s="207"/>
      <c r="AJ710" s="207"/>
      <c r="AK710" s="207"/>
      <c r="AL710" s="207"/>
      <c r="AM710" s="207"/>
      <c r="AN710" s="207"/>
      <c r="AO710" s="207"/>
      <c r="AP710" s="207"/>
      <c r="AQ710" s="207"/>
      <c r="AR710" s="207"/>
      <c r="AS710" s="207"/>
      <c r="AT710" s="207"/>
      <c r="AU710" s="207"/>
      <c r="AV710" s="207"/>
      <c r="AW710" s="207"/>
      <c r="AX710" s="207"/>
      <c r="AY710" s="207"/>
      <c r="AZ710" s="207"/>
      <c r="BA710" s="207"/>
    </row>
    <row r="711" ht="18.75" hidden="1" customHeight="1">
      <c r="A711" s="207"/>
      <c r="B711" s="207"/>
      <c r="C711" s="207"/>
      <c r="D711" s="207"/>
      <c r="E711" s="207"/>
      <c r="F711" s="207"/>
      <c r="G711" s="207"/>
      <c r="H711" s="207"/>
      <c r="I711" s="207"/>
      <c r="J711" s="207"/>
      <c r="K711" s="207"/>
      <c r="L711" s="207"/>
      <c r="M711" s="207"/>
      <c r="N711" s="207"/>
      <c r="O711" s="207"/>
      <c r="P711" s="207"/>
      <c r="Q711" s="207"/>
      <c r="R711" s="207"/>
      <c r="S711" s="207"/>
      <c r="T711" s="207"/>
      <c r="U711" s="207"/>
      <c r="V711" s="207"/>
      <c r="W711" s="207"/>
      <c r="X711" s="207"/>
      <c r="Y711" s="207"/>
      <c r="Z711" s="207"/>
      <c r="AA711" s="207"/>
      <c r="AB711" s="207"/>
      <c r="AC711" s="207"/>
      <c r="AD711" s="207"/>
      <c r="AE711" s="207"/>
      <c r="AF711" s="207"/>
      <c r="AG711" s="207"/>
      <c r="AH711" s="207"/>
      <c r="AI711" s="207"/>
      <c r="AJ711" s="207"/>
      <c r="AK711" s="207"/>
      <c r="AL711" s="207"/>
      <c r="AM711" s="207"/>
      <c r="AN711" s="207"/>
      <c r="AO711" s="207"/>
      <c r="AP711" s="207"/>
      <c r="AQ711" s="207"/>
      <c r="AR711" s="207"/>
      <c r="AS711" s="207"/>
      <c r="AT711" s="207"/>
      <c r="AU711" s="207"/>
      <c r="AV711" s="207"/>
      <c r="AW711" s="207"/>
      <c r="AX711" s="207"/>
      <c r="AY711" s="207"/>
      <c r="AZ711" s="207"/>
      <c r="BA711" s="207"/>
    </row>
    <row r="712" ht="18.75" hidden="1" customHeight="1">
      <c r="A712" s="207"/>
      <c r="B712" s="207"/>
      <c r="C712" s="207"/>
      <c r="D712" s="207"/>
      <c r="E712" s="207"/>
      <c r="F712" s="207"/>
      <c r="G712" s="207"/>
      <c r="H712" s="207"/>
      <c r="I712" s="207"/>
      <c r="J712" s="207"/>
      <c r="K712" s="207"/>
      <c r="L712" s="207"/>
      <c r="M712" s="207"/>
      <c r="N712" s="207"/>
      <c r="O712" s="207"/>
      <c r="P712" s="207"/>
      <c r="Q712" s="207"/>
      <c r="R712" s="207"/>
      <c r="S712" s="207"/>
      <c r="T712" s="207"/>
      <c r="U712" s="207"/>
      <c r="V712" s="207"/>
      <c r="W712" s="207"/>
      <c r="X712" s="207"/>
      <c r="Y712" s="207"/>
      <c r="Z712" s="207"/>
      <c r="AA712" s="207"/>
      <c r="AB712" s="207"/>
      <c r="AC712" s="207"/>
      <c r="AD712" s="207"/>
      <c r="AE712" s="207"/>
      <c r="AF712" s="207"/>
      <c r="AG712" s="207"/>
      <c r="AH712" s="207"/>
      <c r="AI712" s="207"/>
      <c r="AJ712" s="207"/>
      <c r="AK712" s="207"/>
      <c r="AL712" s="207"/>
      <c r="AM712" s="207"/>
      <c r="AN712" s="207"/>
      <c r="AO712" s="207"/>
      <c r="AP712" s="207"/>
      <c r="AQ712" s="207"/>
      <c r="AR712" s="207"/>
      <c r="AS712" s="207"/>
      <c r="AT712" s="207"/>
      <c r="AU712" s="207"/>
      <c r="AV712" s="207"/>
      <c r="AW712" s="207"/>
      <c r="AX712" s="207"/>
      <c r="AY712" s="207"/>
      <c r="AZ712" s="207"/>
      <c r="BA712" s="207"/>
    </row>
    <row r="713" ht="18.75" hidden="1" customHeight="1">
      <c r="A713" s="207"/>
      <c r="B713" s="207"/>
      <c r="C713" s="207"/>
      <c r="D713" s="207"/>
      <c r="E713" s="207"/>
      <c r="F713" s="207"/>
      <c r="G713" s="207"/>
      <c r="H713" s="207"/>
      <c r="I713" s="207"/>
      <c r="J713" s="207"/>
      <c r="K713" s="207"/>
      <c r="L713" s="207"/>
      <c r="M713" s="207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207"/>
      <c r="Y713" s="207"/>
      <c r="Z713" s="207"/>
      <c r="AA713" s="207"/>
      <c r="AB713" s="207"/>
      <c r="AC713" s="207"/>
      <c r="AD713" s="207"/>
      <c r="AE713" s="207"/>
      <c r="AF713" s="207"/>
      <c r="AG713" s="207"/>
      <c r="AH713" s="207"/>
      <c r="AI713" s="207"/>
      <c r="AJ713" s="207"/>
      <c r="AK713" s="207"/>
      <c r="AL713" s="207"/>
      <c r="AM713" s="207"/>
      <c r="AN713" s="207"/>
      <c r="AO713" s="207"/>
      <c r="AP713" s="207"/>
      <c r="AQ713" s="207"/>
      <c r="AR713" s="207"/>
      <c r="AS713" s="207"/>
      <c r="AT713" s="207"/>
      <c r="AU713" s="207"/>
      <c r="AV713" s="207"/>
      <c r="AW713" s="207"/>
      <c r="AX713" s="207"/>
      <c r="AY713" s="207"/>
      <c r="AZ713" s="207"/>
      <c r="BA713" s="207"/>
    </row>
    <row r="714" ht="18.75" hidden="1" customHeight="1">
      <c r="A714" s="207"/>
      <c r="B714" s="207"/>
      <c r="C714" s="207"/>
      <c r="D714" s="207"/>
      <c r="E714" s="207"/>
      <c r="F714" s="207"/>
      <c r="G714" s="207"/>
      <c r="H714" s="207"/>
      <c r="I714" s="207"/>
      <c r="J714" s="207"/>
      <c r="K714" s="207"/>
      <c r="L714" s="207"/>
      <c r="M714" s="207"/>
      <c r="N714" s="207"/>
      <c r="O714" s="207"/>
      <c r="P714" s="207"/>
      <c r="Q714" s="207"/>
      <c r="R714" s="207"/>
      <c r="S714" s="207"/>
      <c r="T714" s="207"/>
      <c r="U714" s="207"/>
      <c r="V714" s="207"/>
      <c r="W714" s="207"/>
      <c r="X714" s="207"/>
      <c r="Y714" s="207"/>
      <c r="Z714" s="207"/>
      <c r="AA714" s="207"/>
      <c r="AB714" s="207"/>
      <c r="AC714" s="207"/>
      <c r="AD714" s="207"/>
      <c r="AE714" s="207"/>
      <c r="AF714" s="207"/>
      <c r="AG714" s="207"/>
      <c r="AH714" s="207"/>
      <c r="AI714" s="207"/>
      <c r="AJ714" s="207"/>
      <c r="AK714" s="207"/>
      <c r="AL714" s="207"/>
      <c r="AM714" s="207"/>
      <c r="AN714" s="207"/>
      <c r="AO714" s="207"/>
      <c r="AP714" s="207"/>
      <c r="AQ714" s="207"/>
      <c r="AR714" s="207"/>
      <c r="AS714" s="207"/>
      <c r="AT714" s="207"/>
      <c r="AU714" s="207"/>
      <c r="AV714" s="207"/>
      <c r="AW714" s="207"/>
      <c r="AX714" s="207"/>
      <c r="AY714" s="207"/>
      <c r="AZ714" s="207"/>
      <c r="BA714" s="207"/>
    </row>
    <row r="715" ht="18.75" hidden="1" customHeight="1">
      <c r="A715" s="207"/>
      <c r="B715" s="207"/>
      <c r="C715" s="207"/>
      <c r="D715" s="207"/>
      <c r="E715" s="207"/>
      <c r="F715" s="207"/>
      <c r="G715" s="207"/>
      <c r="H715" s="207"/>
      <c r="I715" s="207"/>
      <c r="J715" s="207"/>
      <c r="K715" s="207"/>
      <c r="L715" s="207"/>
      <c r="M715" s="207"/>
      <c r="N715" s="207"/>
      <c r="O715" s="207"/>
      <c r="P715" s="207"/>
      <c r="Q715" s="207"/>
      <c r="R715" s="207"/>
      <c r="S715" s="207"/>
      <c r="T715" s="207"/>
      <c r="U715" s="207"/>
      <c r="V715" s="207"/>
      <c r="W715" s="207"/>
      <c r="X715" s="207"/>
      <c r="Y715" s="207"/>
      <c r="Z715" s="207"/>
      <c r="AA715" s="207"/>
      <c r="AB715" s="207"/>
      <c r="AC715" s="207"/>
      <c r="AD715" s="207"/>
      <c r="AE715" s="207"/>
      <c r="AF715" s="207"/>
      <c r="AG715" s="207"/>
      <c r="AH715" s="207"/>
      <c r="AI715" s="207"/>
      <c r="AJ715" s="207"/>
      <c r="AK715" s="207"/>
      <c r="AL715" s="207"/>
      <c r="AM715" s="207"/>
      <c r="AN715" s="207"/>
      <c r="AO715" s="207"/>
      <c r="AP715" s="207"/>
      <c r="AQ715" s="207"/>
      <c r="AR715" s="207"/>
      <c r="AS715" s="207"/>
      <c r="AT715" s="207"/>
      <c r="AU715" s="207"/>
      <c r="AV715" s="207"/>
      <c r="AW715" s="207"/>
      <c r="AX715" s="207"/>
      <c r="AY715" s="207"/>
      <c r="AZ715" s="207"/>
      <c r="BA715" s="207"/>
    </row>
    <row r="716" ht="18.75" hidden="1" customHeight="1">
      <c r="A716" s="207"/>
      <c r="B716" s="207"/>
      <c r="C716" s="207"/>
      <c r="D716" s="207"/>
      <c r="E716" s="207"/>
      <c r="F716" s="207"/>
      <c r="G716" s="207"/>
      <c r="H716" s="207"/>
      <c r="I716" s="207"/>
      <c r="J716" s="207"/>
      <c r="K716" s="207"/>
      <c r="L716" s="207"/>
      <c r="M716" s="207"/>
      <c r="N716" s="207"/>
      <c r="O716" s="207"/>
      <c r="P716" s="207"/>
      <c r="Q716" s="207"/>
      <c r="R716" s="207"/>
      <c r="S716" s="207"/>
      <c r="T716" s="207"/>
      <c r="U716" s="207"/>
      <c r="V716" s="207"/>
      <c r="W716" s="207"/>
      <c r="X716" s="207"/>
      <c r="Y716" s="207"/>
      <c r="Z716" s="207"/>
      <c r="AA716" s="207"/>
      <c r="AB716" s="207"/>
      <c r="AC716" s="207"/>
      <c r="AD716" s="207"/>
      <c r="AE716" s="207"/>
      <c r="AF716" s="207"/>
      <c r="AG716" s="207"/>
      <c r="AH716" s="207"/>
      <c r="AI716" s="207"/>
      <c r="AJ716" s="207"/>
      <c r="AK716" s="207"/>
      <c r="AL716" s="207"/>
      <c r="AM716" s="207"/>
      <c r="AN716" s="207"/>
      <c r="AO716" s="207"/>
      <c r="AP716" s="207"/>
      <c r="AQ716" s="207"/>
      <c r="AR716" s="207"/>
      <c r="AS716" s="207"/>
      <c r="AT716" s="207"/>
      <c r="AU716" s="207"/>
      <c r="AV716" s="207"/>
      <c r="AW716" s="207"/>
      <c r="AX716" s="207"/>
      <c r="AY716" s="207"/>
      <c r="AZ716" s="207"/>
      <c r="BA716" s="207"/>
    </row>
    <row r="717" ht="18.75" hidden="1" customHeight="1">
      <c r="A717" s="207"/>
      <c r="B717" s="207"/>
      <c r="C717" s="207"/>
      <c r="D717" s="207"/>
      <c r="E717" s="207"/>
      <c r="F717" s="207"/>
      <c r="G717" s="207"/>
      <c r="H717" s="207"/>
      <c r="I717" s="207"/>
      <c r="J717" s="207"/>
      <c r="K717" s="207"/>
      <c r="L717" s="207"/>
      <c r="M717" s="207"/>
      <c r="N717" s="207"/>
      <c r="O717" s="207"/>
      <c r="P717" s="207"/>
      <c r="Q717" s="207"/>
      <c r="R717" s="207"/>
      <c r="S717" s="207"/>
      <c r="T717" s="207"/>
      <c r="U717" s="207"/>
      <c r="V717" s="207"/>
      <c r="W717" s="207"/>
      <c r="X717" s="207"/>
      <c r="Y717" s="207"/>
      <c r="Z717" s="207"/>
      <c r="AA717" s="207"/>
      <c r="AB717" s="207"/>
      <c r="AC717" s="207"/>
      <c r="AD717" s="207"/>
      <c r="AE717" s="207"/>
      <c r="AF717" s="207"/>
      <c r="AG717" s="207"/>
      <c r="AH717" s="207"/>
      <c r="AI717" s="207"/>
      <c r="AJ717" s="207"/>
      <c r="AK717" s="207"/>
      <c r="AL717" s="207"/>
      <c r="AM717" s="207"/>
      <c r="AN717" s="207"/>
      <c r="AO717" s="207"/>
      <c r="AP717" s="207"/>
      <c r="AQ717" s="207"/>
      <c r="AR717" s="207"/>
      <c r="AS717" s="207"/>
      <c r="AT717" s="207"/>
      <c r="AU717" s="207"/>
      <c r="AV717" s="207"/>
      <c r="AW717" s="207"/>
      <c r="AX717" s="207"/>
      <c r="AY717" s="207"/>
      <c r="AZ717" s="207"/>
      <c r="BA717" s="207"/>
    </row>
    <row r="718" ht="18.75" hidden="1" customHeight="1">
      <c r="A718" s="207"/>
      <c r="B718" s="207"/>
      <c r="C718" s="207"/>
      <c r="D718" s="207"/>
      <c r="E718" s="207"/>
      <c r="F718" s="207"/>
      <c r="G718" s="207"/>
      <c r="H718" s="207"/>
      <c r="I718" s="207"/>
      <c r="J718" s="207"/>
      <c r="K718" s="207"/>
      <c r="L718" s="207"/>
      <c r="M718" s="207"/>
      <c r="N718" s="207"/>
      <c r="O718" s="207"/>
      <c r="P718" s="207"/>
      <c r="Q718" s="207"/>
      <c r="R718" s="207"/>
      <c r="S718" s="207"/>
      <c r="T718" s="207"/>
      <c r="U718" s="207"/>
      <c r="V718" s="207"/>
      <c r="W718" s="207"/>
      <c r="X718" s="207"/>
      <c r="Y718" s="207"/>
      <c r="Z718" s="207"/>
      <c r="AA718" s="207"/>
      <c r="AB718" s="207"/>
      <c r="AC718" s="207"/>
      <c r="AD718" s="207"/>
      <c r="AE718" s="207"/>
      <c r="AF718" s="207"/>
      <c r="AG718" s="207"/>
      <c r="AH718" s="207"/>
      <c r="AI718" s="207"/>
      <c r="AJ718" s="207"/>
      <c r="AK718" s="207"/>
      <c r="AL718" s="207"/>
      <c r="AM718" s="207"/>
      <c r="AN718" s="207"/>
      <c r="AO718" s="207"/>
      <c r="AP718" s="207"/>
      <c r="AQ718" s="207"/>
      <c r="AR718" s="207"/>
      <c r="AS718" s="207"/>
      <c r="AT718" s="207"/>
      <c r="AU718" s="207"/>
      <c r="AV718" s="207"/>
      <c r="AW718" s="207"/>
      <c r="AX718" s="207"/>
      <c r="AY718" s="207"/>
      <c r="AZ718" s="207"/>
      <c r="BA718" s="207"/>
    </row>
    <row r="719" ht="18.75" hidden="1" customHeight="1">
      <c r="A719" s="207"/>
      <c r="B719" s="207"/>
      <c r="C719" s="207"/>
      <c r="D719" s="207"/>
      <c r="E719" s="207"/>
      <c r="F719" s="207"/>
      <c r="G719" s="207"/>
      <c r="H719" s="207"/>
      <c r="I719" s="207"/>
      <c r="J719" s="207"/>
      <c r="K719" s="207"/>
      <c r="L719" s="207"/>
      <c r="M719" s="207"/>
      <c r="N719" s="207"/>
      <c r="O719" s="207"/>
      <c r="P719" s="207"/>
      <c r="Q719" s="207"/>
      <c r="R719" s="207"/>
      <c r="S719" s="207"/>
      <c r="T719" s="207"/>
      <c r="U719" s="207"/>
      <c r="V719" s="207"/>
      <c r="W719" s="207"/>
      <c r="X719" s="207"/>
      <c r="Y719" s="207"/>
      <c r="Z719" s="207"/>
      <c r="AA719" s="207"/>
      <c r="AB719" s="207"/>
      <c r="AC719" s="207"/>
      <c r="AD719" s="207"/>
      <c r="AE719" s="207"/>
      <c r="AF719" s="207"/>
      <c r="AG719" s="207"/>
      <c r="AH719" s="207"/>
      <c r="AI719" s="207"/>
      <c r="AJ719" s="207"/>
      <c r="AK719" s="207"/>
      <c r="AL719" s="207"/>
      <c r="AM719" s="207"/>
      <c r="AN719" s="207"/>
      <c r="AO719" s="207"/>
      <c r="AP719" s="207"/>
      <c r="AQ719" s="207"/>
      <c r="AR719" s="207"/>
      <c r="AS719" s="207"/>
      <c r="AT719" s="207"/>
      <c r="AU719" s="207"/>
      <c r="AV719" s="207"/>
      <c r="AW719" s="207"/>
      <c r="AX719" s="207"/>
      <c r="AY719" s="207"/>
      <c r="AZ719" s="207"/>
      <c r="BA719" s="207"/>
    </row>
    <row r="720" ht="18.75" hidden="1" customHeight="1">
      <c r="A720" s="207"/>
      <c r="B720" s="207"/>
      <c r="C720" s="207"/>
      <c r="D720" s="207"/>
      <c r="E720" s="207"/>
      <c r="F720" s="207"/>
      <c r="G720" s="207"/>
      <c r="H720" s="207"/>
      <c r="I720" s="207"/>
      <c r="J720" s="207"/>
      <c r="K720" s="207"/>
      <c r="L720" s="207"/>
      <c r="M720" s="207"/>
      <c r="N720" s="207"/>
      <c r="O720" s="207"/>
      <c r="P720" s="207"/>
      <c r="Q720" s="207"/>
      <c r="R720" s="207"/>
      <c r="S720" s="207"/>
      <c r="T720" s="207"/>
      <c r="U720" s="207"/>
      <c r="V720" s="207"/>
      <c r="W720" s="207"/>
      <c r="X720" s="207"/>
      <c r="Y720" s="207"/>
      <c r="Z720" s="207"/>
      <c r="AA720" s="207"/>
      <c r="AB720" s="207"/>
      <c r="AC720" s="207"/>
      <c r="AD720" s="207"/>
      <c r="AE720" s="207"/>
      <c r="AF720" s="207"/>
      <c r="AG720" s="207"/>
      <c r="AH720" s="207"/>
      <c r="AI720" s="207"/>
      <c r="AJ720" s="207"/>
      <c r="AK720" s="207"/>
      <c r="AL720" s="207"/>
      <c r="AM720" s="207"/>
      <c r="AN720" s="207"/>
      <c r="AO720" s="207"/>
      <c r="AP720" s="207"/>
      <c r="AQ720" s="207"/>
      <c r="AR720" s="207"/>
      <c r="AS720" s="207"/>
      <c r="AT720" s="207"/>
      <c r="AU720" s="207"/>
      <c r="AV720" s="207"/>
      <c r="AW720" s="207"/>
      <c r="AX720" s="207"/>
      <c r="AY720" s="207"/>
      <c r="AZ720" s="207"/>
      <c r="BA720" s="207"/>
    </row>
    <row r="721" ht="18.75" hidden="1" customHeight="1">
      <c r="A721" s="207"/>
      <c r="B721" s="207"/>
      <c r="C721" s="207"/>
      <c r="D721" s="207"/>
      <c r="E721" s="207"/>
      <c r="F721" s="207"/>
      <c r="G721" s="207"/>
      <c r="H721" s="207"/>
      <c r="I721" s="207"/>
      <c r="J721" s="207"/>
      <c r="K721" s="207"/>
      <c r="L721" s="207"/>
      <c r="M721" s="207"/>
      <c r="N721" s="207"/>
      <c r="O721" s="207"/>
      <c r="P721" s="207"/>
      <c r="Q721" s="207"/>
      <c r="R721" s="207"/>
      <c r="S721" s="207"/>
      <c r="T721" s="207"/>
      <c r="U721" s="207"/>
      <c r="V721" s="207"/>
      <c r="W721" s="207"/>
      <c r="X721" s="207"/>
      <c r="Y721" s="207"/>
      <c r="Z721" s="207"/>
      <c r="AA721" s="207"/>
      <c r="AB721" s="207"/>
      <c r="AC721" s="207"/>
      <c r="AD721" s="207"/>
      <c r="AE721" s="207"/>
      <c r="AF721" s="207"/>
      <c r="AG721" s="207"/>
      <c r="AH721" s="207"/>
      <c r="AI721" s="207"/>
      <c r="AJ721" s="207"/>
      <c r="AK721" s="207"/>
      <c r="AL721" s="207"/>
      <c r="AM721" s="207"/>
      <c r="AN721" s="207"/>
      <c r="AO721" s="207"/>
      <c r="AP721" s="207"/>
      <c r="AQ721" s="207"/>
      <c r="AR721" s="207"/>
      <c r="AS721" s="207"/>
      <c r="AT721" s="207"/>
      <c r="AU721" s="207"/>
      <c r="AV721" s="207"/>
      <c r="AW721" s="207"/>
      <c r="AX721" s="207"/>
      <c r="AY721" s="207"/>
      <c r="AZ721" s="207"/>
      <c r="BA721" s="207"/>
    </row>
    <row r="722" ht="18.75" hidden="1" customHeight="1">
      <c r="A722" s="207"/>
      <c r="B722" s="207"/>
      <c r="C722" s="207"/>
      <c r="D722" s="207"/>
      <c r="E722" s="207"/>
      <c r="F722" s="207"/>
      <c r="G722" s="207"/>
      <c r="H722" s="207"/>
      <c r="I722" s="207"/>
      <c r="J722" s="207"/>
      <c r="K722" s="207"/>
      <c r="L722" s="207"/>
      <c r="M722" s="207"/>
      <c r="N722" s="207"/>
      <c r="O722" s="207"/>
      <c r="P722" s="207"/>
      <c r="Q722" s="207"/>
      <c r="R722" s="207"/>
      <c r="S722" s="207"/>
      <c r="T722" s="207"/>
      <c r="U722" s="207"/>
      <c r="V722" s="207"/>
      <c r="W722" s="207"/>
      <c r="X722" s="207"/>
      <c r="Y722" s="207"/>
      <c r="Z722" s="207"/>
      <c r="AA722" s="207"/>
      <c r="AB722" s="207"/>
      <c r="AC722" s="207"/>
      <c r="AD722" s="207"/>
      <c r="AE722" s="207"/>
      <c r="AF722" s="207"/>
      <c r="AG722" s="207"/>
      <c r="AH722" s="207"/>
      <c r="AI722" s="207"/>
      <c r="AJ722" s="207"/>
      <c r="AK722" s="207"/>
      <c r="AL722" s="207"/>
      <c r="AM722" s="207"/>
      <c r="AN722" s="207"/>
      <c r="AO722" s="207"/>
      <c r="AP722" s="207"/>
      <c r="AQ722" s="207"/>
      <c r="AR722" s="207"/>
      <c r="AS722" s="207"/>
      <c r="AT722" s="207"/>
      <c r="AU722" s="207"/>
      <c r="AV722" s="207"/>
      <c r="AW722" s="207"/>
      <c r="AX722" s="207"/>
      <c r="AY722" s="207"/>
      <c r="AZ722" s="207"/>
      <c r="BA722" s="207"/>
    </row>
    <row r="723" ht="18.75" hidden="1" customHeight="1">
      <c r="A723" s="207"/>
      <c r="B723" s="207"/>
      <c r="C723" s="207"/>
      <c r="D723" s="207"/>
      <c r="E723" s="207"/>
      <c r="F723" s="207"/>
      <c r="G723" s="207"/>
      <c r="H723" s="207"/>
      <c r="I723" s="207"/>
      <c r="J723" s="207"/>
      <c r="K723" s="207"/>
      <c r="L723" s="207"/>
      <c r="M723" s="207"/>
      <c r="N723" s="207"/>
      <c r="O723" s="207"/>
      <c r="P723" s="207"/>
      <c r="Q723" s="207"/>
      <c r="R723" s="207"/>
      <c r="S723" s="207"/>
      <c r="T723" s="207"/>
      <c r="U723" s="207"/>
      <c r="V723" s="207"/>
      <c r="W723" s="207"/>
      <c r="X723" s="207"/>
      <c r="Y723" s="207"/>
      <c r="Z723" s="207"/>
      <c r="AA723" s="207"/>
      <c r="AB723" s="207"/>
      <c r="AC723" s="207"/>
      <c r="AD723" s="207"/>
      <c r="AE723" s="207"/>
      <c r="AF723" s="207"/>
      <c r="AG723" s="207"/>
      <c r="AH723" s="207"/>
      <c r="AI723" s="207"/>
      <c r="AJ723" s="207"/>
      <c r="AK723" s="207"/>
      <c r="AL723" s="207"/>
      <c r="AM723" s="207"/>
      <c r="AN723" s="207"/>
      <c r="AO723" s="207"/>
      <c r="AP723" s="207"/>
      <c r="AQ723" s="207"/>
      <c r="AR723" s="207"/>
      <c r="AS723" s="207"/>
      <c r="AT723" s="207"/>
      <c r="AU723" s="207"/>
      <c r="AV723" s="207"/>
      <c r="AW723" s="207"/>
      <c r="AX723" s="207"/>
      <c r="AY723" s="207"/>
      <c r="AZ723" s="207"/>
      <c r="BA723" s="207"/>
    </row>
    <row r="724" ht="18.75" hidden="1" customHeight="1">
      <c r="A724" s="207"/>
      <c r="B724" s="207"/>
      <c r="C724" s="207"/>
      <c r="D724" s="207"/>
      <c r="E724" s="207"/>
      <c r="F724" s="207"/>
      <c r="G724" s="207"/>
      <c r="H724" s="207"/>
      <c r="I724" s="207"/>
      <c r="J724" s="207"/>
      <c r="K724" s="207"/>
      <c r="L724" s="207"/>
      <c r="M724" s="207"/>
      <c r="N724" s="207"/>
      <c r="O724" s="207"/>
      <c r="P724" s="207"/>
      <c r="Q724" s="207"/>
      <c r="R724" s="207"/>
      <c r="S724" s="207"/>
      <c r="T724" s="207"/>
      <c r="U724" s="207"/>
      <c r="V724" s="207"/>
      <c r="W724" s="207"/>
      <c r="X724" s="207"/>
      <c r="Y724" s="207"/>
      <c r="Z724" s="207"/>
      <c r="AA724" s="207"/>
      <c r="AB724" s="207"/>
      <c r="AC724" s="207"/>
      <c r="AD724" s="207"/>
      <c r="AE724" s="207"/>
      <c r="AF724" s="207"/>
      <c r="AG724" s="207"/>
      <c r="AH724" s="207"/>
      <c r="AI724" s="207"/>
      <c r="AJ724" s="207"/>
      <c r="AK724" s="207"/>
      <c r="AL724" s="207"/>
      <c r="AM724" s="207"/>
      <c r="AN724" s="207"/>
      <c r="AO724" s="207"/>
      <c r="AP724" s="207"/>
      <c r="AQ724" s="207"/>
      <c r="AR724" s="207"/>
      <c r="AS724" s="207"/>
      <c r="AT724" s="207"/>
      <c r="AU724" s="207"/>
      <c r="AV724" s="207"/>
      <c r="AW724" s="207"/>
      <c r="AX724" s="207"/>
      <c r="AY724" s="207"/>
      <c r="AZ724" s="207"/>
      <c r="BA724" s="207"/>
    </row>
    <row r="725" ht="18.75" hidden="1" customHeight="1">
      <c r="A725" s="207"/>
      <c r="B725" s="207"/>
      <c r="C725" s="207"/>
      <c r="D725" s="207"/>
      <c r="E725" s="207"/>
      <c r="F725" s="207"/>
      <c r="G725" s="207"/>
      <c r="H725" s="207"/>
      <c r="I725" s="207"/>
      <c r="J725" s="207"/>
      <c r="K725" s="207"/>
      <c r="L725" s="207"/>
      <c r="M725" s="207"/>
      <c r="N725" s="207"/>
      <c r="O725" s="207"/>
      <c r="P725" s="207"/>
      <c r="Q725" s="207"/>
      <c r="R725" s="207"/>
      <c r="S725" s="207"/>
      <c r="T725" s="207"/>
      <c r="U725" s="207"/>
      <c r="V725" s="207"/>
      <c r="W725" s="207"/>
      <c r="X725" s="207"/>
      <c r="Y725" s="207"/>
      <c r="Z725" s="207"/>
      <c r="AA725" s="207"/>
      <c r="AB725" s="207"/>
      <c r="AC725" s="207"/>
      <c r="AD725" s="207"/>
      <c r="AE725" s="207"/>
      <c r="AF725" s="207"/>
      <c r="AG725" s="207"/>
      <c r="AH725" s="207"/>
      <c r="AI725" s="207"/>
      <c r="AJ725" s="207"/>
      <c r="AK725" s="207"/>
      <c r="AL725" s="207"/>
      <c r="AM725" s="207"/>
      <c r="AN725" s="207"/>
      <c r="AO725" s="207"/>
      <c r="AP725" s="207"/>
      <c r="AQ725" s="207"/>
      <c r="AR725" s="207"/>
      <c r="AS725" s="207"/>
      <c r="AT725" s="207"/>
      <c r="AU725" s="207"/>
      <c r="AV725" s="207"/>
      <c r="AW725" s="207"/>
      <c r="AX725" s="207"/>
      <c r="AY725" s="207"/>
      <c r="AZ725" s="207"/>
      <c r="BA725" s="207"/>
    </row>
    <row r="726" ht="18.75" hidden="1" customHeight="1">
      <c r="A726" s="207"/>
      <c r="B726" s="207"/>
      <c r="C726" s="207"/>
      <c r="D726" s="207"/>
      <c r="E726" s="207"/>
      <c r="F726" s="207"/>
      <c r="G726" s="207"/>
      <c r="H726" s="207"/>
      <c r="I726" s="207"/>
      <c r="J726" s="207"/>
      <c r="K726" s="207"/>
      <c r="L726" s="207"/>
      <c r="M726" s="207"/>
      <c r="N726" s="207"/>
      <c r="O726" s="207"/>
      <c r="P726" s="207"/>
      <c r="Q726" s="207"/>
      <c r="R726" s="207"/>
      <c r="S726" s="207"/>
      <c r="T726" s="207"/>
      <c r="U726" s="207"/>
      <c r="V726" s="207"/>
      <c r="W726" s="207"/>
      <c r="X726" s="207"/>
      <c r="Y726" s="207"/>
      <c r="Z726" s="207"/>
      <c r="AA726" s="207"/>
      <c r="AB726" s="207"/>
      <c r="AC726" s="207"/>
      <c r="AD726" s="207"/>
      <c r="AE726" s="207"/>
      <c r="AF726" s="207"/>
      <c r="AG726" s="207"/>
      <c r="AH726" s="207"/>
      <c r="AI726" s="207"/>
      <c r="AJ726" s="207"/>
      <c r="AK726" s="207"/>
      <c r="AL726" s="207"/>
      <c r="AM726" s="207"/>
      <c r="AN726" s="207"/>
      <c r="AO726" s="207"/>
      <c r="AP726" s="207"/>
      <c r="AQ726" s="207"/>
      <c r="AR726" s="207"/>
      <c r="AS726" s="207"/>
      <c r="AT726" s="207"/>
      <c r="AU726" s="207"/>
      <c r="AV726" s="207"/>
      <c r="AW726" s="207"/>
      <c r="AX726" s="207"/>
      <c r="AY726" s="207"/>
      <c r="AZ726" s="207"/>
      <c r="BA726" s="207"/>
    </row>
    <row r="727" ht="18.75" hidden="1" customHeight="1">
      <c r="A727" s="207"/>
      <c r="B727" s="207"/>
      <c r="C727" s="207"/>
      <c r="D727" s="207"/>
      <c r="E727" s="207"/>
      <c r="F727" s="207"/>
      <c r="G727" s="207"/>
      <c r="H727" s="207"/>
      <c r="I727" s="207"/>
      <c r="J727" s="207"/>
      <c r="K727" s="207"/>
      <c r="L727" s="207"/>
      <c r="M727" s="207"/>
      <c r="N727" s="207"/>
      <c r="O727" s="207"/>
      <c r="P727" s="207"/>
      <c r="Q727" s="207"/>
      <c r="R727" s="207"/>
      <c r="S727" s="207"/>
      <c r="T727" s="207"/>
      <c r="U727" s="207"/>
      <c r="V727" s="207"/>
      <c r="W727" s="207"/>
      <c r="X727" s="207"/>
      <c r="Y727" s="207"/>
      <c r="Z727" s="207"/>
      <c r="AA727" s="207"/>
      <c r="AB727" s="207"/>
      <c r="AC727" s="207"/>
      <c r="AD727" s="207"/>
      <c r="AE727" s="207"/>
      <c r="AF727" s="207"/>
      <c r="AG727" s="207"/>
      <c r="AH727" s="207"/>
      <c r="AI727" s="207"/>
      <c r="AJ727" s="207"/>
      <c r="AK727" s="207"/>
      <c r="AL727" s="207"/>
      <c r="AM727" s="207"/>
      <c r="AN727" s="207"/>
      <c r="AO727" s="207"/>
      <c r="AP727" s="207"/>
      <c r="AQ727" s="207"/>
      <c r="AR727" s="207"/>
      <c r="AS727" s="207"/>
      <c r="AT727" s="207"/>
      <c r="AU727" s="207"/>
      <c r="AV727" s="207"/>
      <c r="AW727" s="207"/>
      <c r="AX727" s="207"/>
      <c r="AY727" s="207"/>
      <c r="AZ727" s="207"/>
      <c r="BA727" s="207"/>
    </row>
    <row r="728" ht="18.75" hidden="1" customHeight="1">
      <c r="A728" s="207"/>
      <c r="B728" s="207"/>
      <c r="C728" s="207"/>
      <c r="D728" s="207"/>
      <c r="E728" s="207"/>
      <c r="F728" s="207"/>
      <c r="G728" s="207"/>
      <c r="H728" s="207"/>
      <c r="I728" s="207"/>
      <c r="J728" s="207"/>
      <c r="K728" s="207"/>
      <c r="L728" s="207"/>
      <c r="M728" s="207"/>
      <c r="N728" s="207"/>
      <c r="O728" s="207"/>
      <c r="P728" s="207"/>
      <c r="Q728" s="207"/>
      <c r="R728" s="207"/>
      <c r="S728" s="207"/>
      <c r="T728" s="207"/>
      <c r="U728" s="207"/>
      <c r="V728" s="207"/>
      <c r="W728" s="207"/>
      <c r="X728" s="207"/>
      <c r="Y728" s="207"/>
      <c r="Z728" s="207"/>
      <c r="AA728" s="207"/>
      <c r="AB728" s="207"/>
      <c r="AC728" s="207"/>
      <c r="AD728" s="207"/>
      <c r="AE728" s="207"/>
      <c r="AF728" s="207"/>
      <c r="AG728" s="207"/>
      <c r="AH728" s="207"/>
      <c r="AI728" s="207"/>
      <c r="AJ728" s="207"/>
      <c r="AK728" s="207"/>
      <c r="AL728" s="207"/>
      <c r="AM728" s="207"/>
      <c r="AN728" s="207"/>
      <c r="AO728" s="207"/>
      <c r="AP728" s="207"/>
      <c r="AQ728" s="207"/>
      <c r="AR728" s="207"/>
      <c r="AS728" s="207"/>
      <c r="AT728" s="207"/>
      <c r="AU728" s="207"/>
      <c r="AV728" s="207"/>
      <c r="AW728" s="207"/>
      <c r="AX728" s="207"/>
      <c r="AY728" s="207"/>
      <c r="AZ728" s="207"/>
      <c r="BA728" s="207"/>
    </row>
    <row r="729" ht="18.75" hidden="1" customHeight="1">
      <c r="A729" s="207"/>
      <c r="B729" s="207"/>
      <c r="C729" s="207"/>
      <c r="D729" s="207"/>
      <c r="E729" s="207"/>
      <c r="F729" s="207"/>
      <c r="G729" s="207"/>
      <c r="H729" s="207"/>
      <c r="I729" s="207"/>
      <c r="J729" s="207"/>
      <c r="K729" s="207"/>
      <c r="L729" s="207"/>
      <c r="M729" s="207"/>
      <c r="N729" s="207"/>
      <c r="O729" s="207"/>
      <c r="P729" s="207"/>
      <c r="Q729" s="207"/>
      <c r="R729" s="207"/>
      <c r="S729" s="207"/>
      <c r="T729" s="207"/>
      <c r="U729" s="207"/>
      <c r="V729" s="207"/>
      <c r="W729" s="207"/>
      <c r="X729" s="207"/>
      <c r="Y729" s="207"/>
      <c r="Z729" s="207"/>
      <c r="AA729" s="207"/>
      <c r="AB729" s="207"/>
      <c r="AC729" s="207"/>
      <c r="AD729" s="207"/>
      <c r="AE729" s="207"/>
      <c r="AF729" s="207"/>
      <c r="AG729" s="207"/>
      <c r="AH729" s="207"/>
      <c r="AI729" s="207"/>
      <c r="AJ729" s="207"/>
      <c r="AK729" s="207"/>
      <c r="AL729" s="207"/>
      <c r="AM729" s="207"/>
      <c r="AN729" s="207"/>
      <c r="AO729" s="207"/>
      <c r="AP729" s="207"/>
      <c r="AQ729" s="207"/>
      <c r="AR729" s="207"/>
      <c r="AS729" s="207"/>
      <c r="AT729" s="207"/>
      <c r="AU729" s="207"/>
      <c r="AV729" s="207"/>
      <c r="AW729" s="207"/>
      <c r="AX729" s="207"/>
      <c r="AY729" s="207"/>
      <c r="AZ729" s="207"/>
      <c r="BA729" s="207"/>
    </row>
    <row r="730" ht="18.75" hidden="1" customHeight="1">
      <c r="A730" s="207"/>
      <c r="B730" s="207"/>
      <c r="C730" s="207"/>
      <c r="D730" s="207"/>
      <c r="E730" s="207"/>
      <c r="F730" s="207"/>
      <c r="G730" s="207"/>
      <c r="H730" s="207"/>
      <c r="I730" s="207"/>
      <c r="J730" s="207"/>
      <c r="K730" s="207"/>
      <c r="L730" s="207"/>
      <c r="M730" s="207"/>
      <c r="N730" s="207"/>
      <c r="O730" s="207"/>
      <c r="P730" s="207"/>
      <c r="Q730" s="207"/>
      <c r="R730" s="207"/>
      <c r="S730" s="207"/>
      <c r="T730" s="207"/>
      <c r="U730" s="207"/>
      <c r="V730" s="207"/>
      <c r="W730" s="207"/>
      <c r="X730" s="207"/>
      <c r="Y730" s="207"/>
      <c r="Z730" s="207"/>
      <c r="AA730" s="207"/>
      <c r="AB730" s="207"/>
      <c r="AC730" s="207"/>
      <c r="AD730" s="207"/>
      <c r="AE730" s="207"/>
      <c r="AF730" s="207"/>
      <c r="AG730" s="207"/>
      <c r="AH730" s="207"/>
      <c r="AI730" s="207"/>
      <c r="AJ730" s="207"/>
      <c r="AK730" s="207"/>
      <c r="AL730" s="207"/>
      <c r="AM730" s="207"/>
      <c r="AN730" s="207"/>
      <c r="AO730" s="207"/>
      <c r="AP730" s="207"/>
      <c r="AQ730" s="207"/>
      <c r="AR730" s="207"/>
      <c r="AS730" s="207"/>
      <c r="AT730" s="207"/>
      <c r="AU730" s="207"/>
      <c r="AV730" s="207"/>
      <c r="AW730" s="207"/>
      <c r="AX730" s="207"/>
      <c r="AY730" s="207"/>
      <c r="AZ730" s="207"/>
      <c r="BA730" s="207"/>
    </row>
    <row r="731" ht="18.75" hidden="1" customHeight="1">
      <c r="A731" s="207"/>
      <c r="B731" s="207"/>
      <c r="C731" s="207"/>
      <c r="D731" s="207"/>
      <c r="E731" s="207"/>
      <c r="F731" s="207"/>
      <c r="G731" s="207"/>
      <c r="H731" s="207"/>
      <c r="I731" s="207"/>
      <c r="J731" s="207"/>
      <c r="K731" s="207"/>
      <c r="L731" s="207"/>
      <c r="M731" s="207"/>
      <c r="N731" s="207"/>
      <c r="O731" s="207"/>
      <c r="P731" s="207"/>
      <c r="Q731" s="207"/>
      <c r="R731" s="207"/>
      <c r="S731" s="207"/>
      <c r="T731" s="207"/>
      <c r="U731" s="207"/>
      <c r="V731" s="207"/>
      <c r="W731" s="207"/>
      <c r="X731" s="207"/>
      <c r="Y731" s="207"/>
      <c r="Z731" s="207"/>
      <c r="AA731" s="207"/>
      <c r="AB731" s="207"/>
      <c r="AC731" s="207"/>
      <c r="AD731" s="207"/>
      <c r="AE731" s="207"/>
      <c r="AF731" s="207"/>
      <c r="AG731" s="207"/>
      <c r="AH731" s="207"/>
      <c r="AI731" s="207"/>
      <c r="AJ731" s="207"/>
      <c r="AK731" s="207"/>
      <c r="AL731" s="207"/>
      <c r="AM731" s="207"/>
      <c r="AN731" s="207"/>
      <c r="AO731" s="207"/>
      <c r="AP731" s="207"/>
      <c r="AQ731" s="207"/>
      <c r="AR731" s="207"/>
      <c r="AS731" s="207"/>
      <c r="AT731" s="207"/>
      <c r="AU731" s="207"/>
      <c r="AV731" s="207"/>
      <c r="AW731" s="207"/>
      <c r="AX731" s="207"/>
      <c r="AY731" s="207"/>
      <c r="AZ731" s="207"/>
      <c r="BA731" s="207"/>
    </row>
    <row r="732" ht="18.75" hidden="1" customHeight="1">
      <c r="A732" s="207"/>
      <c r="B732" s="207"/>
      <c r="C732" s="207"/>
      <c r="D732" s="207"/>
      <c r="E732" s="207"/>
      <c r="F732" s="207"/>
      <c r="G732" s="207"/>
      <c r="H732" s="207"/>
      <c r="I732" s="207"/>
      <c r="J732" s="207"/>
      <c r="K732" s="207"/>
      <c r="L732" s="207"/>
      <c r="M732" s="207"/>
      <c r="N732" s="207"/>
      <c r="O732" s="207"/>
      <c r="P732" s="207"/>
      <c r="Q732" s="207"/>
      <c r="R732" s="207"/>
      <c r="S732" s="207"/>
      <c r="T732" s="207"/>
      <c r="U732" s="207"/>
      <c r="V732" s="207"/>
      <c r="W732" s="207"/>
      <c r="X732" s="207"/>
      <c r="Y732" s="207"/>
      <c r="Z732" s="207"/>
      <c r="AA732" s="207"/>
      <c r="AB732" s="207"/>
      <c r="AC732" s="207"/>
      <c r="AD732" s="207"/>
      <c r="AE732" s="207"/>
      <c r="AF732" s="207"/>
      <c r="AG732" s="207"/>
      <c r="AH732" s="207"/>
      <c r="AI732" s="207"/>
      <c r="AJ732" s="207"/>
      <c r="AK732" s="207"/>
      <c r="AL732" s="207"/>
      <c r="AM732" s="207"/>
      <c r="AN732" s="207"/>
      <c r="AO732" s="207"/>
      <c r="AP732" s="207"/>
      <c r="AQ732" s="207"/>
      <c r="AR732" s="207"/>
      <c r="AS732" s="207"/>
      <c r="AT732" s="207"/>
      <c r="AU732" s="207"/>
      <c r="AV732" s="207"/>
      <c r="AW732" s="207"/>
      <c r="AX732" s="207"/>
      <c r="AY732" s="207"/>
      <c r="AZ732" s="207"/>
      <c r="BA732" s="207"/>
    </row>
    <row r="733" ht="18.75" hidden="1" customHeight="1">
      <c r="A733" s="207"/>
      <c r="B733" s="207"/>
      <c r="C733" s="207"/>
      <c r="D733" s="207"/>
      <c r="E733" s="207"/>
      <c r="F733" s="207"/>
      <c r="G733" s="207"/>
      <c r="H733" s="207"/>
      <c r="I733" s="207"/>
      <c r="J733" s="207"/>
      <c r="K733" s="207"/>
      <c r="L733" s="207"/>
      <c r="M733" s="207"/>
      <c r="N733" s="207"/>
      <c r="O733" s="207"/>
      <c r="P733" s="207"/>
      <c r="Q733" s="207"/>
      <c r="R733" s="207"/>
      <c r="S733" s="207"/>
      <c r="T733" s="207"/>
      <c r="U733" s="207"/>
      <c r="V733" s="207"/>
      <c r="W733" s="207"/>
      <c r="X733" s="207"/>
      <c r="Y733" s="207"/>
      <c r="Z733" s="207"/>
      <c r="AA733" s="207"/>
      <c r="AB733" s="207"/>
      <c r="AC733" s="207"/>
      <c r="AD733" s="207"/>
      <c r="AE733" s="207"/>
      <c r="AF733" s="207"/>
      <c r="AG733" s="207"/>
      <c r="AH733" s="207"/>
      <c r="AI733" s="207"/>
      <c r="AJ733" s="207"/>
      <c r="AK733" s="207"/>
      <c r="AL733" s="207"/>
      <c r="AM733" s="207"/>
      <c r="AN733" s="207"/>
      <c r="AO733" s="207"/>
      <c r="AP733" s="207"/>
      <c r="AQ733" s="207"/>
      <c r="AR733" s="207"/>
      <c r="AS733" s="207"/>
      <c r="AT733" s="207"/>
      <c r="AU733" s="207"/>
      <c r="AV733" s="207"/>
      <c r="AW733" s="207"/>
      <c r="AX733" s="207"/>
      <c r="AY733" s="207"/>
      <c r="AZ733" s="207"/>
      <c r="BA733" s="207"/>
    </row>
    <row r="734" ht="18.75" hidden="1" customHeight="1">
      <c r="A734" s="207"/>
      <c r="B734" s="207"/>
      <c r="C734" s="207"/>
      <c r="D734" s="207"/>
      <c r="E734" s="207"/>
      <c r="F734" s="207"/>
      <c r="G734" s="207"/>
      <c r="H734" s="207"/>
      <c r="I734" s="207"/>
      <c r="J734" s="207"/>
      <c r="K734" s="207"/>
      <c r="L734" s="207"/>
      <c r="M734" s="207"/>
      <c r="N734" s="207"/>
      <c r="O734" s="207"/>
      <c r="P734" s="207"/>
      <c r="Q734" s="207"/>
      <c r="R734" s="207"/>
      <c r="S734" s="207"/>
      <c r="T734" s="207"/>
      <c r="U734" s="207"/>
      <c r="V734" s="207"/>
      <c r="W734" s="207"/>
      <c r="X734" s="207"/>
      <c r="Y734" s="207"/>
      <c r="Z734" s="207"/>
      <c r="AA734" s="207"/>
      <c r="AB734" s="207"/>
      <c r="AC734" s="207"/>
      <c r="AD734" s="207"/>
      <c r="AE734" s="207"/>
      <c r="AF734" s="207"/>
      <c r="AG734" s="207"/>
      <c r="AH734" s="207"/>
      <c r="AI734" s="207"/>
      <c r="AJ734" s="207"/>
      <c r="AK734" s="207"/>
      <c r="AL734" s="207"/>
      <c r="AM734" s="207"/>
      <c r="AN734" s="207"/>
      <c r="AO734" s="207"/>
      <c r="AP734" s="207"/>
      <c r="AQ734" s="207"/>
      <c r="AR734" s="207"/>
      <c r="AS734" s="207"/>
      <c r="AT734" s="207"/>
      <c r="AU734" s="207"/>
      <c r="AV734" s="207"/>
      <c r="AW734" s="207"/>
      <c r="AX734" s="207"/>
      <c r="AY734" s="207"/>
      <c r="AZ734" s="207"/>
      <c r="BA734" s="207"/>
    </row>
    <row r="735" ht="18.75" hidden="1" customHeight="1">
      <c r="A735" s="207"/>
      <c r="B735" s="207"/>
      <c r="C735" s="207"/>
      <c r="D735" s="207"/>
      <c r="E735" s="207"/>
      <c r="F735" s="207"/>
      <c r="G735" s="207"/>
      <c r="H735" s="207"/>
      <c r="I735" s="207"/>
      <c r="J735" s="207"/>
      <c r="K735" s="207"/>
      <c r="L735" s="207"/>
      <c r="M735" s="207"/>
      <c r="N735" s="207"/>
      <c r="O735" s="207"/>
      <c r="P735" s="207"/>
      <c r="Q735" s="207"/>
      <c r="R735" s="207"/>
      <c r="S735" s="207"/>
      <c r="T735" s="207"/>
      <c r="U735" s="207"/>
      <c r="V735" s="207"/>
      <c r="W735" s="207"/>
      <c r="X735" s="207"/>
      <c r="Y735" s="207"/>
      <c r="Z735" s="207"/>
      <c r="AA735" s="207"/>
      <c r="AB735" s="207"/>
      <c r="AC735" s="207"/>
      <c r="AD735" s="207"/>
      <c r="AE735" s="207"/>
      <c r="AF735" s="207"/>
      <c r="AG735" s="207"/>
      <c r="AH735" s="207"/>
      <c r="AI735" s="207"/>
      <c r="AJ735" s="207"/>
      <c r="AK735" s="207"/>
      <c r="AL735" s="207"/>
      <c r="AM735" s="207"/>
      <c r="AN735" s="207"/>
      <c r="AO735" s="207"/>
      <c r="AP735" s="207"/>
      <c r="AQ735" s="207"/>
      <c r="AR735" s="207"/>
      <c r="AS735" s="207"/>
      <c r="AT735" s="207"/>
      <c r="AU735" s="207"/>
      <c r="AV735" s="207"/>
      <c r="AW735" s="207"/>
      <c r="AX735" s="207"/>
      <c r="AY735" s="207"/>
      <c r="AZ735" s="207"/>
      <c r="BA735" s="207"/>
    </row>
    <row r="736" ht="18.75" hidden="1" customHeight="1">
      <c r="A736" s="207"/>
      <c r="B736" s="207"/>
      <c r="C736" s="207"/>
      <c r="D736" s="207"/>
      <c r="E736" s="207"/>
      <c r="F736" s="207"/>
      <c r="G736" s="207"/>
      <c r="H736" s="207"/>
      <c r="I736" s="207"/>
      <c r="J736" s="207"/>
      <c r="K736" s="207"/>
      <c r="L736" s="207"/>
      <c r="M736" s="207"/>
      <c r="N736" s="207"/>
      <c r="O736" s="207"/>
      <c r="P736" s="207"/>
      <c r="Q736" s="207"/>
      <c r="R736" s="207"/>
      <c r="S736" s="207"/>
      <c r="T736" s="207"/>
      <c r="U736" s="207"/>
      <c r="V736" s="207"/>
      <c r="W736" s="207"/>
      <c r="X736" s="207"/>
      <c r="Y736" s="207"/>
      <c r="Z736" s="207"/>
      <c r="AA736" s="207"/>
      <c r="AB736" s="207"/>
      <c r="AC736" s="207"/>
      <c r="AD736" s="207"/>
      <c r="AE736" s="207"/>
      <c r="AF736" s="207"/>
      <c r="AG736" s="207"/>
      <c r="AH736" s="207"/>
      <c r="AI736" s="207"/>
      <c r="AJ736" s="207"/>
      <c r="AK736" s="207"/>
      <c r="AL736" s="207"/>
      <c r="AM736" s="207"/>
      <c r="AN736" s="207"/>
      <c r="AO736" s="207"/>
      <c r="AP736" s="207"/>
      <c r="AQ736" s="207"/>
      <c r="AR736" s="207"/>
      <c r="AS736" s="207"/>
      <c r="AT736" s="207"/>
      <c r="AU736" s="207"/>
      <c r="AV736" s="207"/>
      <c r="AW736" s="207"/>
      <c r="AX736" s="207"/>
      <c r="AY736" s="207"/>
      <c r="AZ736" s="207"/>
      <c r="BA736" s="207"/>
    </row>
    <row r="737" ht="18.75" hidden="1" customHeight="1">
      <c r="A737" s="207"/>
      <c r="B737" s="207"/>
      <c r="C737" s="207"/>
      <c r="D737" s="207"/>
      <c r="E737" s="207"/>
      <c r="F737" s="207"/>
      <c r="G737" s="207"/>
      <c r="H737" s="207"/>
      <c r="I737" s="207"/>
      <c r="J737" s="207"/>
      <c r="K737" s="207"/>
      <c r="L737" s="207"/>
      <c r="M737" s="207"/>
      <c r="N737" s="207"/>
      <c r="O737" s="207"/>
      <c r="P737" s="207"/>
      <c r="Q737" s="207"/>
      <c r="R737" s="207"/>
      <c r="S737" s="207"/>
      <c r="T737" s="207"/>
      <c r="U737" s="207"/>
      <c r="V737" s="207"/>
      <c r="W737" s="207"/>
      <c r="X737" s="207"/>
      <c r="Y737" s="207"/>
      <c r="Z737" s="207"/>
      <c r="AA737" s="207"/>
      <c r="AB737" s="207"/>
      <c r="AC737" s="207"/>
      <c r="AD737" s="207"/>
      <c r="AE737" s="207"/>
      <c r="AF737" s="207"/>
      <c r="AG737" s="207"/>
      <c r="AH737" s="207"/>
      <c r="AI737" s="207"/>
      <c r="AJ737" s="207"/>
      <c r="AK737" s="207"/>
      <c r="AL737" s="207"/>
      <c r="AM737" s="207"/>
      <c r="AN737" s="207"/>
      <c r="AO737" s="207"/>
      <c r="AP737" s="207"/>
      <c r="AQ737" s="207"/>
      <c r="AR737" s="207"/>
      <c r="AS737" s="207"/>
      <c r="AT737" s="207"/>
      <c r="AU737" s="207"/>
      <c r="AV737" s="207"/>
      <c r="AW737" s="207"/>
      <c r="AX737" s="207"/>
      <c r="AY737" s="207"/>
      <c r="AZ737" s="207"/>
      <c r="BA737" s="207"/>
    </row>
    <row r="738" ht="18.75" hidden="1" customHeight="1">
      <c r="A738" s="207"/>
      <c r="B738" s="207"/>
      <c r="C738" s="207"/>
      <c r="D738" s="207"/>
      <c r="E738" s="207"/>
      <c r="F738" s="207"/>
      <c r="G738" s="207"/>
      <c r="H738" s="207"/>
      <c r="I738" s="207"/>
      <c r="J738" s="207"/>
      <c r="K738" s="207"/>
      <c r="L738" s="207"/>
      <c r="M738" s="207"/>
      <c r="N738" s="207"/>
      <c r="O738" s="207"/>
      <c r="P738" s="207"/>
      <c r="Q738" s="207"/>
      <c r="R738" s="207"/>
      <c r="S738" s="207"/>
      <c r="T738" s="207"/>
      <c r="U738" s="207"/>
      <c r="V738" s="207"/>
      <c r="W738" s="207"/>
      <c r="X738" s="207"/>
      <c r="Y738" s="207"/>
      <c r="Z738" s="207"/>
      <c r="AA738" s="207"/>
      <c r="AB738" s="207"/>
      <c r="AC738" s="207"/>
      <c r="AD738" s="207"/>
      <c r="AE738" s="207"/>
      <c r="AF738" s="207"/>
      <c r="AG738" s="207"/>
      <c r="AH738" s="207"/>
      <c r="AI738" s="207"/>
      <c r="AJ738" s="207"/>
      <c r="AK738" s="207"/>
      <c r="AL738" s="207"/>
      <c r="AM738" s="207"/>
      <c r="AN738" s="207"/>
      <c r="AO738" s="207"/>
      <c r="AP738" s="207"/>
      <c r="AQ738" s="207"/>
      <c r="AR738" s="207"/>
      <c r="AS738" s="207"/>
      <c r="AT738" s="207"/>
      <c r="AU738" s="207"/>
      <c r="AV738" s="207"/>
      <c r="AW738" s="207"/>
      <c r="AX738" s="207"/>
      <c r="AY738" s="207"/>
      <c r="AZ738" s="207"/>
      <c r="BA738" s="207"/>
    </row>
    <row r="739" ht="18.75" hidden="1" customHeight="1">
      <c r="A739" s="207"/>
      <c r="B739" s="207"/>
      <c r="C739" s="207"/>
      <c r="D739" s="207"/>
      <c r="E739" s="207"/>
      <c r="F739" s="207"/>
      <c r="G739" s="207"/>
      <c r="H739" s="207"/>
      <c r="I739" s="207"/>
      <c r="J739" s="207"/>
      <c r="K739" s="207"/>
      <c r="L739" s="207"/>
      <c r="M739" s="207"/>
      <c r="N739" s="207"/>
      <c r="O739" s="207"/>
      <c r="P739" s="207"/>
      <c r="Q739" s="207"/>
      <c r="R739" s="207"/>
      <c r="S739" s="207"/>
      <c r="T739" s="207"/>
      <c r="U739" s="207"/>
      <c r="V739" s="207"/>
      <c r="W739" s="207"/>
      <c r="X739" s="207"/>
      <c r="Y739" s="207"/>
      <c r="Z739" s="207"/>
      <c r="AA739" s="207"/>
      <c r="AB739" s="207"/>
      <c r="AC739" s="207"/>
      <c r="AD739" s="207"/>
      <c r="AE739" s="207"/>
      <c r="AF739" s="207"/>
      <c r="AG739" s="207"/>
      <c r="AH739" s="207"/>
      <c r="AI739" s="207"/>
      <c r="AJ739" s="207"/>
      <c r="AK739" s="207"/>
      <c r="AL739" s="207"/>
      <c r="AM739" s="207"/>
      <c r="AN739" s="207"/>
      <c r="AO739" s="207"/>
      <c r="AP739" s="207"/>
      <c r="AQ739" s="207"/>
      <c r="AR739" s="207"/>
      <c r="AS739" s="207"/>
      <c r="AT739" s="207"/>
      <c r="AU739" s="207"/>
      <c r="AV739" s="207"/>
      <c r="AW739" s="207"/>
      <c r="AX739" s="207"/>
      <c r="AY739" s="207"/>
      <c r="AZ739" s="207"/>
      <c r="BA739" s="207"/>
    </row>
    <row r="740" ht="18.75" hidden="1" customHeight="1">
      <c r="A740" s="207"/>
      <c r="B740" s="207"/>
      <c r="C740" s="207"/>
      <c r="D740" s="207"/>
      <c r="E740" s="207"/>
      <c r="F740" s="207"/>
      <c r="G740" s="207"/>
      <c r="H740" s="207"/>
      <c r="I740" s="207"/>
      <c r="J740" s="207"/>
      <c r="K740" s="207"/>
      <c r="L740" s="207"/>
      <c r="M740" s="207"/>
      <c r="N740" s="207"/>
      <c r="O740" s="207"/>
      <c r="P740" s="207"/>
      <c r="Q740" s="207"/>
      <c r="R740" s="207"/>
      <c r="S740" s="207"/>
      <c r="T740" s="207"/>
      <c r="U740" s="207"/>
      <c r="V740" s="207"/>
      <c r="W740" s="207"/>
      <c r="X740" s="207"/>
      <c r="Y740" s="207"/>
      <c r="Z740" s="207"/>
      <c r="AA740" s="207"/>
      <c r="AB740" s="207"/>
      <c r="AC740" s="207"/>
      <c r="AD740" s="207"/>
      <c r="AE740" s="207"/>
      <c r="AF740" s="207"/>
      <c r="AG740" s="207"/>
      <c r="AH740" s="207"/>
      <c r="AI740" s="207"/>
      <c r="AJ740" s="207"/>
      <c r="AK740" s="207"/>
      <c r="AL740" s="207"/>
      <c r="AM740" s="207"/>
      <c r="AN740" s="207"/>
      <c r="AO740" s="207"/>
      <c r="AP740" s="207"/>
      <c r="AQ740" s="207"/>
      <c r="AR740" s="207"/>
      <c r="AS740" s="207"/>
      <c r="AT740" s="207"/>
      <c r="AU740" s="207"/>
      <c r="AV740" s="207"/>
      <c r="AW740" s="207"/>
      <c r="AX740" s="207"/>
      <c r="AY740" s="207"/>
      <c r="AZ740" s="207"/>
      <c r="BA740" s="207"/>
    </row>
    <row r="741" ht="18.75" hidden="1" customHeight="1">
      <c r="A741" s="207"/>
      <c r="B741" s="207"/>
      <c r="C741" s="207"/>
      <c r="D741" s="207"/>
      <c r="E741" s="207"/>
      <c r="F741" s="207"/>
      <c r="G741" s="207"/>
      <c r="H741" s="207"/>
      <c r="I741" s="207"/>
      <c r="J741" s="207"/>
      <c r="K741" s="207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  <c r="AA741" s="207"/>
      <c r="AB741" s="207"/>
      <c r="AC741" s="207"/>
      <c r="AD741" s="207"/>
      <c r="AE741" s="207"/>
      <c r="AF741" s="207"/>
      <c r="AG741" s="207"/>
      <c r="AH741" s="207"/>
      <c r="AI741" s="207"/>
      <c r="AJ741" s="207"/>
      <c r="AK741" s="207"/>
      <c r="AL741" s="207"/>
      <c r="AM741" s="207"/>
      <c r="AN741" s="207"/>
      <c r="AO741" s="207"/>
      <c r="AP741" s="207"/>
      <c r="AQ741" s="207"/>
      <c r="AR741" s="207"/>
      <c r="AS741" s="207"/>
      <c r="AT741" s="207"/>
      <c r="AU741" s="207"/>
      <c r="AV741" s="207"/>
      <c r="AW741" s="207"/>
      <c r="AX741" s="207"/>
      <c r="AY741" s="207"/>
      <c r="AZ741" s="207"/>
      <c r="BA741" s="207"/>
    </row>
    <row r="742" ht="18.75" hidden="1" customHeight="1">
      <c r="A742" s="207"/>
      <c r="B742" s="207"/>
      <c r="C742" s="207"/>
      <c r="D742" s="207"/>
      <c r="E742" s="207"/>
      <c r="F742" s="207"/>
      <c r="G742" s="207"/>
      <c r="H742" s="207"/>
      <c r="I742" s="207"/>
      <c r="J742" s="207"/>
      <c r="K742" s="207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  <c r="AA742" s="207"/>
      <c r="AB742" s="207"/>
      <c r="AC742" s="207"/>
      <c r="AD742" s="207"/>
      <c r="AE742" s="207"/>
      <c r="AF742" s="207"/>
      <c r="AG742" s="207"/>
      <c r="AH742" s="207"/>
      <c r="AI742" s="207"/>
      <c r="AJ742" s="207"/>
      <c r="AK742" s="207"/>
      <c r="AL742" s="207"/>
      <c r="AM742" s="207"/>
      <c r="AN742" s="207"/>
      <c r="AO742" s="207"/>
      <c r="AP742" s="207"/>
      <c r="AQ742" s="207"/>
      <c r="AR742" s="207"/>
      <c r="AS742" s="207"/>
      <c r="AT742" s="207"/>
      <c r="AU742" s="207"/>
      <c r="AV742" s="207"/>
      <c r="AW742" s="207"/>
      <c r="AX742" s="207"/>
      <c r="AY742" s="207"/>
      <c r="AZ742" s="207"/>
      <c r="BA742" s="207"/>
    </row>
    <row r="743" ht="18.75" hidden="1" customHeight="1">
      <c r="A743" s="207"/>
      <c r="B743" s="207"/>
      <c r="C743" s="207"/>
      <c r="D743" s="207"/>
      <c r="E743" s="207"/>
      <c r="F743" s="207"/>
      <c r="G743" s="207"/>
      <c r="H743" s="207"/>
      <c r="I743" s="207"/>
      <c r="J743" s="207"/>
      <c r="K743" s="207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  <c r="AA743" s="207"/>
      <c r="AB743" s="207"/>
      <c r="AC743" s="207"/>
      <c r="AD743" s="207"/>
      <c r="AE743" s="207"/>
      <c r="AF743" s="207"/>
      <c r="AG743" s="207"/>
      <c r="AH743" s="207"/>
      <c r="AI743" s="207"/>
      <c r="AJ743" s="207"/>
      <c r="AK743" s="207"/>
      <c r="AL743" s="207"/>
      <c r="AM743" s="207"/>
      <c r="AN743" s="207"/>
      <c r="AO743" s="207"/>
      <c r="AP743" s="207"/>
      <c r="AQ743" s="207"/>
      <c r="AR743" s="207"/>
      <c r="AS743" s="207"/>
      <c r="AT743" s="207"/>
      <c r="AU743" s="207"/>
      <c r="AV743" s="207"/>
      <c r="AW743" s="207"/>
      <c r="AX743" s="207"/>
      <c r="AY743" s="207"/>
      <c r="AZ743" s="207"/>
      <c r="BA743" s="207"/>
    </row>
    <row r="744" ht="18.75" hidden="1" customHeight="1">
      <c r="A744" s="207"/>
      <c r="B744" s="207"/>
      <c r="C744" s="207"/>
      <c r="D744" s="207"/>
      <c r="E744" s="207"/>
      <c r="F744" s="207"/>
      <c r="G744" s="207"/>
      <c r="H744" s="207"/>
      <c r="I744" s="207"/>
      <c r="J744" s="207"/>
      <c r="K744" s="207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  <c r="AA744" s="207"/>
      <c r="AB744" s="207"/>
      <c r="AC744" s="207"/>
      <c r="AD744" s="207"/>
      <c r="AE744" s="207"/>
      <c r="AF744" s="207"/>
      <c r="AG744" s="207"/>
      <c r="AH744" s="207"/>
      <c r="AI744" s="207"/>
      <c r="AJ744" s="207"/>
      <c r="AK744" s="207"/>
      <c r="AL744" s="207"/>
      <c r="AM744" s="207"/>
      <c r="AN744" s="207"/>
      <c r="AO744" s="207"/>
      <c r="AP744" s="207"/>
      <c r="AQ744" s="207"/>
      <c r="AR744" s="207"/>
      <c r="AS744" s="207"/>
      <c r="AT744" s="207"/>
      <c r="AU744" s="207"/>
      <c r="AV744" s="207"/>
      <c r="AW744" s="207"/>
      <c r="AX744" s="207"/>
      <c r="AY744" s="207"/>
      <c r="AZ744" s="207"/>
      <c r="BA744" s="207"/>
    </row>
    <row r="745" ht="18.75" hidden="1" customHeight="1">
      <c r="A745" s="207"/>
      <c r="B745" s="207"/>
      <c r="C745" s="207"/>
      <c r="D745" s="207"/>
      <c r="E745" s="207"/>
      <c r="F745" s="207"/>
      <c r="G745" s="207"/>
      <c r="H745" s="207"/>
      <c r="I745" s="207"/>
      <c r="J745" s="207"/>
      <c r="K745" s="207"/>
      <c r="L745" s="207"/>
      <c r="M745" s="207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  <c r="AA745" s="207"/>
      <c r="AB745" s="207"/>
      <c r="AC745" s="207"/>
      <c r="AD745" s="207"/>
      <c r="AE745" s="207"/>
      <c r="AF745" s="207"/>
      <c r="AG745" s="207"/>
      <c r="AH745" s="207"/>
      <c r="AI745" s="207"/>
      <c r="AJ745" s="207"/>
      <c r="AK745" s="207"/>
      <c r="AL745" s="207"/>
      <c r="AM745" s="207"/>
      <c r="AN745" s="207"/>
      <c r="AO745" s="207"/>
      <c r="AP745" s="207"/>
      <c r="AQ745" s="207"/>
      <c r="AR745" s="207"/>
      <c r="AS745" s="207"/>
      <c r="AT745" s="207"/>
      <c r="AU745" s="207"/>
      <c r="AV745" s="207"/>
      <c r="AW745" s="207"/>
      <c r="AX745" s="207"/>
      <c r="AY745" s="207"/>
      <c r="AZ745" s="207"/>
      <c r="BA745" s="207"/>
    </row>
    <row r="746" ht="18.75" hidden="1" customHeight="1">
      <c r="A746" s="207"/>
      <c r="B746" s="207"/>
      <c r="C746" s="207"/>
      <c r="D746" s="207"/>
      <c r="E746" s="207"/>
      <c r="F746" s="207"/>
      <c r="G746" s="207"/>
      <c r="H746" s="207"/>
      <c r="I746" s="207"/>
      <c r="J746" s="207"/>
      <c r="K746" s="207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  <c r="AA746" s="207"/>
      <c r="AB746" s="207"/>
      <c r="AC746" s="207"/>
      <c r="AD746" s="207"/>
      <c r="AE746" s="207"/>
      <c r="AF746" s="207"/>
      <c r="AG746" s="207"/>
      <c r="AH746" s="207"/>
      <c r="AI746" s="207"/>
      <c r="AJ746" s="207"/>
      <c r="AK746" s="207"/>
      <c r="AL746" s="207"/>
      <c r="AM746" s="207"/>
      <c r="AN746" s="207"/>
      <c r="AO746" s="207"/>
      <c r="AP746" s="207"/>
      <c r="AQ746" s="207"/>
      <c r="AR746" s="207"/>
      <c r="AS746" s="207"/>
      <c r="AT746" s="207"/>
      <c r="AU746" s="207"/>
      <c r="AV746" s="207"/>
      <c r="AW746" s="207"/>
      <c r="AX746" s="207"/>
      <c r="AY746" s="207"/>
      <c r="AZ746" s="207"/>
      <c r="BA746" s="207"/>
    </row>
    <row r="747" ht="18.75" hidden="1" customHeight="1">
      <c r="A747" s="207"/>
      <c r="B747" s="207"/>
      <c r="C747" s="207"/>
      <c r="D747" s="207"/>
      <c r="E747" s="207"/>
      <c r="F747" s="207"/>
      <c r="G747" s="207"/>
      <c r="H747" s="207"/>
      <c r="I747" s="207"/>
      <c r="J747" s="207"/>
      <c r="K747" s="207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  <c r="AA747" s="207"/>
      <c r="AB747" s="207"/>
      <c r="AC747" s="207"/>
      <c r="AD747" s="207"/>
      <c r="AE747" s="207"/>
      <c r="AF747" s="207"/>
      <c r="AG747" s="207"/>
      <c r="AH747" s="207"/>
      <c r="AI747" s="207"/>
      <c r="AJ747" s="207"/>
      <c r="AK747" s="207"/>
      <c r="AL747" s="207"/>
      <c r="AM747" s="207"/>
      <c r="AN747" s="207"/>
      <c r="AO747" s="207"/>
      <c r="AP747" s="207"/>
      <c r="AQ747" s="207"/>
      <c r="AR747" s="207"/>
      <c r="AS747" s="207"/>
      <c r="AT747" s="207"/>
      <c r="AU747" s="207"/>
      <c r="AV747" s="207"/>
      <c r="AW747" s="207"/>
      <c r="AX747" s="207"/>
      <c r="AY747" s="207"/>
      <c r="AZ747" s="207"/>
      <c r="BA747" s="207"/>
    </row>
    <row r="748" ht="18.75" hidden="1" customHeight="1">
      <c r="A748" s="207"/>
      <c r="B748" s="207"/>
      <c r="C748" s="207"/>
      <c r="D748" s="207"/>
      <c r="E748" s="207"/>
      <c r="F748" s="207"/>
      <c r="G748" s="207"/>
      <c r="H748" s="207"/>
      <c r="I748" s="207"/>
      <c r="J748" s="207"/>
      <c r="K748" s="207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  <c r="AA748" s="207"/>
      <c r="AB748" s="207"/>
      <c r="AC748" s="207"/>
      <c r="AD748" s="207"/>
      <c r="AE748" s="207"/>
      <c r="AF748" s="207"/>
      <c r="AG748" s="207"/>
      <c r="AH748" s="207"/>
      <c r="AI748" s="207"/>
      <c r="AJ748" s="207"/>
      <c r="AK748" s="207"/>
      <c r="AL748" s="207"/>
      <c r="AM748" s="207"/>
      <c r="AN748" s="207"/>
      <c r="AO748" s="207"/>
      <c r="AP748" s="207"/>
      <c r="AQ748" s="207"/>
      <c r="AR748" s="207"/>
      <c r="AS748" s="207"/>
      <c r="AT748" s="207"/>
      <c r="AU748" s="207"/>
      <c r="AV748" s="207"/>
      <c r="AW748" s="207"/>
      <c r="AX748" s="207"/>
      <c r="AY748" s="207"/>
      <c r="AZ748" s="207"/>
      <c r="BA748" s="207"/>
    </row>
    <row r="749" ht="18.75" hidden="1" customHeight="1">
      <c r="A749" s="207"/>
      <c r="B749" s="207"/>
      <c r="C749" s="207"/>
      <c r="D749" s="207"/>
      <c r="E749" s="207"/>
      <c r="F749" s="207"/>
      <c r="G749" s="207"/>
      <c r="H749" s="207"/>
      <c r="I749" s="207"/>
      <c r="J749" s="207"/>
      <c r="K749" s="207"/>
      <c r="L749" s="207"/>
      <c r="M749" s="207"/>
      <c r="N749" s="207"/>
      <c r="O749" s="207"/>
      <c r="P749" s="207"/>
      <c r="Q749" s="207"/>
      <c r="R749" s="207"/>
      <c r="S749" s="207"/>
      <c r="T749" s="207"/>
      <c r="U749" s="207"/>
      <c r="V749" s="207"/>
      <c r="W749" s="207"/>
      <c r="X749" s="207"/>
      <c r="Y749" s="207"/>
      <c r="Z749" s="207"/>
      <c r="AA749" s="207"/>
      <c r="AB749" s="207"/>
      <c r="AC749" s="207"/>
      <c r="AD749" s="207"/>
      <c r="AE749" s="207"/>
      <c r="AF749" s="207"/>
      <c r="AG749" s="207"/>
      <c r="AH749" s="207"/>
      <c r="AI749" s="207"/>
      <c r="AJ749" s="207"/>
      <c r="AK749" s="207"/>
      <c r="AL749" s="207"/>
      <c r="AM749" s="207"/>
      <c r="AN749" s="207"/>
      <c r="AO749" s="207"/>
      <c r="AP749" s="207"/>
      <c r="AQ749" s="207"/>
      <c r="AR749" s="207"/>
      <c r="AS749" s="207"/>
      <c r="AT749" s="207"/>
      <c r="AU749" s="207"/>
      <c r="AV749" s="207"/>
      <c r="AW749" s="207"/>
      <c r="AX749" s="207"/>
      <c r="AY749" s="207"/>
      <c r="AZ749" s="207"/>
      <c r="BA749" s="207"/>
    </row>
    <row r="750" ht="18.75" hidden="1" customHeight="1">
      <c r="A750" s="207"/>
      <c r="B750" s="207"/>
      <c r="C750" s="207"/>
      <c r="D750" s="207"/>
      <c r="E750" s="207"/>
      <c r="F750" s="207"/>
      <c r="G750" s="207"/>
      <c r="H750" s="207"/>
      <c r="I750" s="207"/>
      <c r="J750" s="207"/>
      <c r="K750" s="207"/>
      <c r="L750" s="207"/>
      <c r="M750" s="207"/>
      <c r="N750" s="207"/>
      <c r="O750" s="207"/>
      <c r="P750" s="207"/>
      <c r="Q750" s="207"/>
      <c r="R750" s="207"/>
      <c r="S750" s="207"/>
      <c r="T750" s="207"/>
      <c r="U750" s="207"/>
      <c r="V750" s="207"/>
      <c r="W750" s="207"/>
      <c r="X750" s="207"/>
      <c r="Y750" s="207"/>
      <c r="Z750" s="207"/>
      <c r="AA750" s="207"/>
      <c r="AB750" s="207"/>
      <c r="AC750" s="207"/>
      <c r="AD750" s="207"/>
      <c r="AE750" s="207"/>
      <c r="AF750" s="207"/>
      <c r="AG750" s="207"/>
      <c r="AH750" s="207"/>
      <c r="AI750" s="207"/>
      <c r="AJ750" s="207"/>
      <c r="AK750" s="207"/>
      <c r="AL750" s="207"/>
      <c r="AM750" s="207"/>
      <c r="AN750" s="207"/>
      <c r="AO750" s="207"/>
      <c r="AP750" s="207"/>
      <c r="AQ750" s="207"/>
      <c r="AR750" s="207"/>
      <c r="AS750" s="207"/>
      <c r="AT750" s="207"/>
      <c r="AU750" s="207"/>
      <c r="AV750" s="207"/>
      <c r="AW750" s="207"/>
      <c r="AX750" s="207"/>
      <c r="AY750" s="207"/>
      <c r="AZ750" s="207"/>
      <c r="BA750" s="207"/>
    </row>
    <row r="751" ht="18.75" hidden="1" customHeight="1">
      <c r="A751" s="207"/>
      <c r="B751" s="207"/>
      <c r="C751" s="207"/>
      <c r="D751" s="207"/>
      <c r="E751" s="207"/>
      <c r="F751" s="207"/>
      <c r="G751" s="207"/>
      <c r="H751" s="207"/>
      <c r="I751" s="207"/>
      <c r="J751" s="207"/>
      <c r="K751" s="207"/>
      <c r="L751" s="207"/>
      <c r="M751" s="207"/>
      <c r="N751" s="207"/>
      <c r="O751" s="207"/>
      <c r="P751" s="207"/>
      <c r="Q751" s="207"/>
      <c r="R751" s="207"/>
      <c r="S751" s="207"/>
      <c r="T751" s="207"/>
      <c r="U751" s="207"/>
      <c r="V751" s="207"/>
      <c r="W751" s="207"/>
      <c r="X751" s="207"/>
      <c r="Y751" s="207"/>
      <c r="Z751" s="207"/>
      <c r="AA751" s="207"/>
      <c r="AB751" s="207"/>
      <c r="AC751" s="207"/>
      <c r="AD751" s="207"/>
      <c r="AE751" s="207"/>
      <c r="AF751" s="207"/>
      <c r="AG751" s="207"/>
      <c r="AH751" s="207"/>
      <c r="AI751" s="207"/>
      <c r="AJ751" s="207"/>
      <c r="AK751" s="207"/>
      <c r="AL751" s="207"/>
      <c r="AM751" s="207"/>
      <c r="AN751" s="207"/>
      <c r="AO751" s="207"/>
      <c r="AP751" s="207"/>
      <c r="AQ751" s="207"/>
      <c r="AR751" s="207"/>
      <c r="AS751" s="207"/>
      <c r="AT751" s="207"/>
      <c r="AU751" s="207"/>
      <c r="AV751" s="207"/>
      <c r="AW751" s="207"/>
      <c r="AX751" s="207"/>
      <c r="AY751" s="207"/>
      <c r="AZ751" s="207"/>
      <c r="BA751" s="207"/>
    </row>
    <row r="752" ht="18.75" hidden="1" customHeight="1">
      <c r="A752" s="207"/>
      <c r="B752" s="207"/>
      <c r="C752" s="207"/>
      <c r="D752" s="207"/>
      <c r="E752" s="207"/>
      <c r="F752" s="207"/>
      <c r="G752" s="207"/>
      <c r="H752" s="207"/>
      <c r="I752" s="207"/>
      <c r="J752" s="207"/>
      <c r="K752" s="207"/>
      <c r="L752" s="207"/>
      <c r="M752" s="207"/>
      <c r="N752" s="207"/>
      <c r="O752" s="207"/>
      <c r="P752" s="207"/>
      <c r="Q752" s="207"/>
      <c r="R752" s="207"/>
      <c r="S752" s="207"/>
      <c r="T752" s="207"/>
      <c r="U752" s="207"/>
      <c r="V752" s="207"/>
      <c r="W752" s="207"/>
      <c r="X752" s="207"/>
      <c r="Y752" s="207"/>
      <c r="Z752" s="207"/>
      <c r="AA752" s="207"/>
      <c r="AB752" s="207"/>
      <c r="AC752" s="207"/>
      <c r="AD752" s="207"/>
      <c r="AE752" s="207"/>
      <c r="AF752" s="207"/>
      <c r="AG752" s="207"/>
      <c r="AH752" s="207"/>
      <c r="AI752" s="207"/>
      <c r="AJ752" s="207"/>
      <c r="AK752" s="207"/>
      <c r="AL752" s="207"/>
      <c r="AM752" s="207"/>
      <c r="AN752" s="207"/>
      <c r="AO752" s="207"/>
      <c r="AP752" s="207"/>
      <c r="AQ752" s="207"/>
      <c r="AR752" s="207"/>
      <c r="AS752" s="207"/>
      <c r="AT752" s="207"/>
      <c r="AU752" s="207"/>
      <c r="AV752" s="207"/>
      <c r="AW752" s="207"/>
      <c r="AX752" s="207"/>
      <c r="AY752" s="207"/>
      <c r="AZ752" s="207"/>
      <c r="BA752" s="207"/>
    </row>
    <row r="753" ht="18.75" hidden="1" customHeight="1">
      <c r="A753" s="207"/>
      <c r="B753" s="207"/>
      <c r="C753" s="207"/>
      <c r="D753" s="207"/>
      <c r="E753" s="207"/>
      <c r="F753" s="207"/>
      <c r="G753" s="207"/>
      <c r="H753" s="207"/>
      <c r="I753" s="207"/>
      <c r="J753" s="207"/>
      <c r="K753" s="207"/>
      <c r="L753" s="207"/>
      <c r="M753" s="207"/>
      <c r="N753" s="207"/>
      <c r="O753" s="207"/>
      <c r="P753" s="207"/>
      <c r="Q753" s="207"/>
      <c r="R753" s="207"/>
      <c r="S753" s="207"/>
      <c r="T753" s="207"/>
      <c r="U753" s="207"/>
      <c r="V753" s="207"/>
      <c r="W753" s="207"/>
      <c r="X753" s="207"/>
      <c r="Y753" s="207"/>
      <c r="Z753" s="207"/>
      <c r="AA753" s="207"/>
      <c r="AB753" s="207"/>
      <c r="AC753" s="207"/>
      <c r="AD753" s="207"/>
      <c r="AE753" s="207"/>
      <c r="AF753" s="207"/>
      <c r="AG753" s="207"/>
      <c r="AH753" s="207"/>
      <c r="AI753" s="207"/>
      <c r="AJ753" s="207"/>
      <c r="AK753" s="207"/>
      <c r="AL753" s="207"/>
      <c r="AM753" s="207"/>
      <c r="AN753" s="207"/>
      <c r="AO753" s="207"/>
      <c r="AP753" s="207"/>
      <c r="AQ753" s="207"/>
      <c r="AR753" s="207"/>
      <c r="AS753" s="207"/>
      <c r="AT753" s="207"/>
      <c r="AU753" s="207"/>
      <c r="AV753" s="207"/>
      <c r="AW753" s="207"/>
      <c r="AX753" s="207"/>
      <c r="AY753" s="207"/>
      <c r="AZ753" s="207"/>
      <c r="BA753" s="207"/>
    </row>
    <row r="754" ht="18.75" hidden="1" customHeight="1">
      <c r="A754" s="207"/>
      <c r="B754" s="207"/>
      <c r="C754" s="207"/>
      <c r="D754" s="207"/>
      <c r="E754" s="207"/>
      <c r="F754" s="207"/>
      <c r="G754" s="207"/>
      <c r="H754" s="207"/>
      <c r="I754" s="207"/>
      <c r="J754" s="207"/>
      <c r="K754" s="207"/>
      <c r="L754" s="207"/>
      <c r="M754" s="207"/>
      <c r="N754" s="207"/>
      <c r="O754" s="207"/>
      <c r="P754" s="207"/>
      <c r="Q754" s="207"/>
      <c r="R754" s="207"/>
      <c r="S754" s="207"/>
      <c r="T754" s="207"/>
      <c r="U754" s="207"/>
      <c r="V754" s="207"/>
      <c r="W754" s="207"/>
      <c r="X754" s="207"/>
      <c r="Y754" s="207"/>
      <c r="Z754" s="207"/>
      <c r="AA754" s="207"/>
      <c r="AB754" s="207"/>
      <c r="AC754" s="207"/>
      <c r="AD754" s="207"/>
      <c r="AE754" s="207"/>
      <c r="AF754" s="207"/>
      <c r="AG754" s="207"/>
      <c r="AH754" s="207"/>
      <c r="AI754" s="207"/>
      <c r="AJ754" s="207"/>
      <c r="AK754" s="207"/>
      <c r="AL754" s="207"/>
      <c r="AM754" s="207"/>
      <c r="AN754" s="207"/>
      <c r="AO754" s="207"/>
      <c r="AP754" s="207"/>
      <c r="AQ754" s="207"/>
      <c r="AR754" s="207"/>
      <c r="AS754" s="207"/>
      <c r="AT754" s="207"/>
      <c r="AU754" s="207"/>
      <c r="AV754" s="207"/>
      <c r="AW754" s="207"/>
      <c r="AX754" s="207"/>
      <c r="AY754" s="207"/>
      <c r="AZ754" s="207"/>
      <c r="BA754" s="207"/>
    </row>
    <row r="755" ht="18.75" hidden="1" customHeight="1">
      <c r="A755" s="207"/>
      <c r="B755" s="207"/>
      <c r="C755" s="207"/>
      <c r="D755" s="207"/>
      <c r="E755" s="207"/>
      <c r="F755" s="207"/>
      <c r="G755" s="207"/>
      <c r="H755" s="207"/>
      <c r="I755" s="207"/>
      <c r="J755" s="207"/>
      <c r="K755" s="207"/>
      <c r="L755" s="207"/>
      <c r="M755" s="207"/>
      <c r="N755" s="207"/>
      <c r="O755" s="207"/>
      <c r="P755" s="207"/>
      <c r="Q755" s="207"/>
      <c r="R755" s="207"/>
      <c r="S755" s="207"/>
      <c r="T755" s="207"/>
      <c r="U755" s="207"/>
      <c r="V755" s="207"/>
      <c r="W755" s="207"/>
      <c r="X755" s="207"/>
      <c r="Y755" s="207"/>
      <c r="Z755" s="207"/>
      <c r="AA755" s="207"/>
      <c r="AB755" s="207"/>
      <c r="AC755" s="207"/>
      <c r="AD755" s="207"/>
      <c r="AE755" s="207"/>
      <c r="AF755" s="207"/>
      <c r="AG755" s="207"/>
      <c r="AH755" s="207"/>
      <c r="AI755" s="207"/>
      <c r="AJ755" s="207"/>
      <c r="AK755" s="207"/>
      <c r="AL755" s="207"/>
      <c r="AM755" s="207"/>
      <c r="AN755" s="207"/>
      <c r="AO755" s="207"/>
      <c r="AP755" s="207"/>
      <c r="AQ755" s="207"/>
      <c r="AR755" s="207"/>
      <c r="AS755" s="207"/>
      <c r="AT755" s="207"/>
      <c r="AU755" s="207"/>
      <c r="AV755" s="207"/>
      <c r="AW755" s="207"/>
      <c r="AX755" s="207"/>
      <c r="AY755" s="207"/>
      <c r="AZ755" s="207"/>
      <c r="BA755" s="207"/>
    </row>
    <row r="756" ht="18.75" hidden="1" customHeight="1">
      <c r="A756" s="207"/>
      <c r="B756" s="207"/>
      <c r="C756" s="207"/>
      <c r="D756" s="207"/>
      <c r="E756" s="207"/>
      <c r="F756" s="207"/>
      <c r="G756" s="207"/>
      <c r="H756" s="207"/>
      <c r="I756" s="207"/>
      <c r="J756" s="207"/>
      <c r="K756" s="207"/>
      <c r="L756" s="207"/>
      <c r="M756" s="207"/>
      <c r="N756" s="207"/>
      <c r="O756" s="207"/>
      <c r="P756" s="207"/>
      <c r="Q756" s="207"/>
      <c r="R756" s="207"/>
      <c r="S756" s="207"/>
      <c r="T756" s="207"/>
      <c r="U756" s="207"/>
      <c r="V756" s="207"/>
      <c r="W756" s="207"/>
      <c r="X756" s="207"/>
      <c r="Y756" s="207"/>
      <c r="Z756" s="207"/>
      <c r="AA756" s="207"/>
      <c r="AB756" s="207"/>
      <c r="AC756" s="207"/>
      <c r="AD756" s="207"/>
      <c r="AE756" s="207"/>
      <c r="AF756" s="207"/>
      <c r="AG756" s="207"/>
      <c r="AH756" s="207"/>
      <c r="AI756" s="207"/>
      <c r="AJ756" s="207"/>
      <c r="AK756" s="207"/>
      <c r="AL756" s="207"/>
      <c r="AM756" s="207"/>
      <c r="AN756" s="207"/>
      <c r="AO756" s="207"/>
      <c r="AP756" s="207"/>
      <c r="AQ756" s="207"/>
      <c r="AR756" s="207"/>
      <c r="AS756" s="207"/>
      <c r="AT756" s="207"/>
      <c r="AU756" s="207"/>
      <c r="AV756" s="207"/>
      <c r="AW756" s="207"/>
      <c r="AX756" s="207"/>
      <c r="AY756" s="207"/>
      <c r="AZ756" s="207"/>
      <c r="BA756" s="207"/>
    </row>
    <row r="757" ht="18.75" hidden="1" customHeight="1">
      <c r="A757" s="207"/>
      <c r="B757" s="207"/>
      <c r="C757" s="207"/>
      <c r="D757" s="207"/>
      <c r="E757" s="207"/>
      <c r="F757" s="207"/>
      <c r="G757" s="207"/>
      <c r="H757" s="207"/>
      <c r="I757" s="207"/>
      <c r="J757" s="207"/>
      <c r="K757" s="207"/>
      <c r="L757" s="207"/>
      <c r="M757" s="207"/>
      <c r="N757" s="207"/>
      <c r="O757" s="207"/>
      <c r="P757" s="207"/>
      <c r="Q757" s="207"/>
      <c r="R757" s="207"/>
      <c r="S757" s="207"/>
      <c r="T757" s="207"/>
      <c r="U757" s="207"/>
      <c r="V757" s="207"/>
      <c r="W757" s="207"/>
      <c r="X757" s="207"/>
      <c r="Y757" s="207"/>
      <c r="Z757" s="207"/>
      <c r="AA757" s="207"/>
      <c r="AB757" s="207"/>
      <c r="AC757" s="207"/>
      <c r="AD757" s="207"/>
      <c r="AE757" s="207"/>
      <c r="AF757" s="207"/>
      <c r="AG757" s="207"/>
      <c r="AH757" s="207"/>
      <c r="AI757" s="207"/>
      <c r="AJ757" s="207"/>
      <c r="AK757" s="207"/>
      <c r="AL757" s="207"/>
      <c r="AM757" s="207"/>
      <c r="AN757" s="207"/>
      <c r="AO757" s="207"/>
      <c r="AP757" s="207"/>
      <c r="AQ757" s="207"/>
      <c r="AR757" s="207"/>
      <c r="AS757" s="207"/>
      <c r="AT757" s="207"/>
      <c r="AU757" s="207"/>
      <c r="AV757" s="207"/>
      <c r="AW757" s="207"/>
      <c r="AX757" s="207"/>
      <c r="AY757" s="207"/>
      <c r="AZ757" s="207"/>
      <c r="BA757" s="207"/>
    </row>
    <row r="758" ht="18.75" hidden="1" customHeight="1">
      <c r="A758" s="207"/>
      <c r="B758" s="207"/>
      <c r="C758" s="207"/>
      <c r="D758" s="207"/>
      <c r="E758" s="207"/>
      <c r="F758" s="207"/>
      <c r="G758" s="207"/>
      <c r="H758" s="207"/>
      <c r="I758" s="207"/>
      <c r="J758" s="207"/>
      <c r="K758" s="207"/>
      <c r="L758" s="207"/>
      <c r="M758" s="207"/>
      <c r="N758" s="207"/>
      <c r="O758" s="207"/>
      <c r="P758" s="207"/>
      <c r="Q758" s="207"/>
      <c r="R758" s="207"/>
      <c r="S758" s="207"/>
      <c r="T758" s="207"/>
      <c r="U758" s="207"/>
      <c r="V758" s="207"/>
      <c r="W758" s="207"/>
      <c r="X758" s="207"/>
      <c r="Y758" s="207"/>
      <c r="Z758" s="207"/>
      <c r="AA758" s="207"/>
      <c r="AB758" s="207"/>
      <c r="AC758" s="207"/>
      <c r="AD758" s="207"/>
      <c r="AE758" s="207"/>
      <c r="AF758" s="207"/>
      <c r="AG758" s="207"/>
      <c r="AH758" s="207"/>
      <c r="AI758" s="207"/>
      <c r="AJ758" s="207"/>
      <c r="AK758" s="207"/>
      <c r="AL758" s="207"/>
      <c r="AM758" s="207"/>
      <c r="AN758" s="207"/>
      <c r="AO758" s="207"/>
      <c r="AP758" s="207"/>
      <c r="AQ758" s="207"/>
      <c r="AR758" s="207"/>
      <c r="AS758" s="207"/>
      <c r="AT758" s="207"/>
      <c r="AU758" s="207"/>
      <c r="AV758" s="207"/>
      <c r="AW758" s="207"/>
      <c r="AX758" s="207"/>
      <c r="AY758" s="207"/>
      <c r="AZ758" s="207"/>
      <c r="BA758" s="207"/>
    </row>
    <row r="759" ht="18.75" hidden="1" customHeight="1">
      <c r="A759" s="207"/>
      <c r="B759" s="207"/>
      <c r="C759" s="207"/>
      <c r="D759" s="207"/>
      <c r="E759" s="207"/>
      <c r="F759" s="207"/>
      <c r="G759" s="207"/>
      <c r="H759" s="207"/>
      <c r="I759" s="207"/>
      <c r="J759" s="207"/>
      <c r="K759" s="207"/>
      <c r="L759" s="207"/>
      <c r="M759" s="207"/>
      <c r="N759" s="207"/>
      <c r="O759" s="207"/>
      <c r="P759" s="207"/>
      <c r="Q759" s="207"/>
      <c r="R759" s="207"/>
      <c r="S759" s="207"/>
      <c r="T759" s="207"/>
      <c r="U759" s="207"/>
      <c r="V759" s="207"/>
      <c r="W759" s="207"/>
      <c r="X759" s="207"/>
      <c r="Y759" s="207"/>
      <c r="Z759" s="207"/>
      <c r="AA759" s="207"/>
      <c r="AB759" s="207"/>
      <c r="AC759" s="207"/>
      <c r="AD759" s="207"/>
      <c r="AE759" s="207"/>
      <c r="AF759" s="207"/>
      <c r="AG759" s="207"/>
      <c r="AH759" s="207"/>
      <c r="AI759" s="207"/>
      <c r="AJ759" s="207"/>
      <c r="AK759" s="207"/>
      <c r="AL759" s="207"/>
      <c r="AM759" s="207"/>
      <c r="AN759" s="207"/>
      <c r="AO759" s="207"/>
      <c r="AP759" s="207"/>
      <c r="AQ759" s="207"/>
      <c r="AR759" s="207"/>
      <c r="AS759" s="207"/>
      <c r="AT759" s="207"/>
      <c r="AU759" s="207"/>
      <c r="AV759" s="207"/>
      <c r="AW759" s="207"/>
      <c r="AX759" s="207"/>
      <c r="AY759" s="207"/>
      <c r="AZ759" s="207"/>
      <c r="BA759" s="207"/>
    </row>
    <row r="760" ht="18.75" hidden="1" customHeight="1">
      <c r="A760" s="207"/>
      <c r="B760" s="207"/>
      <c r="C760" s="207"/>
      <c r="D760" s="207"/>
      <c r="E760" s="207"/>
      <c r="F760" s="207"/>
      <c r="G760" s="207"/>
      <c r="H760" s="207"/>
      <c r="I760" s="207"/>
      <c r="J760" s="207"/>
      <c r="K760" s="207"/>
      <c r="L760" s="207"/>
      <c r="M760" s="207"/>
      <c r="N760" s="207"/>
      <c r="O760" s="207"/>
      <c r="P760" s="207"/>
      <c r="Q760" s="207"/>
      <c r="R760" s="207"/>
      <c r="S760" s="207"/>
      <c r="T760" s="207"/>
      <c r="U760" s="207"/>
      <c r="V760" s="207"/>
      <c r="W760" s="207"/>
      <c r="X760" s="207"/>
      <c r="Y760" s="207"/>
      <c r="Z760" s="207"/>
      <c r="AA760" s="207"/>
      <c r="AB760" s="207"/>
      <c r="AC760" s="207"/>
      <c r="AD760" s="207"/>
      <c r="AE760" s="207"/>
      <c r="AF760" s="207"/>
      <c r="AG760" s="207"/>
      <c r="AH760" s="207"/>
      <c r="AI760" s="207"/>
      <c r="AJ760" s="207"/>
      <c r="AK760" s="207"/>
      <c r="AL760" s="207"/>
      <c r="AM760" s="207"/>
      <c r="AN760" s="207"/>
      <c r="AO760" s="207"/>
      <c r="AP760" s="207"/>
      <c r="AQ760" s="207"/>
      <c r="AR760" s="207"/>
      <c r="AS760" s="207"/>
      <c r="AT760" s="207"/>
      <c r="AU760" s="207"/>
      <c r="AV760" s="207"/>
      <c r="AW760" s="207"/>
      <c r="AX760" s="207"/>
      <c r="AY760" s="207"/>
      <c r="AZ760" s="207"/>
      <c r="BA760" s="207"/>
    </row>
    <row r="761" ht="18.75" hidden="1" customHeight="1">
      <c r="A761" s="207"/>
      <c r="B761" s="207"/>
      <c r="C761" s="207"/>
      <c r="D761" s="207"/>
      <c r="E761" s="207"/>
      <c r="F761" s="207"/>
      <c r="G761" s="207"/>
      <c r="H761" s="207"/>
      <c r="I761" s="207"/>
      <c r="J761" s="207"/>
      <c r="K761" s="207"/>
      <c r="L761" s="207"/>
      <c r="M761" s="207"/>
      <c r="N761" s="207"/>
      <c r="O761" s="207"/>
      <c r="P761" s="207"/>
      <c r="Q761" s="207"/>
      <c r="R761" s="207"/>
      <c r="S761" s="207"/>
      <c r="T761" s="207"/>
      <c r="U761" s="207"/>
      <c r="V761" s="207"/>
      <c r="W761" s="207"/>
      <c r="X761" s="207"/>
      <c r="Y761" s="207"/>
      <c r="Z761" s="207"/>
      <c r="AA761" s="207"/>
      <c r="AB761" s="207"/>
      <c r="AC761" s="207"/>
      <c r="AD761" s="207"/>
      <c r="AE761" s="207"/>
      <c r="AF761" s="207"/>
      <c r="AG761" s="207"/>
      <c r="AH761" s="207"/>
      <c r="AI761" s="207"/>
      <c r="AJ761" s="207"/>
      <c r="AK761" s="207"/>
      <c r="AL761" s="207"/>
      <c r="AM761" s="207"/>
      <c r="AN761" s="207"/>
      <c r="AO761" s="207"/>
      <c r="AP761" s="207"/>
      <c r="AQ761" s="207"/>
      <c r="AR761" s="207"/>
      <c r="AS761" s="207"/>
      <c r="AT761" s="207"/>
      <c r="AU761" s="207"/>
      <c r="AV761" s="207"/>
      <c r="AW761" s="207"/>
      <c r="AX761" s="207"/>
      <c r="AY761" s="207"/>
      <c r="AZ761" s="207"/>
      <c r="BA761" s="207"/>
    </row>
    <row r="762" ht="18.75" hidden="1" customHeight="1">
      <c r="A762" s="207"/>
      <c r="B762" s="207"/>
      <c r="C762" s="207"/>
      <c r="D762" s="207"/>
      <c r="E762" s="207"/>
      <c r="F762" s="207"/>
      <c r="G762" s="207"/>
      <c r="H762" s="207"/>
      <c r="I762" s="207"/>
      <c r="J762" s="207"/>
      <c r="K762" s="207"/>
      <c r="L762" s="207"/>
      <c r="M762" s="207"/>
      <c r="N762" s="207"/>
      <c r="O762" s="207"/>
      <c r="P762" s="207"/>
      <c r="Q762" s="207"/>
      <c r="R762" s="207"/>
      <c r="S762" s="207"/>
      <c r="T762" s="207"/>
      <c r="U762" s="207"/>
      <c r="V762" s="207"/>
      <c r="W762" s="207"/>
      <c r="X762" s="207"/>
      <c r="Y762" s="207"/>
      <c r="Z762" s="207"/>
      <c r="AA762" s="207"/>
      <c r="AB762" s="207"/>
      <c r="AC762" s="207"/>
      <c r="AD762" s="207"/>
      <c r="AE762" s="207"/>
      <c r="AF762" s="207"/>
      <c r="AG762" s="207"/>
      <c r="AH762" s="207"/>
      <c r="AI762" s="207"/>
      <c r="AJ762" s="207"/>
      <c r="AK762" s="207"/>
      <c r="AL762" s="207"/>
      <c r="AM762" s="207"/>
      <c r="AN762" s="207"/>
      <c r="AO762" s="207"/>
      <c r="AP762" s="207"/>
      <c r="AQ762" s="207"/>
      <c r="AR762" s="207"/>
      <c r="AS762" s="207"/>
      <c r="AT762" s="207"/>
      <c r="AU762" s="207"/>
      <c r="AV762" s="207"/>
      <c r="AW762" s="207"/>
      <c r="AX762" s="207"/>
      <c r="AY762" s="207"/>
      <c r="AZ762" s="207"/>
      <c r="BA762" s="207"/>
    </row>
    <row r="763" ht="18.75" hidden="1" customHeight="1">
      <c r="A763" s="207"/>
      <c r="B763" s="207"/>
      <c r="C763" s="207"/>
      <c r="D763" s="207"/>
      <c r="E763" s="207"/>
      <c r="F763" s="207"/>
      <c r="G763" s="207"/>
      <c r="H763" s="207"/>
      <c r="I763" s="207"/>
      <c r="J763" s="207"/>
      <c r="K763" s="207"/>
      <c r="L763" s="207"/>
      <c r="M763" s="207"/>
      <c r="N763" s="207"/>
      <c r="O763" s="207"/>
      <c r="P763" s="207"/>
      <c r="Q763" s="207"/>
      <c r="R763" s="207"/>
      <c r="S763" s="207"/>
      <c r="T763" s="207"/>
      <c r="U763" s="207"/>
      <c r="V763" s="207"/>
      <c r="W763" s="207"/>
      <c r="X763" s="207"/>
      <c r="Y763" s="207"/>
      <c r="Z763" s="207"/>
      <c r="AA763" s="207"/>
      <c r="AB763" s="207"/>
      <c r="AC763" s="207"/>
      <c r="AD763" s="207"/>
      <c r="AE763" s="207"/>
      <c r="AF763" s="207"/>
      <c r="AG763" s="207"/>
      <c r="AH763" s="207"/>
      <c r="AI763" s="207"/>
      <c r="AJ763" s="207"/>
      <c r="AK763" s="207"/>
      <c r="AL763" s="207"/>
      <c r="AM763" s="207"/>
      <c r="AN763" s="207"/>
      <c r="AO763" s="207"/>
      <c r="AP763" s="207"/>
      <c r="AQ763" s="207"/>
      <c r="AR763" s="207"/>
      <c r="AS763" s="207"/>
      <c r="AT763" s="207"/>
      <c r="AU763" s="207"/>
      <c r="AV763" s="207"/>
      <c r="AW763" s="207"/>
      <c r="AX763" s="207"/>
      <c r="AY763" s="207"/>
      <c r="AZ763" s="207"/>
      <c r="BA763" s="207"/>
    </row>
    <row r="764" ht="18.75" hidden="1" customHeight="1">
      <c r="A764" s="207"/>
      <c r="B764" s="207"/>
      <c r="C764" s="207"/>
      <c r="D764" s="207"/>
      <c r="E764" s="207"/>
      <c r="F764" s="207"/>
      <c r="G764" s="207"/>
      <c r="H764" s="207"/>
      <c r="I764" s="207"/>
      <c r="J764" s="207"/>
      <c r="K764" s="207"/>
      <c r="L764" s="207"/>
      <c r="M764" s="207"/>
      <c r="N764" s="207"/>
      <c r="O764" s="207"/>
      <c r="P764" s="207"/>
      <c r="Q764" s="207"/>
      <c r="R764" s="207"/>
      <c r="S764" s="207"/>
      <c r="T764" s="207"/>
      <c r="U764" s="207"/>
      <c r="V764" s="207"/>
      <c r="W764" s="207"/>
      <c r="X764" s="207"/>
      <c r="Y764" s="207"/>
      <c r="Z764" s="207"/>
      <c r="AA764" s="207"/>
      <c r="AB764" s="207"/>
      <c r="AC764" s="207"/>
      <c r="AD764" s="207"/>
      <c r="AE764" s="207"/>
      <c r="AF764" s="207"/>
      <c r="AG764" s="207"/>
      <c r="AH764" s="207"/>
      <c r="AI764" s="207"/>
      <c r="AJ764" s="207"/>
      <c r="AK764" s="207"/>
      <c r="AL764" s="207"/>
      <c r="AM764" s="207"/>
      <c r="AN764" s="207"/>
      <c r="AO764" s="207"/>
      <c r="AP764" s="207"/>
      <c r="AQ764" s="207"/>
      <c r="AR764" s="207"/>
      <c r="AS764" s="207"/>
      <c r="AT764" s="207"/>
      <c r="AU764" s="207"/>
      <c r="AV764" s="207"/>
      <c r="AW764" s="207"/>
      <c r="AX764" s="207"/>
      <c r="AY764" s="207"/>
      <c r="AZ764" s="207"/>
      <c r="BA764" s="207"/>
    </row>
    <row r="765" ht="18.75" hidden="1" customHeight="1">
      <c r="A765" s="207"/>
      <c r="B765" s="207"/>
      <c r="C765" s="207"/>
      <c r="D765" s="207"/>
      <c r="E765" s="207"/>
      <c r="F765" s="207"/>
      <c r="G765" s="207"/>
      <c r="H765" s="207"/>
      <c r="I765" s="207"/>
      <c r="J765" s="207"/>
      <c r="K765" s="207"/>
      <c r="L765" s="207"/>
      <c r="M765" s="207"/>
      <c r="N765" s="207"/>
      <c r="O765" s="207"/>
      <c r="P765" s="207"/>
      <c r="Q765" s="207"/>
      <c r="R765" s="207"/>
      <c r="S765" s="207"/>
      <c r="T765" s="207"/>
      <c r="U765" s="207"/>
      <c r="V765" s="207"/>
      <c r="W765" s="207"/>
      <c r="X765" s="207"/>
      <c r="Y765" s="207"/>
      <c r="Z765" s="207"/>
      <c r="AA765" s="207"/>
      <c r="AB765" s="207"/>
      <c r="AC765" s="207"/>
      <c r="AD765" s="207"/>
      <c r="AE765" s="207"/>
      <c r="AF765" s="207"/>
      <c r="AG765" s="207"/>
      <c r="AH765" s="207"/>
      <c r="AI765" s="207"/>
      <c r="AJ765" s="207"/>
      <c r="AK765" s="207"/>
      <c r="AL765" s="207"/>
      <c r="AM765" s="207"/>
      <c r="AN765" s="207"/>
      <c r="AO765" s="207"/>
      <c r="AP765" s="207"/>
      <c r="AQ765" s="207"/>
      <c r="AR765" s="207"/>
      <c r="AS765" s="207"/>
      <c r="AT765" s="207"/>
      <c r="AU765" s="207"/>
      <c r="AV765" s="207"/>
      <c r="AW765" s="207"/>
      <c r="AX765" s="207"/>
      <c r="AY765" s="207"/>
      <c r="AZ765" s="207"/>
      <c r="BA765" s="207"/>
    </row>
    <row r="766" ht="18.75" hidden="1" customHeight="1">
      <c r="A766" s="207"/>
      <c r="B766" s="207"/>
      <c r="C766" s="207"/>
      <c r="D766" s="207"/>
      <c r="E766" s="207"/>
      <c r="F766" s="207"/>
      <c r="G766" s="207"/>
      <c r="H766" s="207"/>
      <c r="I766" s="207"/>
      <c r="J766" s="207"/>
      <c r="K766" s="207"/>
      <c r="L766" s="207"/>
      <c r="M766" s="207"/>
      <c r="N766" s="207"/>
      <c r="O766" s="207"/>
      <c r="P766" s="207"/>
      <c r="Q766" s="207"/>
      <c r="R766" s="207"/>
      <c r="S766" s="207"/>
      <c r="T766" s="207"/>
      <c r="U766" s="207"/>
      <c r="V766" s="207"/>
      <c r="W766" s="207"/>
      <c r="X766" s="207"/>
      <c r="Y766" s="207"/>
      <c r="Z766" s="207"/>
      <c r="AA766" s="207"/>
      <c r="AB766" s="207"/>
      <c r="AC766" s="207"/>
      <c r="AD766" s="207"/>
      <c r="AE766" s="207"/>
      <c r="AF766" s="207"/>
      <c r="AG766" s="207"/>
      <c r="AH766" s="207"/>
      <c r="AI766" s="207"/>
      <c r="AJ766" s="207"/>
      <c r="AK766" s="207"/>
      <c r="AL766" s="207"/>
      <c r="AM766" s="207"/>
      <c r="AN766" s="207"/>
      <c r="AO766" s="207"/>
      <c r="AP766" s="207"/>
      <c r="AQ766" s="207"/>
      <c r="AR766" s="207"/>
      <c r="AS766" s="207"/>
      <c r="AT766" s="207"/>
      <c r="AU766" s="207"/>
      <c r="AV766" s="207"/>
      <c r="AW766" s="207"/>
      <c r="AX766" s="207"/>
      <c r="AY766" s="207"/>
      <c r="AZ766" s="207"/>
      <c r="BA766" s="207"/>
    </row>
    <row r="767" ht="18.75" hidden="1" customHeight="1">
      <c r="A767" s="207"/>
      <c r="B767" s="207"/>
      <c r="C767" s="207"/>
      <c r="D767" s="207"/>
      <c r="E767" s="207"/>
      <c r="F767" s="207"/>
      <c r="G767" s="207"/>
      <c r="H767" s="207"/>
      <c r="I767" s="207"/>
      <c r="J767" s="207"/>
      <c r="K767" s="207"/>
      <c r="L767" s="207"/>
      <c r="M767" s="207"/>
      <c r="N767" s="207"/>
      <c r="O767" s="207"/>
      <c r="P767" s="207"/>
      <c r="Q767" s="207"/>
      <c r="R767" s="207"/>
      <c r="S767" s="207"/>
      <c r="T767" s="207"/>
      <c r="U767" s="207"/>
      <c r="V767" s="207"/>
      <c r="W767" s="207"/>
      <c r="X767" s="207"/>
      <c r="Y767" s="207"/>
      <c r="Z767" s="207"/>
      <c r="AA767" s="207"/>
      <c r="AB767" s="207"/>
      <c r="AC767" s="207"/>
      <c r="AD767" s="207"/>
      <c r="AE767" s="207"/>
      <c r="AF767" s="207"/>
      <c r="AG767" s="207"/>
      <c r="AH767" s="207"/>
      <c r="AI767" s="207"/>
      <c r="AJ767" s="207"/>
      <c r="AK767" s="207"/>
      <c r="AL767" s="207"/>
      <c r="AM767" s="207"/>
      <c r="AN767" s="207"/>
      <c r="AO767" s="207"/>
      <c r="AP767" s="207"/>
      <c r="AQ767" s="207"/>
      <c r="AR767" s="207"/>
      <c r="AS767" s="207"/>
      <c r="AT767" s="207"/>
      <c r="AU767" s="207"/>
      <c r="AV767" s="207"/>
      <c r="AW767" s="207"/>
      <c r="AX767" s="207"/>
      <c r="AY767" s="207"/>
      <c r="AZ767" s="207"/>
      <c r="BA767" s="207"/>
    </row>
    <row r="768" ht="18.75" hidden="1" customHeight="1">
      <c r="A768" s="207"/>
      <c r="B768" s="207"/>
      <c r="C768" s="207"/>
      <c r="D768" s="207"/>
      <c r="E768" s="207"/>
      <c r="F768" s="207"/>
      <c r="G768" s="207"/>
      <c r="H768" s="207"/>
      <c r="I768" s="207"/>
      <c r="J768" s="207"/>
      <c r="K768" s="207"/>
      <c r="L768" s="207"/>
      <c r="M768" s="207"/>
      <c r="N768" s="207"/>
      <c r="O768" s="207"/>
      <c r="P768" s="207"/>
      <c r="Q768" s="207"/>
      <c r="R768" s="207"/>
      <c r="S768" s="207"/>
      <c r="T768" s="207"/>
      <c r="U768" s="207"/>
      <c r="V768" s="207"/>
      <c r="W768" s="207"/>
      <c r="X768" s="207"/>
      <c r="Y768" s="207"/>
      <c r="Z768" s="207"/>
      <c r="AA768" s="207"/>
      <c r="AB768" s="207"/>
      <c r="AC768" s="207"/>
      <c r="AD768" s="207"/>
      <c r="AE768" s="207"/>
      <c r="AF768" s="207"/>
      <c r="AG768" s="207"/>
      <c r="AH768" s="207"/>
      <c r="AI768" s="207"/>
      <c r="AJ768" s="207"/>
      <c r="AK768" s="207"/>
      <c r="AL768" s="207"/>
      <c r="AM768" s="207"/>
      <c r="AN768" s="207"/>
      <c r="AO768" s="207"/>
      <c r="AP768" s="207"/>
      <c r="AQ768" s="207"/>
      <c r="AR768" s="207"/>
      <c r="AS768" s="207"/>
      <c r="AT768" s="207"/>
      <c r="AU768" s="207"/>
      <c r="AV768" s="207"/>
      <c r="AW768" s="207"/>
      <c r="AX768" s="207"/>
      <c r="AY768" s="207"/>
      <c r="AZ768" s="207"/>
      <c r="BA768" s="207"/>
    </row>
    <row r="769" ht="18.75" hidden="1" customHeight="1">
      <c r="A769" s="207"/>
      <c r="B769" s="207"/>
      <c r="C769" s="207"/>
      <c r="D769" s="207"/>
      <c r="E769" s="207"/>
      <c r="F769" s="207"/>
      <c r="G769" s="207"/>
      <c r="H769" s="207"/>
      <c r="I769" s="207"/>
      <c r="J769" s="207"/>
      <c r="K769" s="207"/>
      <c r="L769" s="207"/>
      <c r="M769" s="207"/>
      <c r="N769" s="207"/>
      <c r="O769" s="207"/>
      <c r="P769" s="207"/>
      <c r="Q769" s="207"/>
      <c r="R769" s="207"/>
      <c r="S769" s="207"/>
      <c r="T769" s="207"/>
      <c r="U769" s="207"/>
      <c r="V769" s="207"/>
      <c r="W769" s="207"/>
      <c r="X769" s="207"/>
      <c r="Y769" s="207"/>
      <c r="Z769" s="207"/>
      <c r="AA769" s="207"/>
      <c r="AB769" s="207"/>
      <c r="AC769" s="207"/>
      <c r="AD769" s="207"/>
      <c r="AE769" s="207"/>
      <c r="AF769" s="207"/>
      <c r="AG769" s="207"/>
      <c r="AH769" s="207"/>
      <c r="AI769" s="207"/>
      <c r="AJ769" s="207"/>
      <c r="AK769" s="207"/>
      <c r="AL769" s="207"/>
      <c r="AM769" s="207"/>
      <c r="AN769" s="207"/>
      <c r="AO769" s="207"/>
      <c r="AP769" s="207"/>
      <c r="AQ769" s="207"/>
      <c r="AR769" s="207"/>
      <c r="AS769" s="207"/>
      <c r="AT769" s="207"/>
      <c r="AU769" s="207"/>
      <c r="AV769" s="207"/>
      <c r="AW769" s="207"/>
      <c r="AX769" s="207"/>
      <c r="AY769" s="207"/>
      <c r="AZ769" s="207"/>
      <c r="BA769" s="207"/>
    </row>
    <row r="770" ht="18.75" hidden="1" customHeight="1">
      <c r="A770" s="207"/>
      <c r="B770" s="207"/>
      <c r="C770" s="207"/>
      <c r="D770" s="207"/>
      <c r="E770" s="207"/>
      <c r="F770" s="207"/>
      <c r="G770" s="207"/>
      <c r="H770" s="207"/>
      <c r="I770" s="207"/>
      <c r="J770" s="207"/>
      <c r="K770" s="207"/>
      <c r="L770" s="207"/>
      <c r="M770" s="207"/>
      <c r="N770" s="207"/>
      <c r="O770" s="207"/>
      <c r="P770" s="207"/>
      <c r="Q770" s="207"/>
      <c r="R770" s="207"/>
      <c r="S770" s="207"/>
      <c r="T770" s="207"/>
      <c r="U770" s="207"/>
      <c r="V770" s="207"/>
      <c r="W770" s="207"/>
      <c r="X770" s="207"/>
      <c r="Y770" s="207"/>
      <c r="Z770" s="207"/>
      <c r="AA770" s="207"/>
      <c r="AB770" s="207"/>
      <c r="AC770" s="207"/>
      <c r="AD770" s="207"/>
      <c r="AE770" s="207"/>
      <c r="AF770" s="207"/>
      <c r="AG770" s="207"/>
      <c r="AH770" s="207"/>
      <c r="AI770" s="207"/>
      <c r="AJ770" s="207"/>
      <c r="AK770" s="207"/>
      <c r="AL770" s="207"/>
      <c r="AM770" s="207"/>
      <c r="AN770" s="207"/>
      <c r="AO770" s="207"/>
      <c r="AP770" s="207"/>
      <c r="AQ770" s="207"/>
      <c r="AR770" s="207"/>
      <c r="AS770" s="207"/>
      <c r="AT770" s="207"/>
      <c r="AU770" s="207"/>
      <c r="AV770" s="207"/>
      <c r="AW770" s="207"/>
      <c r="AX770" s="207"/>
      <c r="AY770" s="207"/>
      <c r="AZ770" s="207"/>
      <c r="BA770" s="207"/>
    </row>
    <row r="771" ht="18.75" hidden="1" customHeight="1">
      <c r="A771" s="207"/>
      <c r="B771" s="207"/>
      <c r="C771" s="207"/>
      <c r="D771" s="207"/>
      <c r="E771" s="207"/>
      <c r="F771" s="207"/>
      <c r="G771" s="207"/>
      <c r="H771" s="207"/>
      <c r="I771" s="207"/>
      <c r="J771" s="207"/>
      <c r="K771" s="207"/>
      <c r="L771" s="207"/>
      <c r="M771" s="207"/>
      <c r="N771" s="207"/>
      <c r="O771" s="207"/>
      <c r="P771" s="207"/>
      <c r="Q771" s="207"/>
      <c r="R771" s="207"/>
      <c r="S771" s="207"/>
      <c r="T771" s="207"/>
      <c r="U771" s="207"/>
      <c r="V771" s="207"/>
      <c r="W771" s="207"/>
      <c r="X771" s="207"/>
      <c r="Y771" s="207"/>
      <c r="Z771" s="207"/>
      <c r="AA771" s="207"/>
      <c r="AB771" s="207"/>
      <c r="AC771" s="207"/>
      <c r="AD771" s="207"/>
      <c r="AE771" s="207"/>
      <c r="AF771" s="207"/>
      <c r="AG771" s="207"/>
      <c r="AH771" s="207"/>
      <c r="AI771" s="207"/>
      <c r="AJ771" s="207"/>
      <c r="AK771" s="207"/>
      <c r="AL771" s="207"/>
      <c r="AM771" s="207"/>
      <c r="AN771" s="207"/>
      <c r="AO771" s="207"/>
      <c r="AP771" s="207"/>
      <c r="AQ771" s="207"/>
      <c r="AR771" s="207"/>
      <c r="AS771" s="207"/>
      <c r="AT771" s="207"/>
      <c r="AU771" s="207"/>
      <c r="AV771" s="207"/>
      <c r="AW771" s="207"/>
      <c r="AX771" s="207"/>
      <c r="AY771" s="207"/>
      <c r="AZ771" s="207"/>
      <c r="BA771" s="207"/>
    </row>
    <row r="772" ht="18.75" hidden="1" customHeight="1">
      <c r="A772" s="207"/>
      <c r="B772" s="207"/>
      <c r="C772" s="207"/>
      <c r="D772" s="207"/>
      <c r="E772" s="207"/>
      <c r="F772" s="207"/>
      <c r="G772" s="207"/>
      <c r="H772" s="207"/>
      <c r="I772" s="207"/>
      <c r="J772" s="207"/>
      <c r="K772" s="207"/>
      <c r="L772" s="207"/>
      <c r="M772" s="207"/>
      <c r="N772" s="207"/>
      <c r="O772" s="207"/>
      <c r="P772" s="207"/>
      <c r="Q772" s="207"/>
      <c r="R772" s="207"/>
      <c r="S772" s="207"/>
      <c r="T772" s="207"/>
      <c r="U772" s="207"/>
      <c r="V772" s="207"/>
      <c r="W772" s="207"/>
      <c r="X772" s="207"/>
      <c r="Y772" s="207"/>
      <c r="Z772" s="207"/>
      <c r="AA772" s="207"/>
      <c r="AB772" s="207"/>
      <c r="AC772" s="207"/>
      <c r="AD772" s="207"/>
      <c r="AE772" s="207"/>
      <c r="AF772" s="207"/>
      <c r="AG772" s="207"/>
      <c r="AH772" s="207"/>
      <c r="AI772" s="207"/>
      <c r="AJ772" s="207"/>
      <c r="AK772" s="207"/>
      <c r="AL772" s="207"/>
      <c r="AM772" s="207"/>
      <c r="AN772" s="207"/>
      <c r="AO772" s="207"/>
      <c r="AP772" s="207"/>
      <c r="AQ772" s="207"/>
      <c r="AR772" s="207"/>
      <c r="AS772" s="207"/>
      <c r="AT772" s="207"/>
      <c r="AU772" s="207"/>
      <c r="AV772" s="207"/>
      <c r="AW772" s="207"/>
      <c r="AX772" s="207"/>
      <c r="AY772" s="207"/>
      <c r="AZ772" s="207"/>
      <c r="BA772" s="207"/>
    </row>
    <row r="773" ht="18.75" hidden="1" customHeight="1">
      <c r="A773" s="207"/>
      <c r="B773" s="207"/>
      <c r="C773" s="207"/>
      <c r="D773" s="207"/>
      <c r="E773" s="207"/>
      <c r="F773" s="207"/>
      <c r="G773" s="207"/>
      <c r="H773" s="207"/>
      <c r="I773" s="207"/>
      <c r="J773" s="207"/>
      <c r="K773" s="207"/>
      <c r="L773" s="207"/>
      <c r="M773" s="207"/>
      <c r="N773" s="207"/>
      <c r="O773" s="207"/>
      <c r="P773" s="207"/>
      <c r="Q773" s="207"/>
      <c r="R773" s="207"/>
      <c r="S773" s="207"/>
      <c r="T773" s="207"/>
      <c r="U773" s="207"/>
      <c r="V773" s="207"/>
      <c r="W773" s="207"/>
      <c r="X773" s="207"/>
      <c r="Y773" s="207"/>
      <c r="Z773" s="207"/>
      <c r="AA773" s="207"/>
      <c r="AB773" s="207"/>
      <c r="AC773" s="207"/>
      <c r="AD773" s="207"/>
      <c r="AE773" s="207"/>
      <c r="AF773" s="207"/>
      <c r="AG773" s="207"/>
      <c r="AH773" s="207"/>
      <c r="AI773" s="207"/>
      <c r="AJ773" s="207"/>
      <c r="AK773" s="207"/>
      <c r="AL773" s="207"/>
      <c r="AM773" s="207"/>
      <c r="AN773" s="207"/>
      <c r="AO773" s="207"/>
      <c r="AP773" s="207"/>
      <c r="AQ773" s="207"/>
      <c r="AR773" s="207"/>
      <c r="AS773" s="207"/>
      <c r="AT773" s="207"/>
      <c r="AU773" s="207"/>
      <c r="AV773" s="207"/>
      <c r="AW773" s="207"/>
      <c r="AX773" s="207"/>
      <c r="AY773" s="207"/>
      <c r="AZ773" s="207"/>
      <c r="BA773" s="207"/>
    </row>
    <row r="774" ht="18.75" hidden="1" customHeight="1">
      <c r="A774" s="207"/>
      <c r="B774" s="207"/>
      <c r="C774" s="207"/>
      <c r="D774" s="207"/>
      <c r="E774" s="207"/>
      <c r="F774" s="207"/>
      <c r="G774" s="207"/>
      <c r="H774" s="207"/>
      <c r="I774" s="207"/>
      <c r="J774" s="207"/>
      <c r="K774" s="207"/>
      <c r="L774" s="207"/>
      <c r="M774" s="207"/>
      <c r="N774" s="207"/>
      <c r="O774" s="207"/>
      <c r="P774" s="207"/>
      <c r="Q774" s="207"/>
      <c r="R774" s="207"/>
      <c r="S774" s="207"/>
      <c r="T774" s="207"/>
      <c r="U774" s="207"/>
      <c r="V774" s="207"/>
      <c r="W774" s="207"/>
      <c r="X774" s="207"/>
      <c r="Y774" s="207"/>
      <c r="Z774" s="207"/>
      <c r="AA774" s="207"/>
      <c r="AB774" s="207"/>
      <c r="AC774" s="207"/>
      <c r="AD774" s="207"/>
      <c r="AE774" s="207"/>
      <c r="AF774" s="207"/>
      <c r="AG774" s="207"/>
      <c r="AH774" s="207"/>
      <c r="AI774" s="207"/>
      <c r="AJ774" s="207"/>
      <c r="AK774" s="207"/>
      <c r="AL774" s="207"/>
      <c r="AM774" s="207"/>
      <c r="AN774" s="207"/>
      <c r="AO774" s="207"/>
      <c r="AP774" s="207"/>
      <c r="AQ774" s="207"/>
      <c r="AR774" s="207"/>
      <c r="AS774" s="207"/>
      <c r="AT774" s="207"/>
      <c r="AU774" s="207"/>
      <c r="AV774" s="207"/>
      <c r="AW774" s="207"/>
      <c r="AX774" s="207"/>
      <c r="AY774" s="207"/>
      <c r="AZ774" s="207"/>
      <c r="BA774" s="207"/>
    </row>
    <row r="775" ht="18.75" hidden="1" customHeight="1">
      <c r="A775" s="207"/>
      <c r="B775" s="207"/>
      <c r="C775" s="207"/>
      <c r="D775" s="207"/>
      <c r="E775" s="207"/>
      <c r="F775" s="207"/>
      <c r="G775" s="207"/>
      <c r="H775" s="207"/>
      <c r="I775" s="207"/>
      <c r="J775" s="207"/>
      <c r="K775" s="207"/>
      <c r="L775" s="207"/>
      <c r="M775" s="207"/>
      <c r="N775" s="207"/>
      <c r="O775" s="207"/>
      <c r="P775" s="207"/>
      <c r="Q775" s="207"/>
      <c r="R775" s="207"/>
      <c r="S775" s="207"/>
      <c r="T775" s="207"/>
      <c r="U775" s="207"/>
      <c r="V775" s="207"/>
      <c r="W775" s="207"/>
      <c r="X775" s="207"/>
      <c r="Y775" s="207"/>
      <c r="Z775" s="207"/>
      <c r="AA775" s="207"/>
      <c r="AB775" s="207"/>
      <c r="AC775" s="207"/>
      <c r="AD775" s="207"/>
      <c r="AE775" s="207"/>
      <c r="AF775" s="207"/>
      <c r="AG775" s="207"/>
      <c r="AH775" s="207"/>
      <c r="AI775" s="207"/>
      <c r="AJ775" s="207"/>
      <c r="AK775" s="207"/>
      <c r="AL775" s="207"/>
      <c r="AM775" s="207"/>
      <c r="AN775" s="207"/>
      <c r="AO775" s="207"/>
      <c r="AP775" s="207"/>
      <c r="AQ775" s="207"/>
      <c r="AR775" s="207"/>
      <c r="AS775" s="207"/>
      <c r="AT775" s="207"/>
      <c r="AU775" s="207"/>
      <c r="AV775" s="207"/>
      <c r="AW775" s="207"/>
      <c r="AX775" s="207"/>
      <c r="AY775" s="207"/>
      <c r="AZ775" s="207"/>
      <c r="BA775" s="207"/>
    </row>
    <row r="776" ht="18.75" hidden="1" customHeight="1">
      <c r="A776" s="207"/>
      <c r="B776" s="207"/>
      <c r="C776" s="207"/>
      <c r="D776" s="207"/>
      <c r="E776" s="207"/>
      <c r="F776" s="207"/>
      <c r="G776" s="207"/>
      <c r="H776" s="207"/>
      <c r="I776" s="207"/>
      <c r="J776" s="207"/>
      <c r="K776" s="207"/>
      <c r="L776" s="207"/>
      <c r="M776" s="207"/>
      <c r="N776" s="207"/>
      <c r="O776" s="207"/>
      <c r="P776" s="207"/>
      <c r="Q776" s="207"/>
      <c r="R776" s="207"/>
      <c r="S776" s="207"/>
      <c r="T776" s="207"/>
      <c r="U776" s="207"/>
      <c r="V776" s="207"/>
      <c r="W776" s="207"/>
      <c r="X776" s="207"/>
      <c r="Y776" s="207"/>
      <c r="Z776" s="207"/>
      <c r="AA776" s="207"/>
      <c r="AB776" s="207"/>
      <c r="AC776" s="207"/>
      <c r="AD776" s="207"/>
      <c r="AE776" s="207"/>
      <c r="AF776" s="207"/>
      <c r="AG776" s="207"/>
      <c r="AH776" s="207"/>
      <c r="AI776" s="207"/>
      <c r="AJ776" s="207"/>
      <c r="AK776" s="207"/>
      <c r="AL776" s="207"/>
      <c r="AM776" s="207"/>
      <c r="AN776" s="207"/>
      <c r="AO776" s="207"/>
      <c r="AP776" s="207"/>
      <c r="AQ776" s="207"/>
      <c r="AR776" s="207"/>
      <c r="AS776" s="207"/>
      <c r="AT776" s="207"/>
      <c r="AU776" s="207"/>
      <c r="AV776" s="207"/>
      <c r="AW776" s="207"/>
      <c r="AX776" s="207"/>
      <c r="AY776" s="207"/>
      <c r="AZ776" s="207"/>
      <c r="BA776" s="207"/>
    </row>
    <row r="777" ht="18.75" hidden="1" customHeight="1">
      <c r="A777" s="207"/>
      <c r="B777" s="207"/>
      <c r="C777" s="207"/>
      <c r="D777" s="207"/>
      <c r="E777" s="207"/>
      <c r="F777" s="207"/>
      <c r="G777" s="207"/>
      <c r="H777" s="207"/>
      <c r="I777" s="207"/>
      <c r="J777" s="207"/>
      <c r="K777" s="207"/>
      <c r="L777" s="207"/>
      <c r="M777" s="207"/>
      <c r="N777" s="207"/>
      <c r="O777" s="207"/>
      <c r="P777" s="207"/>
      <c r="Q777" s="207"/>
      <c r="R777" s="207"/>
      <c r="S777" s="207"/>
      <c r="T777" s="207"/>
      <c r="U777" s="207"/>
      <c r="V777" s="207"/>
      <c r="W777" s="207"/>
      <c r="X777" s="207"/>
      <c r="Y777" s="207"/>
      <c r="Z777" s="207"/>
      <c r="AA777" s="207"/>
      <c r="AB777" s="207"/>
      <c r="AC777" s="207"/>
      <c r="AD777" s="207"/>
      <c r="AE777" s="207"/>
      <c r="AF777" s="207"/>
      <c r="AG777" s="207"/>
      <c r="AH777" s="207"/>
      <c r="AI777" s="207"/>
      <c r="AJ777" s="207"/>
      <c r="AK777" s="207"/>
      <c r="AL777" s="207"/>
      <c r="AM777" s="207"/>
      <c r="AN777" s="207"/>
      <c r="AO777" s="207"/>
      <c r="AP777" s="207"/>
      <c r="AQ777" s="207"/>
      <c r="AR777" s="207"/>
      <c r="AS777" s="207"/>
      <c r="AT777" s="207"/>
      <c r="AU777" s="207"/>
      <c r="AV777" s="207"/>
      <c r="AW777" s="207"/>
      <c r="AX777" s="207"/>
      <c r="AY777" s="207"/>
      <c r="AZ777" s="207"/>
      <c r="BA777" s="207"/>
    </row>
    <row r="778" ht="18.75" hidden="1" customHeight="1">
      <c r="A778" s="207"/>
      <c r="B778" s="207"/>
      <c r="C778" s="207"/>
      <c r="D778" s="207"/>
      <c r="E778" s="207"/>
      <c r="F778" s="207"/>
      <c r="G778" s="207"/>
      <c r="H778" s="207"/>
      <c r="I778" s="207"/>
      <c r="J778" s="207"/>
      <c r="K778" s="207"/>
      <c r="L778" s="207"/>
      <c r="M778" s="207"/>
      <c r="N778" s="207"/>
      <c r="O778" s="207"/>
      <c r="P778" s="207"/>
      <c r="Q778" s="207"/>
      <c r="R778" s="207"/>
      <c r="S778" s="207"/>
      <c r="T778" s="207"/>
      <c r="U778" s="207"/>
      <c r="V778" s="207"/>
      <c r="W778" s="207"/>
      <c r="X778" s="207"/>
      <c r="Y778" s="207"/>
      <c r="Z778" s="207"/>
      <c r="AA778" s="207"/>
      <c r="AB778" s="207"/>
      <c r="AC778" s="207"/>
      <c r="AD778" s="207"/>
      <c r="AE778" s="207"/>
      <c r="AF778" s="207"/>
      <c r="AG778" s="207"/>
      <c r="AH778" s="207"/>
      <c r="AI778" s="207"/>
      <c r="AJ778" s="207"/>
      <c r="AK778" s="207"/>
      <c r="AL778" s="207"/>
      <c r="AM778" s="207"/>
      <c r="AN778" s="207"/>
      <c r="AO778" s="207"/>
      <c r="AP778" s="207"/>
      <c r="AQ778" s="207"/>
      <c r="AR778" s="207"/>
      <c r="AS778" s="207"/>
      <c r="AT778" s="207"/>
      <c r="AU778" s="207"/>
      <c r="AV778" s="207"/>
      <c r="AW778" s="207"/>
      <c r="AX778" s="207"/>
      <c r="AY778" s="207"/>
      <c r="AZ778" s="207"/>
      <c r="BA778" s="207"/>
    </row>
    <row r="779" ht="18.75" hidden="1" customHeight="1">
      <c r="A779" s="207"/>
      <c r="B779" s="207"/>
      <c r="C779" s="207"/>
      <c r="D779" s="207"/>
      <c r="E779" s="207"/>
      <c r="F779" s="207"/>
      <c r="G779" s="207"/>
      <c r="H779" s="207"/>
      <c r="I779" s="207"/>
      <c r="J779" s="207"/>
      <c r="K779" s="207"/>
      <c r="L779" s="207"/>
      <c r="M779" s="207"/>
      <c r="N779" s="207"/>
      <c r="O779" s="207"/>
      <c r="P779" s="207"/>
      <c r="Q779" s="207"/>
      <c r="R779" s="207"/>
      <c r="S779" s="207"/>
      <c r="T779" s="207"/>
      <c r="U779" s="207"/>
      <c r="V779" s="207"/>
      <c r="W779" s="207"/>
      <c r="X779" s="207"/>
      <c r="Y779" s="207"/>
      <c r="Z779" s="207"/>
      <c r="AA779" s="207"/>
      <c r="AB779" s="207"/>
      <c r="AC779" s="207"/>
      <c r="AD779" s="207"/>
      <c r="AE779" s="207"/>
      <c r="AF779" s="207"/>
      <c r="AG779" s="207"/>
      <c r="AH779" s="207"/>
      <c r="AI779" s="207"/>
      <c r="AJ779" s="207"/>
      <c r="AK779" s="207"/>
      <c r="AL779" s="207"/>
      <c r="AM779" s="207"/>
      <c r="AN779" s="207"/>
      <c r="AO779" s="207"/>
      <c r="AP779" s="207"/>
      <c r="AQ779" s="207"/>
      <c r="AR779" s="207"/>
      <c r="AS779" s="207"/>
      <c r="AT779" s="207"/>
      <c r="AU779" s="207"/>
      <c r="AV779" s="207"/>
      <c r="AW779" s="207"/>
      <c r="AX779" s="207"/>
      <c r="AY779" s="207"/>
      <c r="AZ779" s="207"/>
      <c r="BA779" s="207"/>
    </row>
    <row r="780" ht="18.75" hidden="1" customHeight="1">
      <c r="A780" s="207"/>
      <c r="B780" s="207"/>
      <c r="C780" s="207"/>
      <c r="D780" s="207"/>
      <c r="E780" s="207"/>
      <c r="F780" s="207"/>
      <c r="G780" s="207"/>
      <c r="H780" s="207"/>
      <c r="I780" s="207"/>
      <c r="J780" s="207"/>
      <c r="K780" s="207"/>
      <c r="L780" s="207"/>
      <c r="M780" s="207"/>
      <c r="N780" s="207"/>
      <c r="O780" s="207"/>
      <c r="P780" s="207"/>
      <c r="Q780" s="207"/>
      <c r="R780" s="207"/>
      <c r="S780" s="207"/>
      <c r="T780" s="207"/>
      <c r="U780" s="207"/>
      <c r="V780" s="207"/>
      <c r="W780" s="207"/>
      <c r="X780" s="207"/>
      <c r="Y780" s="207"/>
      <c r="Z780" s="207"/>
      <c r="AA780" s="207"/>
      <c r="AB780" s="207"/>
      <c r="AC780" s="207"/>
      <c r="AD780" s="207"/>
      <c r="AE780" s="207"/>
      <c r="AF780" s="207"/>
      <c r="AG780" s="207"/>
      <c r="AH780" s="207"/>
      <c r="AI780" s="207"/>
      <c r="AJ780" s="207"/>
      <c r="AK780" s="207"/>
      <c r="AL780" s="207"/>
      <c r="AM780" s="207"/>
      <c r="AN780" s="207"/>
      <c r="AO780" s="207"/>
      <c r="AP780" s="207"/>
      <c r="AQ780" s="207"/>
      <c r="AR780" s="207"/>
      <c r="AS780" s="207"/>
      <c r="AT780" s="207"/>
      <c r="AU780" s="207"/>
      <c r="AV780" s="207"/>
      <c r="AW780" s="207"/>
      <c r="AX780" s="207"/>
      <c r="AY780" s="207"/>
      <c r="AZ780" s="207"/>
      <c r="BA780" s="207"/>
    </row>
    <row r="781" ht="18.75" hidden="1" customHeight="1">
      <c r="A781" s="207"/>
      <c r="B781" s="207"/>
      <c r="C781" s="207"/>
      <c r="D781" s="207"/>
      <c r="E781" s="207"/>
      <c r="F781" s="207"/>
      <c r="G781" s="207"/>
      <c r="H781" s="207"/>
      <c r="I781" s="207"/>
      <c r="J781" s="207"/>
      <c r="K781" s="207"/>
      <c r="L781" s="207"/>
      <c r="M781" s="207"/>
      <c r="N781" s="207"/>
      <c r="O781" s="207"/>
      <c r="P781" s="207"/>
      <c r="Q781" s="207"/>
      <c r="R781" s="207"/>
      <c r="S781" s="207"/>
      <c r="T781" s="207"/>
      <c r="U781" s="207"/>
      <c r="V781" s="207"/>
      <c r="W781" s="207"/>
      <c r="X781" s="207"/>
      <c r="Y781" s="207"/>
      <c r="Z781" s="207"/>
      <c r="AA781" s="207"/>
      <c r="AB781" s="207"/>
      <c r="AC781" s="207"/>
      <c r="AD781" s="207"/>
      <c r="AE781" s="207"/>
      <c r="AF781" s="207"/>
      <c r="AG781" s="207"/>
      <c r="AH781" s="207"/>
      <c r="AI781" s="207"/>
      <c r="AJ781" s="207"/>
      <c r="AK781" s="207"/>
      <c r="AL781" s="207"/>
      <c r="AM781" s="207"/>
      <c r="AN781" s="207"/>
      <c r="AO781" s="207"/>
      <c r="AP781" s="207"/>
      <c r="AQ781" s="207"/>
      <c r="AR781" s="207"/>
      <c r="AS781" s="207"/>
      <c r="AT781" s="207"/>
      <c r="AU781" s="207"/>
      <c r="AV781" s="207"/>
      <c r="AW781" s="207"/>
      <c r="AX781" s="207"/>
      <c r="AY781" s="207"/>
      <c r="AZ781" s="207"/>
      <c r="BA781" s="207"/>
    </row>
    <row r="782" ht="18.75" hidden="1" customHeight="1">
      <c r="A782" s="207"/>
      <c r="B782" s="207"/>
      <c r="C782" s="207"/>
      <c r="D782" s="207"/>
      <c r="E782" s="207"/>
      <c r="F782" s="207"/>
      <c r="G782" s="207"/>
      <c r="H782" s="207"/>
      <c r="I782" s="207"/>
      <c r="J782" s="207"/>
      <c r="K782" s="207"/>
      <c r="L782" s="207"/>
      <c r="M782" s="207"/>
      <c r="N782" s="207"/>
      <c r="O782" s="207"/>
      <c r="P782" s="207"/>
      <c r="Q782" s="207"/>
      <c r="R782" s="207"/>
      <c r="S782" s="207"/>
      <c r="T782" s="207"/>
      <c r="U782" s="207"/>
      <c r="V782" s="207"/>
      <c r="W782" s="207"/>
      <c r="X782" s="207"/>
      <c r="Y782" s="207"/>
      <c r="Z782" s="207"/>
      <c r="AA782" s="207"/>
      <c r="AB782" s="207"/>
      <c r="AC782" s="207"/>
      <c r="AD782" s="207"/>
      <c r="AE782" s="207"/>
      <c r="AF782" s="207"/>
      <c r="AG782" s="207"/>
      <c r="AH782" s="207"/>
      <c r="AI782" s="207"/>
      <c r="AJ782" s="207"/>
      <c r="AK782" s="207"/>
      <c r="AL782" s="207"/>
      <c r="AM782" s="207"/>
      <c r="AN782" s="207"/>
      <c r="AO782" s="207"/>
      <c r="AP782" s="207"/>
      <c r="AQ782" s="207"/>
      <c r="AR782" s="207"/>
      <c r="AS782" s="207"/>
      <c r="AT782" s="207"/>
      <c r="AU782" s="207"/>
      <c r="AV782" s="207"/>
      <c r="AW782" s="207"/>
      <c r="AX782" s="207"/>
      <c r="AY782" s="207"/>
      <c r="AZ782" s="207"/>
      <c r="BA782" s="207"/>
    </row>
    <row r="783" ht="18.75" hidden="1" customHeight="1">
      <c r="A783" s="207"/>
      <c r="B783" s="207"/>
      <c r="C783" s="207"/>
      <c r="D783" s="207"/>
      <c r="E783" s="207"/>
      <c r="F783" s="207"/>
      <c r="G783" s="207"/>
      <c r="H783" s="207"/>
      <c r="I783" s="207"/>
      <c r="J783" s="207"/>
      <c r="K783" s="207"/>
      <c r="L783" s="207"/>
      <c r="M783" s="207"/>
      <c r="N783" s="207"/>
      <c r="O783" s="207"/>
      <c r="P783" s="207"/>
      <c r="Q783" s="207"/>
      <c r="R783" s="207"/>
      <c r="S783" s="207"/>
      <c r="T783" s="207"/>
      <c r="U783" s="207"/>
      <c r="V783" s="207"/>
      <c r="W783" s="207"/>
      <c r="X783" s="207"/>
      <c r="Y783" s="207"/>
      <c r="Z783" s="207"/>
      <c r="AA783" s="207"/>
      <c r="AB783" s="207"/>
      <c r="AC783" s="207"/>
      <c r="AD783" s="207"/>
      <c r="AE783" s="207"/>
      <c r="AF783" s="207"/>
      <c r="AG783" s="207"/>
      <c r="AH783" s="207"/>
      <c r="AI783" s="207"/>
      <c r="AJ783" s="207"/>
      <c r="AK783" s="207"/>
      <c r="AL783" s="207"/>
      <c r="AM783" s="207"/>
      <c r="AN783" s="207"/>
      <c r="AO783" s="207"/>
      <c r="AP783" s="207"/>
      <c r="AQ783" s="207"/>
      <c r="AR783" s="207"/>
      <c r="AS783" s="207"/>
      <c r="AT783" s="207"/>
      <c r="AU783" s="207"/>
      <c r="AV783" s="207"/>
      <c r="AW783" s="207"/>
      <c r="AX783" s="207"/>
      <c r="AY783" s="207"/>
      <c r="AZ783" s="207"/>
      <c r="BA783" s="207"/>
    </row>
    <row r="784" ht="18.75" hidden="1" customHeight="1">
      <c r="A784" s="207"/>
      <c r="B784" s="207"/>
      <c r="C784" s="207"/>
      <c r="D784" s="207"/>
      <c r="E784" s="207"/>
      <c r="F784" s="207"/>
      <c r="G784" s="207"/>
      <c r="H784" s="207"/>
      <c r="I784" s="207"/>
      <c r="J784" s="207"/>
      <c r="K784" s="207"/>
      <c r="L784" s="207"/>
      <c r="M784" s="207"/>
      <c r="N784" s="207"/>
      <c r="O784" s="207"/>
      <c r="P784" s="207"/>
      <c r="Q784" s="207"/>
      <c r="R784" s="207"/>
      <c r="S784" s="207"/>
      <c r="T784" s="207"/>
      <c r="U784" s="207"/>
      <c r="V784" s="207"/>
      <c r="W784" s="207"/>
      <c r="X784" s="207"/>
      <c r="Y784" s="207"/>
      <c r="Z784" s="207"/>
      <c r="AA784" s="207"/>
      <c r="AB784" s="207"/>
      <c r="AC784" s="207"/>
      <c r="AD784" s="207"/>
      <c r="AE784" s="207"/>
      <c r="AF784" s="207"/>
      <c r="AG784" s="207"/>
      <c r="AH784" s="207"/>
      <c r="AI784" s="207"/>
      <c r="AJ784" s="207"/>
      <c r="AK784" s="207"/>
      <c r="AL784" s="207"/>
      <c r="AM784" s="207"/>
      <c r="AN784" s="207"/>
      <c r="AO784" s="207"/>
      <c r="AP784" s="207"/>
      <c r="AQ784" s="207"/>
      <c r="AR784" s="207"/>
      <c r="AS784" s="207"/>
      <c r="AT784" s="207"/>
      <c r="AU784" s="207"/>
      <c r="AV784" s="207"/>
      <c r="AW784" s="207"/>
      <c r="AX784" s="207"/>
      <c r="AY784" s="207"/>
      <c r="AZ784" s="207"/>
      <c r="BA784" s="207"/>
    </row>
    <row r="785" ht="18.75" hidden="1" customHeight="1">
      <c r="A785" s="207"/>
      <c r="B785" s="207"/>
      <c r="C785" s="207"/>
      <c r="D785" s="207"/>
      <c r="E785" s="207"/>
      <c r="F785" s="207"/>
      <c r="G785" s="207"/>
      <c r="H785" s="207"/>
      <c r="I785" s="207"/>
      <c r="J785" s="207"/>
      <c r="K785" s="207"/>
      <c r="L785" s="207"/>
      <c r="M785" s="207"/>
      <c r="N785" s="207"/>
      <c r="O785" s="207"/>
      <c r="P785" s="207"/>
      <c r="Q785" s="207"/>
      <c r="R785" s="207"/>
      <c r="S785" s="207"/>
      <c r="T785" s="207"/>
      <c r="U785" s="207"/>
      <c r="V785" s="207"/>
      <c r="W785" s="207"/>
      <c r="X785" s="207"/>
      <c r="Y785" s="207"/>
      <c r="Z785" s="207"/>
      <c r="AA785" s="207"/>
      <c r="AB785" s="207"/>
      <c r="AC785" s="207"/>
      <c r="AD785" s="207"/>
      <c r="AE785" s="207"/>
      <c r="AF785" s="207"/>
      <c r="AG785" s="207"/>
      <c r="AH785" s="207"/>
      <c r="AI785" s="207"/>
      <c r="AJ785" s="207"/>
      <c r="AK785" s="207"/>
      <c r="AL785" s="207"/>
      <c r="AM785" s="207"/>
      <c r="AN785" s="207"/>
      <c r="AO785" s="207"/>
      <c r="AP785" s="207"/>
      <c r="AQ785" s="207"/>
      <c r="AR785" s="207"/>
      <c r="AS785" s="207"/>
      <c r="AT785" s="207"/>
      <c r="AU785" s="207"/>
      <c r="AV785" s="207"/>
      <c r="AW785" s="207"/>
      <c r="AX785" s="207"/>
      <c r="AY785" s="207"/>
      <c r="AZ785" s="207"/>
      <c r="BA785" s="207"/>
    </row>
    <row r="786" ht="18.75" hidden="1" customHeight="1">
      <c r="A786" s="207"/>
      <c r="B786" s="207"/>
      <c r="C786" s="207"/>
      <c r="D786" s="207"/>
      <c r="E786" s="207"/>
      <c r="F786" s="207"/>
      <c r="G786" s="207"/>
      <c r="H786" s="207"/>
      <c r="I786" s="207"/>
      <c r="J786" s="207"/>
      <c r="K786" s="207"/>
      <c r="L786" s="207"/>
      <c r="M786" s="207"/>
      <c r="N786" s="207"/>
      <c r="O786" s="207"/>
      <c r="P786" s="207"/>
      <c r="Q786" s="207"/>
      <c r="R786" s="207"/>
      <c r="S786" s="207"/>
      <c r="T786" s="207"/>
      <c r="U786" s="207"/>
      <c r="V786" s="207"/>
      <c r="W786" s="207"/>
      <c r="X786" s="207"/>
      <c r="Y786" s="207"/>
      <c r="Z786" s="207"/>
      <c r="AA786" s="207"/>
      <c r="AB786" s="207"/>
      <c r="AC786" s="207"/>
      <c r="AD786" s="207"/>
      <c r="AE786" s="207"/>
      <c r="AF786" s="207"/>
      <c r="AG786" s="207"/>
      <c r="AH786" s="207"/>
      <c r="AI786" s="207"/>
      <c r="AJ786" s="207"/>
      <c r="AK786" s="207"/>
      <c r="AL786" s="207"/>
      <c r="AM786" s="207"/>
      <c r="AN786" s="207"/>
      <c r="AO786" s="207"/>
      <c r="AP786" s="207"/>
      <c r="AQ786" s="207"/>
      <c r="AR786" s="207"/>
      <c r="AS786" s="207"/>
      <c r="AT786" s="207"/>
      <c r="AU786" s="207"/>
      <c r="AV786" s="207"/>
      <c r="AW786" s="207"/>
      <c r="AX786" s="207"/>
      <c r="AY786" s="207"/>
      <c r="AZ786" s="207"/>
      <c r="BA786" s="207"/>
    </row>
    <row r="787" ht="18.75" hidden="1" customHeight="1">
      <c r="A787" s="207"/>
      <c r="B787" s="207"/>
      <c r="C787" s="207"/>
      <c r="D787" s="207"/>
      <c r="E787" s="207"/>
      <c r="F787" s="207"/>
      <c r="G787" s="207"/>
      <c r="H787" s="207"/>
      <c r="I787" s="207"/>
      <c r="J787" s="207"/>
      <c r="K787" s="207"/>
      <c r="L787" s="207"/>
      <c r="M787" s="207"/>
      <c r="N787" s="207"/>
      <c r="O787" s="207"/>
      <c r="P787" s="207"/>
      <c r="Q787" s="207"/>
      <c r="R787" s="207"/>
      <c r="S787" s="207"/>
      <c r="T787" s="207"/>
      <c r="U787" s="207"/>
      <c r="V787" s="207"/>
      <c r="W787" s="207"/>
      <c r="X787" s="207"/>
      <c r="Y787" s="207"/>
      <c r="Z787" s="207"/>
      <c r="AA787" s="207"/>
      <c r="AB787" s="207"/>
      <c r="AC787" s="207"/>
      <c r="AD787" s="207"/>
      <c r="AE787" s="207"/>
      <c r="AF787" s="207"/>
      <c r="AG787" s="207"/>
      <c r="AH787" s="207"/>
      <c r="AI787" s="207"/>
      <c r="AJ787" s="207"/>
      <c r="AK787" s="207"/>
      <c r="AL787" s="207"/>
      <c r="AM787" s="207"/>
      <c r="AN787" s="207"/>
      <c r="AO787" s="207"/>
      <c r="AP787" s="207"/>
      <c r="AQ787" s="207"/>
      <c r="AR787" s="207"/>
      <c r="AS787" s="207"/>
      <c r="AT787" s="207"/>
      <c r="AU787" s="207"/>
      <c r="AV787" s="207"/>
      <c r="AW787" s="207"/>
      <c r="AX787" s="207"/>
      <c r="AY787" s="207"/>
      <c r="AZ787" s="207"/>
      <c r="BA787" s="207"/>
    </row>
    <row r="788" ht="18.75" hidden="1" customHeight="1">
      <c r="A788" s="207"/>
      <c r="B788" s="207"/>
      <c r="C788" s="207"/>
      <c r="D788" s="207"/>
      <c r="E788" s="207"/>
      <c r="F788" s="207"/>
      <c r="G788" s="207"/>
      <c r="H788" s="207"/>
      <c r="I788" s="207"/>
      <c r="J788" s="207"/>
      <c r="K788" s="207"/>
      <c r="L788" s="207"/>
      <c r="M788" s="207"/>
      <c r="N788" s="207"/>
      <c r="O788" s="207"/>
      <c r="P788" s="207"/>
      <c r="Q788" s="207"/>
      <c r="R788" s="207"/>
      <c r="S788" s="207"/>
      <c r="T788" s="207"/>
      <c r="U788" s="207"/>
      <c r="V788" s="207"/>
      <c r="W788" s="207"/>
      <c r="X788" s="207"/>
      <c r="Y788" s="207"/>
      <c r="Z788" s="207"/>
      <c r="AA788" s="207"/>
      <c r="AB788" s="207"/>
      <c r="AC788" s="207"/>
      <c r="AD788" s="207"/>
      <c r="AE788" s="207"/>
      <c r="AF788" s="207"/>
      <c r="AG788" s="207"/>
      <c r="AH788" s="207"/>
      <c r="AI788" s="207"/>
      <c r="AJ788" s="207"/>
      <c r="AK788" s="207"/>
      <c r="AL788" s="207"/>
      <c r="AM788" s="207"/>
      <c r="AN788" s="207"/>
      <c r="AO788" s="207"/>
      <c r="AP788" s="207"/>
      <c r="AQ788" s="207"/>
      <c r="AR788" s="207"/>
      <c r="AS788" s="207"/>
      <c r="AT788" s="207"/>
      <c r="AU788" s="207"/>
      <c r="AV788" s="207"/>
      <c r="AW788" s="207"/>
      <c r="AX788" s="207"/>
      <c r="AY788" s="207"/>
      <c r="AZ788" s="207"/>
      <c r="BA788" s="207"/>
    </row>
    <row r="789" ht="18.75" hidden="1" customHeight="1">
      <c r="A789" s="207"/>
      <c r="B789" s="207"/>
      <c r="C789" s="207"/>
      <c r="D789" s="207"/>
      <c r="E789" s="207"/>
      <c r="F789" s="207"/>
      <c r="G789" s="207"/>
      <c r="H789" s="207"/>
      <c r="I789" s="207"/>
      <c r="J789" s="207"/>
      <c r="K789" s="207"/>
      <c r="L789" s="207"/>
      <c r="M789" s="207"/>
      <c r="N789" s="207"/>
      <c r="O789" s="207"/>
      <c r="P789" s="207"/>
      <c r="Q789" s="207"/>
      <c r="R789" s="207"/>
      <c r="S789" s="207"/>
      <c r="T789" s="207"/>
      <c r="U789" s="207"/>
      <c r="V789" s="207"/>
      <c r="W789" s="207"/>
      <c r="X789" s="207"/>
      <c r="Y789" s="207"/>
      <c r="Z789" s="207"/>
      <c r="AA789" s="207"/>
      <c r="AB789" s="207"/>
      <c r="AC789" s="207"/>
      <c r="AD789" s="207"/>
      <c r="AE789" s="207"/>
      <c r="AF789" s="207"/>
      <c r="AG789" s="207"/>
      <c r="AH789" s="207"/>
      <c r="AI789" s="207"/>
      <c r="AJ789" s="207"/>
      <c r="AK789" s="207"/>
      <c r="AL789" s="207"/>
      <c r="AM789" s="207"/>
      <c r="AN789" s="207"/>
      <c r="AO789" s="207"/>
      <c r="AP789" s="207"/>
      <c r="AQ789" s="207"/>
      <c r="AR789" s="207"/>
      <c r="AS789" s="207"/>
      <c r="AT789" s="207"/>
      <c r="AU789" s="207"/>
      <c r="AV789" s="207"/>
      <c r="AW789" s="207"/>
      <c r="AX789" s="207"/>
      <c r="AY789" s="207"/>
      <c r="AZ789" s="207"/>
      <c r="BA789" s="207"/>
    </row>
    <row r="790" ht="18.75" hidden="1" customHeight="1">
      <c r="A790" s="207"/>
      <c r="B790" s="207"/>
      <c r="C790" s="207"/>
      <c r="D790" s="207"/>
      <c r="E790" s="207"/>
      <c r="F790" s="207"/>
      <c r="G790" s="207"/>
      <c r="H790" s="207"/>
      <c r="I790" s="207"/>
      <c r="J790" s="207"/>
      <c r="K790" s="207"/>
      <c r="L790" s="207"/>
      <c r="M790" s="207"/>
      <c r="N790" s="207"/>
      <c r="O790" s="207"/>
      <c r="P790" s="207"/>
      <c r="Q790" s="207"/>
      <c r="R790" s="207"/>
      <c r="S790" s="207"/>
      <c r="T790" s="207"/>
      <c r="U790" s="207"/>
      <c r="V790" s="207"/>
      <c r="W790" s="207"/>
      <c r="X790" s="207"/>
      <c r="Y790" s="207"/>
      <c r="Z790" s="207"/>
      <c r="AA790" s="207"/>
      <c r="AB790" s="207"/>
      <c r="AC790" s="207"/>
      <c r="AD790" s="207"/>
      <c r="AE790" s="207"/>
      <c r="AF790" s="207"/>
      <c r="AG790" s="207"/>
      <c r="AH790" s="207"/>
      <c r="AI790" s="207"/>
      <c r="AJ790" s="207"/>
      <c r="AK790" s="207"/>
      <c r="AL790" s="207"/>
      <c r="AM790" s="207"/>
      <c r="AN790" s="207"/>
      <c r="AO790" s="207"/>
      <c r="AP790" s="207"/>
      <c r="AQ790" s="207"/>
      <c r="AR790" s="207"/>
      <c r="AS790" s="207"/>
      <c r="AT790" s="207"/>
      <c r="AU790" s="207"/>
      <c r="AV790" s="207"/>
      <c r="AW790" s="207"/>
      <c r="AX790" s="207"/>
      <c r="AY790" s="207"/>
      <c r="AZ790" s="207"/>
      <c r="BA790" s="207"/>
    </row>
    <row r="791" ht="18.75" hidden="1" customHeight="1">
      <c r="A791" s="207"/>
      <c r="B791" s="207"/>
      <c r="C791" s="207"/>
      <c r="D791" s="207"/>
      <c r="E791" s="207"/>
      <c r="F791" s="207"/>
      <c r="G791" s="207"/>
      <c r="H791" s="207"/>
      <c r="I791" s="207"/>
      <c r="J791" s="207"/>
      <c r="K791" s="207"/>
      <c r="L791" s="207"/>
      <c r="M791" s="207"/>
      <c r="N791" s="207"/>
      <c r="O791" s="207"/>
      <c r="P791" s="207"/>
      <c r="Q791" s="207"/>
      <c r="R791" s="207"/>
      <c r="S791" s="207"/>
      <c r="T791" s="207"/>
      <c r="U791" s="207"/>
      <c r="V791" s="207"/>
      <c r="W791" s="207"/>
      <c r="X791" s="207"/>
      <c r="Y791" s="207"/>
      <c r="Z791" s="207"/>
      <c r="AA791" s="207"/>
      <c r="AB791" s="207"/>
      <c r="AC791" s="207"/>
      <c r="AD791" s="207"/>
      <c r="AE791" s="207"/>
      <c r="AF791" s="207"/>
      <c r="AG791" s="207"/>
      <c r="AH791" s="207"/>
      <c r="AI791" s="207"/>
      <c r="AJ791" s="207"/>
      <c r="AK791" s="207"/>
      <c r="AL791" s="207"/>
      <c r="AM791" s="207"/>
      <c r="AN791" s="207"/>
      <c r="AO791" s="207"/>
      <c r="AP791" s="207"/>
      <c r="AQ791" s="207"/>
      <c r="AR791" s="207"/>
      <c r="AS791" s="207"/>
      <c r="AT791" s="207"/>
      <c r="AU791" s="207"/>
      <c r="AV791" s="207"/>
      <c r="AW791" s="207"/>
      <c r="AX791" s="207"/>
      <c r="AY791" s="207"/>
      <c r="AZ791" s="207"/>
      <c r="BA791" s="207"/>
    </row>
    <row r="792" ht="18.75" hidden="1" customHeight="1">
      <c r="A792" s="207"/>
      <c r="B792" s="207"/>
      <c r="C792" s="207"/>
      <c r="D792" s="207"/>
      <c r="E792" s="207"/>
      <c r="F792" s="207"/>
      <c r="G792" s="207"/>
      <c r="H792" s="207"/>
      <c r="I792" s="207"/>
      <c r="J792" s="207"/>
      <c r="K792" s="207"/>
      <c r="L792" s="207"/>
      <c r="M792" s="207"/>
      <c r="N792" s="207"/>
      <c r="O792" s="207"/>
      <c r="P792" s="207"/>
      <c r="Q792" s="207"/>
      <c r="R792" s="207"/>
      <c r="S792" s="207"/>
      <c r="T792" s="207"/>
      <c r="U792" s="207"/>
      <c r="V792" s="207"/>
      <c r="W792" s="207"/>
      <c r="X792" s="207"/>
      <c r="Y792" s="207"/>
      <c r="Z792" s="207"/>
      <c r="AA792" s="207"/>
      <c r="AB792" s="207"/>
      <c r="AC792" s="207"/>
      <c r="AD792" s="207"/>
      <c r="AE792" s="207"/>
      <c r="AF792" s="207"/>
      <c r="AG792" s="207"/>
      <c r="AH792" s="207"/>
      <c r="AI792" s="207"/>
      <c r="AJ792" s="207"/>
      <c r="AK792" s="207"/>
      <c r="AL792" s="207"/>
      <c r="AM792" s="207"/>
      <c r="AN792" s="207"/>
      <c r="AO792" s="207"/>
      <c r="AP792" s="207"/>
      <c r="AQ792" s="207"/>
      <c r="AR792" s="207"/>
      <c r="AS792" s="207"/>
      <c r="AT792" s="207"/>
      <c r="AU792" s="207"/>
      <c r="AV792" s="207"/>
      <c r="AW792" s="207"/>
      <c r="AX792" s="207"/>
      <c r="AY792" s="207"/>
      <c r="AZ792" s="207"/>
      <c r="BA792" s="207"/>
    </row>
    <row r="793" ht="18.75" hidden="1" customHeight="1">
      <c r="A793" s="207"/>
      <c r="B793" s="207"/>
      <c r="C793" s="207"/>
      <c r="D793" s="207"/>
      <c r="E793" s="207"/>
      <c r="F793" s="207"/>
      <c r="G793" s="207"/>
      <c r="H793" s="207"/>
      <c r="I793" s="207"/>
      <c r="J793" s="207"/>
      <c r="K793" s="207"/>
      <c r="L793" s="207"/>
      <c r="M793" s="207"/>
      <c r="N793" s="207"/>
      <c r="O793" s="207"/>
      <c r="P793" s="207"/>
      <c r="Q793" s="207"/>
      <c r="R793" s="207"/>
      <c r="S793" s="207"/>
      <c r="T793" s="207"/>
      <c r="U793" s="207"/>
      <c r="V793" s="207"/>
      <c r="W793" s="207"/>
      <c r="X793" s="207"/>
      <c r="Y793" s="207"/>
      <c r="Z793" s="207"/>
      <c r="AA793" s="207"/>
      <c r="AB793" s="207"/>
      <c r="AC793" s="207"/>
      <c r="AD793" s="207"/>
      <c r="AE793" s="207"/>
      <c r="AF793" s="207"/>
      <c r="AG793" s="207"/>
      <c r="AH793" s="207"/>
      <c r="AI793" s="207"/>
      <c r="AJ793" s="207"/>
      <c r="AK793" s="207"/>
      <c r="AL793" s="207"/>
      <c r="AM793" s="207"/>
      <c r="AN793" s="207"/>
      <c r="AO793" s="207"/>
      <c r="AP793" s="207"/>
      <c r="AQ793" s="207"/>
      <c r="AR793" s="207"/>
      <c r="AS793" s="207"/>
      <c r="AT793" s="207"/>
      <c r="AU793" s="207"/>
      <c r="AV793" s="207"/>
      <c r="AW793" s="207"/>
      <c r="AX793" s="207"/>
      <c r="AY793" s="207"/>
      <c r="AZ793" s="207"/>
      <c r="BA793" s="207"/>
    </row>
    <row r="794" ht="18.75" hidden="1" customHeight="1">
      <c r="A794" s="207"/>
      <c r="B794" s="207"/>
      <c r="C794" s="207"/>
      <c r="D794" s="207"/>
      <c r="E794" s="207"/>
      <c r="F794" s="207"/>
      <c r="G794" s="207"/>
      <c r="H794" s="207"/>
      <c r="I794" s="207"/>
      <c r="J794" s="207"/>
      <c r="K794" s="207"/>
      <c r="L794" s="207"/>
      <c r="M794" s="207"/>
      <c r="N794" s="207"/>
      <c r="O794" s="207"/>
      <c r="P794" s="207"/>
      <c r="Q794" s="207"/>
      <c r="R794" s="207"/>
      <c r="S794" s="207"/>
      <c r="T794" s="207"/>
      <c r="U794" s="207"/>
      <c r="V794" s="207"/>
      <c r="W794" s="207"/>
      <c r="X794" s="207"/>
      <c r="Y794" s="207"/>
      <c r="Z794" s="207"/>
      <c r="AA794" s="207"/>
      <c r="AB794" s="207"/>
      <c r="AC794" s="207"/>
      <c r="AD794" s="207"/>
      <c r="AE794" s="207"/>
      <c r="AF794" s="207"/>
      <c r="AG794" s="207"/>
      <c r="AH794" s="207"/>
      <c r="AI794" s="207"/>
      <c r="AJ794" s="207"/>
      <c r="AK794" s="207"/>
      <c r="AL794" s="207"/>
      <c r="AM794" s="207"/>
      <c r="AN794" s="207"/>
      <c r="AO794" s="207"/>
      <c r="AP794" s="207"/>
      <c r="AQ794" s="207"/>
      <c r="AR794" s="207"/>
      <c r="AS794" s="207"/>
      <c r="AT794" s="207"/>
      <c r="AU794" s="207"/>
      <c r="AV794" s="207"/>
      <c r="AW794" s="207"/>
      <c r="AX794" s="207"/>
      <c r="AY794" s="207"/>
      <c r="AZ794" s="207"/>
      <c r="BA794" s="207"/>
    </row>
    <row r="795" ht="18.75" hidden="1" customHeight="1">
      <c r="A795" s="207"/>
      <c r="B795" s="207"/>
      <c r="C795" s="207"/>
      <c r="D795" s="207"/>
      <c r="E795" s="207"/>
      <c r="F795" s="207"/>
      <c r="G795" s="207"/>
      <c r="H795" s="207"/>
      <c r="I795" s="207"/>
      <c r="J795" s="207"/>
      <c r="K795" s="207"/>
      <c r="L795" s="207"/>
      <c r="M795" s="207"/>
      <c r="N795" s="207"/>
      <c r="O795" s="207"/>
      <c r="P795" s="207"/>
      <c r="Q795" s="207"/>
      <c r="R795" s="207"/>
      <c r="S795" s="207"/>
      <c r="T795" s="207"/>
      <c r="U795" s="207"/>
      <c r="V795" s="207"/>
      <c r="W795" s="207"/>
      <c r="X795" s="207"/>
      <c r="Y795" s="207"/>
      <c r="Z795" s="207"/>
      <c r="AA795" s="207"/>
      <c r="AB795" s="207"/>
      <c r="AC795" s="207"/>
      <c r="AD795" s="207"/>
      <c r="AE795" s="207"/>
      <c r="AF795" s="207"/>
      <c r="AG795" s="207"/>
      <c r="AH795" s="207"/>
      <c r="AI795" s="207"/>
      <c r="AJ795" s="207"/>
      <c r="AK795" s="207"/>
      <c r="AL795" s="207"/>
      <c r="AM795" s="207"/>
      <c r="AN795" s="207"/>
      <c r="AO795" s="207"/>
      <c r="AP795" s="207"/>
      <c r="AQ795" s="207"/>
      <c r="AR795" s="207"/>
      <c r="AS795" s="207"/>
      <c r="AT795" s="207"/>
      <c r="AU795" s="207"/>
      <c r="AV795" s="207"/>
      <c r="AW795" s="207"/>
      <c r="AX795" s="207"/>
      <c r="AY795" s="207"/>
      <c r="AZ795" s="207"/>
      <c r="BA795" s="207"/>
    </row>
    <row r="796" ht="18.75" hidden="1" customHeight="1">
      <c r="A796" s="207"/>
      <c r="B796" s="207"/>
      <c r="C796" s="207"/>
      <c r="D796" s="207"/>
      <c r="E796" s="207"/>
      <c r="F796" s="207"/>
      <c r="G796" s="207"/>
      <c r="H796" s="207"/>
      <c r="I796" s="207"/>
      <c r="J796" s="207"/>
      <c r="K796" s="207"/>
      <c r="L796" s="207"/>
      <c r="M796" s="207"/>
      <c r="N796" s="207"/>
      <c r="O796" s="207"/>
      <c r="P796" s="207"/>
      <c r="Q796" s="207"/>
      <c r="R796" s="207"/>
      <c r="S796" s="207"/>
      <c r="T796" s="207"/>
      <c r="U796" s="207"/>
      <c r="V796" s="207"/>
      <c r="W796" s="207"/>
      <c r="X796" s="207"/>
      <c r="Y796" s="207"/>
      <c r="Z796" s="207"/>
      <c r="AA796" s="207"/>
      <c r="AB796" s="207"/>
      <c r="AC796" s="207"/>
      <c r="AD796" s="207"/>
      <c r="AE796" s="207"/>
      <c r="AF796" s="207"/>
      <c r="AG796" s="207"/>
      <c r="AH796" s="207"/>
      <c r="AI796" s="207"/>
      <c r="AJ796" s="207"/>
      <c r="AK796" s="207"/>
      <c r="AL796" s="207"/>
      <c r="AM796" s="207"/>
      <c r="AN796" s="207"/>
      <c r="AO796" s="207"/>
      <c r="AP796" s="207"/>
      <c r="AQ796" s="207"/>
      <c r="AR796" s="207"/>
      <c r="AS796" s="207"/>
      <c r="AT796" s="207"/>
      <c r="AU796" s="207"/>
      <c r="AV796" s="207"/>
      <c r="AW796" s="207"/>
      <c r="AX796" s="207"/>
      <c r="AY796" s="207"/>
      <c r="AZ796" s="207"/>
      <c r="BA796" s="207"/>
    </row>
    <row r="797" ht="18.75" hidden="1" customHeight="1">
      <c r="A797" s="207"/>
      <c r="B797" s="207"/>
      <c r="C797" s="207"/>
      <c r="D797" s="207"/>
      <c r="E797" s="207"/>
      <c r="F797" s="207"/>
      <c r="G797" s="207"/>
      <c r="H797" s="207"/>
      <c r="I797" s="207"/>
      <c r="J797" s="207"/>
      <c r="K797" s="207"/>
      <c r="L797" s="207"/>
      <c r="M797" s="207"/>
      <c r="N797" s="207"/>
      <c r="O797" s="207"/>
      <c r="P797" s="207"/>
      <c r="Q797" s="207"/>
      <c r="R797" s="207"/>
      <c r="S797" s="207"/>
      <c r="T797" s="207"/>
      <c r="U797" s="207"/>
      <c r="V797" s="207"/>
      <c r="W797" s="207"/>
      <c r="X797" s="207"/>
      <c r="Y797" s="207"/>
      <c r="Z797" s="207"/>
      <c r="AA797" s="207"/>
      <c r="AB797" s="207"/>
      <c r="AC797" s="207"/>
      <c r="AD797" s="207"/>
      <c r="AE797" s="207"/>
      <c r="AF797" s="207"/>
      <c r="AG797" s="207"/>
      <c r="AH797" s="207"/>
      <c r="AI797" s="207"/>
      <c r="AJ797" s="207"/>
      <c r="AK797" s="207"/>
      <c r="AL797" s="207"/>
      <c r="AM797" s="207"/>
      <c r="AN797" s="207"/>
      <c r="AO797" s="207"/>
      <c r="AP797" s="207"/>
      <c r="AQ797" s="207"/>
      <c r="AR797" s="207"/>
      <c r="AS797" s="207"/>
      <c r="AT797" s="207"/>
      <c r="AU797" s="207"/>
      <c r="AV797" s="207"/>
      <c r="AW797" s="207"/>
      <c r="AX797" s="207"/>
      <c r="AY797" s="207"/>
      <c r="AZ797" s="207"/>
      <c r="BA797" s="207"/>
    </row>
    <row r="798" ht="18.75" hidden="1" customHeight="1">
      <c r="A798" s="207"/>
      <c r="B798" s="207"/>
      <c r="C798" s="207"/>
      <c r="D798" s="207"/>
      <c r="E798" s="207"/>
      <c r="F798" s="207"/>
      <c r="G798" s="207"/>
      <c r="H798" s="207"/>
      <c r="I798" s="207"/>
      <c r="J798" s="207"/>
      <c r="K798" s="207"/>
      <c r="L798" s="207"/>
      <c r="M798" s="207"/>
      <c r="N798" s="207"/>
      <c r="O798" s="207"/>
      <c r="P798" s="207"/>
      <c r="Q798" s="207"/>
      <c r="R798" s="207"/>
      <c r="S798" s="207"/>
      <c r="T798" s="207"/>
      <c r="U798" s="207"/>
      <c r="V798" s="207"/>
      <c r="W798" s="207"/>
      <c r="X798" s="207"/>
      <c r="Y798" s="207"/>
      <c r="Z798" s="207"/>
      <c r="AA798" s="207"/>
      <c r="AB798" s="207"/>
      <c r="AC798" s="207"/>
      <c r="AD798" s="207"/>
      <c r="AE798" s="207"/>
      <c r="AF798" s="207"/>
      <c r="AG798" s="207"/>
      <c r="AH798" s="207"/>
      <c r="AI798" s="207"/>
      <c r="AJ798" s="207"/>
      <c r="AK798" s="207"/>
      <c r="AL798" s="207"/>
      <c r="AM798" s="207"/>
      <c r="AN798" s="207"/>
      <c r="AO798" s="207"/>
      <c r="AP798" s="207"/>
      <c r="AQ798" s="207"/>
      <c r="AR798" s="207"/>
      <c r="AS798" s="207"/>
      <c r="AT798" s="207"/>
      <c r="AU798" s="207"/>
      <c r="AV798" s="207"/>
      <c r="AW798" s="207"/>
      <c r="AX798" s="207"/>
      <c r="AY798" s="207"/>
      <c r="AZ798" s="207"/>
      <c r="BA798" s="207"/>
    </row>
    <row r="799" ht="18.75" hidden="1" customHeight="1">
      <c r="A799" s="207"/>
      <c r="B799" s="207"/>
      <c r="C799" s="207"/>
      <c r="D799" s="207"/>
      <c r="E799" s="207"/>
      <c r="F799" s="207"/>
      <c r="G799" s="207"/>
      <c r="H799" s="207"/>
      <c r="I799" s="207"/>
      <c r="J799" s="207"/>
      <c r="K799" s="207"/>
      <c r="L799" s="207"/>
      <c r="M799" s="207"/>
      <c r="N799" s="207"/>
      <c r="O799" s="207"/>
      <c r="P799" s="207"/>
      <c r="Q799" s="207"/>
      <c r="R799" s="207"/>
      <c r="S799" s="207"/>
      <c r="T799" s="207"/>
      <c r="U799" s="207"/>
      <c r="V799" s="207"/>
      <c r="W799" s="207"/>
      <c r="X799" s="207"/>
      <c r="Y799" s="207"/>
      <c r="Z799" s="207"/>
      <c r="AA799" s="207"/>
      <c r="AB799" s="207"/>
      <c r="AC799" s="207"/>
      <c r="AD799" s="207"/>
      <c r="AE799" s="207"/>
      <c r="AF799" s="207"/>
      <c r="AG799" s="207"/>
      <c r="AH799" s="207"/>
      <c r="AI799" s="207"/>
      <c r="AJ799" s="207"/>
      <c r="AK799" s="207"/>
      <c r="AL799" s="207"/>
      <c r="AM799" s="207"/>
      <c r="AN799" s="207"/>
      <c r="AO799" s="207"/>
      <c r="AP799" s="207"/>
      <c r="AQ799" s="207"/>
      <c r="AR799" s="207"/>
      <c r="AS799" s="207"/>
      <c r="AT799" s="207"/>
      <c r="AU799" s="207"/>
      <c r="AV799" s="207"/>
      <c r="AW799" s="207"/>
      <c r="AX799" s="207"/>
      <c r="AY799" s="207"/>
      <c r="AZ799" s="207"/>
      <c r="BA799" s="207"/>
    </row>
    <row r="800" ht="18.75" hidden="1" customHeight="1">
      <c r="A800" s="207"/>
      <c r="B800" s="207"/>
      <c r="C800" s="207"/>
      <c r="D800" s="207"/>
      <c r="E800" s="207"/>
      <c r="F800" s="207"/>
      <c r="G800" s="207"/>
      <c r="H800" s="207"/>
      <c r="I800" s="207"/>
      <c r="J800" s="207"/>
      <c r="K800" s="207"/>
      <c r="L800" s="207"/>
      <c r="M800" s="207"/>
      <c r="N800" s="207"/>
      <c r="O800" s="207"/>
      <c r="P800" s="207"/>
      <c r="Q800" s="207"/>
      <c r="R800" s="207"/>
      <c r="S800" s="207"/>
      <c r="T800" s="207"/>
      <c r="U800" s="207"/>
      <c r="V800" s="207"/>
      <c r="W800" s="207"/>
      <c r="X800" s="207"/>
      <c r="Y800" s="207"/>
      <c r="Z800" s="207"/>
      <c r="AA800" s="207"/>
      <c r="AB800" s="207"/>
      <c r="AC800" s="207"/>
      <c r="AD800" s="207"/>
      <c r="AE800" s="207"/>
      <c r="AF800" s="207"/>
      <c r="AG800" s="207"/>
      <c r="AH800" s="207"/>
      <c r="AI800" s="207"/>
      <c r="AJ800" s="207"/>
      <c r="AK800" s="207"/>
      <c r="AL800" s="207"/>
      <c r="AM800" s="207"/>
      <c r="AN800" s="207"/>
      <c r="AO800" s="207"/>
      <c r="AP800" s="207"/>
      <c r="AQ800" s="207"/>
      <c r="AR800" s="207"/>
      <c r="AS800" s="207"/>
      <c r="AT800" s="207"/>
      <c r="AU800" s="207"/>
      <c r="AV800" s="207"/>
      <c r="AW800" s="207"/>
      <c r="AX800" s="207"/>
      <c r="AY800" s="207"/>
      <c r="AZ800" s="207"/>
      <c r="BA800" s="207"/>
    </row>
    <row r="801" ht="18.75" hidden="1" customHeight="1">
      <c r="A801" s="207"/>
      <c r="B801" s="207"/>
      <c r="C801" s="207"/>
      <c r="D801" s="207"/>
      <c r="E801" s="207"/>
      <c r="F801" s="207"/>
      <c r="G801" s="207"/>
      <c r="H801" s="207"/>
      <c r="I801" s="207"/>
      <c r="J801" s="207"/>
      <c r="K801" s="207"/>
      <c r="L801" s="207"/>
      <c r="M801" s="207"/>
      <c r="N801" s="207"/>
      <c r="O801" s="207"/>
      <c r="P801" s="207"/>
      <c r="Q801" s="207"/>
      <c r="R801" s="207"/>
      <c r="S801" s="207"/>
      <c r="T801" s="207"/>
      <c r="U801" s="207"/>
      <c r="V801" s="207"/>
      <c r="W801" s="207"/>
      <c r="X801" s="207"/>
      <c r="Y801" s="207"/>
      <c r="Z801" s="207"/>
      <c r="AA801" s="207"/>
      <c r="AB801" s="207"/>
      <c r="AC801" s="207"/>
      <c r="AD801" s="207"/>
      <c r="AE801" s="207"/>
      <c r="AF801" s="207"/>
      <c r="AG801" s="207"/>
      <c r="AH801" s="207"/>
      <c r="AI801" s="207"/>
      <c r="AJ801" s="207"/>
      <c r="AK801" s="207"/>
      <c r="AL801" s="207"/>
      <c r="AM801" s="207"/>
      <c r="AN801" s="207"/>
      <c r="AO801" s="207"/>
      <c r="AP801" s="207"/>
      <c r="AQ801" s="207"/>
      <c r="AR801" s="207"/>
      <c r="AS801" s="207"/>
      <c r="AT801" s="207"/>
      <c r="AU801" s="207"/>
      <c r="AV801" s="207"/>
      <c r="AW801" s="207"/>
      <c r="AX801" s="207"/>
      <c r="AY801" s="207"/>
      <c r="AZ801" s="207"/>
      <c r="BA801" s="207"/>
    </row>
    <row r="802" ht="18.75" hidden="1" customHeight="1">
      <c r="A802" s="207"/>
      <c r="B802" s="207"/>
      <c r="C802" s="207"/>
      <c r="D802" s="207"/>
      <c r="E802" s="207"/>
      <c r="F802" s="207"/>
      <c r="G802" s="207"/>
      <c r="H802" s="207"/>
      <c r="I802" s="207"/>
      <c r="J802" s="207"/>
      <c r="K802" s="207"/>
      <c r="L802" s="207"/>
      <c r="M802" s="207"/>
      <c r="N802" s="207"/>
      <c r="O802" s="207"/>
      <c r="P802" s="207"/>
      <c r="Q802" s="207"/>
      <c r="R802" s="207"/>
      <c r="S802" s="207"/>
      <c r="T802" s="207"/>
      <c r="U802" s="207"/>
      <c r="V802" s="207"/>
      <c r="W802" s="207"/>
      <c r="X802" s="207"/>
      <c r="Y802" s="207"/>
      <c r="Z802" s="207"/>
      <c r="AA802" s="207"/>
      <c r="AB802" s="207"/>
      <c r="AC802" s="207"/>
      <c r="AD802" s="207"/>
      <c r="AE802" s="207"/>
      <c r="AF802" s="207"/>
      <c r="AG802" s="207"/>
      <c r="AH802" s="207"/>
      <c r="AI802" s="207"/>
      <c r="AJ802" s="207"/>
      <c r="AK802" s="207"/>
      <c r="AL802" s="207"/>
      <c r="AM802" s="207"/>
      <c r="AN802" s="207"/>
      <c r="AO802" s="207"/>
      <c r="AP802" s="207"/>
      <c r="AQ802" s="207"/>
      <c r="AR802" s="207"/>
      <c r="AS802" s="207"/>
      <c r="AT802" s="207"/>
      <c r="AU802" s="207"/>
      <c r="AV802" s="207"/>
      <c r="AW802" s="207"/>
      <c r="AX802" s="207"/>
      <c r="AY802" s="207"/>
      <c r="AZ802" s="207"/>
      <c r="BA802" s="207"/>
    </row>
    <row r="803" ht="18.75" hidden="1" customHeight="1">
      <c r="A803" s="207"/>
      <c r="B803" s="207"/>
      <c r="C803" s="207"/>
      <c r="D803" s="207"/>
      <c r="E803" s="207"/>
      <c r="F803" s="207"/>
      <c r="G803" s="207"/>
      <c r="H803" s="207"/>
      <c r="I803" s="207"/>
      <c r="J803" s="207"/>
      <c r="K803" s="207"/>
      <c r="L803" s="207"/>
      <c r="M803" s="207"/>
      <c r="N803" s="207"/>
      <c r="O803" s="207"/>
      <c r="P803" s="207"/>
      <c r="Q803" s="207"/>
      <c r="R803" s="207"/>
      <c r="S803" s="207"/>
      <c r="T803" s="207"/>
      <c r="U803" s="207"/>
      <c r="V803" s="207"/>
      <c r="W803" s="207"/>
      <c r="X803" s="207"/>
      <c r="Y803" s="207"/>
      <c r="Z803" s="207"/>
      <c r="AA803" s="207"/>
      <c r="AB803" s="207"/>
      <c r="AC803" s="207"/>
      <c r="AD803" s="207"/>
      <c r="AE803" s="207"/>
      <c r="AF803" s="207"/>
      <c r="AG803" s="207"/>
      <c r="AH803" s="207"/>
      <c r="AI803" s="207"/>
      <c r="AJ803" s="207"/>
      <c r="AK803" s="207"/>
      <c r="AL803" s="207"/>
      <c r="AM803" s="207"/>
      <c r="AN803" s="207"/>
      <c r="AO803" s="207"/>
      <c r="AP803" s="207"/>
      <c r="AQ803" s="207"/>
      <c r="AR803" s="207"/>
      <c r="AS803" s="207"/>
      <c r="AT803" s="207"/>
      <c r="AU803" s="207"/>
      <c r="AV803" s="207"/>
      <c r="AW803" s="207"/>
      <c r="AX803" s="207"/>
      <c r="AY803" s="207"/>
      <c r="AZ803" s="207"/>
      <c r="BA803" s="207"/>
    </row>
    <row r="804" ht="18.75" hidden="1" customHeight="1">
      <c r="A804" s="207"/>
      <c r="B804" s="207"/>
      <c r="C804" s="207"/>
      <c r="D804" s="207"/>
      <c r="E804" s="207"/>
      <c r="F804" s="207"/>
      <c r="G804" s="207"/>
      <c r="H804" s="207"/>
      <c r="I804" s="207"/>
      <c r="J804" s="207"/>
      <c r="K804" s="207"/>
      <c r="L804" s="207"/>
      <c r="M804" s="207"/>
      <c r="N804" s="207"/>
      <c r="O804" s="207"/>
      <c r="P804" s="207"/>
      <c r="Q804" s="207"/>
      <c r="R804" s="207"/>
      <c r="S804" s="207"/>
      <c r="T804" s="207"/>
      <c r="U804" s="207"/>
      <c r="V804" s="207"/>
      <c r="W804" s="207"/>
      <c r="X804" s="207"/>
      <c r="Y804" s="207"/>
      <c r="Z804" s="207"/>
      <c r="AA804" s="207"/>
      <c r="AB804" s="207"/>
      <c r="AC804" s="207"/>
      <c r="AD804" s="207"/>
      <c r="AE804" s="207"/>
      <c r="AF804" s="207"/>
      <c r="AG804" s="207"/>
      <c r="AH804" s="207"/>
      <c r="AI804" s="207"/>
      <c r="AJ804" s="207"/>
      <c r="AK804" s="207"/>
      <c r="AL804" s="207"/>
      <c r="AM804" s="207"/>
      <c r="AN804" s="207"/>
      <c r="AO804" s="207"/>
      <c r="AP804" s="207"/>
      <c r="AQ804" s="207"/>
      <c r="AR804" s="207"/>
      <c r="AS804" s="207"/>
      <c r="AT804" s="207"/>
      <c r="AU804" s="207"/>
      <c r="AV804" s="207"/>
      <c r="AW804" s="207"/>
      <c r="AX804" s="207"/>
      <c r="AY804" s="207"/>
      <c r="AZ804" s="207"/>
      <c r="BA804" s="207"/>
    </row>
    <row r="805" ht="18.75" hidden="1" customHeight="1">
      <c r="A805" s="207"/>
      <c r="B805" s="207"/>
      <c r="C805" s="207"/>
      <c r="D805" s="207"/>
      <c r="E805" s="207"/>
      <c r="F805" s="207"/>
      <c r="G805" s="207"/>
      <c r="H805" s="207"/>
      <c r="I805" s="207"/>
      <c r="J805" s="207"/>
      <c r="K805" s="207"/>
      <c r="L805" s="207"/>
      <c r="M805" s="207"/>
      <c r="N805" s="207"/>
      <c r="O805" s="207"/>
      <c r="P805" s="207"/>
      <c r="Q805" s="207"/>
      <c r="R805" s="207"/>
      <c r="S805" s="207"/>
      <c r="T805" s="207"/>
      <c r="U805" s="207"/>
      <c r="V805" s="207"/>
      <c r="W805" s="207"/>
      <c r="X805" s="207"/>
      <c r="Y805" s="207"/>
      <c r="Z805" s="207"/>
      <c r="AA805" s="207"/>
      <c r="AB805" s="207"/>
      <c r="AC805" s="207"/>
      <c r="AD805" s="207"/>
      <c r="AE805" s="207"/>
      <c r="AF805" s="207"/>
      <c r="AG805" s="207"/>
      <c r="AH805" s="207"/>
      <c r="AI805" s="207"/>
      <c r="AJ805" s="207"/>
      <c r="AK805" s="207"/>
      <c r="AL805" s="207"/>
      <c r="AM805" s="207"/>
      <c r="AN805" s="207"/>
      <c r="AO805" s="207"/>
      <c r="AP805" s="207"/>
      <c r="AQ805" s="207"/>
      <c r="AR805" s="207"/>
      <c r="AS805" s="207"/>
      <c r="AT805" s="207"/>
      <c r="AU805" s="207"/>
      <c r="AV805" s="207"/>
      <c r="AW805" s="207"/>
      <c r="AX805" s="207"/>
      <c r="AY805" s="207"/>
      <c r="AZ805" s="207"/>
      <c r="BA805" s="207"/>
    </row>
    <row r="806" ht="18.75" hidden="1" customHeight="1">
      <c r="A806" s="207"/>
      <c r="B806" s="207"/>
      <c r="C806" s="207"/>
      <c r="D806" s="207"/>
      <c r="E806" s="207"/>
      <c r="F806" s="207"/>
      <c r="G806" s="207"/>
      <c r="H806" s="207"/>
      <c r="I806" s="207"/>
      <c r="J806" s="207"/>
      <c r="K806" s="207"/>
      <c r="L806" s="207"/>
      <c r="M806" s="207"/>
      <c r="N806" s="207"/>
      <c r="O806" s="207"/>
      <c r="P806" s="207"/>
      <c r="Q806" s="207"/>
      <c r="R806" s="207"/>
      <c r="S806" s="207"/>
      <c r="T806" s="207"/>
      <c r="U806" s="207"/>
      <c r="V806" s="207"/>
      <c r="W806" s="207"/>
      <c r="X806" s="207"/>
      <c r="Y806" s="207"/>
      <c r="Z806" s="207"/>
      <c r="AA806" s="207"/>
      <c r="AB806" s="207"/>
      <c r="AC806" s="207"/>
      <c r="AD806" s="207"/>
      <c r="AE806" s="207"/>
      <c r="AF806" s="207"/>
      <c r="AG806" s="207"/>
      <c r="AH806" s="207"/>
      <c r="AI806" s="207"/>
      <c r="AJ806" s="207"/>
      <c r="AK806" s="207"/>
      <c r="AL806" s="207"/>
      <c r="AM806" s="207"/>
      <c r="AN806" s="207"/>
      <c r="AO806" s="207"/>
      <c r="AP806" s="207"/>
      <c r="AQ806" s="207"/>
      <c r="AR806" s="207"/>
      <c r="AS806" s="207"/>
      <c r="AT806" s="207"/>
      <c r="AU806" s="207"/>
      <c r="AV806" s="207"/>
      <c r="AW806" s="207"/>
      <c r="AX806" s="207"/>
      <c r="AY806" s="207"/>
      <c r="AZ806" s="207"/>
      <c r="BA806" s="207"/>
    </row>
    <row r="807" ht="18.75" hidden="1" customHeight="1">
      <c r="A807" s="207"/>
      <c r="B807" s="207"/>
      <c r="C807" s="207"/>
      <c r="D807" s="207"/>
      <c r="E807" s="207"/>
      <c r="F807" s="207"/>
      <c r="G807" s="207"/>
      <c r="H807" s="207"/>
      <c r="I807" s="207"/>
      <c r="J807" s="207"/>
      <c r="K807" s="207"/>
      <c r="L807" s="207"/>
      <c r="M807" s="207"/>
      <c r="N807" s="207"/>
      <c r="O807" s="207"/>
      <c r="P807" s="207"/>
      <c r="Q807" s="207"/>
      <c r="R807" s="207"/>
      <c r="S807" s="207"/>
      <c r="T807" s="207"/>
      <c r="U807" s="207"/>
      <c r="V807" s="207"/>
      <c r="W807" s="207"/>
      <c r="X807" s="207"/>
      <c r="Y807" s="207"/>
      <c r="Z807" s="207"/>
      <c r="AA807" s="207"/>
      <c r="AB807" s="207"/>
      <c r="AC807" s="207"/>
      <c r="AD807" s="207"/>
      <c r="AE807" s="207"/>
      <c r="AF807" s="207"/>
      <c r="AG807" s="207"/>
      <c r="AH807" s="207"/>
      <c r="AI807" s="207"/>
      <c r="AJ807" s="207"/>
      <c r="AK807" s="207"/>
      <c r="AL807" s="207"/>
      <c r="AM807" s="207"/>
      <c r="AN807" s="207"/>
      <c r="AO807" s="207"/>
      <c r="AP807" s="207"/>
      <c r="AQ807" s="207"/>
      <c r="AR807" s="207"/>
      <c r="AS807" s="207"/>
      <c r="AT807" s="207"/>
      <c r="AU807" s="207"/>
      <c r="AV807" s="207"/>
      <c r="AW807" s="207"/>
      <c r="AX807" s="207"/>
      <c r="AY807" s="207"/>
      <c r="AZ807" s="207"/>
      <c r="BA807" s="207"/>
    </row>
    <row r="808" ht="18.75" hidden="1" customHeight="1">
      <c r="A808" s="207"/>
      <c r="B808" s="207"/>
      <c r="C808" s="207"/>
      <c r="D808" s="207"/>
      <c r="E808" s="207"/>
      <c r="F808" s="207"/>
      <c r="G808" s="207"/>
      <c r="H808" s="207"/>
      <c r="I808" s="207"/>
      <c r="J808" s="207"/>
      <c r="K808" s="207"/>
      <c r="L808" s="207"/>
      <c r="M808" s="207"/>
      <c r="N808" s="207"/>
      <c r="O808" s="207"/>
      <c r="P808" s="207"/>
      <c r="Q808" s="207"/>
      <c r="R808" s="207"/>
      <c r="S808" s="207"/>
      <c r="T808" s="207"/>
      <c r="U808" s="207"/>
      <c r="V808" s="207"/>
      <c r="W808" s="207"/>
      <c r="X808" s="207"/>
      <c r="Y808" s="207"/>
      <c r="Z808" s="207"/>
      <c r="AA808" s="207"/>
      <c r="AB808" s="207"/>
      <c r="AC808" s="207"/>
      <c r="AD808" s="207"/>
      <c r="AE808" s="207"/>
      <c r="AF808" s="207"/>
      <c r="AG808" s="207"/>
      <c r="AH808" s="207"/>
      <c r="AI808" s="207"/>
      <c r="AJ808" s="207"/>
      <c r="AK808" s="207"/>
      <c r="AL808" s="207"/>
      <c r="AM808" s="207"/>
      <c r="AN808" s="207"/>
      <c r="AO808" s="207"/>
      <c r="AP808" s="207"/>
      <c r="AQ808" s="207"/>
      <c r="AR808" s="207"/>
      <c r="AS808" s="207"/>
      <c r="AT808" s="207"/>
      <c r="AU808" s="207"/>
      <c r="AV808" s="207"/>
      <c r="AW808" s="207"/>
      <c r="AX808" s="207"/>
      <c r="AY808" s="207"/>
      <c r="AZ808" s="207"/>
      <c r="BA808" s="207"/>
    </row>
    <row r="809" ht="18.75" hidden="1" customHeight="1">
      <c r="A809" s="207"/>
      <c r="B809" s="207"/>
      <c r="C809" s="207"/>
      <c r="D809" s="207"/>
      <c r="E809" s="207"/>
      <c r="F809" s="207"/>
      <c r="G809" s="207"/>
      <c r="H809" s="207"/>
      <c r="I809" s="207"/>
      <c r="J809" s="207"/>
      <c r="K809" s="207"/>
      <c r="L809" s="207"/>
      <c r="M809" s="207"/>
      <c r="N809" s="207"/>
      <c r="O809" s="207"/>
      <c r="P809" s="207"/>
      <c r="Q809" s="207"/>
      <c r="R809" s="207"/>
      <c r="S809" s="207"/>
      <c r="T809" s="207"/>
      <c r="U809" s="207"/>
      <c r="V809" s="207"/>
      <c r="W809" s="207"/>
      <c r="X809" s="207"/>
      <c r="Y809" s="207"/>
      <c r="Z809" s="207"/>
      <c r="AA809" s="207"/>
      <c r="AB809" s="207"/>
      <c r="AC809" s="207"/>
      <c r="AD809" s="207"/>
      <c r="AE809" s="207"/>
      <c r="AF809" s="207"/>
      <c r="AG809" s="207"/>
      <c r="AH809" s="207"/>
      <c r="AI809" s="207"/>
      <c r="AJ809" s="207"/>
      <c r="AK809" s="207"/>
      <c r="AL809" s="207"/>
      <c r="AM809" s="207"/>
      <c r="AN809" s="207"/>
      <c r="AO809" s="207"/>
      <c r="AP809" s="207"/>
      <c r="AQ809" s="207"/>
      <c r="AR809" s="207"/>
      <c r="AS809" s="207"/>
      <c r="AT809" s="207"/>
      <c r="AU809" s="207"/>
      <c r="AV809" s="207"/>
      <c r="AW809" s="207"/>
      <c r="AX809" s="207"/>
      <c r="AY809" s="207"/>
      <c r="AZ809" s="207"/>
      <c r="BA809" s="207"/>
    </row>
    <row r="810" ht="18.75" hidden="1" customHeight="1">
      <c r="A810" s="207"/>
      <c r="B810" s="207"/>
      <c r="C810" s="207"/>
      <c r="D810" s="207"/>
      <c r="E810" s="207"/>
      <c r="F810" s="207"/>
      <c r="G810" s="207"/>
      <c r="H810" s="207"/>
      <c r="I810" s="207"/>
      <c r="J810" s="207"/>
      <c r="K810" s="207"/>
      <c r="L810" s="207"/>
      <c r="M810" s="207"/>
      <c r="N810" s="207"/>
      <c r="O810" s="207"/>
      <c r="P810" s="207"/>
      <c r="Q810" s="207"/>
      <c r="R810" s="207"/>
      <c r="S810" s="207"/>
      <c r="T810" s="207"/>
      <c r="U810" s="207"/>
      <c r="V810" s="207"/>
      <c r="W810" s="207"/>
      <c r="X810" s="207"/>
      <c r="Y810" s="207"/>
      <c r="Z810" s="207"/>
      <c r="AA810" s="207"/>
      <c r="AB810" s="207"/>
      <c r="AC810" s="207"/>
      <c r="AD810" s="207"/>
      <c r="AE810" s="207"/>
      <c r="AF810" s="207"/>
      <c r="AG810" s="207"/>
      <c r="AH810" s="207"/>
      <c r="AI810" s="207"/>
      <c r="AJ810" s="207"/>
      <c r="AK810" s="207"/>
      <c r="AL810" s="207"/>
      <c r="AM810" s="207"/>
      <c r="AN810" s="207"/>
      <c r="AO810" s="207"/>
      <c r="AP810" s="207"/>
      <c r="AQ810" s="207"/>
      <c r="AR810" s="207"/>
      <c r="AS810" s="207"/>
      <c r="AT810" s="207"/>
      <c r="AU810" s="207"/>
      <c r="AV810" s="207"/>
      <c r="AW810" s="207"/>
      <c r="AX810" s="207"/>
      <c r="AY810" s="207"/>
      <c r="AZ810" s="207"/>
      <c r="BA810" s="207"/>
    </row>
    <row r="811" ht="18.75" hidden="1" customHeight="1">
      <c r="A811" s="207"/>
      <c r="B811" s="207"/>
      <c r="C811" s="207"/>
      <c r="D811" s="207"/>
      <c r="E811" s="207"/>
      <c r="F811" s="207"/>
      <c r="G811" s="207"/>
      <c r="H811" s="207"/>
      <c r="I811" s="207"/>
      <c r="J811" s="207"/>
      <c r="K811" s="207"/>
      <c r="L811" s="207"/>
      <c r="M811" s="207"/>
      <c r="N811" s="207"/>
      <c r="O811" s="207"/>
      <c r="P811" s="207"/>
      <c r="Q811" s="207"/>
      <c r="R811" s="207"/>
      <c r="S811" s="207"/>
      <c r="T811" s="207"/>
      <c r="U811" s="207"/>
      <c r="V811" s="207"/>
      <c r="W811" s="207"/>
      <c r="X811" s="207"/>
      <c r="Y811" s="207"/>
      <c r="Z811" s="207"/>
      <c r="AA811" s="207"/>
      <c r="AB811" s="207"/>
      <c r="AC811" s="207"/>
      <c r="AD811" s="207"/>
      <c r="AE811" s="207"/>
      <c r="AF811" s="207"/>
      <c r="AG811" s="207"/>
      <c r="AH811" s="207"/>
      <c r="AI811" s="207"/>
      <c r="AJ811" s="207"/>
      <c r="AK811" s="207"/>
      <c r="AL811" s="207"/>
      <c r="AM811" s="207"/>
      <c r="AN811" s="207"/>
      <c r="AO811" s="207"/>
      <c r="AP811" s="207"/>
      <c r="AQ811" s="207"/>
      <c r="AR811" s="207"/>
      <c r="AS811" s="207"/>
      <c r="AT811" s="207"/>
      <c r="AU811" s="207"/>
      <c r="AV811" s="207"/>
      <c r="AW811" s="207"/>
      <c r="AX811" s="207"/>
      <c r="AY811" s="207"/>
      <c r="AZ811" s="207"/>
      <c r="BA811" s="207"/>
    </row>
    <row r="812" ht="18.75" hidden="1" customHeight="1">
      <c r="A812" s="207"/>
      <c r="B812" s="207"/>
      <c r="C812" s="207"/>
      <c r="D812" s="207"/>
      <c r="E812" s="207"/>
      <c r="F812" s="207"/>
      <c r="G812" s="207"/>
      <c r="H812" s="207"/>
      <c r="I812" s="207"/>
      <c r="J812" s="207"/>
      <c r="K812" s="207"/>
      <c r="L812" s="207"/>
      <c r="M812" s="207"/>
      <c r="N812" s="207"/>
      <c r="O812" s="207"/>
      <c r="P812" s="207"/>
      <c r="Q812" s="207"/>
      <c r="R812" s="207"/>
      <c r="S812" s="207"/>
      <c r="T812" s="207"/>
      <c r="U812" s="207"/>
      <c r="V812" s="207"/>
      <c r="W812" s="207"/>
      <c r="X812" s="207"/>
      <c r="Y812" s="207"/>
      <c r="Z812" s="207"/>
      <c r="AA812" s="207"/>
      <c r="AB812" s="207"/>
      <c r="AC812" s="207"/>
      <c r="AD812" s="207"/>
      <c r="AE812" s="207"/>
      <c r="AF812" s="207"/>
      <c r="AG812" s="207"/>
      <c r="AH812" s="207"/>
      <c r="AI812" s="207"/>
      <c r="AJ812" s="207"/>
      <c r="AK812" s="207"/>
      <c r="AL812" s="207"/>
      <c r="AM812" s="207"/>
      <c r="AN812" s="207"/>
      <c r="AO812" s="207"/>
      <c r="AP812" s="207"/>
      <c r="AQ812" s="207"/>
      <c r="AR812" s="207"/>
      <c r="AS812" s="207"/>
      <c r="AT812" s="207"/>
      <c r="AU812" s="207"/>
      <c r="AV812" s="207"/>
      <c r="AW812" s="207"/>
      <c r="AX812" s="207"/>
      <c r="AY812" s="207"/>
      <c r="AZ812" s="207"/>
      <c r="BA812" s="207"/>
    </row>
    <row r="813" ht="18.75" hidden="1" customHeight="1">
      <c r="A813" s="207"/>
      <c r="B813" s="207"/>
      <c r="C813" s="207"/>
      <c r="D813" s="207"/>
      <c r="E813" s="207"/>
      <c r="F813" s="207"/>
      <c r="G813" s="207"/>
      <c r="H813" s="207"/>
      <c r="I813" s="207"/>
      <c r="J813" s="207"/>
      <c r="K813" s="207"/>
      <c r="L813" s="207"/>
      <c r="M813" s="207"/>
      <c r="N813" s="207"/>
      <c r="O813" s="207"/>
      <c r="P813" s="207"/>
      <c r="Q813" s="207"/>
      <c r="R813" s="207"/>
      <c r="S813" s="207"/>
      <c r="T813" s="207"/>
      <c r="U813" s="207"/>
      <c r="V813" s="207"/>
      <c r="W813" s="207"/>
      <c r="X813" s="207"/>
      <c r="Y813" s="207"/>
      <c r="Z813" s="207"/>
      <c r="AA813" s="207"/>
      <c r="AB813" s="207"/>
      <c r="AC813" s="207"/>
      <c r="AD813" s="207"/>
      <c r="AE813" s="207"/>
      <c r="AF813" s="207"/>
      <c r="AG813" s="207"/>
      <c r="AH813" s="207"/>
      <c r="AI813" s="207"/>
      <c r="AJ813" s="207"/>
      <c r="AK813" s="207"/>
      <c r="AL813" s="207"/>
      <c r="AM813" s="207"/>
      <c r="AN813" s="207"/>
      <c r="AO813" s="207"/>
      <c r="AP813" s="207"/>
      <c r="AQ813" s="207"/>
      <c r="AR813" s="207"/>
      <c r="AS813" s="207"/>
      <c r="AT813" s="207"/>
      <c r="AU813" s="207"/>
      <c r="AV813" s="207"/>
      <c r="AW813" s="207"/>
      <c r="AX813" s="207"/>
      <c r="AY813" s="207"/>
      <c r="AZ813" s="207"/>
      <c r="BA813" s="207"/>
    </row>
    <row r="814" ht="18.75" hidden="1" customHeight="1">
      <c r="A814" s="207"/>
      <c r="B814" s="207"/>
      <c r="C814" s="207"/>
      <c r="D814" s="207"/>
      <c r="E814" s="207"/>
      <c r="F814" s="207"/>
      <c r="G814" s="207"/>
      <c r="H814" s="207"/>
      <c r="I814" s="207"/>
      <c r="J814" s="207"/>
      <c r="K814" s="207"/>
      <c r="L814" s="207"/>
      <c r="M814" s="207"/>
      <c r="N814" s="207"/>
      <c r="O814" s="207"/>
      <c r="P814" s="207"/>
      <c r="Q814" s="207"/>
      <c r="R814" s="207"/>
      <c r="S814" s="207"/>
      <c r="T814" s="207"/>
      <c r="U814" s="207"/>
      <c r="V814" s="207"/>
      <c r="W814" s="207"/>
      <c r="X814" s="207"/>
      <c r="Y814" s="207"/>
      <c r="Z814" s="207"/>
      <c r="AA814" s="207"/>
      <c r="AB814" s="207"/>
      <c r="AC814" s="207"/>
      <c r="AD814" s="207"/>
      <c r="AE814" s="207"/>
      <c r="AF814" s="207"/>
      <c r="AG814" s="207"/>
      <c r="AH814" s="207"/>
      <c r="AI814" s="207"/>
      <c r="AJ814" s="207"/>
      <c r="AK814" s="207"/>
      <c r="AL814" s="207"/>
      <c r="AM814" s="207"/>
      <c r="AN814" s="207"/>
      <c r="AO814" s="207"/>
      <c r="AP814" s="207"/>
      <c r="AQ814" s="207"/>
      <c r="AR814" s="207"/>
      <c r="AS814" s="207"/>
      <c r="AT814" s="207"/>
      <c r="AU814" s="207"/>
      <c r="AV814" s="207"/>
      <c r="AW814" s="207"/>
      <c r="AX814" s="207"/>
      <c r="AY814" s="207"/>
      <c r="AZ814" s="207"/>
      <c r="BA814" s="207"/>
    </row>
    <row r="815" ht="18.75" hidden="1" customHeight="1">
      <c r="A815" s="207"/>
      <c r="B815" s="207"/>
      <c r="C815" s="207"/>
      <c r="D815" s="207"/>
      <c r="E815" s="207"/>
      <c r="F815" s="207"/>
      <c r="G815" s="207"/>
      <c r="H815" s="207"/>
      <c r="I815" s="207"/>
      <c r="J815" s="207"/>
      <c r="K815" s="207"/>
      <c r="L815" s="207"/>
      <c r="M815" s="207"/>
      <c r="N815" s="207"/>
      <c r="O815" s="207"/>
      <c r="P815" s="207"/>
      <c r="Q815" s="207"/>
      <c r="R815" s="207"/>
      <c r="S815" s="207"/>
      <c r="T815" s="207"/>
      <c r="U815" s="207"/>
      <c r="V815" s="207"/>
      <c r="W815" s="207"/>
      <c r="X815" s="207"/>
      <c r="Y815" s="207"/>
      <c r="Z815" s="207"/>
      <c r="AA815" s="207"/>
      <c r="AB815" s="207"/>
      <c r="AC815" s="207"/>
      <c r="AD815" s="207"/>
      <c r="AE815" s="207"/>
      <c r="AF815" s="207"/>
      <c r="AG815" s="207"/>
      <c r="AH815" s="207"/>
      <c r="AI815" s="207"/>
      <c r="AJ815" s="207"/>
      <c r="AK815" s="207"/>
      <c r="AL815" s="207"/>
      <c r="AM815" s="207"/>
      <c r="AN815" s="207"/>
      <c r="AO815" s="207"/>
      <c r="AP815" s="207"/>
      <c r="AQ815" s="207"/>
      <c r="AR815" s="207"/>
      <c r="AS815" s="207"/>
      <c r="AT815" s="207"/>
      <c r="AU815" s="207"/>
      <c r="AV815" s="207"/>
      <c r="AW815" s="207"/>
      <c r="AX815" s="207"/>
      <c r="AY815" s="207"/>
      <c r="AZ815" s="207"/>
      <c r="BA815" s="207"/>
    </row>
    <row r="816" ht="18.75" hidden="1" customHeight="1">
      <c r="A816" s="207"/>
      <c r="B816" s="207"/>
      <c r="C816" s="207"/>
      <c r="D816" s="207"/>
      <c r="E816" s="207"/>
      <c r="F816" s="207"/>
      <c r="G816" s="207"/>
      <c r="H816" s="207"/>
      <c r="I816" s="207"/>
      <c r="J816" s="207"/>
      <c r="K816" s="207"/>
      <c r="L816" s="207"/>
      <c r="M816" s="207"/>
      <c r="N816" s="207"/>
      <c r="O816" s="207"/>
      <c r="P816" s="207"/>
      <c r="Q816" s="207"/>
      <c r="R816" s="207"/>
      <c r="S816" s="207"/>
      <c r="T816" s="207"/>
      <c r="U816" s="207"/>
      <c r="V816" s="207"/>
      <c r="W816" s="207"/>
      <c r="X816" s="207"/>
      <c r="Y816" s="207"/>
      <c r="Z816" s="207"/>
      <c r="AA816" s="207"/>
      <c r="AB816" s="207"/>
      <c r="AC816" s="207"/>
      <c r="AD816" s="207"/>
      <c r="AE816" s="207"/>
      <c r="AF816" s="207"/>
      <c r="AG816" s="207"/>
      <c r="AH816" s="207"/>
      <c r="AI816" s="207"/>
      <c r="AJ816" s="207"/>
      <c r="AK816" s="207"/>
      <c r="AL816" s="207"/>
      <c r="AM816" s="207"/>
      <c r="AN816" s="207"/>
      <c r="AO816" s="207"/>
      <c r="AP816" s="207"/>
      <c r="AQ816" s="207"/>
      <c r="AR816" s="207"/>
      <c r="AS816" s="207"/>
      <c r="AT816" s="207"/>
      <c r="AU816" s="207"/>
      <c r="AV816" s="207"/>
      <c r="AW816" s="207"/>
      <c r="AX816" s="207"/>
      <c r="AY816" s="207"/>
      <c r="AZ816" s="207"/>
      <c r="BA816" s="207"/>
    </row>
    <row r="817" ht="18.75" hidden="1" customHeight="1">
      <c r="A817" s="207"/>
      <c r="B817" s="207"/>
      <c r="C817" s="207"/>
      <c r="D817" s="207"/>
      <c r="E817" s="207"/>
      <c r="F817" s="207"/>
      <c r="G817" s="207"/>
      <c r="H817" s="207"/>
      <c r="I817" s="207"/>
      <c r="J817" s="207"/>
      <c r="K817" s="207"/>
      <c r="L817" s="207"/>
      <c r="M817" s="207"/>
      <c r="N817" s="207"/>
      <c r="O817" s="207"/>
      <c r="P817" s="207"/>
      <c r="Q817" s="207"/>
      <c r="R817" s="207"/>
      <c r="S817" s="207"/>
      <c r="T817" s="207"/>
      <c r="U817" s="207"/>
      <c r="V817" s="207"/>
      <c r="W817" s="207"/>
      <c r="X817" s="207"/>
      <c r="Y817" s="207"/>
      <c r="Z817" s="207"/>
      <c r="AA817" s="207"/>
      <c r="AB817" s="207"/>
      <c r="AC817" s="207"/>
      <c r="AD817" s="207"/>
      <c r="AE817" s="207"/>
      <c r="AF817" s="207"/>
      <c r="AG817" s="207"/>
      <c r="AH817" s="207"/>
      <c r="AI817" s="207"/>
      <c r="AJ817" s="207"/>
      <c r="AK817" s="207"/>
      <c r="AL817" s="207"/>
      <c r="AM817" s="207"/>
      <c r="AN817" s="207"/>
      <c r="AO817" s="207"/>
      <c r="AP817" s="207"/>
      <c r="AQ817" s="207"/>
      <c r="AR817" s="207"/>
      <c r="AS817" s="207"/>
      <c r="AT817" s="207"/>
      <c r="AU817" s="207"/>
      <c r="AV817" s="207"/>
      <c r="AW817" s="207"/>
      <c r="AX817" s="207"/>
      <c r="AY817" s="207"/>
      <c r="AZ817" s="207"/>
      <c r="BA817" s="207"/>
    </row>
    <row r="818" ht="18.75" hidden="1" customHeight="1">
      <c r="A818" s="207"/>
      <c r="B818" s="207"/>
      <c r="C818" s="207"/>
      <c r="D818" s="207"/>
      <c r="E818" s="207"/>
      <c r="F818" s="207"/>
      <c r="G818" s="207"/>
      <c r="H818" s="207"/>
      <c r="I818" s="207"/>
      <c r="J818" s="207"/>
      <c r="K818" s="207"/>
      <c r="L818" s="207"/>
      <c r="M818" s="207"/>
      <c r="N818" s="207"/>
      <c r="O818" s="207"/>
      <c r="P818" s="207"/>
      <c r="Q818" s="207"/>
      <c r="R818" s="207"/>
      <c r="S818" s="207"/>
      <c r="T818" s="207"/>
      <c r="U818" s="207"/>
      <c r="V818" s="207"/>
      <c r="W818" s="207"/>
      <c r="X818" s="207"/>
      <c r="Y818" s="207"/>
      <c r="Z818" s="207"/>
      <c r="AA818" s="207"/>
      <c r="AB818" s="207"/>
      <c r="AC818" s="207"/>
      <c r="AD818" s="207"/>
      <c r="AE818" s="207"/>
      <c r="AF818" s="207"/>
      <c r="AG818" s="207"/>
      <c r="AH818" s="207"/>
      <c r="AI818" s="207"/>
      <c r="AJ818" s="207"/>
      <c r="AK818" s="207"/>
      <c r="AL818" s="207"/>
      <c r="AM818" s="207"/>
      <c r="AN818" s="207"/>
      <c r="AO818" s="207"/>
      <c r="AP818" s="207"/>
      <c r="AQ818" s="207"/>
      <c r="AR818" s="207"/>
      <c r="AS818" s="207"/>
      <c r="AT818" s="207"/>
      <c r="AU818" s="207"/>
      <c r="AV818" s="207"/>
      <c r="AW818" s="207"/>
      <c r="AX818" s="207"/>
      <c r="AY818" s="207"/>
      <c r="AZ818" s="207"/>
      <c r="BA818" s="207"/>
    </row>
    <row r="819" ht="18.75" hidden="1" customHeight="1">
      <c r="A819" s="207"/>
      <c r="B819" s="207"/>
      <c r="C819" s="207"/>
      <c r="D819" s="207"/>
      <c r="E819" s="207"/>
      <c r="F819" s="207"/>
      <c r="G819" s="207"/>
      <c r="H819" s="207"/>
      <c r="I819" s="207"/>
      <c r="J819" s="207"/>
      <c r="K819" s="207"/>
      <c r="L819" s="207"/>
      <c r="M819" s="207"/>
      <c r="N819" s="207"/>
      <c r="O819" s="207"/>
      <c r="P819" s="207"/>
      <c r="Q819" s="207"/>
      <c r="R819" s="207"/>
      <c r="S819" s="207"/>
      <c r="T819" s="207"/>
      <c r="U819" s="207"/>
      <c r="V819" s="207"/>
      <c r="W819" s="207"/>
      <c r="X819" s="207"/>
      <c r="Y819" s="207"/>
      <c r="Z819" s="207"/>
      <c r="AA819" s="207"/>
      <c r="AB819" s="207"/>
      <c r="AC819" s="207"/>
      <c r="AD819" s="207"/>
      <c r="AE819" s="207"/>
      <c r="AF819" s="207"/>
      <c r="AG819" s="207"/>
      <c r="AH819" s="207"/>
      <c r="AI819" s="207"/>
      <c r="AJ819" s="207"/>
      <c r="AK819" s="207"/>
      <c r="AL819" s="207"/>
      <c r="AM819" s="207"/>
      <c r="AN819" s="207"/>
      <c r="AO819" s="207"/>
      <c r="AP819" s="207"/>
      <c r="AQ819" s="207"/>
      <c r="AR819" s="207"/>
      <c r="AS819" s="207"/>
      <c r="AT819" s="207"/>
      <c r="AU819" s="207"/>
      <c r="AV819" s="207"/>
      <c r="AW819" s="207"/>
      <c r="AX819" s="207"/>
      <c r="AY819" s="207"/>
      <c r="AZ819" s="207"/>
      <c r="BA819" s="207"/>
    </row>
    <row r="820" ht="18.75" hidden="1" customHeight="1">
      <c r="A820" s="207"/>
      <c r="B820" s="207"/>
      <c r="C820" s="207"/>
      <c r="D820" s="207"/>
      <c r="E820" s="207"/>
      <c r="F820" s="207"/>
      <c r="G820" s="207"/>
      <c r="H820" s="207"/>
      <c r="I820" s="207"/>
      <c r="J820" s="207"/>
      <c r="K820" s="207"/>
      <c r="L820" s="207"/>
      <c r="M820" s="207"/>
      <c r="N820" s="207"/>
      <c r="O820" s="207"/>
      <c r="P820" s="207"/>
      <c r="Q820" s="207"/>
      <c r="R820" s="207"/>
      <c r="S820" s="207"/>
      <c r="T820" s="207"/>
      <c r="U820" s="207"/>
      <c r="V820" s="207"/>
      <c r="W820" s="207"/>
      <c r="X820" s="207"/>
      <c r="Y820" s="207"/>
      <c r="Z820" s="207"/>
      <c r="AA820" s="207"/>
      <c r="AB820" s="207"/>
      <c r="AC820" s="207"/>
      <c r="AD820" s="207"/>
      <c r="AE820" s="207"/>
      <c r="AF820" s="207"/>
      <c r="AG820" s="207"/>
      <c r="AH820" s="207"/>
      <c r="AI820" s="207"/>
      <c r="AJ820" s="207"/>
      <c r="AK820" s="207"/>
      <c r="AL820" s="207"/>
      <c r="AM820" s="207"/>
      <c r="AN820" s="207"/>
      <c r="AO820" s="207"/>
      <c r="AP820" s="207"/>
      <c r="AQ820" s="207"/>
      <c r="AR820" s="207"/>
      <c r="AS820" s="207"/>
      <c r="AT820" s="207"/>
      <c r="AU820" s="207"/>
      <c r="AV820" s="207"/>
      <c r="AW820" s="207"/>
      <c r="AX820" s="207"/>
      <c r="AY820" s="207"/>
      <c r="AZ820" s="207"/>
      <c r="BA820" s="207"/>
    </row>
    <row r="821" ht="18.75" hidden="1" customHeight="1">
      <c r="A821" s="207"/>
      <c r="B821" s="207"/>
      <c r="C821" s="207"/>
      <c r="D821" s="207"/>
      <c r="E821" s="207"/>
      <c r="F821" s="207"/>
      <c r="G821" s="207"/>
      <c r="H821" s="207"/>
      <c r="I821" s="207"/>
      <c r="J821" s="207"/>
      <c r="K821" s="207"/>
      <c r="L821" s="207"/>
      <c r="M821" s="207"/>
      <c r="N821" s="207"/>
      <c r="O821" s="207"/>
      <c r="P821" s="207"/>
      <c r="Q821" s="207"/>
      <c r="R821" s="207"/>
      <c r="S821" s="207"/>
      <c r="T821" s="207"/>
      <c r="U821" s="207"/>
      <c r="V821" s="207"/>
      <c r="W821" s="207"/>
      <c r="X821" s="207"/>
      <c r="Y821" s="207"/>
      <c r="Z821" s="207"/>
      <c r="AA821" s="207"/>
      <c r="AB821" s="207"/>
      <c r="AC821" s="207"/>
      <c r="AD821" s="207"/>
      <c r="AE821" s="207"/>
      <c r="AF821" s="207"/>
      <c r="AG821" s="207"/>
      <c r="AH821" s="207"/>
      <c r="AI821" s="207"/>
      <c r="AJ821" s="207"/>
      <c r="AK821" s="207"/>
      <c r="AL821" s="207"/>
      <c r="AM821" s="207"/>
      <c r="AN821" s="207"/>
      <c r="AO821" s="207"/>
      <c r="AP821" s="207"/>
      <c r="AQ821" s="207"/>
      <c r="AR821" s="207"/>
      <c r="AS821" s="207"/>
      <c r="AT821" s="207"/>
      <c r="AU821" s="207"/>
      <c r="AV821" s="207"/>
      <c r="AW821" s="207"/>
      <c r="AX821" s="207"/>
      <c r="AY821" s="207"/>
      <c r="AZ821" s="207"/>
      <c r="BA821" s="207"/>
    </row>
    <row r="822" ht="18.75" hidden="1" customHeight="1">
      <c r="A822" s="207"/>
      <c r="B822" s="207"/>
      <c r="C822" s="207"/>
      <c r="D822" s="207"/>
      <c r="E822" s="207"/>
      <c r="F822" s="207"/>
      <c r="G822" s="207"/>
      <c r="H822" s="207"/>
      <c r="I822" s="207"/>
      <c r="J822" s="207"/>
      <c r="K822" s="207"/>
      <c r="L822" s="207"/>
      <c r="M822" s="207"/>
      <c r="N822" s="207"/>
      <c r="O822" s="207"/>
      <c r="P822" s="207"/>
      <c r="Q822" s="207"/>
      <c r="R822" s="207"/>
      <c r="S822" s="207"/>
      <c r="T822" s="207"/>
      <c r="U822" s="207"/>
      <c r="V822" s="207"/>
      <c r="W822" s="207"/>
      <c r="X822" s="207"/>
      <c r="Y822" s="207"/>
      <c r="Z822" s="207"/>
      <c r="AA822" s="207"/>
      <c r="AB822" s="207"/>
      <c r="AC822" s="207"/>
      <c r="AD822" s="207"/>
      <c r="AE822" s="207"/>
      <c r="AF822" s="207"/>
      <c r="AG822" s="207"/>
      <c r="AH822" s="207"/>
      <c r="AI822" s="207"/>
      <c r="AJ822" s="207"/>
      <c r="AK822" s="207"/>
      <c r="AL822" s="207"/>
      <c r="AM822" s="207"/>
      <c r="AN822" s="207"/>
      <c r="AO822" s="207"/>
      <c r="AP822" s="207"/>
      <c r="AQ822" s="207"/>
      <c r="AR822" s="207"/>
      <c r="AS822" s="207"/>
      <c r="AT822" s="207"/>
      <c r="AU822" s="207"/>
      <c r="AV822" s="207"/>
      <c r="AW822" s="207"/>
      <c r="AX822" s="207"/>
      <c r="AY822" s="207"/>
      <c r="AZ822" s="207"/>
      <c r="BA822" s="207"/>
    </row>
    <row r="823" ht="18.75" hidden="1" customHeight="1">
      <c r="A823" s="207"/>
      <c r="B823" s="207"/>
      <c r="C823" s="207"/>
      <c r="D823" s="207"/>
      <c r="E823" s="207"/>
      <c r="F823" s="207"/>
      <c r="G823" s="207"/>
      <c r="H823" s="207"/>
      <c r="I823" s="207"/>
      <c r="J823" s="207"/>
      <c r="K823" s="207"/>
      <c r="L823" s="207"/>
      <c r="M823" s="207"/>
      <c r="N823" s="207"/>
      <c r="O823" s="207"/>
      <c r="P823" s="207"/>
      <c r="Q823" s="207"/>
      <c r="R823" s="207"/>
      <c r="S823" s="207"/>
      <c r="T823" s="207"/>
      <c r="U823" s="207"/>
      <c r="V823" s="207"/>
      <c r="W823" s="207"/>
      <c r="X823" s="207"/>
      <c r="Y823" s="207"/>
      <c r="Z823" s="207"/>
      <c r="AA823" s="207"/>
      <c r="AB823" s="207"/>
      <c r="AC823" s="207"/>
      <c r="AD823" s="207"/>
      <c r="AE823" s="207"/>
      <c r="AF823" s="207"/>
      <c r="AG823" s="207"/>
      <c r="AH823" s="207"/>
      <c r="AI823" s="207"/>
      <c r="AJ823" s="207"/>
      <c r="AK823" s="207"/>
      <c r="AL823" s="207"/>
      <c r="AM823" s="207"/>
      <c r="AN823" s="207"/>
      <c r="AO823" s="207"/>
      <c r="AP823" s="207"/>
      <c r="AQ823" s="207"/>
      <c r="AR823" s="207"/>
      <c r="AS823" s="207"/>
      <c r="AT823" s="207"/>
      <c r="AU823" s="207"/>
      <c r="AV823" s="207"/>
      <c r="AW823" s="207"/>
      <c r="AX823" s="207"/>
      <c r="AY823" s="207"/>
      <c r="AZ823" s="207"/>
      <c r="BA823" s="207"/>
    </row>
    <row r="824" ht="18.75" hidden="1" customHeight="1">
      <c r="A824" s="207"/>
      <c r="B824" s="207"/>
      <c r="C824" s="207"/>
      <c r="D824" s="207"/>
      <c r="E824" s="207"/>
      <c r="F824" s="207"/>
      <c r="G824" s="207"/>
      <c r="H824" s="207"/>
      <c r="I824" s="207"/>
      <c r="J824" s="207"/>
      <c r="K824" s="207"/>
      <c r="L824" s="207"/>
      <c r="M824" s="207"/>
      <c r="N824" s="207"/>
      <c r="O824" s="207"/>
      <c r="P824" s="207"/>
      <c r="Q824" s="207"/>
      <c r="R824" s="207"/>
      <c r="S824" s="207"/>
      <c r="T824" s="207"/>
      <c r="U824" s="207"/>
      <c r="V824" s="207"/>
      <c r="W824" s="207"/>
      <c r="X824" s="207"/>
      <c r="Y824" s="207"/>
      <c r="Z824" s="207"/>
      <c r="AA824" s="207"/>
      <c r="AB824" s="207"/>
      <c r="AC824" s="207"/>
      <c r="AD824" s="207"/>
      <c r="AE824" s="207"/>
      <c r="AF824" s="207"/>
      <c r="AG824" s="207"/>
      <c r="AH824" s="207"/>
      <c r="AI824" s="207"/>
      <c r="AJ824" s="207"/>
      <c r="AK824" s="207"/>
      <c r="AL824" s="207"/>
      <c r="AM824" s="207"/>
      <c r="AN824" s="207"/>
      <c r="AO824" s="207"/>
      <c r="AP824" s="207"/>
      <c r="AQ824" s="207"/>
      <c r="AR824" s="207"/>
      <c r="AS824" s="207"/>
      <c r="AT824" s="207"/>
      <c r="AU824" s="207"/>
      <c r="AV824" s="207"/>
      <c r="AW824" s="207"/>
      <c r="AX824" s="207"/>
      <c r="AY824" s="207"/>
      <c r="AZ824" s="207"/>
      <c r="BA824" s="207"/>
    </row>
    <row r="825" ht="18.75" hidden="1" customHeight="1">
      <c r="A825" s="207"/>
      <c r="B825" s="207"/>
      <c r="C825" s="207"/>
      <c r="D825" s="207"/>
      <c r="E825" s="207"/>
      <c r="F825" s="207"/>
      <c r="G825" s="207"/>
      <c r="H825" s="207"/>
      <c r="I825" s="207"/>
      <c r="J825" s="207"/>
      <c r="K825" s="207"/>
      <c r="L825" s="207"/>
      <c r="M825" s="207"/>
      <c r="N825" s="207"/>
      <c r="O825" s="207"/>
      <c r="P825" s="207"/>
      <c r="Q825" s="207"/>
      <c r="R825" s="207"/>
      <c r="S825" s="207"/>
      <c r="T825" s="207"/>
      <c r="U825" s="207"/>
      <c r="V825" s="207"/>
      <c r="W825" s="207"/>
      <c r="X825" s="207"/>
      <c r="Y825" s="207"/>
      <c r="Z825" s="207"/>
      <c r="AA825" s="207"/>
      <c r="AB825" s="207"/>
      <c r="AC825" s="207"/>
      <c r="AD825" s="207"/>
      <c r="AE825" s="207"/>
      <c r="AF825" s="207"/>
      <c r="AG825" s="207"/>
      <c r="AH825" s="207"/>
      <c r="AI825" s="207"/>
      <c r="AJ825" s="207"/>
      <c r="AK825" s="207"/>
      <c r="AL825" s="207"/>
      <c r="AM825" s="207"/>
      <c r="AN825" s="207"/>
      <c r="AO825" s="207"/>
      <c r="AP825" s="207"/>
      <c r="AQ825" s="207"/>
      <c r="AR825" s="207"/>
      <c r="AS825" s="207"/>
      <c r="AT825" s="207"/>
      <c r="AU825" s="207"/>
      <c r="AV825" s="207"/>
      <c r="AW825" s="207"/>
      <c r="AX825" s="207"/>
      <c r="AY825" s="207"/>
      <c r="AZ825" s="207"/>
      <c r="BA825" s="207"/>
    </row>
    <row r="826" ht="18.75" hidden="1" customHeight="1">
      <c r="A826" s="207"/>
      <c r="B826" s="207"/>
      <c r="C826" s="207"/>
      <c r="D826" s="207"/>
      <c r="E826" s="207"/>
      <c r="F826" s="207"/>
      <c r="G826" s="207"/>
      <c r="H826" s="207"/>
      <c r="I826" s="207"/>
      <c r="J826" s="207"/>
      <c r="K826" s="207"/>
      <c r="L826" s="207"/>
      <c r="M826" s="207"/>
      <c r="N826" s="207"/>
      <c r="O826" s="207"/>
      <c r="P826" s="207"/>
      <c r="Q826" s="207"/>
      <c r="R826" s="207"/>
      <c r="S826" s="207"/>
      <c r="T826" s="207"/>
      <c r="U826" s="207"/>
      <c r="V826" s="207"/>
      <c r="W826" s="207"/>
      <c r="X826" s="207"/>
      <c r="Y826" s="207"/>
      <c r="Z826" s="207"/>
      <c r="AA826" s="207"/>
      <c r="AB826" s="207"/>
      <c r="AC826" s="207"/>
      <c r="AD826" s="207"/>
      <c r="AE826" s="207"/>
      <c r="AF826" s="207"/>
      <c r="AG826" s="207"/>
      <c r="AH826" s="207"/>
      <c r="AI826" s="207"/>
      <c r="AJ826" s="207"/>
      <c r="AK826" s="207"/>
      <c r="AL826" s="207"/>
      <c r="AM826" s="207"/>
      <c r="AN826" s="207"/>
      <c r="AO826" s="207"/>
      <c r="AP826" s="207"/>
      <c r="AQ826" s="207"/>
      <c r="AR826" s="207"/>
      <c r="AS826" s="207"/>
      <c r="AT826" s="207"/>
      <c r="AU826" s="207"/>
      <c r="AV826" s="207"/>
      <c r="AW826" s="207"/>
      <c r="AX826" s="207"/>
      <c r="AY826" s="207"/>
      <c r="AZ826" s="207"/>
      <c r="BA826" s="207"/>
    </row>
    <row r="827" ht="18.75" hidden="1" customHeight="1">
      <c r="A827" s="207"/>
      <c r="B827" s="207"/>
      <c r="C827" s="207"/>
      <c r="D827" s="207"/>
      <c r="E827" s="207"/>
      <c r="F827" s="207"/>
      <c r="G827" s="207"/>
      <c r="H827" s="207"/>
      <c r="I827" s="207"/>
      <c r="J827" s="207"/>
      <c r="K827" s="207"/>
      <c r="L827" s="207"/>
      <c r="M827" s="207"/>
      <c r="N827" s="207"/>
      <c r="O827" s="207"/>
      <c r="P827" s="207"/>
      <c r="Q827" s="207"/>
      <c r="R827" s="207"/>
      <c r="S827" s="207"/>
      <c r="T827" s="207"/>
      <c r="U827" s="207"/>
      <c r="V827" s="207"/>
      <c r="W827" s="207"/>
      <c r="X827" s="207"/>
      <c r="Y827" s="207"/>
      <c r="Z827" s="207"/>
      <c r="AA827" s="207"/>
      <c r="AB827" s="207"/>
      <c r="AC827" s="207"/>
      <c r="AD827" s="207"/>
      <c r="AE827" s="207"/>
      <c r="AF827" s="207"/>
      <c r="AG827" s="207"/>
      <c r="AH827" s="207"/>
      <c r="AI827" s="207"/>
      <c r="AJ827" s="207"/>
      <c r="AK827" s="207"/>
      <c r="AL827" s="207"/>
      <c r="AM827" s="207"/>
      <c r="AN827" s="207"/>
      <c r="AO827" s="207"/>
      <c r="AP827" s="207"/>
      <c r="AQ827" s="207"/>
      <c r="AR827" s="207"/>
      <c r="AS827" s="207"/>
      <c r="AT827" s="207"/>
      <c r="AU827" s="207"/>
      <c r="AV827" s="207"/>
      <c r="AW827" s="207"/>
      <c r="AX827" s="207"/>
      <c r="AY827" s="207"/>
      <c r="AZ827" s="207"/>
      <c r="BA827" s="207"/>
    </row>
    <row r="828" ht="18.75" hidden="1" customHeight="1">
      <c r="A828" s="207"/>
      <c r="B828" s="207"/>
      <c r="C828" s="207"/>
      <c r="D828" s="207"/>
      <c r="E828" s="207"/>
      <c r="F828" s="207"/>
      <c r="G828" s="207"/>
      <c r="H828" s="207"/>
      <c r="I828" s="207"/>
      <c r="J828" s="207"/>
      <c r="K828" s="207"/>
      <c r="L828" s="207"/>
      <c r="M828" s="207"/>
      <c r="N828" s="207"/>
      <c r="O828" s="207"/>
      <c r="P828" s="207"/>
      <c r="Q828" s="207"/>
      <c r="R828" s="207"/>
      <c r="S828" s="207"/>
      <c r="T828" s="207"/>
      <c r="U828" s="207"/>
      <c r="V828" s="207"/>
      <c r="W828" s="207"/>
      <c r="X828" s="207"/>
      <c r="Y828" s="207"/>
      <c r="Z828" s="207"/>
      <c r="AA828" s="207"/>
      <c r="AB828" s="207"/>
      <c r="AC828" s="207"/>
      <c r="AD828" s="207"/>
      <c r="AE828" s="207"/>
      <c r="AF828" s="207"/>
      <c r="AG828" s="207"/>
      <c r="AH828" s="207"/>
      <c r="AI828" s="207"/>
      <c r="AJ828" s="207"/>
      <c r="AK828" s="207"/>
      <c r="AL828" s="207"/>
      <c r="AM828" s="207"/>
      <c r="AN828" s="207"/>
      <c r="AO828" s="207"/>
      <c r="AP828" s="207"/>
      <c r="AQ828" s="207"/>
      <c r="AR828" s="207"/>
      <c r="AS828" s="207"/>
      <c r="AT828" s="207"/>
      <c r="AU828" s="207"/>
      <c r="AV828" s="207"/>
      <c r="AW828" s="207"/>
      <c r="AX828" s="207"/>
      <c r="AY828" s="207"/>
      <c r="AZ828" s="207"/>
      <c r="BA828" s="207"/>
    </row>
    <row r="829" ht="18.75" hidden="1" customHeight="1">
      <c r="A829" s="207"/>
      <c r="B829" s="207"/>
      <c r="C829" s="207"/>
      <c r="D829" s="207"/>
      <c r="E829" s="207"/>
      <c r="F829" s="207"/>
      <c r="G829" s="207"/>
      <c r="H829" s="207"/>
      <c r="I829" s="207"/>
      <c r="J829" s="207"/>
      <c r="K829" s="207"/>
      <c r="L829" s="207"/>
      <c r="M829" s="207"/>
      <c r="N829" s="207"/>
      <c r="O829" s="207"/>
      <c r="P829" s="207"/>
      <c r="Q829" s="207"/>
      <c r="R829" s="207"/>
      <c r="S829" s="207"/>
      <c r="T829" s="207"/>
      <c r="U829" s="207"/>
      <c r="V829" s="207"/>
      <c r="W829" s="207"/>
      <c r="X829" s="207"/>
      <c r="Y829" s="207"/>
      <c r="Z829" s="207"/>
      <c r="AA829" s="207"/>
      <c r="AB829" s="207"/>
      <c r="AC829" s="207"/>
      <c r="AD829" s="207"/>
      <c r="AE829" s="207"/>
      <c r="AF829" s="207"/>
      <c r="AG829" s="207"/>
      <c r="AH829" s="207"/>
      <c r="AI829" s="207"/>
      <c r="AJ829" s="207"/>
      <c r="AK829" s="207"/>
      <c r="AL829" s="207"/>
      <c r="AM829" s="207"/>
      <c r="AN829" s="207"/>
      <c r="AO829" s="207"/>
      <c r="AP829" s="207"/>
      <c r="AQ829" s="207"/>
      <c r="AR829" s="207"/>
      <c r="AS829" s="207"/>
      <c r="AT829" s="207"/>
      <c r="AU829" s="207"/>
      <c r="AV829" s="207"/>
      <c r="AW829" s="207"/>
      <c r="AX829" s="207"/>
      <c r="AY829" s="207"/>
      <c r="AZ829" s="207"/>
      <c r="BA829" s="207"/>
    </row>
    <row r="830" ht="18.75" hidden="1" customHeight="1">
      <c r="A830" s="207"/>
      <c r="B830" s="207"/>
      <c r="C830" s="207"/>
      <c r="D830" s="207"/>
      <c r="E830" s="207"/>
      <c r="F830" s="207"/>
      <c r="G830" s="207"/>
      <c r="H830" s="207"/>
      <c r="I830" s="207"/>
      <c r="J830" s="207"/>
      <c r="K830" s="207"/>
      <c r="L830" s="207"/>
      <c r="M830" s="207"/>
      <c r="N830" s="207"/>
      <c r="O830" s="207"/>
      <c r="P830" s="207"/>
      <c r="Q830" s="207"/>
      <c r="R830" s="207"/>
      <c r="S830" s="207"/>
      <c r="T830" s="207"/>
      <c r="U830" s="207"/>
      <c r="V830" s="207"/>
      <c r="W830" s="207"/>
      <c r="X830" s="207"/>
      <c r="Y830" s="207"/>
      <c r="Z830" s="207"/>
      <c r="AA830" s="207"/>
      <c r="AB830" s="207"/>
      <c r="AC830" s="207"/>
      <c r="AD830" s="207"/>
      <c r="AE830" s="207"/>
      <c r="AF830" s="207"/>
      <c r="AG830" s="207"/>
      <c r="AH830" s="207"/>
      <c r="AI830" s="207"/>
      <c r="AJ830" s="207"/>
      <c r="AK830" s="207"/>
      <c r="AL830" s="207"/>
      <c r="AM830" s="207"/>
      <c r="AN830" s="207"/>
      <c r="AO830" s="207"/>
      <c r="AP830" s="207"/>
      <c r="AQ830" s="207"/>
      <c r="AR830" s="207"/>
      <c r="AS830" s="207"/>
      <c r="AT830" s="207"/>
      <c r="AU830" s="207"/>
      <c r="AV830" s="207"/>
      <c r="AW830" s="207"/>
      <c r="AX830" s="207"/>
      <c r="AY830" s="207"/>
      <c r="AZ830" s="207"/>
      <c r="BA830" s="207"/>
    </row>
    <row r="831" ht="18.75" hidden="1" customHeight="1">
      <c r="A831" s="207"/>
      <c r="B831" s="207"/>
      <c r="C831" s="207"/>
      <c r="D831" s="207"/>
      <c r="E831" s="207"/>
      <c r="F831" s="207"/>
      <c r="G831" s="207"/>
      <c r="H831" s="207"/>
      <c r="I831" s="207"/>
      <c r="J831" s="207"/>
      <c r="K831" s="207"/>
      <c r="L831" s="207"/>
      <c r="M831" s="207"/>
      <c r="N831" s="207"/>
      <c r="O831" s="207"/>
      <c r="P831" s="207"/>
      <c r="Q831" s="207"/>
      <c r="R831" s="207"/>
      <c r="S831" s="207"/>
      <c r="T831" s="207"/>
      <c r="U831" s="207"/>
      <c r="V831" s="207"/>
      <c r="W831" s="207"/>
      <c r="X831" s="207"/>
      <c r="Y831" s="207"/>
      <c r="Z831" s="207"/>
      <c r="AA831" s="207"/>
      <c r="AB831" s="207"/>
      <c r="AC831" s="207"/>
      <c r="AD831" s="207"/>
      <c r="AE831" s="207"/>
      <c r="AF831" s="207"/>
      <c r="AG831" s="207"/>
      <c r="AH831" s="207"/>
      <c r="AI831" s="207"/>
      <c r="AJ831" s="207"/>
      <c r="AK831" s="207"/>
      <c r="AL831" s="207"/>
      <c r="AM831" s="207"/>
      <c r="AN831" s="207"/>
      <c r="AO831" s="207"/>
      <c r="AP831" s="207"/>
      <c r="AQ831" s="207"/>
      <c r="AR831" s="207"/>
      <c r="AS831" s="207"/>
      <c r="AT831" s="207"/>
      <c r="AU831" s="207"/>
      <c r="AV831" s="207"/>
      <c r="AW831" s="207"/>
      <c r="AX831" s="207"/>
      <c r="AY831" s="207"/>
      <c r="AZ831" s="207"/>
      <c r="BA831" s="207"/>
    </row>
    <row r="832" ht="18.75" hidden="1" customHeight="1">
      <c r="A832" s="207"/>
      <c r="B832" s="207"/>
      <c r="C832" s="207"/>
      <c r="D832" s="207"/>
      <c r="E832" s="207"/>
      <c r="F832" s="207"/>
      <c r="G832" s="207"/>
      <c r="H832" s="207"/>
      <c r="I832" s="207"/>
      <c r="J832" s="207"/>
      <c r="K832" s="207"/>
      <c r="L832" s="207"/>
      <c r="M832" s="207"/>
      <c r="N832" s="207"/>
      <c r="O832" s="207"/>
      <c r="P832" s="207"/>
      <c r="Q832" s="207"/>
      <c r="R832" s="207"/>
      <c r="S832" s="207"/>
      <c r="T832" s="207"/>
      <c r="U832" s="207"/>
      <c r="V832" s="207"/>
      <c r="W832" s="207"/>
      <c r="X832" s="207"/>
      <c r="Y832" s="207"/>
      <c r="Z832" s="207"/>
      <c r="AA832" s="207"/>
      <c r="AB832" s="207"/>
      <c r="AC832" s="207"/>
      <c r="AD832" s="207"/>
      <c r="AE832" s="207"/>
      <c r="AF832" s="207"/>
      <c r="AG832" s="207"/>
      <c r="AH832" s="207"/>
      <c r="AI832" s="207"/>
      <c r="AJ832" s="207"/>
      <c r="AK832" s="207"/>
      <c r="AL832" s="207"/>
      <c r="AM832" s="207"/>
      <c r="AN832" s="207"/>
      <c r="AO832" s="207"/>
      <c r="AP832" s="207"/>
      <c r="AQ832" s="207"/>
      <c r="AR832" s="207"/>
      <c r="AS832" s="207"/>
      <c r="AT832" s="207"/>
      <c r="AU832" s="207"/>
      <c r="AV832" s="207"/>
      <c r="AW832" s="207"/>
      <c r="AX832" s="207"/>
      <c r="AY832" s="207"/>
      <c r="AZ832" s="207"/>
      <c r="BA832" s="207"/>
    </row>
    <row r="833" ht="18.75" hidden="1" customHeight="1">
      <c r="A833" s="207"/>
      <c r="B833" s="207"/>
      <c r="C833" s="207"/>
      <c r="D833" s="207"/>
      <c r="E833" s="207"/>
      <c r="F833" s="207"/>
      <c r="G833" s="207"/>
      <c r="H833" s="207"/>
      <c r="I833" s="207"/>
      <c r="J833" s="207"/>
      <c r="K833" s="207"/>
      <c r="L833" s="207"/>
      <c r="M833" s="207"/>
      <c r="N833" s="207"/>
      <c r="O833" s="207"/>
      <c r="P833" s="207"/>
      <c r="Q833" s="207"/>
      <c r="R833" s="207"/>
      <c r="S833" s="207"/>
      <c r="T833" s="207"/>
      <c r="U833" s="207"/>
      <c r="V833" s="207"/>
      <c r="W833" s="207"/>
      <c r="X833" s="207"/>
      <c r="Y833" s="207"/>
      <c r="Z833" s="207"/>
      <c r="AA833" s="207"/>
      <c r="AB833" s="207"/>
      <c r="AC833" s="207"/>
      <c r="AD833" s="207"/>
      <c r="AE833" s="207"/>
      <c r="AF833" s="207"/>
      <c r="AG833" s="207"/>
      <c r="AH833" s="207"/>
      <c r="AI833" s="207"/>
      <c r="AJ833" s="207"/>
      <c r="AK833" s="207"/>
      <c r="AL833" s="207"/>
      <c r="AM833" s="207"/>
      <c r="AN833" s="207"/>
      <c r="AO833" s="207"/>
      <c r="AP833" s="207"/>
      <c r="AQ833" s="207"/>
      <c r="AR833" s="207"/>
      <c r="AS833" s="207"/>
      <c r="AT833" s="207"/>
      <c r="AU833" s="207"/>
      <c r="AV833" s="207"/>
      <c r="AW833" s="207"/>
      <c r="AX833" s="207"/>
      <c r="AY833" s="207"/>
      <c r="AZ833" s="207"/>
      <c r="BA833" s="207"/>
    </row>
    <row r="834" ht="18.75" hidden="1" customHeight="1">
      <c r="A834" s="207"/>
      <c r="B834" s="207"/>
      <c r="C834" s="207"/>
      <c r="D834" s="207"/>
      <c r="E834" s="207"/>
      <c r="F834" s="207"/>
      <c r="G834" s="207"/>
      <c r="H834" s="207"/>
      <c r="I834" s="207"/>
      <c r="J834" s="207"/>
      <c r="K834" s="207"/>
      <c r="L834" s="207"/>
      <c r="M834" s="207"/>
      <c r="N834" s="207"/>
      <c r="O834" s="207"/>
      <c r="P834" s="207"/>
      <c r="Q834" s="207"/>
      <c r="R834" s="207"/>
      <c r="S834" s="207"/>
      <c r="T834" s="207"/>
      <c r="U834" s="207"/>
      <c r="V834" s="207"/>
      <c r="W834" s="207"/>
      <c r="X834" s="207"/>
      <c r="Y834" s="207"/>
      <c r="Z834" s="207"/>
      <c r="AA834" s="207"/>
      <c r="AB834" s="207"/>
      <c r="AC834" s="207"/>
      <c r="AD834" s="207"/>
      <c r="AE834" s="207"/>
      <c r="AF834" s="207"/>
      <c r="AG834" s="207"/>
      <c r="AH834" s="207"/>
      <c r="AI834" s="207"/>
      <c r="AJ834" s="207"/>
      <c r="AK834" s="207"/>
      <c r="AL834" s="207"/>
      <c r="AM834" s="207"/>
      <c r="AN834" s="207"/>
      <c r="AO834" s="207"/>
      <c r="AP834" s="207"/>
      <c r="AQ834" s="207"/>
      <c r="AR834" s="207"/>
      <c r="AS834" s="207"/>
      <c r="AT834" s="207"/>
      <c r="AU834" s="207"/>
      <c r="AV834" s="207"/>
      <c r="AW834" s="207"/>
      <c r="AX834" s="207"/>
      <c r="AY834" s="207"/>
      <c r="AZ834" s="207"/>
      <c r="BA834" s="207"/>
    </row>
    <row r="835" ht="18.75" hidden="1" customHeight="1">
      <c r="A835" s="207"/>
      <c r="B835" s="207"/>
      <c r="C835" s="207"/>
      <c r="D835" s="207"/>
      <c r="E835" s="207"/>
      <c r="F835" s="207"/>
      <c r="G835" s="207"/>
      <c r="H835" s="207"/>
      <c r="I835" s="207"/>
      <c r="J835" s="207"/>
      <c r="K835" s="207"/>
      <c r="L835" s="207"/>
      <c r="M835" s="207"/>
      <c r="N835" s="207"/>
      <c r="O835" s="207"/>
      <c r="P835" s="207"/>
      <c r="Q835" s="207"/>
      <c r="R835" s="207"/>
      <c r="S835" s="207"/>
      <c r="T835" s="207"/>
      <c r="U835" s="207"/>
      <c r="V835" s="207"/>
      <c r="W835" s="207"/>
      <c r="X835" s="207"/>
      <c r="Y835" s="207"/>
      <c r="Z835" s="207"/>
      <c r="AA835" s="207"/>
      <c r="AB835" s="207"/>
      <c r="AC835" s="207"/>
      <c r="AD835" s="207"/>
      <c r="AE835" s="207"/>
      <c r="AF835" s="207"/>
      <c r="AG835" s="207"/>
      <c r="AH835" s="207"/>
      <c r="AI835" s="207"/>
      <c r="AJ835" s="207"/>
      <c r="AK835" s="207"/>
      <c r="AL835" s="207"/>
      <c r="AM835" s="207"/>
      <c r="AN835" s="207"/>
      <c r="AO835" s="207"/>
      <c r="AP835" s="207"/>
      <c r="AQ835" s="207"/>
      <c r="AR835" s="207"/>
      <c r="AS835" s="207"/>
      <c r="AT835" s="207"/>
      <c r="AU835" s="207"/>
      <c r="AV835" s="207"/>
      <c r="AW835" s="207"/>
      <c r="AX835" s="207"/>
      <c r="AY835" s="207"/>
      <c r="AZ835" s="207"/>
      <c r="BA835" s="207"/>
    </row>
    <row r="836" ht="18.75" hidden="1" customHeight="1">
      <c r="A836" s="207"/>
      <c r="B836" s="207"/>
      <c r="C836" s="207"/>
      <c r="D836" s="207"/>
      <c r="E836" s="207"/>
      <c r="F836" s="207"/>
      <c r="G836" s="207"/>
      <c r="H836" s="207"/>
      <c r="I836" s="207"/>
      <c r="J836" s="207"/>
      <c r="K836" s="207"/>
      <c r="L836" s="207"/>
      <c r="M836" s="207"/>
      <c r="N836" s="207"/>
      <c r="O836" s="207"/>
      <c r="P836" s="207"/>
      <c r="Q836" s="207"/>
      <c r="R836" s="207"/>
      <c r="S836" s="207"/>
      <c r="T836" s="207"/>
      <c r="U836" s="207"/>
      <c r="V836" s="207"/>
      <c r="W836" s="207"/>
      <c r="X836" s="207"/>
      <c r="Y836" s="207"/>
      <c r="Z836" s="207"/>
      <c r="AA836" s="207"/>
      <c r="AB836" s="207"/>
      <c r="AC836" s="207"/>
      <c r="AD836" s="207"/>
      <c r="AE836" s="207"/>
      <c r="AF836" s="207"/>
      <c r="AG836" s="207"/>
      <c r="AH836" s="207"/>
      <c r="AI836" s="207"/>
      <c r="AJ836" s="207"/>
      <c r="AK836" s="207"/>
      <c r="AL836" s="207"/>
      <c r="AM836" s="207"/>
      <c r="AN836" s="207"/>
      <c r="AO836" s="207"/>
      <c r="AP836" s="207"/>
      <c r="AQ836" s="207"/>
      <c r="AR836" s="207"/>
      <c r="AS836" s="207"/>
      <c r="AT836" s="207"/>
      <c r="AU836" s="207"/>
      <c r="AV836" s="207"/>
      <c r="AW836" s="207"/>
      <c r="AX836" s="207"/>
      <c r="AY836" s="207"/>
      <c r="AZ836" s="207"/>
      <c r="BA836" s="207"/>
    </row>
    <row r="837" ht="18.75" hidden="1" customHeight="1">
      <c r="A837" s="207"/>
      <c r="B837" s="207"/>
      <c r="C837" s="207"/>
      <c r="D837" s="207"/>
      <c r="E837" s="207"/>
      <c r="F837" s="207"/>
      <c r="G837" s="207"/>
      <c r="H837" s="207"/>
      <c r="I837" s="207"/>
      <c r="J837" s="207"/>
      <c r="K837" s="207"/>
      <c r="L837" s="207"/>
      <c r="M837" s="207"/>
      <c r="N837" s="207"/>
      <c r="O837" s="207"/>
      <c r="P837" s="207"/>
      <c r="Q837" s="207"/>
      <c r="R837" s="207"/>
      <c r="S837" s="207"/>
      <c r="T837" s="207"/>
      <c r="U837" s="207"/>
      <c r="V837" s="207"/>
      <c r="W837" s="207"/>
      <c r="X837" s="207"/>
      <c r="Y837" s="207"/>
      <c r="Z837" s="207"/>
      <c r="AA837" s="207"/>
      <c r="AB837" s="207"/>
      <c r="AC837" s="207"/>
      <c r="AD837" s="207"/>
      <c r="AE837" s="207"/>
      <c r="AF837" s="207"/>
      <c r="AG837" s="207"/>
      <c r="AH837" s="207"/>
      <c r="AI837" s="207"/>
      <c r="AJ837" s="207"/>
      <c r="AK837" s="207"/>
      <c r="AL837" s="207"/>
      <c r="AM837" s="207"/>
      <c r="AN837" s="207"/>
      <c r="AO837" s="207"/>
      <c r="AP837" s="207"/>
      <c r="AQ837" s="207"/>
      <c r="AR837" s="207"/>
      <c r="AS837" s="207"/>
      <c r="AT837" s="207"/>
      <c r="AU837" s="207"/>
      <c r="AV837" s="207"/>
      <c r="AW837" s="207"/>
      <c r="AX837" s="207"/>
      <c r="AY837" s="207"/>
      <c r="AZ837" s="207"/>
      <c r="BA837" s="207"/>
    </row>
    <row r="838" ht="18.75" hidden="1" customHeight="1">
      <c r="A838" s="207"/>
      <c r="B838" s="207"/>
      <c r="C838" s="207"/>
      <c r="D838" s="207"/>
      <c r="E838" s="207"/>
      <c r="F838" s="207"/>
      <c r="G838" s="207"/>
      <c r="H838" s="207"/>
      <c r="I838" s="207"/>
      <c r="J838" s="207"/>
      <c r="K838" s="207"/>
      <c r="L838" s="207"/>
      <c r="M838" s="207"/>
      <c r="N838" s="207"/>
      <c r="O838" s="207"/>
      <c r="P838" s="207"/>
      <c r="Q838" s="207"/>
      <c r="R838" s="207"/>
      <c r="S838" s="207"/>
      <c r="T838" s="207"/>
      <c r="U838" s="207"/>
      <c r="V838" s="207"/>
      <c r="W838" s="207"/>
      <c r="X838" s="207"/>
      <c r="Y838" s="207"/>
      <c r="Z838" s="207"/>
      <c r="AA838" s="207"/>
      <c r="AB838" s="207"/>
      <c r="AC838" s="207"/>
      <c r="AD838" s="207"/>
      <c r="AE838" s="207"/>
      <c r="AF838" s="207"/>
      <c r="AG838" s="207"/>
      <c r="AH838" s="207"/>
      <c r="AI838" s="207"/>
      <c r="AJ838" s="207"/>
      <c r="AK838" s="207"/>
      <c r="AL838" s="207"/>
      <c r="AM838" s="207"/>
      <c r="AN838" s="207"/>
      <c r="AO838" s="207"/>
      <c r="AP838" s="207"/>
      <c r="AQ838" s="207"/>
      <c r="AR838" s="207"/>
      <c r="AS838" s="207"/>
      <c r="AT838" s="207"/>
      <c r="AU838" s="207"/>
      <c r="AV838" s="207"/>
      <c r="AW838" s="207"/>
      <c r="AX838" s="207"/>
      <c r="AY838" s="207"/>
      <c r="AZ838" s="207"/>
      <c r="BA838" s="207"/>
    </row>
    <row r="839" ht="18.75" hidden="1" customHeight="1">
      <c r="A839" s="207"/>
      <c r="B839" s="207"/>
      <c r="C839" s="207"/>
      <c r="D839" s="207"/>
      <c r="E839" s="207"/>
      <c r="F839" s="207"/>
      <c r="G839" s="207"/>
      <c r="H839" s="207"/>
      <c r="I839" s="207"/>
      <c r="J839" s="207"/>
      <c r="K839" s="207"/>
      <c r="L839" s="207"/>
      <c r="M839" s="207"/>
      <c r="N839" s="207"/>
      <c r="O839" s="207"/>
      <c r="P839" s="207"/>
      <c r="Q839" s="207"/>
      <c r="R839" s="207"/>
      <c r="S839" s="207"/>
      <c r="T839" s="207"/>
      <c r="U839" s="207"/>
      <c r="V839" s="207"/>
      <c r="W839" s="207"/>
      <c r="X839" s="207"/>
      <c r="Y839" s="207"/>
      <c r="Z839" s="207"/>
      <c r="AA839" s="207"/>
      <c r="AB839" s="207"/>
      <c r="AC839" s="207"/>
      <c r="AD839" s="207"/>
      <c r="AE839" s="207"/>
      <c r="AF839" s="207"/>
      <c r="AG839" s="207"/>
      <c r="AH839" s="207"/>
      <c r="AI839" s="207"/>
      <c r="AJ839" s="207"/>
      <c r="AK839" s="207"/>
      <c r="AL839" s="207"/>
      <c r="AM839" s="207"/>
      <c r="AN839" s="207"/>
      <c r="AO839" s="207"/>
      <c r="AP839" s="207"/>
      <c r="AQ839" s="207"/>
      <c r="AR839" s="207"/>
      <c r="AS839" s="207"/>
      <c r="AT839" s="207"/>
      <c r="AU839" s="207"/>
      <c r="AV839" s="207"/>
      <c r="AW839" s="207"/>
      <c r="AX839" s="207"/>
      <c r="AY839" s="207"/>
      <c r="AZ839" s="207"/>
      <c r="BA839" s="207"/>
    </row>
    <row r="840" ht="18.75" hidden="1" customHeight="1">
      <c r="A840" s="207"/>
      <c r="B840" s="207"/>
      <c r="C840" s="207"/>
      <c r="D840" s="207"/>
      <c r="E840" s="207"/>
      <c r="F840" s="207"/>
      <c r="G840" s="207"/>
      <c r="H840" s="207"/>
      <c r="I840" s="207"/>
      <c r="J840" s="207"/>
      <c r="K840" s="207"/>
      <c r="L840" s="207"/>
      <c r="M840" s="207"/>
      <c r="N840" s="207"/>
      <c r="O840" s="207"/>
      <c r="P840" s="207"/>
      <c r="Q840" s="207"/>
      <c r="R840" s="207"/>
      <c r="S840" s="207"/>
      <c r="T840" s="207"/>
      <c r="U840" s="207"/>
      <c r="V840" s="207"/>
      <c r="W840" s="207"/>
      <c r="X840" s="207"/>
      <c r="Y840" s="207"/>
      <c r="Z840" s="207"/>
      <c r="AA840" s="207"/>
      <c r="AB840" s="207"/>
      <c r="AC840" s="207"/>
      <c r="AD840" s="207"/>
      <c r="AE840" s="207"/>
      <c r="AF840" s="207"/>
      <c r="AG840" s="207"/>
      <c r="AH840" s="207"/>
      <c r="AI840" s="207"/>
      <c r="AJ840" s="207"/>
      <c r="AK840" s="207"/>
      <c r="AL840" s="207"/>
      <c r="AM840" s="207"/>
      <c r="AN840" s="207"/>
      <c r="AO840" s="207"/>
      <c r="AP840" s="207"/>
      <c r="AQ840" s="207"/>
      <c r="AR840" s="207"/>
      <c r="AS840" s="207"/>
      <c r="AT840" s="207"/>
      <c r="AU840" s="207"/>
      <c r="AV840" s="207"/>
      <c r="AW840" s="207"/>
      <c r="AX840" s="207"/>
      <c r="AY840" s="207"/>
      <c r="AZ840" s="207"/>
      <c r="BA840" s="207"/>
    </row>
    <row r="841" ht="18.75" hidden="1" customHeight="1">
      <c r="A841" s="207"/>
      <c r="B841" s="207"/>
      <c r="C841" s="207"/>
      <c r="D841" s="207"/>
      <c r="E841" s="207"/>
      <c r="F841" s="207"/>
      <c r="G841" s="207"/>
      <c r="H841" s="207"/>
      <c r="I841" s="207"/>
      <c r="J841" s="207"/>
      <c r="K841" s="207"/>
      <c r="L841" s="207"/>
      <c r="M841" s="207"/>
      <c r="N841" s="207"/>
      <c r="O841" s="207"/>
      <c r="P841" s="207"/>
      <c r="Q841" s="207"/>
      <c r="R841" s="207"/>
      <c r="S841" s="207"/>
      <c r="T841" s="207"/>
      <c r="U841" s="207"/>
      <c r="V841" s="207"/>
      <c r="W841" s="207"/>
      <c r="X841" s="207"/>
      <c r="Y841" s="207"/>
      <c r="Z841" s="207"/>
      <c r="AA841" s="207"/>
      <c r="AB841" s="207"/>
      <c r="AC841" s="207"/>
      <c r="AD841" s="207"/>
      <c r="AE841" s="207"/>
      <c r="AF841" s="207"/>
      <c r="AG841" s="207"/>
      <c r="AH841" s="207"/>
      <c r="AI841" s="207"/>
      <c r="AJ841" s="207"/>
      <c r="AK841" s="207"/>
      <c r="AL841" s="207"/>
      <c r="AM841" s="207"/>
      <c r="AN841" s="207"/>
      <c r="AO841" s="207"/>
      <c r="AP841" s="207"/>
      <c r="AQ841" s="207"/>
      <c r="AR841" s="207"/>
      <c r="AS841" s="207"/>
      <c r="AT841" s="207"/>
      <c r="AU841" s="207"/>
      <c r="AV841" s="207"/>
      <c r="AW841" s="207"/>
      <c r="AX841" s="207"/>
      <c r="AY841" s="207"/>
      <c r="AZ841" s="207"/>
      <c r="BA841" s="207"/>
    </row>
    <row r="842" ht="18.75" hidden="1" customHeight="1">
      <c r="A842" s="207"/>
      <c r="B842" s="207"/>
      <c r="C842" s="207"/>
      <c r="D842" s="207"/>
      <c r="E842" s="207"/>
      <c r="F842" s="207"/>
      <c r="G842" s="207"/>
      <c r="H842" s="207"/>
      <c r="I842" s="207"/>
      <c r="J842" s="207"/>
      <c r="K842" s="207"/>
      <c r="L842" s="207"/>
      <c r="M842" s="207"/>
      <c r="N842" s="207"/>
      <c r="O842" s="207"/>
      <c r="P842" s="207"/>
      <c r="Q842" s="207"/>
      <c r="R842" s="207"/>
      <c r="S842" s="207"/>
      <c r="T842" s="207"/>
      <c r="U842" s="207"/>
      <c r="V842" s="207"/>
      <c r="W842" s="207"/>
      <c r="X842" s="207"/>
      <c r="Y842" s="207"/>
      <c r="Z842" s="207"/>
      <c r="AA842" s="207"/>
      <c r="AB842" s="207"/>
      <c r="AC842" s="207"/>
      <c r="AD842" s="207"/>
      <c r="AE842" s="207"/>
      <c r="AF842" s="207"/>
      <c r="AG842" s="207"/>
      <c r="AH842" s="207"/>
      <c r="AI842" s="207"/>
      <c r="AJ842" s="207"/>
      <c r="AK842" s="207"/>
      <c r="AL842" s="207"/>
      <c r="AM842" s="207"/>
      <c r="AN842" s="207"/>
      <c r="AO842" s="207"/>
      <c r="AP842" s="207"/>
      <c r="AQ842" s="207"/>
      <c r="AR842" s="207"/>
      <c r="AS842" s="207"/>
      <c r="AT842" s="207"/>
      <c r="AU842" s="207"/>
      <c r="AV842" s="207"/>
      <c r="AW842" s="207"/>
      <c r="AX842" s="207"/>
      <c r="AY842" s="207"/>
      <c r="AZ842" s="207"/>
      <c r="BA842" s="207"/>
    </row>
    <row r="843" ht="18.75" hidden="1" customHeight="1">
      <c r="A843" s="207"/>
      <c r="B843" s="207"/>
      <c r="C843" s="207"/>
      <c r="D843" s="207"/>
      <c r="E843" s="207"/>
      <c r="F843" s="207"/>
      <c r="G843" s="207"/>
      <c r="H843" s="207"/>
      <c r="I843" s="207"/>
      <c r="J843" s="207"/>
      <c r="K843" s="207"/>
      <c r="L843" s="207"/>
      <c r="M843" s="207"/>
      <c r="N843" s="207"/>
      <c r="O843" s="207"/>
      <c r="P843" s="207"/>
      <c r="Q843" s="207"/>
      <c r="R843" s="207"/>
      <c r="S843" s="207"/>
      <c r="T843" s="207"/>
      <c r="U843" s="207"/>
      <c r="V843" s="207"/>
      <c r="W843" s="207"/>
      <c r="X843" s="207"/>
      <c r="Y843" s="207"/>
      <c r="Z843" s="207"/>
      <c r="AA843" s="207"/>
      <c r="AB843" s="207"/>
      <c r="AC843" s="207"/>
      <c r="AD843" s="207"/>
      <c r="AE843" s="207"/>
      <c r="AF843" s="207"/>
      <c r="AG843" s="207"/>
      <c r="AH843" s="207"/>
      <c r="AI843" s="207"/>
      <c r="AJ843" s="207"/>
      <c r="AK843" s="207"/>
      <c r="AL843" s="207"/>
      <c r="AM843" s="207"/>
      <c r="AN843" s="207"/>
      <c r="AO843" s="207"/>
      <c r="AP843" s="207"/>
      <c r="AQ843" s="207"/>
      <c r="AR843" s="207"/>
      <c r="AS843" s="207"/>
      <c r="AT843" s="207"/>
      <c r="AU843" s="207"/>
      <c r="AV843" s="207"/>
      <c r="AW843" s="207"/>
      <c r="AX843" s="207"/>
      <c r="AY843" s="207"/>
      <c r="AZ843" s="207"/>
      <c r="BA843" s="207"/>
    </row>
    <row r="844" ht="18.75" hidden="1" customHeight="1">
      <c r="A844" s="207"/>
      <c r="B844" s="207"/>
      <c r="C844" s="207"/>
      <c r="D844" s="207"/>
      <c r="E844" s="207"/>
      <c r="F844" s="207"/>
      <c r="G844" s="207"/>
      <c r="H844" s="207"/>
      <c r="I844" s="207"/>
      <c r="J844" s="207"/>
      <c r="K844" s="207"/>
      <c r="L844" s="207"/>
      <c r="M844" s="207"/>
      <c r="N844" s="207"/>
      <c r="O844" s="207"/>
      <c r="P844" s="207"/>
      <c r="Q844" s="207"/>
      <c r="R844" s="207"/>
      <c r="S844" s="207"/>
      <c r="T844" s="207"/>
      <c r="U844" s="207"/>
      <c r="V844" s="207"/>
      <c r="W844" s="207"/>
      <c r="X844" s="207"/>
      <c r="Y844" s="207"/>
      <c r="Z844" s="207"/>
      <c r="AA844" s="207"/>
      <c r="AB844" s="207"/>
      <c r="AC844" s="207"/>
      <c r="AD844" s="207"/>
      <c r="AE844" s="207"/>
      <c r="AF844" s="207"/>
      <c r="AG844" s="207"/>
      <c r="AH844" s="207"/>
      <c r="AI844" s="207"/>
      <c r="AJ844" s="207"/>
      <c r="AK844" s="207"/>
      <c r="AL844" s="207"/>
      <c r="AM844" s="207"/>
      <c r="AN844" s="207"/>
      <c r="AO844" s="207"/>
      <c r="AP844" s="207"/>
      <c r="AQ844" s="207"/>
      <c r="AR844" s="207"/>
      <c r="AS844" s="207"/>
      <c r="AT844" s="207"/>
      <c r="AU844" s="207"/>
      <c r="AV844" s="207"/>
      <c r="AW844" s="207"/>
      <c r="AX844" s="207"/>
      <c r="AY844" s="207"/>
      <c r="AZ844" s="207"/>
      <c r="BA844" s="207"/>
    </row>
    <row r="845" ht="18.75" hidden="1" customHeight="1">
      <c r="A845" s="207"/>
      <c r="B845" s="207"/>
      <c r="C845" s="207"/>
      <c r="D845" s="207"/>
      <c r="E845" s="207"/>
      <c r="F845" s="207"/>
      <c r="G845" s="207"/>
      <c r="H845" s="207"/>
      <c r="I845" s="207"/>
      <c r="J845" s="207"/>
      <c r="K845" s="207"/>
      <c r="L845" s="207"/>
      <c r="M845" s="207"/>
      <c r="N845" s="207"/>
      <c r="O845" s="207"/>
      <c r="P845" s="207"/>
      <c r="Q845" s="207"/>
      <c r="R845" s="207"/>
      <c r="S845" s="207"/>
      <c r="T845" s="207"/>
      <c r="U845" s="207"/>
      <c r="V845" s="207"/>
      <c r="W845" s="207"/>
      <c r="X845" s="207"/>
      <c r="Y845" s="207"/>
      <c r="Z845" s="207"/>
      <c r="AA845" s="207"/>
      <c r="AB845" s="207"/>
      <c r="AC845" s="207"/>
      <c r="AD845" s="207"/>
      <c r="AE845" s="207"/>
      <c r="AF845" s="207"/>
      <c r="AG845" s="207"/>
      <c r="AH845" s="207"/>
      <c r="AI845" s="207"/>
      <c r="AJ845" s="207"/>
      <c r="AK845" s="207"/>
      <c r="AL845" s="207"/>
      <c r="AM845" s="207"/>
      <c r="AN845" s="207"/>
      <c r="AO845" s="207"/>
      <c r="AP845" s="207"/>
      <c r="AQ845" s="207"/>
      <c r="AR845" s="207"/>
      <c r="AS845" s="207"/>
      <c r="AT845" s="207"/>
      <c r="AU845" s="207"/>
      <c r="AV845" s="207"/>
      <c r="AW845" s="207"/>
      <c r="AX845" s="207"/>
      <c r="AY845" s="207"/>
      <c r="AZ845" s="207"/>
      <c r="BA845" s="207"/>
    </row>
    <row r="846" ht="18.75" hidden="1" customHeight="1">
      <c r="A846" s="207"/>
      <c r="B846" s="207"/>
      <c r="C846" s="207"/>
      <c r="D846" s="207"/>
      <c r="E846" s="207"/>
      <c r="F846" s="207"/>
      <c r="G846" s="207"/>
      <c r="H846" s="207"/>
      <c r="I846" s="207"/>
      <c r="J846" s="207"/>
      <c r="K846" s="207"/>
      <c r="L846" s="207"/>
      <c r="M846" s="207"/>
      <c r="N846" s="207"/>
      <c r="O846" s="207"/>
      <c r="P846" s="207"/>
      <c r="Q846" s="207"/>
      <c r="R846" s="207"/>
      <c r="S846" s="207"/>
      <c r="T846" s="207"/>
      <c r="U846" s="207"/>
      <c r="V846" s="207"/>
      <c r="W846" s="207"/>
      <c r="X846" s="207"/>
      <c r="Y846" s="207"/>
      <c r="Z846" s="207"/>
      <c r="AA846" s="207"/>
      <c r="AB846" s="207"/>
      <c r="AC846" s="207"/>
      <c r="AD846" s="207"/>
      <c r="AE846" s="207"/>
      <c r="AF846" s="207"/>
      <c r="AG846" s="207"/>
      <c r="AH846" s="207"/>
      <c r="AI846" s="207"/>
      <c r="AJ846" s="207"/>
      <c r="AK846" s="207"/>
      <c r="AL846" s="207"/>
      <c r="AM846" s="207"/>
      <c r="AN846" s="207"/>
      <c r="AO846" s="207"/>
      <c r="AP846" s="207"/>
      <c r="AQ846" s="207"/>
      <c r="AR846" s="207"/>
      <c r="AS846" s="207"/>
      <c r="AT846" s="207"/>
      <c r="AU846" s="207"/>
      <c r="AV846" s="207"/>
      <c r="AW846" s="207"/>
      <c r="AX846" s="207"/>
      <c r="AY846" s="207"/>
      <c r="AZ846" s="207"/>
      <c r="BA846" s="207"/>
    </row>
    <row r="847" ht="18.75" hidden="1" customHeight="1">
      <c r="A847" s="207"/>
      <c r="B847" s="207"/>
      <c r="C847" s="207"/>
      <c r="D847" s="207"/>
      <c r="E847" s="207"/>
      <c r="F847" s="207"/>
      <c r="G847" s="207"/>
      <c r="H847" s="207"/>
      <c r="I847" s="207"/>
      <c r="J847" s="207"/>
      <c r="K847" s="207"/>
      <c r="L847" s="207"/>
      <c r="M847" s="207"/>
      <c r="N847" s="207"/>
      <c r="O847" s="207"/>
      <c r="P847" s="207"/>
      <c r="Q847" s="207"/>
      <c r="R847" s="207"/>
      <c r="S847" s="207"/>
      <c r="T847" s="207"/>
      <c r="U847" s="207"/>
      <c r="V847" s="207"/>
      <c r="W847" s="207"/>
      <c r="X847" s="207"/>
      <c r="Y847" s="207"/>
      <c r="Z847" s="207"/>
      <c r="AA847" s="207"/>
      <c r="AB847" s="207"/>
      <c r="AC847" s="207"/>
      <c r="AD847" s="207"/>
      <c r="AE847" s="207"/>
      <c r="AF847" s="207"/>
      <c r="AG847" s="207"/>
      <c r="AH847" s="207"/>
      <c r="AI847" s="207"/>
      <c r="AJ847" s="207"/>
      <c r="AK847" s="207"/>
      <c r="AL847" s="207"/>
      <c r="AM847" s="207"/>
      <c r="AN847" s="207"/>
      <c r="AO847" s="207"/>
      <c r="AP847" s="207"/>
      <c r="AQ847" s="207"/>
      <c r="AR847" s="207"/>
      <c r="AS847" s="207"/>
      <c r="AT847" s="207"/>
      <c r="AU847" s="207"/>
      <c r="AV847" s="207"/>
      <c r="AW847" s="207"/>
      <c r="AX847" s="207"/>
      <c r="AY847" s="207"/>
      <c r="AZ847" s="207"/>
      <c r="BA847" s="207"/>
    </row>
    <row r="848" ht="18.75" hidden="1" customHeight="1">
      <c r="A848" s="207"/>
      <c r="B848" s="207"/>
      <c r="C848" s="207"/>
      <c r="D848" s="207"/>
      <c r="E848" s="207"/>
      <c r="F848" s="207"/>
      <c r="G848" s="207"/>
      <c r="H848" s="207"/>
      <c r="I848" s="207"/>
      <c r="J848" s="207"/>
      <c r="K848" s="207"/>
      <c r="L848" s="207"/>
      <c r="M848" s="207"/>
      <c r="N848" s="207"/>
      <c r="O848" s="207"/>
      <c r="P848" s="207"/>
      <c r="Q848" s="207"/>
      <c r="R848" s="207"/>
      <c r="S848" s="207"/>
      <c r="T848" s="207"/>
      <c r="U848" s="207"/>
      <c r="V848" s="207"/>
      <c r="W848" s="207"/>
      <c r="X848" s="207"/>
      <c r="Y848" s="207"/>
      <c r="Z848" s="207"/>
      <c r="AA848" s="207"/>
      <c r="AB848" s="207"/>
      <c r="AC848" s="207"/>
      <c r="AD848" s="207"/>
      <c r="AE848" s="207"/>
      <c r="AF848" s="207"/>
      <c r="AG848" s="207"/>
      <c r="AH848" s="207"/>
      <c r="AI848" s="207"/>
      <c r="AJ848" s="207"/>
      <c r="AK848" s="207"/>
      <c r="AL848" s="207"/>
      <c r="AM848" s="207"/>
      <c r="AN848" s="207"/>
      <c r="AO848" s="207"/>
      <c r="AP848" s="207"/>
      <c r="AQ848" s="207"/>
      <c r="AR848" s="207"/>
      <c r="AS848" s="207"/>
      <c r="AT848" s="207"/>
      <c r="AU848" s="207"/>
      <c r="AV848" s="207"/>
      <c r="AW848" s="207"/>
      <c r="AX848" s="207"/>
      <c r="AY848" s="207"/>
      <c r="AZ848" s="207"/>
      <c r="BA848" s="207"/>
    </row>
    <row r="849" ht="18.75" hidden="1" customHeight="1">
      <c r="A849" s="207"/>
      <c r="B849" s="207"/>
      <c r="C849" s="207"/>
      <c r="D849" s="207"/>
      <c r="E849" s="207"/>
      <c r="F849" s="207"/>
      <c r="G849" s="207"/>
      <c r="H849" s="207"/>
      <c r="I849" s="207"/>
      <c r="J849" s="207"/>
      <c r="K849" s="207"/>
      <c r="L849" s="207"/>
      <c r="M849" s="207"/>
      <c r="N849" s="207"/>
      <c r="O849" s="207"/>
      <c r="P849" s="207"/>
      <c r="Q849" s="207"/>
      <c r="R849" s="207"/>
      <c r="S849" s="207"/>
      <c r="T849" s="207"/>
      <c r="U849" s="207"/>
      <c r="V849" s="207"/>
      <c r="W849" s="207"/>
      <c r="X849" s="207"/>
      <c r="Y849" s="207"/>
      <c r="Z849" s="207"/>
      <c r="AA849" s="207"/>
      <c r="AB849" s="207"/>
      <c r="AC849" s="207"/>
      <c r="AD849" s="207"/>
      <c r="AE849" s="207"/>
      <c r="AF849" s="207"/>
      <c r="AG849" s="207"/>
      <c r="AH849" s="207"/>
      <c r="AI849" s="207"/>
      <c r="AJ849" s="207"/>
      <c r="AK849" s="207"/>
      <c r="AL849" s="207"/>
      <c r="AM849" s="207"/>
      <c r="AN849" s="207"/>
      <c r="AO849" s="207"/>
      <c r="AP849" s="207"/>
      <c r="AQ849" s="207"/>
      <c r="AR849" s="207"/>
      <c r="AS849" s="207"/>
      <c r="AT849" s="207"/>
      <c r="AU849" s="207"/>
      <c r="AV849" s="207"/>
      <c r="AW849" s="207"/>
      <c r="AX849" s="207"/>
      <c r="AY849" s="207"/>
      <c r="AZ849" s="207"/>
      <c r="BA849" s="207"/>
    </row>
    <row r="850" ht="18.75" hidden="1" customHeight="1">
      <c r="A850" s="207"/>
      <c r="B850" s="207"/>
      <c r="C850" s="207"/>
      <c r="D850" s="207"/>
      <c r="E850" s="207"/>
      <c r="F850" s="207"/>
      <c r="G850" s="207"/>
      <c r="H850" s="207"/>
      <c r="I850" s="207"/>
      <c r="J850" s="207"/>
      <c r="K850" s="207"/>
      <c r="L850" s="207"/>
      <c r="M850" s="207"/>
      <c r="N850" s="207"/>
      <c r="O850" s="207"/>
      <c r="P850" s="207"/>
      <c r="Q850" s="207"/>
      <c r="R850" s="207"/>
      <c r="S850" s="207"/>
      <c r="T850" s="207"/>
      <c r="U850" s="207"/>
      <c r="V850" s="207"/>
      <c r="W850" s="207"/>
      <c r="X850" s="207"/>
      <c r="Y850" s="207"/>
      <c r="Z850" s="207"/>
      <c r="AA850" s="207"/>
      <c r="AB850" s="207"/>
      <c r="AC850" s="207"/>
      <c r="AD850" s="207"/>
      <c r="AE850" s="207"/>
      <c r="AF850" s="207"/>
      <c r="AG850" s="207"/>
      <c r="AH850" s="207"/>
      <c r="AI850" s="207"/>
      <c r="AJ850" s="207"/>
      <c r="AK850" s="207"/>
      <c r="AL850" s="207"/>
      <c r="AM850" s="207"/>
      <c r="AN850" s="207"/>
      <c r="AO850" s="207"/>
      <c r="AP850" s="207"/>
      <c r="AQ850" s="207"/>
      <c r="AR850" s="207"/>
      <c r="AS850" s="207"/>
      <c r="AT850" s="207"/>
      <c r="AU850" s="207"/>
      <c r="AV850" s="207"/>
      <c r="AW850" s="207"/>
      <c r="AX850" s="207"/>
      <c r="AY850" s="207"/>
      <c r="AZ850" s="207"/>
      <c r="BA850" s="207"/>
    </row>
    <row r="851" ht="18.75" hidden="1" customHeight="1">
      <c r="A851" s="207"/>
      <c r="B851" s="207"/>
      <c r="C851" s="207"/>
      <c r="D851" s="207"/>
      <c r="E851" s="207"/>
      <c r="F851" s="207"/>
      <c r="G851" s="207"/>
      <c r="H851" s="207"/>
      <c r="I851" s="207"/>
      <c r="J851" s="207"/>
      <c r="K851" s="207"/>
      <c r="L851" s="207"/>
      <c r="M851" s="207"/>
      <c r="N851" s="207"/>
      <c r="O851" s="207"/>
      <c r="P851" s="207"/>
      <c r="Q851" s="207"/>
      <c r="R851" s="207"/>
      <c r="S851" s="207"/>
      <c r="T851" s="207"/>
      <c r="U851" s="207"/>
      <c r="V851" s="207"/>
      <c r="W851" s="207"/>
      <c r="X851" s="207"/>
      <c r="Y851" s="207"/>
      <c r="Z851" s="207"/>
      <c r="AA851" s="207"/>
      <c r="AB851" s="207"/>
      <c r="AC851" s="207"/>
      <c r="AD851" s="207"/>
      <c r="AE851" s="207"/>
      <c r="AF851" s="207"/>
      <c r="AG851" s="207"/>
      <c r="AH851" s="207"/>
      <c r="AI851" s="207"/>
      <c r="AJ851" s="207"/>
      <c r="AK851" s="207"/>
      <c r="AL851" s="207"/>
      <c r="AM851" s="207"/>
      <c r="AN851" s="207"/>
      <c r="AO851" s="207"/>
      <c r="AP851" s="207"/>
      <c r="AQ851" s="207"/>
      <c r="AR851" s="207"/>
      <c r="AS851" s="207"/>
      <c r="AT851" s="207"/>
      <c r="AU851" s="207"/>
      <c r="AV851" s="207"/>
      <c r="AW851" s="207"/>
      <c r="AX851" s="207"/>
      <c r="AY851" s="207"/>
      <c r="AZ851" s="207"/>
      <c r="BA851" s="207"/>
    </row>
    <row r="852" ht="18.75" hidden="1" customHeight="1">
      <c r="A852" s="207"/>
      <c r="B852" s="207"/>
      <c r="C852" s="207"/>
      <c r="D852" s="207"/>
      <c r="E852" s="207"/>
      <c r="F852" s="207"/>
      <c r="G852" s="207"/>
      <c r="H852" s="207"/>
      <c r="I852" s="207"/>
      <c r="J852" s="207"/>
      <c r="K852" s="207"/>
      <c r="L852" s="207"/>
      <c r="M852" s="207"/>
      <c r="N852" s="207"/>
      <c r="O852" s="207"/>
      <c r="P852" s="207"/>
      <c r="Q852" s="207"/>
      <c r="R852" s="207"/>
      <c r="S852" s="207"/>
      <c r="T852" s="207"/>
      <c r="U852" s="207"/>
      <c r="V852" s="207"/>
      <c r="W852" s="207"/>
      <c r="X852" s="207"/>
      <c r="Y852" s="207"/>
      <c r="Z852" s="207"/>
      <c r="AA852" s="207"/>
      <c r="AB852" s="207"/>
      <c r="AC852" s="207"/>
      <c r="AD852" s="207"/>
      <c r="AE852" s="207"/>
      <c r="AF852" s="207"/>
      <c r="AG852" s="207"/>
      <c r="AH852" s="207"/>
      <c r="AI852" s="207"/>
      <c r="AJ852" s="207"/>
      <c r="AK852" s="207"/>
      <c r="AL852" s="207"/>
      <c r="AM852" s="207"/>
      <c r="AN852" s="207"/>
      <c r="AO852" s="207"/>
      <c r="AP852" s="207"/>
      <c r="AQ852" s="207"/>
      <c r="AR852" s="207"/>
      <c r="AS852" s="207"/>
      <c r="AT852" s="207"/>
      <c r="AU852" s="207"/>
      <c r="AV852" s="207"/>
      <c r="AW852" s="207"/>
      <c r="AX852" s="207"/>
      <c r="AY852" s="207"/>
      <c r="AZ852" s="207"/>
      <c r="BA852" s="207"/>
    </row>
    <row r="853" ht="18.75" hidden="1" customHeight="1">
      <c r="A853" s="207"/>
      <c r="B853" s="207"/>
      <c r="C853" s="207"/>
      <c r="D853" s="207"/>
      <c r="E853" s="207"/>
      <c r="F853" s="207"/>
      <c r="G853" s="207"/>
      <c r="H853" s="207"/>
      <c r="I853" s="207"/>
      <c r="J853" s="207"/>
      <c r="K853" s="207"/>
      <c r="L853" s="207"/>
      <c r="M853" s="207"/>
      <c r="N853" s="207"/>
      <c r="O853" s="207"/>
      <c r="P853" s="207"/>
      <c r="Q853" s="207"/>
      <c r="R853" s="207"/>
      <c r="S853" s="207"/>
      <c r="T853" s="207"/>
      <c r="U853" s="207"/>
      <c r="V853" s="207"/>
      <c r="W853" s="207"/>
      <c r="X853" s="207"/>
      <c r="Y853" s="207"/>
      <c r="Z853" s="207"/>
      <c r="AA853" s="207"/>
      <c r="AB853" s="207"/>
      <c r="AC853" s="207"/>
      <c r="AD853" s="207"/>
      <c r="AE853" s="207"/>
      <c r="AF853" s="207"/>
      <c r="AG853" s="207"/>
      <c r="AH853" s="207"/>
      <c r="AI853" s="207"/>
      <c r="AJ853" s="207"/>
      <c r="AK853" s="207"/>
      <c r="AL853" s="207"/>
      <c r="AM853" s="207"/>
      <c r="AN853" s="207"/>
      <c r="AO853" s="207"/>
      <c r="AP853" s="207"/>
      <c r="AQ853" s="207"/>
      <c r="AR853" s="207"/>
      <c r="AS853" s="207"/>
      <c r="AT853" s="207"/>
      <c r="AU853" s="207"/>
      <c r="AV853" s="207"/>
      <c r="AW853" s="207"/>
      <c r="AX853" s="207"/>
      <c r="AY853" s="207"/>
      <c r="AZ853" s="207"/>
      <c r="BA853" s="207"/>
    </row>
    <row r="854" ht="18.75" hidden="1" customHeight="1">
      <c r="A854" s="207"/>
      <c r="B854" s="207"/>
      <c r="C854" s="207"/>
      <c r="D854" s="207"/>
      <c r="E854" s="207"/>
      <c r="F854" s="207"/>
      <c r="G854" s="207"/>
      <c r="H854" s="207"/>
      <c r="I854" s="207"/>
      <c r="J854" s="207"/>
      <c r="K854" s="207"/>
      <c r="L854" s="207"/>
      <c r="M854" s="207"/>
      <c r="N854" s="207"/>
      <c r="O854" s="207"/>
      <c r="P854" s="207"/>
      <c r="Q854" s="207"/>
      <c r="R854" s="207"/>
      <c r="S854" s="207"/>
      <c r="T854" s="207"/>
      <c r="U854" s="207"/>
      <c r="V854" s="207"/>
      <c r="W854" s="207"/>
      <c r="X854" s="207"/>
      <c r="Y854" s="207"/>
      <c r="Z854" s="207"/>
      <c r="AA854" s="207"/>
      <c r="AB854" s="207"/>
      <c r="AC854" s="207"/>
      <c r="AD854" s="207"/>
      <c r="AE854" s="207"/>
      <c r="AF854" s="207"/>
      <c r="AG854" s="207"/>
      <c r="AH854" s="207"/>
      <c r="AI854" s="207"/>
      <c r="AJ854" s="207"/>
      <c r="AK854" s="207"/>
      <c r="AL854" s="207"/>
      <c r="AM854" s="207"/>
      <c r="AN854" s="207"/>
      <c r="AO854" s="207"/>
      <c r="AP854" s="207"/>
      <c r="AQ854" s="207"/>
      <c r="AR854" s="207"/>
      <c r="AS854" s="207"/>
      <c r="AT854" s="207"/>
      <c r="AU854" s="207"/>
      <c r="AV854" s="207"/>
      <c r="AW854" s="207"/>
      <c r="AX854" s="207"/>
      <c r="AY854" s="207"/>
      <c r="AZ854" s="207"/>
      <c r="BA854" s="207"/>
    </row>
    <row r="855" ht="18.75" hidden="1" customHeight="1">
      <c r="A855" s="207"/>
      <c r="B855" s="207"/>
      <c r="C855" s="207"/>
      <c r="D855" s="207"/>
      <c r="E855" s="207"/>
      <c r="F855" s="207"/>
      <c r="G855" s="207"/>
      <c r="H855" s="207"/>
      <c r="I855" s="207"/>
      <c r="J855" s="207"/>
      <c r="K855" s="207"/>
      <c r="L855" s="207"/>
      <c r="M855" s="207"/>
      <c r="N855" s="207"/>
      <c r="O855" s="207"/>
      <c r="P855" s="207"/>
      <c r="Q855" s="207"/>
      <c r="R855" s="207"/>
      <c r="S855" s="207"/>
      <c r="T855" s="207"/>
      <c r="U855" s="207"/>
      <c r="V855" s="207"/>
      <c r="W855" s="207"/>
      <c r="X855" s="207"/>
      <c r="Y855" s="207"/>
      <c r="Z855" s="207"/>
      <c r="AA855" s="207"/>
      <c r="AB855" s="207"/>
      <c r="AC855" s="207"/>
      <c r="AD855" s="207"/>
      <c r="AE855" s="207"/>
      <c r="AF855" s="207"/>
      <c r="AG855" s="207"/>
      <c r="AH855" s="207"/>
      <c r="AI855" s="207"/>
      <c r="AJ855" s="207"/>
      <c r="AK855" s="207"/>
      <c r="AL855" s="207"/>
      <c r="AM855" s="207"/>
      <c r="AN855" s="207"/>
      <c r="AO855" s="207"/>
      <c r="AP855" s="207"/>
      <c r="AQ855" s="207"/>
      <c r="AR855" s="207"/>
      <c r="AS855" s="207"/>
      <c r="AT855" s="207"/>
      <c r="AU855" s="207"/>
      <c r="AV855" s="207"/>
      <c r="AW855" s="207"/>
      <c r="AX855" s="207"/>
      <c r="AY855" s="207"/>
      <c r="AZ855" s="207"/>
      <c r="BA855" s="207"/>
    </row>
    <row r="856" ht="18.75" hidden="1" customHeight="1">
      <c r="A856" s="207"/>
      <c r="B856" s="207"/>
      <c r="C856" s="207"/>
      <c r="D856" s="207"/>
      <c r="E856" s="207"/>
      <c r="F856" s="207"/>
      <c r="G856" s="207"/>
      <c r="H856" s="207"/>
      <c r="I856" s="207"/>
      <c r="J856" s="207"/>
      <c r="K856" s="207"/>
      <c r="L856" s="207"/>
      <c r="M856" s="207"/>
      <c r="N856" s="207"/>
      <c r="O856" s="207"/>
      <c r="P856" s="207"/>
      <c r="Q856" s="207"/>
      <c r="R856" s="207"/>
      <c r="S856" s="207"/>
      <c r="T856" s="207"/>
      <c r="U856" s="207"/>
      <c r="V856" s="207"/>
      <c r="W856" s="207"/>
      <c r="X856" s="207"/>
      <c r="Y856" s="207"/>
      <c r="Z856" s="207"/>
      <c r="AA856" s="207"/>
      <c r="AB856" s="207"/>
      <c r="AC856" s="207"/>
      <c r="AD856" s="207"/>
      <c r="AE856" s="207"/>
      <c r="AF856" s="207"/>
      <c r="AG856" s="207"/>
      <c r="AH856" s="207"/>
      <c r="AI856" s="207"/>
      <c r="AJ856" s="207"/>
      <c r="AK856" s="207"/>
      <c r="AL856" s="207"/>
      <c r="AM856" s="207"/>
      <c r="AN856" s="207"/>
      <c r="AO856" s="207"/>
      <c r="AP856" s="207"/>
      <c r="AQ856" s="207"/>
      <c r="AR856" s="207"/>
      <c r="AS856" s="207"/>
      <c r="AT856" s="207"/>
      <c r="AU856" s="207"/>
      <c r="AV856" s="207"/>
      <c r="AW856" s="207"/>
      <c r="AX856" s="207"/>
      <c r="AY856" s="207"/>
      <c r="AZ856" s="207"/>
      <c r="BA856" s="207"/>
    </row>
    <row r="857" ht="18.75" hidden="1" customHeight="1">
      <c r="A857" s="207"/>
      <c r="B857" s="207"/>
      <c r="C857" s="207"/>
      <c r="D857" s="207"/>
      <c r="E857" s="207"/>
      <c r="F857" s="207"/>
      <c r="G857" s="207"/>
      <c r="H857" s="207"/>
      <c r="I857" s="207"/>
      <c r="J857" s="207"/>
      <c r="K857" s="207"/>
      <c r="L857" s="207"/>
      <c r="M857" s="207"/>
      <c r="N857" s="207"/>
      <c r="O857" s="207"/>
      <c r="P857" s="207"/>
      <c r="Q857" s="207"/>
      <c r="R857" s="207"/>
      <c r="S857" s="207"/>
      <c r="T857" s="207"/>
      <c r="U857" s="207"/>
      <c r="V857" s="207"/>
      <c r="W857" s="207"/>
      <c r="X857" s="207"/>
      <c r="Y857" s="207"/>
      <c r="Z857" s="207"/>
      <c r="AA857" s="207"/>
      <c r="AB857" s="207"/>
      <c r="AC857" s="207"/>
      <c r="AD857" s="207"/>
      <c r="AE857" s="207"/>
      <c r="AF857" s="207"/>
      <c r="AG857" s="207"/>
      <c r="AH857" s="207"/>
      <c r="AI857" s="207"/>
      <c r="AJ857" s="207"/>
      <c r="AK857" s="207"/>
      <c r="AL857" s="207"/>
      <c r="AM857" s="207"/>
      <c r="AN857" s="207"/>
      <c r="AO857" s="207"/>
      <c r="AP857" s="207"/>
      <c r="AQ857" s="207"/>
      <c r="AR857" s="207"/>
      <c r="AS857" s="207"/>
      <c r="AT857" s="207"/>
      <c r="AU857" s="207"/>
      <c r="AV857" s="207"/>
      <c r="AW857" s="207"/>
      <c r="AX857" s="207"/>
      <c r="AY857" s="207"/>
      <c r="AZ857" s="207"/>
      <c r="BA857" s="207"/>
    </row>
    <row r="858" ht="18.75" hidden="1" customHeight="1">
      <c r="A858" s="207"/>
      <c r="B858" s="207"/>
      <c r="C858" s="207"/>
      <c r="D858" s="207"/>
      <c r="E858" s="207"/>
      <c r="F858" s="207"/>
      <c r="G858" s="207"/>
      <c r="H858" s="207"/>
      <c r="I858" s="207"/>
      <c r="J858" s="207"/>
      <c r="K858" s="207"/>
      <c r="L858" s="207"/>
      <c r="M858" s="207"/>
      <c r="N858" s="207"/>
      <c r="O858" s="207"/>
      <c r="P858" s="207"/>
      <c r="Q858" s="207"/>
      <c r="R858" s="207"/>
      <c r="S858" s="207"/>
      <c r="T858" s="207"/>
      <c r="U858" s="207"/>
      <c r="V858" s="207"/>
      <c r="W858" s="207"/>
      <c r="X858" s="207"/>
      <c r="Y858" s="207"/>
      <c r="Z858" s="207"/>
      <c r="AA858" s="207"/>
      <c r="AB858" s="207"/>
      <c r="AC858" s="207"/>
      <c r="AD858" s="207"/>
      <c r="AE858" s="207"/>
      <c r="AF858" s="207"/>
      <c r="AG858" s="207"/>
      <c r="AH858" s="207"/>
      <c r="AI858" s="207"/>
      <c r="AJ858" s="207"/>
      <c r="AK858" s="207"/>
      <c r="AL858" s="207"/>
      <c r="AM858" s="207"/>
      <c r="AN858" s="207"/>
      <c r="AO858" s="207"/>
      <c r="AP858" s="207"/>
      <c r="AQ858" s="207"/>
      <c r="AR858" s="207"/>
      <c r="AS858" s="207"/>
      <c r="AT858" s="207"/>
      <c r="AU858" s="207"/>
      <c r="AV858" s="207"/>
      <c r="AW858" s="207"/>
      <c r="AX858" s="207"/>
      <c r="AY858" s="207"/>
      <c r="AZ858" s="207"/>
      <c r="BA858" s="207"/>
    </row>
    <row r="859" ht="18.75" hidden="1" customHeight="1">
      <c r="A859" s="207"/>
      <c r="B859" s="207"/>
      <c r="C859" s="207"/>
      <c r="D859" s="207"/>
      <c r="E859" s="207"/>
      <c r="F859" s="207"/>
      <c r="G859" s="207"/>
      <c r="H859" s="207"/>
      <c r="I859" s="207"/>
      <c r="J859" s="207"/>
      <c r="K859" s="207"/>
      <c r="L859" s="207"/>
      <c r="M859" s="207"/>
      <c r="N859" s="207"/>
      <c r="O859" s="207"/>
      <c r="P859" s="207"/>
      <c r="Q859" s="207"/>
      <c r="R859" s="207"/>
      <c r="S859" s="207"/>
      <c r="T859" s="207"/>
      <c r="U859" s="207"/>
      <c r="V859" s="207"/>
      <c r="W859" s="207"/>
      <c r="X859" s="207"/>
      <c r="Y859" s="207"/>
      <c r="Z859" s="207"/>
      <c r="AA859" s="207"/>
      <c r="AB859" s="207"/>
      <c r="AC859" s="207"/>
      <c r="AD859" s="207"/>
      <c r="AE859" s="207"/>
      <c r="AF859" s="207"/>
      <c r="AG859" s="207"/>
      <c r="AH859" s="207"/>
      <c r="AI859" s="207"/>
      <c r="AJ859" s="207"/>
      <c r="AK859" s="207"/>
      <c r="AL859" s="207"/>
      <c r="AM859" s="207"/>
      <c r="AN859" s="207"/>
      <c r="AO859" s="207"/>
      <c r="AP859" s="207"/>
      <c r="AQ859" s="207"/>
      <c r="AR859" s="207"/>
      <c r="AS859" s="207"/>
      <c r="AT859" s="207"/>
      <c r="AU859" s="207"/>
      <c r="AV859" s="207"/>
      <c r="AW859" s="207"/>
      <c r="AX859" s="207"/>
      <c r="AY859" s="207"/>
      <c r="AZ859" s="207"/>
      <c r="BA859" s="207"/>
    </row>
    <row r="860" ht="18.75" hidden="1" customHeight="1">
      <c r="A860" s="207"/>
      <c r="B860" s="207"/>
      <c r="C860" s="207"/>
      <c r="D860" s="207"/>
      <c r="E860" s="207"/>
      <c r="F860" s="207"/>
      <c r="G860" s="207"/>
      <c r="H860" s="207"/>
      <c r="I860" s="207"/>
      <c r="J860" s="207"/>
      <c r="K860" s="207"/>
      <c r="L860" s="207"/>
      <c r="M860" s="207"/>
      <c r="N860" s="207"/>
      <c r="O860" s="207"/>
      <c r="P860" s="207"/>
      <c r="Q860" s="207"/>
      <c r="R860" s="207"/>
      <c r="S860" s="207"/>
      <c r="T860" s="207"/>
      <c r="U860" s="207"/>
      <c r="V860" s="207"/>
      <c r="W860" s="207"/>
      <c r="X860" s="207"/>
      <c r="Y860" s="207"/>
      <c r="Z860" s="207"/>
      <c r="AA860" s="207"/>
      <c r="AB860" s="207"/>
      <c r="AC860" s="207"/>
      <c r="AD860" s="207"/>
      <c r="AE860" s="207"/>
      <c r="AF860" s="207"/>
      <c r="AG860" s="207"/>
      <c r="AH860" s="207"/>
      <c r="AI860" s="207"/>
      <c r="AJ860" s="207"/>
      <c r="AK860" s="207"/>
      <c r="AL860" s="207"/>
      <c r="AM860" s="207"/>
      <c r="AN860" s="207"/>
      <c r="AO860" s="207"/>
      <c r="AP860" s="207"/>
      <c r="AQ860" s="207"/>
      <c r="AR860" s="207"/>
      <c r="AS860" s="207"/>
      <c r="AT860" s="207"/>
      <c r="AU860" s="207"/>
      <c r="AV860" s="207"/>
      <c r="AW860" s="207"/>
      <c r="AX860" s="207"/>
      <c r="AY860" s="207"/>
      <c r="AZ860" s="207"/>
      <c r="BA860" s="207"/>
    </row>
    <row r="861" ht="18.75" hidden="1" customHeight="1">
      <c r="A861" s="207"/>
      <c r="B861" s="207"/>
      <c r="C861" s="207"/>
      <c r="D861" s="207"/>
      <c r="E861" s="207"/>
      <c r="F861" s="207"/>
      <c r="G861" s="207"/>
      <c r="H861" s="207"/>
      <c r="I861" s="207"/>
      <c r="J861" s="207"/>
      <c r="K861" s="207"/>
      <c r="L861" s="207"/>
      <c r="M861" s="207"/>
      <c r="N861" s="207"/>
      <c r="O861" s="207"/>
      <c r="P861" s="207"/>
      <c r="Q861" s="207"/>
      <c r="R861" s="207"/>
      <c r="S861" s="207"/>
      <c r="T861" s="207"/>
      <c r="U861" s="207"/>
      <c r="V861" s="207"/>
      <c r="W861" s="207"/>
      <c r="X861" s="207"/>
      <c r="Y861" s="207"/>
      <c r="Z861" s="207"/>
      <c r="AA861" s="207"/>
      <c r="AB861" s="207"/>
      <c r="AC861" s="207"/>
      <c r="AD861" s="207"/>
      <c r="AE861" s="207"/>
      <c r="AF861" s="207"/>
      <c r="AG861" s="207"/>
      <c r="AH861" s="207"/>
      <c r="AI861" s="207"/>
      <c r="AJ861" s="207"/>
      <c r="AK861" s="207"/>
      <c r="AL861" s="207"/>
      <c r="AM861" s="207"/>
      <c r="AN861" s="207"/>
      <c r="AO861" s="207"/>
      <c r="AP861" s="207"/>
      <c r="AQ861" s="207"/>
      <c r="AR861" s="207"/>
      <c r="AS861" s="207"/>
      <c r="AT861" s="207"/>
      <c r="AU861" s="207"/>
      <c r="AV861" s="207"/>
      <c r="AW861" s="207"/>
      <c r="AX861" s="207"/>
      <c r="AY861" s="207"/>
      <c r="AZ861" s="207"/>
      <c r="BA861" s="207"/>
    </row>
    <row r="862" ht="18.75" hidden="1" customHeight="1">
      <c r="A862" s="207"/>
      <c r="B862" s="207"/>
      <c r="C862" s="207"/>
      <c r="D862" s="207"/>
      <c r="E862" s="207"/>
      <c r="F862" s="207"/>
      <c r="G862" s="207"/>
      <c r="H862" s="207"/>
      <c r="I862" s="207"/>
      <c r="J862" s="207"/>
      <c r="K862" s="207"/>
      <c r="L862" s="207"/>
      <c r="M862" s="207"/>
      <c r="N862" s="207"/>
      <c r="O862" s="207"/>
      <c r="P862" s="207"/>
      <c r="Q862" s="207"/>
      <c r="R862" s="207"/>
      <c r="S862" s="207"/>
      <c r="T862" s="207"/>
      <c r="U862" s="207"/>
      <c r="V862" s="207"/>
      <c r="W862" s="207"/>
      <c r="X862" s="207"/>
      <c r="Y862" s="207"/>
      <c r="Z862" s="207"/>
      <c r="AA862" s="207"/>
      <c r="AB862" s="207"/>
      <c r="AC862" s="207"/>
      <c r="AD862" s="207"/>
      <c r="AE862" s="207"/>
      <c r="AF862" s="207"/>
      <c r="AG862" s="207"/>
      <c r="AH862" s="207"/>
      <c r="AI862" s="207"/>
      <c r="AJ862" s="207"/>
      <c r="AK862" s="207"/>
      <c r="AL862" s="207"/>
      <c r="AM862" s="207"/>
      <c r="AN862" s="207"/>
      <c r="AO862" s="207"/>
      <c r="AP862" s="207"/>
      <c r="AQ862" s="207"/>
      <c r="AR862" s="207"/>
      <c r="AS862" s="207"/>
      <c r="AT862" s="207"/>
      <c r="AU862" s="207"/>
      <c r="AV862" s="207"/>
      <c r="AW862" s="207"/>
      <c r="AX862" s="207"/>
      <c r="AY862" s="207"/>
      <c r="AZ862" s="207"/>
      <c r="BA862" s="207"/>
    </row>
    <row r="863" ht="18.75" hidden="1" customHeight="1">
      <c r="A863" s="207"/>
      <c r="B863" s="207"/>
      <c r="C863" s="207"/>
      <c r="D863" s="207"/>
      <c r="E863" s="207"/>
      <c r="F863" s="207"/>
      <c r="G863" s="207"/>
      <c r="H863" s="207"/>
      <c r="I863" s="207"/>
      <c r="J863" s="207"/>
      <c r="K863" s="207"/>
      <c r="L863" s="207"/>
      <c r="M863" s="207"/>
      <c r="N863" s="207"/>
      <c r="O863" s="207"/>
      <c r="P863" s="207"/>
      <c r="Q863" s="207"/>
      <c r="R863" s="207"/>
      <c r="S863" s="207"/>
      <c r="T863" s="207"/>
      <c r="U863" s="207"/>
      <c r="V863" s="207"/>
      <c r="W863" s="207"/>
      <c r="X863" s="207"/>
      <c r="Y863" s="207"/>
      <c r="Z863" s="207"/>
      <c r="AA863" s="207"/>
      <c r="AB863" s="207"/>
      <c r="AC863" s="207"/>
      <c r="AD863" s="207"/>
      <c r="AE863" s="207"/>
      <c r="AF863" s="207"/>
      <c r="AG863" s="207"/>
      <c r="AH863" s="207"/>
      <c r="AI863" s="207"/>
      <c r="AJ863" s="207"/>
      <c r="AK863" s="207"/>
      <c r="AL863" s="207"/>
      <c r="AM863" s="207"/>
      <c r="AN863" s="207"/>
      <c r="AO863" s="207"/>
      <c r="AP863" s="207"/>
      <c r="AQ863" s="207"/>
      <c r="AR863" s="207"/>
      <c r="AS863" s="207"/>
      <c r="AT863" s="207"/>
      <c r="AU863" s="207"/>
      <c r="AV863" s="207"/>
      <c r="AW863" s="207"/>
      <c r="AX863" s="207"/>
      <c r="AY863" s="207"/>
      <c r="AZ863" s="207"/>
      <c r="BA863" s="207"/>
    </row>
    <row r="864" ht="18.75" hidden="1" customHeight="1">
      <c r="A864" s="207"/>
      <c r="B864" s="207"/>
      <c r="C864" s="207"/>
      <c r="D864" s="207"/>
      <c r="E864" s="207"/>
      <c r="F864" s="207"/>
      <c r="G864" s="207"/>
      <c r="H864" s="207"/>
      <c r="I864" s="207"/>
      <c r="J864" s="207"/>
      <c r="K864" s="207"/>
      <c r="L864" s="207"/>
      <c r="M864" s="207"/>
      <c r="N864" s="207"/>
      <c r="O864" s="207"/>
      <c r="P864" s="207"/>
      <c r="Q864" s="207"/>
      <c r="R864" s="207"/>
      <c r="S864" s="207"/>
      <c r="T864" s="207"/>
      <c r="U864" s="207"/>
      <c r="V864" s="207"/>
      <c r="W864" s="207"/>
      <c r="X864" s="207"/>
      <c r="Y864" s="207"/>
      <c r="Z864" s="207"/>
      <c r="AA864" s="207"/>
      <c r="AB864" s="207"/>
      <c r="AC864" s="207"/>
      <c r="AD864" s="207"/>
      <c r="AE864" s="207"/>
      <c r="AF864" s="207"/>
      <c r="AG864" s="207"/>
      <c r="AH864" s="207"/>
      <c r="AI864" s="207"/>
      <c r="AJ864" s="207"/>
      <c r="AK864" s="207"/>
      <c r="AL864" s="207"/>
      <c r="AM864" s="207"/>
      <c r="AN864" s="207"/>
      <c r="AO864" s="207"/>
      <c r="AP864" s="207"/>
      <c r="AQ864" s="207"/>
      <c r="AR864" s="207"/>
      <c r="AS864" s="207"/>
      <c r="AT864" s="207"/>
      <c r="AU864" s="207"/>
      <c r="AV864" s="207"/>
      <c r="AW864" s="207"/>
      <c r="AX864" s="207"/>
      <c r="AY864" s="207"/>
      <c r="AZ864" s="207"/>
      <c r="BA864" s="207"/>
    </row>
    <row r="865" ht="18.75" hidden="1" customHeight="1">
      <c r="A865" s="207"/>
      <c r="B865" s="207"/>
      <c r="C865" s="207"/>
      <c r="D865" s="207"/>
      <c r="E865" s="207"/>
      <c r="F865" s="207"/>
      <c r="G865" s="207"/>
      <c r="H865" s="207"/>
      <c r="I865" s="207"/>
      <c r="J865" s="207"/>
      <c r="K865" s="207"/>
      <c r="L865" s="207"/>
      <c r="M865" s="207"/>
      <c r="N865" s="207"/>
      <c r="O865" s="207"/>
      <c r="P865" s="207"/>
      <c r="Q865" s="207"/>
      <c r="R865" s="207"/>
      <c r="S865" s="207"/>
      <c r="T865" s="207"/>
      <c r="U865" s="207"/>
      <c r="V865" s="207"/>
      <c r="W865" s="207"/>
      <c r="X865" s="207"/>
      <c r="Y865" s="207"/>
      <c r="Z865" s="207"/>
      <c r="AA865" s="207"/>
      <c r="AB865" s="207"/>
      <c r="AC865" s="207"/>
      <c r="AD865" s="207"/>
      <c r="AE865" s="207"/>
      <c r="AF865" s="207"/>
      <c r="AG865" s="207"/>
      <c r="AH865" s="207"/>
      <c r="AI865" s="207"/>
      <c r="AJ865" s="207"/>
      <c r="AK865" s="207"/>
      <c r="AL865" s="207"/>
      <c r="AM865" s="207"/>
      <c r="AN865" s="207"/>
      <c r="AO865" s="207"/>
      <c r="AP865" s="207"/>
      <c r="AQ865" s="207"/>
      <c r="AR865" s="207"/>
      <c r="AS865" s="207"/>
      <c r="AT865" s="207"/>
      <c r="AU865" s="207"/>
      <c r="AV865" s="207"/>
      <c r="AW865" s="207"/>
      <c r="AX865" s="207"/>
      <c r="AY865" s="207"/>
      <c r="AZ865" s="207"/>
      <c r="BA865" s="207"/>
    </row>
    <row r="866" ht="18.75" hidden="1" customHeight="1">
      <c r="A866" s="207"/>
      <c r="B866" s="207"/>
      <c r="C866" s="207"/>
      <c r="D866" s="207"/>
      <c r="E866" s="207"/>
      <c r="F866" s="207"/>
      <c r="G866" s="207"/>
      <c r="H866" s="207"/>
      <c r="I866" s="207"/>
      <c r="J866" s="207"/>
      <c r="K866" s="207"/>
      <c r="L866" s="207"/>
      <c r="M866" s="207"/>
      <c r="N866" s="207"/>
      <c r="O866" s="207"/>
      <c r="P866" s="207"/>
      <c r="Q866" s="207"/>
      <c r="R866" s="207"/>
      <c r="S866" s="207"/>
      <c r="T866" s="207"/>
      <c r="U866" s="207"/>
      <c r="V866" s="207"/>
      <c r="W866" s="207"/>
      <c r="X866" s="207"/>
      <c r="Y866" s="207"/>
      <c r="Z866" s="207"/>
      <c r="AA866" s="207"/>
      <c r="AB866" s="207"/>
      <c r="AC866" s="207"/>
      <c r="AD866" s="207"/>
      <c r="AE866" s="207"/>
      <c r="AF866" s="207"/>
      <c r="AG866" s="207"/>
      <c r="AH866" s="207"/>
      <c r="AI866" s="207"/>
      <c r="AJ866" s="207"/>
      <c r="AK866" s="207"/>
      <c r="AL866" s="207"/>
      <c r="AM866" s="207"/>
      <c r="AN866" s="207"/>
      <c r="AO866" s="207"/>
      <c r="AP866" s="207"/>
      <c r="AQ866" s="207"/>
      <c r="AR866" s="207"/>
      <c r="AS866" s="207"/>
      <c r="AT866" s="207"/>
      <c r="AU866" s="207"/>
      <c r="AV866" s="207"/>
      <c r="AW866" s="207"/>
      <c r="AX866" s="207"/>
      <c r="AY866" s="207"/>
      <c r="AZ866" s="207"/>
      <c r="BA866" s="207"/>
    </row>
    <row r="867" ht="18.75" hidden="1" customHeight="1">
      <c r="A867" s="207"/>
      <c r="B867" s="207"/>
      <c r="C867" s="207"/>
      <c r="D867" s="207"/>
      <c r="E867" s="207"/>
      <c r="F867" s="207"/>
      <c r="G867" s="207"/>
      <c r="H867" s="207"/>
      <c r="I867" s="207"/>
      <c r="J867" s="207"/>
      <c r="K867" s="207"/>
      <c r="L867" s="207"/>
      <c r="M867" s="207"/>
      <c r="N867" s="207"/>
      <c r="O867" s="207"/>
      <c r="P867" s="207"/>
      <c r="Q867" s="207"/>
      <c r="R867" s="207"/>
      <c r="S867" s="207"/>
      <c r="T867" s="207"/>
      <c r="U867" s="207"/>
      <c r="V867" s="207"/>
      <c r="W867" s="207"/>
      <c r="X867" s="207"/>
      <c r="Y867" s="207"/>
      <c r="Z867" s="207"/>
      <c r="AA867" s="207"/>
      <c r="AB867" s="207"/>
      <c r="AC867" s="207"/>
      <c r="AD867" s="207"/>
      <c r="AE867" s="207"/>
      <c r="AF867" s="207"/>
      <c r="AG867" s="207"/>
      <c r="AH867" s="207"/>
      <c r="AI867" s="207"/>
      <c r="AJ867" s="207"/>
      <c r="AK867" s="207"/>
      <c r="AL867" s="207"/>
      <c r="AM867" s="207"/>
      <c r="AN867" s="207"/>
      <c r="AO867" s="207"/>
      <c r="AP867" s="207"/>
      <c r="AQ867" s="207"/>
      <c r="AR867" s="207"/>
      <c r="AS867" s="207"/>
      <c r="AT867" s="207"/>
      <c r="AU867" s="207"/>
      <c r="AV867" s="207"/>
      <c r="AW867" s="207"/>
      <c r="AX867" s="207"/>
      <c r="AY867" s="207"/>
      <c r="AZ867" s="207"/>
      <c r="BA867" s="207"/>
    </row>
    <row r="868" ht="18.75" hidden="1" customHeight="1">
      <c r="A868" s="207"/>
      <c r="B868" s="207"/>
      <c r="C868" s="207"/>
      <c r="D868" s="207"/>
      <c r="E868" s="207"/>
      <c r="F868" s="207"/>
      <c r="G868" s="207"/>
      <c r="H868" s="207"/>
      <c r="I868" s="207"/>
      <c r="J868" s="207"/>
      <c r="K868" s="207"/>
      <c r="L868" s="207"/>
      <c r="M868" s="207"/>
      <c r="N868" s="207"/>
      <c r="O868" s="207"/>
      <c r="P868" s="207"/>
      <c r="Q868" s="207"/>
      <c r="R868" s="207"/>
      <c r="S868" s="207"/>
      <c r="T868" s="207"/>
      <c r="U868" s="207"/>
      <c r="V868" s="207"/>
      <c r="W868" s="207"/>
      <c r="X868" s="207"/>
      <c r="Y868" s="207"/>
      <c r="Z868" s="207"/>
      <c r="AA868" s="207"/>
      <c r="AB868" s="207"/>
      <c r="AC868" s="207"/>
      <c r="AD868" s="207"/>
      <c r="AE868" s="207"/>
      <c r="AF868" s="207"/>
      <c r="AG868" s="207"/>
      <c r="AH868" s="207"/>
      <c r="AI868" s="207"/>
      <c r="AJ868" s="207"/>
      <c r="AK868" s="207"/>
      <c r="AL868" s="207"/>
      <c r="AM868" s="207"/>
      <c r="AN868" s="207"/>
      <c r="AO868" s="207"/>
      <c r="AP868" s="207"/>
      <c r="AQ868" s="207"/>
      <c r="AR868" s="207"/>
      <c r="AS868" s="207"/>
      <c r="AT868" s="207"/>
      <c r="AU868" s="207"/>
      <c r="AV868" s="207"/>
      <c r="AW868" s="207"/>
      <c r="AX868" s="207"/>
      <c r="AY868" s="207"/>
      <c r="AZ868" s="207"/>
      <c r="BA868" s="207"/>
    </row>
    <row r="869" ht="18.75" hidden="1" customHeight="1">
      <c r="A869" s="207"/>
      <c r="B869" s="207"/>
      <c r="C869" s="207"/>
      <c r="D869" s="207"/>
      <c r="E869" s="207"/>
      <c r="F869" s="207"/>
      <c r="G869" s="207"/>
      <c r="H869" s="207"/>
      <c r="I869" s="207"/>
      <c r="J869" s="207"/>
      <c r="K869" s="207"/>
      <c r="L869" s="207"/>
      <c r="M869" s="207"/>
      <c r="N869" s="207"/>
      <c r="O869" s="207"/>
      <c r="P869" s="207"/>
      <c r="Q869" s="207"/>
      <c r="R869" s="207"/>
      <c r="S869" s="207"/>
      <c r="T869" s="207"/>
      <c r="U869" s="207"/>
      <c r="V869" s="207"/>
      <c r="W869" s="207"/>
      <c r="X869" s="207"/>
      <c r="Y869" s="207"/>
      <c r="Z869" s="207"/>
      <c r="AA869" s="207"/>
      <c r="AB869" s="207"/>
      <c r="AC869" s="207"/>
      <c r="AD869" s="207"/>
      <c r="AE869" s="207"/>
      <c r="AF869" s="207"/>
      <c r="AG869" s="207"/>
      <c r="AH869" s="207"/>
      <c r="AI869" s="207"/>
      <c r="AJ869" s="207"/>
      <c r="AK869" s="207"/>
      <c r="AL869" s="207"/>
      <c r="AM869" s="207"/>
      <c r="AN869" s="207"/>
      <c r="AO869" s="207"/>
      <c r="AP869" s="207"/>
      <c r="AQ869" s="207"/>
      <c r="AR869" s="207"/>
      <c r="AS869" s="207"/>
      <c r="AT869" s="207"/>
      <c r="AU869" s="207"/>
      <c r="AV869" s="207"/>
      <c r="AW869" s="207"/>
      <c r="AX869" s="207"/>
      <c r="AY869" s="207"/>
      <c r="AZ869" s="207"/>
      <c r="BA869" s="207"/>
    </row>
    <row r="870" ht="18.75" hidden="1" customHeight="1">
      <c r="A870" s="207"/>
      <c r="B870" s="207"/>
      <c r="C870" s="207"/>
      <c r="D870" s="207"/>
      <c r="E870" s="207"/>
      <c r="F870" s="207"/>
      <c r="G870" s="207"/>
      <c r="H870" s="207"/>
      <c r="I870" s="207"/>
      <c r="J870" s="207"/>
      <c r="K870" s="207"/>
      <c r="L870" s="207"/>
      <c r="M870" s="207"/>
      <c r="N870" s="207"/>
      <c r="O870" s="207"/>
      <c r="P870" s="207"/>
      <c r="Q870" s="207"/>
      <c r="R870" s="207"/>
      <c r="S870" s="207"/>
      <c r="T870" s="207"/>
      <c r="U870" s="207"/>
      <c r="V870" s="207"/>
      <c r="W870" s="207"/>
      <c r="X870" s="207"/>
      <c r="Y870" s="207"/>
      <c r="Z870" s="207"/>
      <c r="AA870" s="207"/>
      <c r="AB870" s="207"/>
      <c r="AC870" s="207"/>
      <c r="AD870" s="207"/>
      <c r="AE870" s="207"/>
      <c r="AF870" s="207"/>
      <c r="AG870" s="207"/>
      <c r="AH870" s="207"/>
      <c r="AI870" s="207"/>
      <c r="AJ870" s="207"/>
      <c r="AK870" s="207"/>
      <c r="AL870" s="207"/>
      <c r="AM870" s="207"/>
      <c r="AN870" s="207"/>
      <c r="AO870" s="207"/>
      <c r="AP870" s="207"/>
      <c r="AQ870" s="207"/>
      <c r="AR870" s="207"/>
      <c r="AS870" s="207"/>
      <c r="AT870" s="207"/>
      <c r="AU870" s="207"/>
      <c r="AV870" s="207"/>
      <c r="AW870" s="207"/>
      <c r="AX870" s="207"/>
      <c r="AY870" s="207"/>
      <c r="AZ870" s="207"/>
      <c r="BA870" s="207"/>
    </row>
    <row r="871" ht="18.75" hidden="1" customHeight="1">
      <c r="A871" s="207"/>
      <c r="B871" s="207"/>
      <c r="C871" s="207"/>
      <c r="D871" s="207"/>
      <c r="E871" s="207"/>
      <c r="F871" s="207"/>
      <c r="G871" s="207"/>
      <c r="H871" s="207"/>
      <c r="I871" s="207"/>
      <c r="J871" s="207"/>
      <c r="K871" s="207"/>
      <c r="L871" s="207"/>
      <c r="M871" s="207"/>
      <c r="N871" s="207"/>
      <c r="O871" s="207"/>
      <c r="P871" s="207"/>
      <c r="Q871" s="207"/>
      <c r="R871" s="207"/>
      <c r="S871" s="207"/>
      <c r="T871" s="207"/>
      <c r="U871" s="207"/>
      <c r="V871" s="207"/>
      <c r="W871" s="207"/>
      <c r="X871" s="207"/>
      <c r="Y871" s="207"/>
      <c r="Z871" s="207"/>
      <c r="AA871" s="207"/>
      <c r="AB871" s="207"/>
      <c r="AC871" s="207"/>
      <c r="AD871" s="207"/>
      <c r="AE871" s="207"/>
      <c r="AF871" s="207"/>
      <c r="AG871" s="207"/>
      <c r="AH871" s="207"/>
      <c r="AI871" s="207"/>
      <c r="AJ871" s="207"/>
      <c r="AK871" s="207"/>
      <c r="AL871" s="207"/>
      <c r="AM871" s="207"/>
      <c r="AN871" s="207"/>
      <c r="AO871" s="207"/>
      <c r="AP871" s="207"/>
      <c r="AQ871" s="207"/>
      <c r="AR871" s="207"/>
      <c r="AS871" s="207"/>
      <c r="AT871" s="207"/>
      <c r="AU871" s="207"/>
      <c r="AV871" s="207"/>
      <c r="AW871" s="207"/>
      <c r="AX871" s="207"/>
      <c r="AY871" s="207"/>
      <c r="AZ871" s="207"/>
      <c r="BA871" s="207"/>
    </row>
    <row r="872" ht="18.75" hidden="1" customHeight="1">
      <c r="A872" s="207"/>
      <c r="B872" s="207"/>
      <c r="C872" s="207"/>
      <c r="D872" s="207"/>
      <c r="E872" s="207"/>
      <c r="F872" s="207"/>
      <c r="G872" s="207"/>
      <c r="H872" s="207"/>
      <c r="I872" s="207"/>
      <c r="J872" s="207"/>
      <c r="K872" s="207"/>
      <c r="L872" s="207"/>
      <c r="M872" s="207"/>
      <c r="N872" s="207"/>
      <c r="O872" s="207"/>
      <c r="P872" s="207"/>
      <c r="Q872" s="207"/>
      <c r="R872" s="207"/>
      <c r="S872" s="207"/>
      <c r="T872" s="207"/>
      <c r="U872" s="207"/>
      <c r="V872" s="207"/>
      <c r="W872" s="207"/>
      <c r="X872" s="207"/>
      <c r="Y872" s="207"/>
      <c r="Z872" s="207"/>
      <c r="AA872" s="207"/>
      <c r="AB872" s="207"/>
      <c r="AC872" s="207"/>
      <c r="AD872" s="207"/>
      <c r="AE872" s="207"/>
      <c r="AF872" s="207"/>
      <c r="AG872" s="207"/>
      <c r="AH872" s="207"/>
      <c r="AI872" s="207"/>
      <c r="AJ872" s="207"/>
      <c r="AK872" s="207"/>
      <c r="AL872" s="207"/>
      <c r="AM872" s="207"/>
      <c r="AN872" s="207"/>
      <c r="AO872" s="207"/>
      <c r="AP872" s="207"/>
      <c r="AQ872" s="207"/>
      <c r="AR872" s="207"/>
      <c r="AS872" s="207"/>
      <c r="AT872" s="207"/>
      <c r="AU872" s="207"/>
      <c r="AV872" s="207"/>
      <c r="AW872" s="207"/>
      <c r="AX872" s="207"/>
      <c r="AY872" s="207"/>
      <c r="AZ872" s="207"/>
      <c r="BA872" s="207"/>
    </row>
    <row r="873" ht="18.75" hidden="1" customHeight="1">
      <c r="A873" s="207"/>
      <c r="B873" s="207"/>
      <c r="C873" s="207"/>
      <c r="D873" s="207"/>
      <c r="E873" s="207"/>
      <c r="F873" s="207"/>
      <c r="G873" s="207"/>
      <c r="H873" s="207"/>
      <c r="I873" s="207"/>
      <c r="J873" s="207"/>
      <c r="K873" s="207"/>
      <c r="L873" s="207"/>
      <c r="M873" s="207"/>
      <c r="N873" s="207"/>
      <c r="O873" s="207"/>
      <c r="P873" s="207"/>
      <c r="Q873" s="207"/>
      <c r="R873" s="207"/>
      <c r="S873" s="207"/>
      <c r="T873" s="207"/>
      <c r="U873" s="207"/>
      <c r="V873" s="207"/>
      <c r="W873" s="207"/>
      <c r="X873" s="207"/>
      <c r="Y873" s="207"/>
      <c r="Z873" s="207"/>
      <c r="AA873" s="207"/>
      <c r="AB873" s="207"/>
      <c r="AC873" s="207"/>
      <c r="AD873" s="207"/>
      <c r="AE873" s="207"/>
      <c r="AF873" s="207"/>
      <c r="AG873" s="207"/>
      <c r="AH873" s="207"/>
      <c r="AI873" s="207"/>
      <c r="AJ873" s="207"/>
      <c r="AK873" s="207"/>
      <c r="AL873" s="207"/>
      <c r="AM873" s="207"/>
      <c r="AN873" s="207"/>
      <c r="AO873" s="207"/>
      <c r="AP873" s="207"/>
      <c r="AQ873" s="207"/>
      <c r="AR873" s="207"/>
      <c r="AS873" s="207"/>
      <c r="AT873" s="207"/>
      <c r="AU873" s="207"/>
      <c r="AV873" s="207"/>
      <c r="AW873" s="207"/>
      <c r="AX873" s="207"/>
      <c r="AY873" s="207"/>
      <c r="AZ873" s="207"/>
      <c r="BA873" s="207"/>
    </row>
    <row r="874" ht="18.75" hidden="1" customHeight="1">
      <c r="A874" s="207"/>
      <c r="B874" s="207"/>
      <c r="C874" s="207"/>
      <c r="D874" s="207"/>
      <c r="E874" s="207"/>
      <c r="F874" s="207"/>
      <c r="G874" s="207"/>
      <c r="H874" s="207"/>
      <c r="I874" s="207"/>
      <c r="J874" s="207"/>
      <c r="K874" s="207"/>
      <c r="L874" s="207"/>
      <c r="M874" s="207"/>
      <c r="N874" s="207"/>
      <c r="O874" s="207"/>
      <c r="P874" s="207"/>
      <c r="Q874" s="207"/>
      <c r="R874" s="207"/>
      <c r="S874" s="207"/>
      <c r="T874" s="207"/>
      <c r="U874" s="207"/>
      <c r="V874" s="207"/>
      <c r="W874" s="207"/>
      <c r="X874" s="207"/>
      <c r="Y874" s="207"/>
      <c r="Z874" s="207"/>
      <c r="AA874" s="207"/>
      <c r="AB874" s="207"/>
      <c r="AC874" s="207"/>
      <c r="AD874" s="207"/>
      <c r="AE874" s="207"/>
      <c r="AF874" s="207"/>
      <c r="AG874" s="207"/>
      <c r="AH874" s="207"/>
      <c r="AI874" s="207"/>
      <c r="AJ874" s="207"/>
      <c r="AK874" s="207"/>
      <c r="AL874" s="207"/>
      <c r="AM874" s="207"/>
      <c r="AN874" s="207"/>
      <c r="AO874" s="207"/>
      <c r="AP874" s="207"/>
      <c r="AQ874" s="207"/>
      <c r="AR874" s="207"/>
      <c r="AS874" s="207"/>
      <c r="AT874" s="207"/>
      <c r="AU874" s="207"/>
      <c r="AV874" s="207"/>
      <c r="AW874" s="207"/>
      <c r="AX874" s="207"/>
      <c r="AY874" s="207"/>
      <c r="AZ874" s="207"/>
      <c r="BA874" s="207"/>
    </row>
    <row r="875" ht="18.75" hidden="1" customHeight="1">
      <c r="A875" s="207"/>
      <c r="B875" s="207"/>
      <c r="C875" s="207"/>
      <c r="D875" s="207"/>
      <c r="E875" s="207"/>
      <c r="F875" s="207"/>
      <c r="G875" s="207"/>
      <c r="H875" s="207"/>
      <c r="I875" s="207"/>
      <c r="J875" s="207"/>
      <c r="K875" s="207"/>
      <c r="L875" s="207"/>
      <c r="M875" s="207"/>
      <c r="N875" s="207"/>
      <c r="O875" s="207"/>
      <c r="P875" s="207"/>
      <c r="Q875" s="207"/>
      <c r="R875" s="207"/>
      <c r="S875" s="207"/>
      <c r="T875" s="207"/>
      <c r="U875" s="207"/>
      <c r="V875" s="207"/>
      <c r="W875" s="207"/>
      <c r="X875" s="207"/>
      <c r="Y875" s="207"/>
      <c r="Z875" s="207"/>
      <c r="AA875" s="207"/>
      <c r="AB875" s="207"/>
      <c r="AC875" s="207"/>
      <c r="AD875" s="207"/>
      <c r="AE875" s="207"/>
      <c r="AF875" s="207"/>
      <c r="AG875" s="207"/>
      <c r="AH875" s="207"/>
      <c r="AI875" s="207"/>
      <c r="AJ875" s="207"/>
      <c r="AK875" s="207"/>
      <c r="AL875" s="207"/>
      <c r="AM875" s="207"/>
      <c r="AN875" s="207"/>
      <c r="AO875" s="207"/>
      <c r="AP875" s="207"/>
      <c r="AQ875" s="207"/>
      <c r="AR875" s="207"/>
      <c r="AS875" s="207"/>
      <c r="AT875" s="207"/>
      <c r="AU875" s="207"/>
      <c r="AV875" s="207"/>
      <c r="AW875" s="207"/>
      <c r="AX875" s="207"/>
      <c r="AY875" s="207"/>
      <c r="AZ875" s="207"/>
      <c r="BA875" s="207"/>
    </row>
    <row r="876" ht="18.75" hidden="1" customHeight="1">
      <c r="A876" s="207"/>
      <c r="B876" s="207"/>
      <c r="C876" s="207"/>
      <c r="D876" s="207"/>
      <c r="E876" s="207"/>
      <c r="F876" s="207"/>
      <c r="G876" s="207"/>
      <c r="H876" s="207"/>
      <c r="I876" s="207"/>
      <c r="J876" s="207"/>
      <c r="K876" s="207"/>
      <c r="L876" s="207"/>
      <c r="M876" s="207"/>
      <c r="N876" s="207"/>
      <c r="O876" s="207"/>
      <c r="P876" s="207"/>
      <c r="Q876" s="207"/>
      <c r="R876" s="207"/>
      <c r="S876" s="207"/>
      <c r="T876" s="207"/>
      <c r="U876" s="207"/>
      <c r="V876" s="207"/>
      <c r="W876" s="207"/>
      <c r="X876" s="207"/>
      <c r="Y876" s="207"/>
      <c r="Z876" s="207"/>
      <c r="AA876" s="207"/>
      <c r="AB876" s="207"/>
      <c r="AC876" s="207"/>
      <c r="AD876" s="207"/>
      <c r="AE876" s="207"/>
      <c r="AF876" s="207"/>
      <c r="AG876" s="207"/>
      <c r="AH876" s="207"/>
      <c r="AI876" s="207"/>
      <c r="AJ876" s="207"/>
      <c r="AK876" s="207"/>
      <c r="AL876" s="207"/>
      <c r="AM876" s="207"/>
      <c r="AN876" s="207"/>
      <c r="AO876" s="207"/>
      <c r="AP876" s="207"/>
      <c r="AQ876" s="207"/>
      <c r="AR876" s="207"/>
      <c r="AS876" s="207"/>
      <c r="AT876" s="207"/>
      <c r="AU876" s="207"/>
      <c r="AV876" s="207"/>
      <c r="AW876" s="207"/>
      <c r="AX876" s="207"/>
      <c r="AY876" s="207"/>
      <c r="AZ876" s="207"/>
      <c r="BA876" s="207"/>
    </row>
    <row r="877" ht="18.75" hidden="1" customHeight="1">
      <c r="A877" s="207"/>
      <c r="B877" s="207"/>
      <c r="C877" s="207"/>
      <c r="D877" s="207"/>
      <c r="E877" s="207"/>
      <c r="F877" s="207"/>
      <c r="G877" s="207"/>
      <c r="H877" s="207"/>
      <c r="I877" s="207"/>
      <c r="J877" s="207"/>
      <c r="K877" s="207"/>
      <c r="L877" s="207"/>
      <c r="M877" s="207"/>
      <c r="N877" s="207"/>
      <c r="O877" s="207"/>
      <c r="P877" s="207"/>
      <c r="Q877" s="207"/>
      <c r="R877" s="207"/>
      <c r="S877" s="207"/>
      <c r="T877" s="207"/>
      <c r="U877" s="207"/>
      <c r="V877" s="207"/>
      <c r="W877" s="207"/>
      <c r="X877" s="207"/>
      <c r="Y877" s="207"/>
      <c r="Z877" s="207"/>
      <c r="AA877" s="207"/>
      <c r="AB877" s="207"/>
      <c r="AC877" s="207"/>
      <c r="AD877" s="207"/>
      <c r="AE877" s="207"/>
      <c r="AF877" s="207"/>
      <c r="AG877" s="207"/>
      <c r="AH877" s="207"/>
      <c r="AI877" s="207"/>
      <c r="AJ877" s="207"/>
      <c r="AK877" s="207"/>
      <c r="AL877" s="207"/>
      <c r="AM877" s="207"/>
      <c r="AN877" s="207"/>
      <c r="AO877" s="207"/>
      <c r="AP877" s="207"/>
      <c r="AQ877" s="207"/>
      <c r="AR877" s="207"/>
      <c r="AS877" s="207"/>
      <c r="AT877" s="207"/>
      <c r="AU877" s="207"/>
      <c r="AV877" s="207"/>
      <c r="AW877" s="207"/>
      <c r="AX877" s="207"/>
      <c r="AY877" s="207"/>
      <c r="AZ877" s="207"/>
      <c r="BA877" s="207"/>
    </row>
    <row r="878" ht="18.75" hidden="1" customHeight="1">
      <c r="A878" s="207"/>
      <c r="B878" s="207"/>
      <c r="C878" s="207"/>
      <c r="D878" s="207"/>
      <c r="E878" s="207"/>
      <c r="F878" s="207"/>
      <c r="G878" s="207"/>
      <c r="H878" s="207"/>
      <c r="I878" s="207"/>
      <c r="J878" s="207"/>
      <c r="K878" s="207"/>
      <c r="L878" s="207"/>
      <c r="M878" s="207"/>
      <c r="N878" s="207"/>
      <c r="O878" s="207"/>
      <c r="P878" s="207"/>
      <c r="Q878" s="207"/>
      <c r="R878" s="207"/>
      <c r="S878" s="207"/>
      <c r="T878" s="207"/>
      <c r="U878" s="207"/>
      <c r="V878" s="207"/>
      <c r="W878" s="207"/>
      <c r="X878" s="207"/>
      <c r="Y878" s="207"/>
      <c r="Z878" s="207"/>
      <c r="AA878" s="207"/>
      <c r="AB878" s="207"/>
      <c r="AC878" s="207"/>
      <c r="AD878" s="207"/>
      <c r="AE878" s="207"/>
      <c r="AF878" s="207"/>
      <c r="AG878" s="207"/>
      <c r="AH878" s="207"/>
      <c r="AI878" s="207"/>
      <c r="AJ878" s="207"/>
      <c r="AK878" s="207"/>
      <c r="AL878" s="207"/>
      <c r="AM878" s="207"/>
      <c r="AN878" s="207"/>
      <c r="AO878" s="207"/>
      <c r="AP878" s="207"/>
      <c r="AQ878" s="207"/>
      <c r="AR878" s="207"/>
      <c r="AS878" s="207"/>
      <c r="AT878" s="207"/>
      <c r="AU878" s="207"/>
      <c r="AV878" s="207"/>
      <c r="AW878" s="207"/>
      <c r="AX878" s="207"/>
      <c r="AY878" s="207"/>
      <c r="AZ878" s="207"/>
      <c r="BA878" s="207"/>
    </row>
    <row r="879" ht="18.75" hidden="1" customHeight="1">
      <c r="A879" s="207"/>
      <c r="B879" s="207"/>
      <c r="C879" s="207"/>
      <c r="D879" s="207"/>
      <c r="E879" s="207"/>
      <c r="F879" s="207"/>
      <c r="G879" s="207"/>
      <c r="H879" s="207"/>
      <c r="I879" s="207"/>
      <c r="J879" s="207"/>
      <c r="K879" s="207"/>
      <c r="L879" s="207"/>
      <c r="M879" s="207"/>
      <c r="N879" s="207"/>
      <c r="O879" s="207"/>
      <c r="P879" s="207"/>
      <c r="Q879" s="207"/>
      <c r="R879" s="207"/>
      <c r="S879" s="207"/>
      <c r="T879" s="207"/>
      <c r="U879" s="207"/>
      <c r="V879" s="207"/>
      <c r="W879" s="207"/>
      <c r="X879" s="207"/>
      <c r="Y879" s="207"/>
      <c r="Z879" s="207"/>
      <c r="AA879" s="207"/>
      <c r="AB879" s="207"/>
      <c r="AC879" s="207"/>
      <c r="AD879" s="207"/>
      <c r="AE879" s="207"/>
      <c r="AF879" s="207"/>
      <c r="AG879" s="207"/>
      <c r="AH879" s="207"/>
      <c r="AI879" s="207"/>
      <c r="AJ879" s="207"/>
      <c r="AK879" s="207"/>
      <c r="AL879" s="207"/>
      <c r="AM879" s="207"/>
      <c r="AN879" s="207"/>
      <c r="AO879" s="207"/>
      <c r="AP879" s="207"/>
      <c r="AQ879" s="207"/>
      <c r="AR879" s="207"/>
      <c r="AS879" s="207"/>
      <c r="AT879" s="207"/>
      <c r="AU879" s="207"/>
      <c r="AV879" s="207"/>
      <c r="AW879" s="207"/>
      <c r="AX879" s="207"/>
      <c r="AY879" s="207"/>
      <c r="AZ879" s="207"/>
      <c r="BA879" s="207"/>
    </row>
    <row r="880" ht="18.75" hidden="1" customHeight="1">
      <c r="A880" s="207"/>
      <c r="B880" s="207"/>
      <c r="C880" s="207"/>
      <c r="D880" s="207"/>
      <c r="E880" s="207"/>
      <c r="F880" s="207"/>
      <c r="G880" s="207"/>
      <c r="H880" s="207"/>
      <c r="I880" s="207"/>
      <c r="J880" s="207"/>
      <c r="K880" s="207"/>
      <c r="L880" s="207"/>
      <c r="M880" s="207"/>
      <c r="N880" s="207"/>
      <c r="O880" s="207"/>
      <c r="P880" s="207"/>
      <c r="Q880" s="207"/>
      <c r="R880" s="207"/>
      <c r="S880" s="207"/>
      <c r="T880" s="207"/>
      <c r="U880" s="207"/>
      <c r="V880" s="207"/>
      <c r="W880" s="207"/>
      <c r="X880" s="207"/>
      <c r="Y880" s="207"/>
      <c r="Z880" s="207"/>
      <c r="AA880" s="207"/>
      <c r="AB880" s="207"/>
      <c r="AC880" s="207"/>
      <c r="AD880" s="207"/>
      <c r="AE880" s="207"/>
      <c r="AF880" s="207"/>
      <c r="AG880" s="207"/>
      <c r="AH880" s="207"/>
      <c r="AI880" s="207"/>
      <c r="AJ880" s="207"/>
      <c r="AK880" s="207"/>
      <c r="AL880" s="207"/>
      <c r="AM880" s="207"/>
      <c r="AN880" s="207"/>
      <c r="AO880" s="207"/>
      <c r="AP880" s="207"/>
      <c r="AQ880" s="207"/>
      <c r="AR880" s="207"/>
      <c r="AS880" s="207"/>
      <c r="AT880" s="207"/>
      <c r="AU880" s="207"/>
      <c r="AV880" s="207"/>
      <c r="AW880" s="207"/>
      <c r="AX880" s="207"/>
      <c r="AY880" s="207"/>
      <c r="AZ880" s="207"/>
      <c r="BA880" s="207"/>
    </row>
    <row r="881" ht="18.75" hidden="1" customHeight="1">
      <c r="A881" s="207"/>
      <c r="B881" s="207"/>
      <c r="C881" s="207"/>
      <c r="D881" s="207"/>
      <c r="E881" s="207"/>
      <c r="F881" s="207"/>
      <c r="G881" s="207"/>
      <c r="H881" s="207"/>
      <c r="I881" s="207"/>
      <c r="J881" s="207"/>
      <c r="K881" s="207"/>
      <c r="L881" s="207"/>
      <c r="M881" s="207"/>
      <c r="N881" s="207"/>
      <c r="O881" s="207"/>
      <c r="P881" s="207"/>
      <c r="Q881" s="207"/>
      <c r="R881" s="207"/>
      <c r="S881" s="207"/>
      <c r="T881" s="207"/>
      <c r="U881" s="207"/>
      <c r="V881" s="207"/>
      <c r="W881" s="207"/>
      <c r="X881" s="207"/>
      <c r="Y881" s="207"/>
      <c r="Z881" s="207"/>
      <c r="AA881" s="207"/>
      <c r="AB881" s="207"/>
      <c r="AC881" s="207"/>
      <c r="AD881" s="207"/>
      <c r="AE881" s="207"/>
      <c r="AF881" s="207"/>
      <c r="AG881" s="207"/>
      <c r="AH881" s="207"/>
      <c r="AI881" s="207"/>
      <c r="AJ881" s="207"/>
      <c r="AK881" s="207"/>
      <c r="AL881" s="207"/>
      <c r="AM881" s="207"/>
      <c r="AN881" s="207"/>
      <c r="AO881" s="207"/>
      <c r="AP881" s="207"/>
      <c r="AQ881" s="207"/>
      <c r="AR881" s="207"/>
      <c r="AS881" s="207"/>
      <c r="AT881" s="207"/>
      <c r="AU881" s="207"/>
      <c r="AV881" s="207"/>
      <c r="AW881" s="207"/>
      <c r="AX881" s="207"/>
      <c r="AY881" s="207"/>
      <c r="AZ881" s="207"/>
      <c r="BA881" s="207"/>
    </row>
    <row r="882" ht="18.75" hidden="1" customHeight="1">
      <c r="A882" s="207"/>
      <c r="B882" s="207"/>
      <c r="C882" s="207"/>
      <c r="D882" s="207"/>
      <c r="E882" s="207"/>
      <c r="F882" s="207"/>
      <c r="G882" s="207"/>
      <c r="H882" s="207"/>
      <c r="I882" s="207"/>
      <c r="J882" s="207"/>
      <c r="K882" s="207"/>
      <c r="L882" s="207"/>
      <c r="M882" s="207"/>
      <c r="N882" s="207"/>
      <c r="O882" s="207"/>
      <c r="P882" s="207"/>
      <c r="Q882" s="207"/>
      <c r="R882" s="207"/>
      <c r="S882" s="207"/>
      <c r="T882" s="207"/>
      <c r="U882" s="207"/>
      <c r="V882" s="207"/>
      <c r="W882" s="207"/>
      <c r="X882" s="207"/>
      <c r="Y882" s="207"/>
      <c r="Z882" s="207"/>
      <c r="AA882" s="207"/>
      <c r="AB882" s="207"/>
      <c r="AC882" s="207"/>
      <c r="AD882" s="207"/>
      <c r="AE882" s="207"/>
      <c r="AF882" s="207"/>
      <c r="AG882" s="207"/>
      <c r="AH882" s="207"/>
      <c r="AI882" s="207"/>
      <c r="AJ882" s="207"/>
      <c r="AK882" s="207"/>
      <c r="AL882" s="207"/>
      <c r="AM882" s="207"/>
      <c r="AN882" s="207"/>
      <c r="AO882" s="207"/>
      <c r="AP882" s="207"/>
      <c r="AQ882" s="207"/>
      <c r="AR882" s="207"/>
      <c r="AS882" s="207"/>
      <c r="AT882" s="207"/>
      <c r="AU882" s="207"/>
      <c r="AV882" s="207"/>
      <c r="AW882" s="207"/>
      <c r="AX882" s="207"/>
      <c r="AY882" s="207"/>
      <c r="AZ882" s="207"/>
      <c r="BA882" s="207"/>
    </row>
    <row r="883" ht="18.75" hidden="1" customHeight="1">
      <c r="A883" s="207"/>
      <c r="B883" s="207"/>
      <c r="C883" s="207"/>
      <c r="D883" s="207"/>
      <c r="E883" s="207"/>
      <c r="F883" s="207"/>
      <c r="G883" s="207"/>
      <c r="H883" s="207"/>
      <c r="I883" s="207"/>
      <c r="J883" s="207"/>
      <c r="K883" s="207"/>
      <c r="L883" s="207"/>
      <c r="M883" s="207"/>
      <c r="N883" s="207"/>
      <c r="O883" s="207"/>
      <c r="P883" s="207"/>
      <c r="Q883" s="207"/>
      <c r="R883" s="207"/>
      <c r="S883" s="207"/>
      <c r="T883" s="207"/>
      <c r="U883" s="207"/>
      <c r="V883" s="207"/>
      <c r="W883" s="207"/>
      <c r="X883" s="207"/>
      <c r="Y883" s="207"/>
      <c r="Z883" s="207"/>
      <c r="AA883" s="207"/>
      <c r="AB883" s="207"/>
      <c r="AC883" s="207"/>
      <c r="AD883" s="207"/>
      <c r="AE883" s="207"/>
      <c r="AF883" s="207"/>
      <c r="AG883" s="207"/>
      <c r="AH883" s="207"/>
      <c r="AI883" s="207"/>
      <c r="AJ883" s="207"/>
      <c r="AK883" s="207"/>
      <c r="AL883" s="207"/>
      <c r="AM883" s="207"/>
      <c r="AN883" s="207"/>
      <c r="AO883" s="207"/>
      <c r="AP883" s="207"/>
      <c r="AQ883" s="207"/>
      <c r="AR883" s="207"/>
      <c r="AS883" s="207"/>
      <c r="AT883" s="207"/>
      <c r="AU883" s="207"/>
      <c r="AV883" s="207"/>
      <c r="AW883" s="207"/>
      <c r="AX883" s="207"/>
      <c r="AY883" s="207"/>
      <c r="AZ883" s="207"/>
      <c r="BA883" s="207"/>
    </row>
    <row r="884" ht="18.75" hidden="1" customHeight="1">
      <c r="A884" s="207"/>
      <c r="B884" s="207"/>
      <c r="C884" s="207"/>
      <c r="D884" s="207"/>
      <c r="E884" s="207"/>
      <c r="F884" s="207"/>
      <c r="G884" s="207"/>
      <c r="H884" s="207"/>
      <c r="I884" s="207"/>
      <c r="J884" s="207"/>
      <c r="K884" s="207"/>
      <c r="L884" s="207"/>
      <c r="M884" s="207"/>
      <c r="N884" s="207"/>
      <c r="O884" s="207"/>
      <c r="P884" s="207"/>
      <c r="Q884" s="207"/>
      <c r="R884" s="207"/>
      <c r="S884" s="207"/>
      <c r="T884" s="207"/>
      <c r="U884" s="207"/>
      <c r="V884" s="207"/>
      <c r="W884" s="207"/>
      <c r="X884" s="207"/>
      <c r="Y884" s="207"/>
      <c r="Z884" s="207"/>
      <c r="AA884" s="207"/>
      <c r="AB884" s="207"/>
      <c r="AC884" s="207"/>
      <c r="AD884" s="207"/>
      <c r="AE884" s="207"/>
      <c r="AF884" s="207"/>
      <c r="AG884" s="207"/>
      <c r="AH884" s="207"/>
      <c r="AI884" s="207"/>
      <c r="AJ884" s="207"/>
      <c r="AK884" s="207"/>
      <c r="AL884" s="207"/>
      <c r="AM884" s="207"/>
      <c r="AN884" s="207"/>
      <c r="AO884" s="207"/>
      <c r="AP884" s="207"/>
      <c r="AQ884" s="207"/>
      <c r="AR884" s="207"/>
      <c r="AS884" s="207"/>
      <c r="AT884" s="207"/>
      <c r="AU884" s="207"/>
      <c r="AV884" s="207"/>
      <c r="AW884" s="207"/>
      <c r="AX884" s="207"/>
      <c r="AY884" s="207"/>
      <c r="AZ884" s="207"/>
      <c r="BA884" s="207"/>
    </row>
    <row r="885" ht="18.75" hidden="1" customHeight="1">
      <c r="A885" s="207"/>
      <c r="B885" s="207"/>
      <c r="C885" s="207"/>
      <c r="D885" s="207"/>
      <c r="E885" s="207"/>
      <c r="F885" s="207"/>
      <c r="G885" s="207"/>
      <c r="H885" s="207"/>
      <c r="I885" s="207"/>
      <c r="J885" s="207"/>
      <c r="K885" s="207"/>
      <c r="L885" s="207"/>
      <c r="M885" s="207"/>
      <c r="N885" s="207"/>
      <c r="O885" s="207"/>
      <c r="P885" s="207"/>
      <c r="Q885" s="207"/>
      <c r="R885" s="207"/>
      <c r="S885" s="207"/>
      <c r="T885" s="207"/>
      <c r="U885" s="207"/>
      <c r="V885" s="207"/>
      <c r="W885" s="207"/>
      <c r="X885" s="207"/>
      <c r="Y885" s="207"/>
      <c r="Z885" s="207"/>
      <c r="AA885" s="207"/>
      <c r="AB885" s="207"/>
      <c r="AC885" s="207"/>
      <c r="AD885" s="207"/>
      <c r="AE885" s="207"/>
      <c r="AF885" s="207"/>
      <c r="AG885" s="207"/>
      <c r="AH885" s="207"/>
      <c r="AI885" s="207"/>
      <c r="AJ885" s="207"/>
      <c r="AK885" s="207"/>
      <c r="AL885" s="207"/>
      <c r="AM885" s="207"/>
      <c r="AN885" s="207"/>
      <c r="AO885" s="207"/>
      <c r="AP885" s="207"/>
      <c r="AQ885" s="207"/>
      <c r="AR885" s="207"/>
      <c r="AS885" s="207"/>
      <c r="AT885" s="207"/>
      <c r="AU885" s="207"/>
      <c r="AV885" s="207"/>
      <c r="AW885" s="207"/>
      <c r="AX885" s="207"/>
      <c r="AY885" s="207"/>
      <c r="AZ885" s="207"/>
      <c r="BA885" s="207"/>
    </row>
    <row r="886" ht="18.75" hidden="1" customHeight="1">
      <c r="A886" s="207"/>
      <c r="B886" s="207"/>
      <c r="C886" s="207"/>
      <c r="D886" s="207"/>
      <c r="E886" s="207"/>
      <c r="F886" s="207"/>
      <c r="G886" s="207"/>
      <c r="H886" s="207"/>
      <c r="I886" s="207"/>
      <c r="J886" s="207"/>
      <c r="K886" s="207"/>
      <c r="L886" s="207"/>
      <c r="M886" s="207"/>
      <c r="N886" s="207"/>
      <c r="O886" s="207"/>
      <c r="P886" s="207"/>
      <c r="Q886" s="207"/>
      <c r="R886" s="207"/>
      <c r="S886" s="207"/>
      <c r="T886" s="207"/>
      <c r="U886" s="207"/>
      <c r="V886" s="207"/>
      <c r="W886" s="207"/>
      <c r="X886" s="207"/>
      <c r="Y886" s="207"/>
      <c r="Z886" s="207"/>
      <c r="AA886" s="207"/>
      <c r="AB886" s="207"/>
      <c r="AC886" s="207"/>
      <c r="AD886" s="207"/>
      <c r="AE886" s="207"/>
      <c r="AF886" s="207"/>
      <c r="AG886" s="207"/>
      <c r="AH886" s="207"/>
      <c r="AI886" s="207"/>
      <c r="AJ886" s="207"/>
      <c r="AK886" s="207"/>
      <c r="AL886" s="207"/>
      <c r="AM886" s="207"/>
      <c r="AN886" s="207"/>
      <c r="AO886" s="207"/>
      <c r="AP886" s="207"/>
      <c r="AQ886" s="207"/>
      <c r="AR886" s="207"/>
      <c r="AS886" s="207"/>
      <c r="AT886" s="207"/>
      <c r="AU886" s="207"/>
      <c r="AV886" s="207"/>
      <c r="AW886" s="207"/>
      <c r="AX886" s="207"/>
      <c r="AY886" s="207"/>
      <c r="AZ886" s="207"/>
      <c r="BA886" s="207"/>
    </row>
    <row r="887" ht="18.75" hidden="1" customHeight="1">
      <c r="A887" s="207"/>
      <c r="B887" s="207"/>
      <c r="C887" s="207"/>
      <c r="D887" s="207"/>
      <c r="E887" s="207"/>
      <c r="F887" s="207"/>
      <c r="G887" s="207"/>
      <c r="H887" s="207"/>
      <c r="I887" s="207"/>
      <c r="J887" s="207"/>
      <c r="K887" s="207"/>
      <c r="L887" s="207"/>
      <c r="M887" s="207"/>
      <c r="N887" s="207"/>
      <c r="O887" s="207"/>
      <c r="P887" s="207"/>
      <c r="Q887" s="207"/>
      <c r="R887" s="207"/>
      <c r="S887" s="207"/>
      <c r="T887" s="207"/>
      <c r="U887" s="207"/>
      <c r="V887" s="207"/>
      <c r="W887" s="207"/>
      <c r="X887" s="207"/>
      <c r="Y887" s="207"/>
      <c r="Z887" s="207"/>
      <c r="AA887" s="207"/>
      <c r="AB887" s="207"/>
      <c r="AC887" s="207"/>
      <c r="AD887" s="207"/>
      <c r="AE887" s="207"/>
      <c r="AF887" s="207"/>
      <c r="AG887" s="207"/>
      <c r="AH887" s="207"/>
      <c r="AI887" s="207"/>
      <c r="AJ887" s="207"/>
      <c r="AK887" s="207"/>
      <c r="AL887" s="207"/>
      <c r="AM887" s="207"/>
      <c r="AN887" s="207"/>
      <c r="AO887" s="207"/>
      <c r="AP887" s="207"/>
      <c r="AQ887" s="207"/>
      <c r="AR887" s="207"/>
      <c r="AS887" s="207"/>
      <c r="AT887" s="207"/>
      <c r="AU887" s="207"/>
      <c r="AV887" s="207"/>
      <c r="AW887" s="207"/>
      <c r="AX887" s="207"/>
      <c r="AY887" s="207"/>
      <c r="AZ887" s="207"/>
      <c r="BA887" s="207"/>
    </row>
    <row r="888" ht="18.75" hidden="1" customHeight="1">
      <c r="A888" s="207"/>
      <c r="B888" s="207"/>
      <c r="C888" s="207"/>
      <c r="D888" s="207"/>
      <c r="E888" s="207"/>
      <c r="F888" s="207"/>
      <c r="G888" s="207"/>
      <c r="H888" s="207"/>
      <c r="I888" s="207"/>
      <c r="J888" s="207"/>
      <c r="K888" s="207"/>
      <c r="L888" s="207"/>
      <c r="M888" s="207"/>
      <c r="N888" s="207"/>
      <c r="O888" s="207"/>
      <c r="P888" s="207"/>
      <c r="Q888" s="207"/>
      <c r="R888" s="207"/>
      <c r="S888" s="207"/>
      <c r="T888" s="207"/>
      <c r="U888" s="207"/>
      <c r="V888" s="207"/>
      <c r="W888" s="207"/>
      <c r="X888" s="207"/>
      <c r="Y888" s="207"/>
      <c r="Z888" s="207"/>
      <c r="AA888" s="207"/>
      <c r="AB888" s="207"/>
      <c r="AC888" s="207"/>
      <c r="AD888" s="207"/>
      <c r="AE888" s="207"/>
      <c r="AF888" s="207"/>
      <c r="AG888" s="207"/>
      <c r="AH888" s="207"/>
      <c r="AI888" s="207"/>
      <c r="AJ888" s="207"/>
      <c r="AK888" s="207"/>
      <c r="AL888" s="207"/>
      <c r="AM888" s="207"/>
      <c r="AN888" s="207"/>
      <c r="AO888" s="207"/>
      <c r="AP888" s="207"/>
      <c r="AQ888" s="207"/>
      <c r="AR888" s="207"/>
      <c r="AS888" s="207"/>
      <c r="AT888" s="207"/>
      <c r="AU888" s="207"/>
      <c r="AV888" s="207"/>
      <c r="AW888" s="207"/>
      <c r="AX888" s="207"/>
      <c r="AY888" s="207"/>
      <c r="AZ888" s="207"/>
      <c r="BA888" s="207"/>
    </row>
    <row r="889" ht="18.75" hidden="1" customHeight="1">
      <c r="A889" s="207"/>
      <c r="B889" s="207"/>
      <c r="C889" s="207"/>
      <c r="D889" s="207"/>
      <c r="E889" s="207"/>
      <c r="F889" s="207"/>
      <c r="G889" s="207"/>
      <c r="H889" s="207"/>
      <c r="I889" s="207"/>
      <c r="J889" s="207"/>
      <c r="K889" s="207"/>
      <c r="L889" s="207"/>
      <c r="M889" s="207"/>
      <c r="N889" s="207"/>
      <c r="O889" s="207"/>
      <c r="P889" s="207"/>
      <c r="Q889" s="207"/>
      <c r="R889" s="207"/>
      <c r="S889" s="207"/>
      <c r="T889" s="207"/>
      <c r="U889" s="207"/>
      <c r="V889" s="207"/>
      <c r="W889" s="207"/>
      <c r="X889" s="207"/>
      <c r="Y889" s="207"/>
      <c r="Z889" s="207"/>
      <c r="AA889" s="207"/>
      <c r="AB889" s="207"/>
      <c r="AC889" s="207"/>
      <c r="AD889" s="207"/>
      <c r="AE889" s="207"/>
      <c r="AF889" s="207"/>
      <c r="AG889" s="207"/>
      <c r="AH889" s="207"/>
      <c r="AI889" s="207"/>
      <c r="AJ889" s="207"/>
      <c r="AK889" s="207"/>
      <c r="AL889" s="207"/>
      <c r="AM889" s="207"/>
      <c r="AN889" s="207"/>
      <c r="AO889" s="207"/>
      <c r="AP889" s="207"/>
      <c r="AQ889" s="207"/>
      <c r="AR889" s="207"/>
      <c r="AS889" s="207"/>
      <c r="AT889" s="207"/>
      <c r="AU889" s="207"/>
      <c r="AV889" s="207"/>
      <c r="AW889" s="207"/>
      <c r="AX889" s="207"/>
      <c r="AY889" s="207"/>
      <c r="AZ889" s="207"/>
      <c r="BA889" s="207"/>
    </row>
    <row r="890" ht="18.75" hidden="1" customHeight="1">
      <c r="A890" s="207"/>
      <c r="B890" s="207"/>
      <c r="C890" s="207"/>
      <c r="D890" s="207"/>
      <c r="E890" s="207"/>
      <c r="F890" s="207"/>
      <c r="G890" s="207"/>
      <c r="H890" s="207"/>
      <c r="I890" s="207"/>
      <c r="J890" s="207"/>
      <c r="K890" s="207"/>
      <c r="L890" s="207"/>
      <c r="M890" s="207"/>
      <c r="N890" s="207"/>
      <c r="O890" s="207"/>
      <c r="P890" s="207"/>
      <c r="Q890" s="207"/>
      <c r="R890" s="207"/>
      <c r="S890" s="207"/>
      <c r="T890" s="207"/>
      <c r="U890" s="207"/>
      <c r="V890" s="207"/>
      <c r="W890" s="207"/>
      <c r="X890" s="207"/>
      <c r="Y890" s="207"/>
      <c r="Z890" s="207"/>
      <c r="AA890" s="207"/>
      <c r="AB890" s="207"/>
      <c r="AC890" s="207"/>
      <c r="AD890" s="207"/>
      <c r="AE890" s="207"/>
      <c r="AF890" s="207"/>
      <c r="AG890" s="207"/>
      <c r="AH890" s="207"/>
      <c r="AI890" s="207"/>
      <c r="AJ890" s="207"/>
      <c r="AK890" s="207"/>
      <c r="AL890" s="207"/>
      <c r="AM890" s="207"/>
      <c r="AN890" s="207"/>
      <c r="AO890" s="207"/>
      <c r="AP890" s="207"/>
      <c r="AQ890" s="207"/>
      <c r="AR890" s="207"/>
      <c r="AS890" s="207"/>
      <c r="AT890" s="207"/>
      <c r="AU890" s="207"/>
      <c r="AV890" s="207"/>
      <c r="AW890" s="207"/>
      <c r="AX890" s="207"/>
      <c r="AY890" s="207"/>
      <c r="AZ890" s="207"/>
      <c r="BA890" s="207"/>
    </row>
    <row r="891" ht="18.75" hidden="1" customHeight="1">
      <c r="A891" s="207"/>
      <c r="B891" s="207"/>
      <c r="C891" s="207"/>
      <c r="D891" s="207"/>
      <c r="E891" s="207"/>
      <c r="F891" s="207"/>
      <c r="G891" s="207"/>
      <c r="H891" s="207"/>
      <c r="I891" s="207"/>
      <c r="J891" s="207"/>
      <c r="K891" s="207"/>
      <c r="L891" s="207"/>
      <c r="M891" s="207"/>
      <c r="N891" s="207"/>
      <c r="O891" s="207"/>
      <c r="P891" s="207"/>
      <c r="Q891" s="207"/>
      <c r="R891" s="207"/>
      <c r="S891" s="207"/>
      <c r="T891" s="207"/>
      <c r="U891" s="207"/>
      <c r="V891" s="207"/>
      <c r="W891" s="207"/>
      <c r="X891" s="207"/>
      <c r="Y891" s="207"/>
      <c r="Z891" s="207"/>
      <c r="AA891" s="207"/>
      <c r="AB891" s="207"/>
      <c r="AC891" s="207"/>
      <c r="AD891" s="207"/>
      <c r="AE891" s="207"/>
      <c r="AF891" s="207"/>
      <c r="AG891" s="207"/>
      <c r="AH891" s="207"/>
      <c r="AI891" s="207"/>
      <c r="AJ891" s="207"/>
      <c r="AK891" s="207"/>
      <c r="AL891" s="207"/>
      <c r="AM891" s="207"/>
      <c r="AN891" s="207"/>
      <c r="AO891" s="207"/>
      <c r="AP891" s="207"/>
      <c r="AQ891" s="207"/>
      <c r="AR891" s="207"/>
      <c r="AS891" s="207"/>
      <c r="AT891" s="207"/>
      <c r="AU891" s="207"/>
      <c r="AV891" s="207"/>
      <c r="AW891" s="207"/>
      <c r="AX891" s="207"/>
      <c r="AY891" s="207"/>
      <c r="AZ891" s="207"/>
      <c r="BA891" s="207"/>
    </row>
    <row r="892" ht="18.75" hidden="1" customHeight="1">
      <c r="A892" s="207"/>
      <c r="B892" s="207"/>
      <c r="C892" s="207"/>
      <c r="D892" s="207"/>
      <c r="E892" s="207"/>
      <c r="F892" s="207"/>
      <c r="G892" s="207"/>
      <c r="H892" s="207"/>
      <c r="I892" s="207"/>
      <c r="J892" s="207"/>
      <c r="K892" s="207"/>
      <c r="L892" s="207"/>
      <c r="M892" s="207"/>
      <c r="N892" s="207"/>
      <c r="O892" s="207"/>
      <c r="P892" s="207"/>
      <c r="Q892" s="207"/>
      <c r="R892" s="207"/>
      <c r="S892" s="207"/>
      <c r="T892" s="207"/>
      <c r="U892" s="207"/>
      <c r="V892" s="207"/>
      <c r="W892" s="207"/>
      <c r="X892" s="207"/>
      <c r="Y892" s="207"/>
      <c r="Z892" s="207"/>
      <c r="AA892" s="207"/>
      <c r="AB892" s="207"/>
      <c r="AC892" s="207"/>
      <c r="AD892" s="207"/>
      <c r="AE892" s="207"/>
      <c r="AF892" s="207"/>
      <c r="AG892" s="207"/>
      <c r="AH892" s="207"/>
      <c r="AI892" s="207"/>
      <c r="AJ892" s="207"/>
      <c r="AK892" s="207"/>
      <c r="AL892" s="207"/>
      <c r="AM892" s="207"/>
      <c r="AN892" s="207"/>
      <c r="AO892" s="207"/>
      <c r="AP892" s="207"/>
      <c r="AQ892" s="207"/>
      <c r="AR892" s="207"/>
      <c r="AS892" s="207"/>
      <c r="AT892" s="207"/>
      <c r="AU892" s="207"/>
      <c r="AV892" s="207"/>
      <c r="AW892" s="207"/>
      <c r="AX892" s="207"/>
      <c r="AY892" s="207"/>
      <c r="AZ892" s="207"/>
      <c r="BA892" s="207"/>
    </row>
    <row r="893" ht="18.75" hidden="1" customHeight="1">
      <c r="A893" s="207"/>
      <c r="B893" s="207"/>
      <c r="C893" s="207"/>
      <c r="D893" s="207"/>
      <c r="E893" s="207"/>
      <c r="F893" s="207"/>
      <c r="G893" s="207"/>
      <c r="H893" s="207"/>
      <c r="I893" s="207"/>
      <c r="J893" s="207"/>
      <c r="K893" s="207"/>
      <c r="L893" s="207"/>
      <c r="M893" s="207"/>
      <c r="N893" s="207"/>
      <c r="O893" s="207"/>
      <c r="P893" s="207"/>
      <c r="Q893" s="207"/>
      <c r="R893" s="207"/>
      <c r="S893" s="207"/>
      <c r="T893" s="207"/>
      <c r="U893" s="207"/>
      <c r="V893" s="207"/>
      <c r="W893" s="207"/>
      <c r="X893" s="207"/>
      <c r="Y893" s="207"/>
      <c r="Z893" s="207"/>
      <c r="AA893" s="207"/>
      <c r="AB893" s="207"/>
      <c r="AC893" s="207"/>
      <c r="AD893" s="207"/>
      <c r="AE893" s="207"/>
      <c r="AF893" s="207"/>
      <c r="AG893" s="207"/>
      <c r="AH893" s="207"/>
      <c r="AI893" s="207"/>
      <c r="AJ893" s="207"/>
      <c r="AK893" s="207"/>
      <c r="AL893" s="207"/>
      <c r="AM893" s="207"/>
      <c r="AN893" s="207"/>
      <c r="AO893" s="207"/>
      <c r="AP893" s="207"/>
      <c r="AQ893" s="207"/>
      <c r="AR893" s="207"/>
      <c r="AS893" s="207"/>
      <c r="AT893" s="207"/>
      <c r="AU893" s="207"/>
      <c r="AV893" s="207"/>
      <c r="AW893" s="207"/>
      <c r="AX893" s="207"/>
      <c r="AY893" s="207"/>
      <c r="AZ893" s="207"/>
      <c r="BA893" s="207"/>
    </row>
    <row r="894" ht="18.75" hidden="1" customHeight="1">
      <c r="A894" s="207"/>
      <c r="B894" s="207"/>
      <c r="C894" s="207"/>
      <c r="D894" s="207"/>
      <c r="E894" s="207"/>
      <c r="F894" s="207"/>
      <c r="G894" s="207"/>
      <c r="H894" s="207"/>
      <c r="I894" s="207"/>
      <c r="J894" s="207"/>
      <c r="K894" s="207"/>
      <c r="L894" s="207"/>
      <c r="M894" s="207"/>
      <c r="N894" s="207"/>
      <c r="O894" s="207"/>
      <c r="P894" s="207"/>
      <c r="Q894" s="207"/>
      <c r="R894" s="207"/>
      <c r="S894" s="207"/>
      <c r="T894" s="207"/>
      <c r="U894" s="207"/>
      <c r="V894" s="207"/>
      <c r="W894" s="207"/>
      <c r="X894" s="207"/>
      <c r="Y894" s="207"/>
      <c r="Z894" s="207"/>
      <c r="AA894" s="207"/>
      <c r="AB894" s="207"/>
      <c r="AC894" s="207"/>
      <c r="AD894" s="207"/>
      <c r="AE894" s="207"/>
      <c r="AF894" s="207"/>
      <c r="AG894" s="207"/>
      <c r="AH894" s="207"/>
      <c r="AI894" s="207"/>
      <c r="AJ894" s="207"/>
      <c r="AK894" s="207"/>
      <c r="AL894" s="207"/>
      <c r="AM894" s="207"/>
      <c r="AN894" s="207"/>
      <c r="AO894" s="207"/>
      <c r="AP894" s="207"/>
      <c r="AQ894" s="207"/>
      <c r="AR894" s="207"/>
      <c r="AS894" s="207"/>
      <c r="AT894" s="207"/>
      <c r="AU894" s="207"/>
      <c r="AV894" s="207"/>
      <c r="AW894" s="207"/>
      <c r="AX894" s="207"/>
      <c r="AY894" s="207"/>
      <c r="AZ894" s="207"/>
      <c r="BA894" s="207"/>
    </row>
    <row r="895" ht="18.75" hidden="1" customHeight="1">
      <c r="A895" s="207"/>
      <c r="B895" s="207"/>
      <c r="C895" s="207"/>
      <c r="D895" s="207"/>
      <c r="E895" s="207"/>
      <c r="F895" s="207"/>
      <c r="G895" s="207"/>
      <c r="H895" s="207"/>
      <c r="I895" s="207"/>
      <c r="J895" s="207"/>
      <c r="K895" s="207"/>
      <c r="L895" s="207"/>
      <c r="M895" s="207"/>
      <c r="N895" s="207"/>
      <c r="O895" s="207"/>
      <c r="P895" s="207"/>
      <c r="Q895" s="207"/>
      <c r="R895" s="207"/>
      <c r="S895" s="207"/>
      <c r="T895" s="207"/>
      <c r="U895" s="207"/>
      <c r="V895" s="207"/>
      <c r="W895" s="207"/>
      <c r="X895" s="207"/>
      <c r="Y895" s="207"/>
      <c r="Z895" s="207"/>
      <c r="AA895" s="207"/>
      <c r="AB895" s="207"/>
      <c r="AC895" s="207"/>
      <c r="AD895" s="207"/>
      <c r="AE895" s="207"/>
      <c r="AF895" s="207"/>
      <c r="AG895" s="207"/>
      <c r="AH895" s="207"/>
      <c r="AI895" s="207"/>
      <c r="AJ895" s="207"/>
      <c r="AK895" s="207"/>
      <c r="AL895" s="207"/>
      <c r="AM895" s="207"/>
      <c r="AN895" s="207"/>
      <c r="AO895" s="207"/>
      <c r="AP895" s="207"/>
      <c r="AQ895" s="207"/>
      <c r="AR895" s="207"/>
      <c r="AS895" s="207"/>
      <c r="AT895" s="207"/>
      <c r="AU895" s="207"/>
      <c r="AV895" s="207"/>
      <c r="AW895" s="207"/>
      <c r="AX895" s="207"/>
      <c r="AY895" s="207"/>
      <c r="AZ895" s="207"/>
      <c r="BA895" s="207"/>
    </row>
    <row r="896" ht="18.75" hidden="1" customHeight="1">
      <c r="A896" s="207"/>
      <c r="B896" s="207"/>
      <c r="C896" s="207"/>
      <c r="D896" s="207"/>
      <c r="E896" s="207"/>
      <c r="F896" s="207"/>
      <c r="G896" s="207"/>
      <c r="H896" s="207"/>
      <c r="I896" s="207"/>
      <c r="J896" s="207"/>
      <c r="K896" s="207"/>
      <c r="L896" s="207"/>
      <c r="M896" s="207"/>
      <c r="N896" s="207"/>
      <c r="O896" s="207"/>
      <c r="P896" s="207"/>
      <c r="Q896" s="207"/>
      <c r="R896" s="207"/>
      <c r="S896" s="207"/>
      <c r="T896" s="207"/>
      <c r="U896" s="207"/>
      <c r="V896" s="207"/>
      <c r="W896" s="207"/>
      <c r="X896" s="207"/>
      <c r="Y896" s="207"/>
      <c r="Z896" s="207"/>
      <c r="AA896" s="207"/>
      <c r="AB896" s="207"/>
      <c r="AC896" s="207"/>
      <c r="AD896" s="207"/>
      <c r="AE896" s="207"/>
      <c r="AF896" s="207"/>
      <c r="AG896" s="207"/>
      <c r="AH896" s="207"/>
      <c r="AI896" s="207"/>
      <c r="AJ896" s="207"/>
      <c r="AK896" s="207"/>
      <c r="AL896" s="207"/>
      <c r="AM896" s="207"/>
      <c r="AN896" s="207"/>
      <c r="AO896" s="207"/>
      <c r="AP896" s="207"/>
      <c r="AQ896" s="207"/>
      <c r="AR896" s="207"/>
      <c r="AS896" s="207"/>
      <c r="AT896" s="207"/>
      <c r="AU896" s="207"/>
      <c r="AV896" s="207"/>
      <c r="AW896" s="207"/>
      <c r="AX896" s="207"/>
      <c r="AY896" s="207"/>
      <c r="AZ896" s="207"/>
      <c r="BA896" s="207"/>
    </row>
    <row r="897" ht="18.75" hidden="1" customHeight="1">
      <c r="A897" s="207"/>
      <c r="B897" s="207"/>
      <c r="C897" s="207"/>
      <c r="D897" s="207"/>
      <c r="E897" s="207"/>
      <c r="F897" s="207"/>
      <c r="G897" s="207"/>
      <c r="H897" s="207"/>
      <c r="I897" s="207"/>
      <c r="J897" s="207"/>
      <c r="K897" s="207"/>
      <c r="L897" s="207"/>
      <c r="M897" s="207"/>
      <c r="N897" s="207"/>
      <c r="O897" s="207"/>
      <c r="P897" s="207"/>
      <c r="Q897" s="207"/>
      <c r="R897" s="207"/>
      <c r="S897" s="207"/>
      <c r="T897" s="207"/>
      <c r="U897" s="207"/>
      <c r="V897" s="207"/>
      <c r="W897" s="207"/>
      <c r="X897" s="207"/>
      <c r="Y897" s="207"/>
      <c r="Z897" s="207"/>
      <c r="AA897" s="207"/>
      <c r="AB897" s="207"/>
      <c r="AC897" s="207"/>
      <c r="AD897" s="207"/>
      <c r="AE897" s="207"/>
      <c r="AF897" s="207"/>
      <c r="AG897" s="207"/>
      <c r="AH897" s="207"/>
      <c r="AI897" s="207"/>
      <c r="AJ897" s="207"/>
      <c r="AK897" s="207"/>
      <c r="AL897" s="207"/>
      <c r="AM897" s="207"/>
      <c r="AN897" s="207"/>
      <c r="AO897" s="207"/>
      <c r="AP897" s="207"/>
      <c r="AQ897" s="207"/>
      <c r="AR897" s="207"/>
      <c r="AS897" s="207"/>
      <c r="AT897" s="207"/>
      <c r="AU897" s="207"/>
      <c r="AV897" s="207"/>
      <c r="AW897" s="207"/>
      <c r="AX897" s="207"/>
      <c r="AY897" s="207"/>
      <c r="AZ897" s="207"/>
      <c r="BA897" s="207"/>
    </row>
    <row r="898" ht="18.75" hidden="1" customHeight="1">
      <c r="A898" s="207"/>
      <c r="B898" s="207"/>
      <c r="C898" s="207"/>
      <c r="D898" s="207"/>
      <c r="E898" s="207"/>
      <c r="F898" s="207"/>
      <c r="G898" s="207"/>
      <c r="H898" s="207"/>
      <c r="I898" s="207"/>
      <c r="J898" s="207"/>
      <c r="K898" s="207"/>
      <c r="L898" s="207"/>
      <c r="M898" s="207"/>
      <c r="N898" s="207"/>
      <c r="O898" s="207"/>
      <c r="P898" s="207"/>
      <c r="Q898" s="207"/>
      <c r="R898" s="207"/>
      <c r="S898" s="207"/>
      <c r="T898" s="207"/>
      <c r="U898" s="207"/>
      <c r="V898" s="207"/>
      <c r="W898" s="207"/>
      <c r="X898" s="207"/>
      <c r="Y898" s="207"/>
      <c r="Z898" s="207"/>
      <c r="AA898" s="207"/>
      <c r="AB898" s="207"/>
      <c r="AC898" s="207"/>
      <c r="AD898" s="207"/>
      <c r="AE898" s="207"/>
      <c r="AF898" s="207"/>
      <c r="AG898" s="207"/>
      <c r="AH898" s="207"/>
      <c r="AI898" s="207"/>
      <c r="AJ898" s="207"/>
      <c r="AK898" s="207"/>
      <c r="AL898" s="207"/>
      <c r="AM898" s="207"/>
      <c r="AN898" s="207"/>
      <c r="AO898" s="207"/>
      <c r="AP898" s="207"/>
      <c r="AQ898" s="207"/>
      <c r="AR898" s="207"/>
      <c r="AS898" s="207"/>
      <c r="AT898" s="207"/>
      <c r="AU898" s="207"/>
      <c r="AV898" s="207"/>
      <c r="AW898" s="207"/>
      <c r="AX898" s="207"/>
      <c r="AY898" s="207"/>
      <c r="AZ898" s="207"/>
      <c r="BA898" s="207"/>
    </row>
    <row r="899" ht="18.75" hidden="1" customHeight="1">
      <c r="A899" s="207"/>
      <c r="B899" s="207"/>
      <c r="C899" s="207"/>
      <c r="D899" s="207"/>
      <c r="E899" s="207"/>
      <c r="F899" s="207"/>
      <c r="G899" s="207"/>
      <c r="H899" s="207"/>
      <c r="I899" s="207"/>
      <c r="J899" s="207"/>
      <c r="K899" s="207"/>
      <c r="L899" s="207"/>
      <c r="M899" s="207"/>
      <c r="N899" s="207"/>
      <c r="O899" s="207"/>
      <c r="P899" s="207"/>
      <c r="Q899" s="207"/>
      <c r="R899" s="207"/>
      <c r="S899" s="207"/>
      <c r="T899" s="207"/>
      <c r="U899" s="207"/>
      <c r="V899" s="207"/>
      <c r="W899" s="207"/>
      <c r="X899" s="207"/>
      <c r="Y899" s="207"/>
      <c r="Z899" s="207"/>
      <c r="AA899" s="207"/>
      <c r="AB899" s="207"/>
      <c r="AC899" s="207"/>
      <c r="AD899" s="207"/>
      <c r="AE899" s="207"/>
      <c r="AF899" s="207"/>
      <c r="AG899" s="207"/>
      <c r="AH899" s="207"/>
      <c r="AI899" s="207"/>
      <c r="AJ899" s="207"/>
      <c r="AK899" s="207"/>
      <c r="AL899" s="207"/>
      <c r="AM899" s="207"/>
      <c r="AN899" s="207"/>
      <c r="AO899" s="207"/>
      <c r="AP899" s="207"/>
      <c r="AQ899" s="207"/>
      <c r="AR899" s="207"/>
      <c r="AS899" s="207"/>
      <c r="AT899" s="207"/>
      <c r="AU899" s="207"/>
      <c r="AV899" s="207"/>
      <c r="AW899" s="207"/>
      <c r="AX899" s="207"/>
      <c r="AY899" s="207"/>
      <c r="AZ899" s="207"/>
      <c r="BA899" s="207"/>
    </row>
    <row r="900" ht="18.75" hidden="1" customHeight="1">
      <c r="A900" s="207"/>
      <c r="B900" s="207"/>
      <c r="C900" s="207"/>
      <c r="D900" s="207"/>
      <c r="E900" s="207"/>
      <c r="F900" s="207"/>
      <c r="G900" s="207"/>
      <c r="H900" s="207"/>
      <c r="I900" s="207"/>
      <c r="J900" s="207"/>
      <c r="K900" s="207"/>
      <c r="L900" s="207"/>
      <c r="M900" s="207"/>
      <c r="N900" s="207"/>
      <c r="O900" s="207"/>
      <c r="P900" s="207"/>
      <c r="Q900" s="207"/>
      <c r="R900" s="207"/>
      <c r="S900" s="207"/>
      <c r="T900" s="207"/>
      <c r="U900" s="207"/>
      <c r="V900" s="207"/>
      <c r="W900" s="207"/>
      <c r="X900" s="207"/>
      <c r="Y900" s="207"/>
      <c r="Z900" s="207"/>
      <c r="AA900" s="207"/>
      <c r="AB900" s="207"/>
      <c r="AC900" s="207"/>
      <c r="AD900" s="207"/>
      <c r="AE900" s="207"/>
      <c r="AF900" s="207"/>
      <c r="AG900" s="207"/>
      <c r="AH900" s="207"/>
      <c r="AI900" s="207"/>
      <c r="AJ900" s="207"/>
      <c r="AK900" s="207"/>
      <c r="AL900" s="207"/>
      <c r="AM900" s="207"/>
      <c r="AN900" s="207"/>
      <c r="AO900" s="207"/>
      <c r="AP900" s="207"/>
      <c r="AQ900" s="207"/>
      <c r="AR900" s="207"/>
      <c r="AS900" s="207"/>
      <c r="AT900" s="207"/>
      <c r="AU900" s="207"/>
      <c r="AV900" s="207"/>
      <c r="AW900" s="207"/>
      <c r="AX900" s="207"/>
      <c r="AY900" s="207"/>
      <c r="AZ900" s="207"/>
      <c r="BA900" s="207"/>
    </row>
    <row r="901" ht="18.75" hidden="1" customHeight="1">
      <c r="A901" s="207"/>
      <c r="B901" s="207"/>
      <c r="C901" s="207"/>
      <c r="D901" s="207"/>
      <c r="E901" s="207"/>
      <c r="F901" s="207"/>
      <c r="G901" s="207"/>
      <c r="H901" s="207"/>
      <c r="I901" s="207"/>
      <c r="J901" s="207"/>
      <c r="K901" s="207"/>
      <c r="L901" s="207"/>
      <c r="M901" s="207"/>
      <c r="N901" s="207"/>
      <c r="O901" s="207"/>
      <c r="P901" s="207"/>
      <c r="Q901" s="207"/>
      <c r="R901" s="207"/>
      <c r="S901" s="207"/>
      <c r="T901" s="207"/>
      <c r="U901" s="207"/>
      <c r="V901" s="207"/>
      <c r="W901" s="207"/>
      <c r="X901" s="207"/>
      <c r="Y901" s="207"/>
      <c r="Z901" s="207"/>
      <c r="AA901" s="207"/>
      <c r="AB901" s="207"/>
      <c r="AC901" s="207"/>
      <c r="AD901" s="207"/>
      <c r="AE901" s="207"/>
      <c r="AF901" s="207"/>
      <c r="AG901" s="207"/>
      <c r="AH901" s="207"/>
      <c r="AI901" s="207"/>
      <c r="AJ901" s="207"/>
      <c r="AK901" s="207"/>
      <c r="AL901" s="207"/>
      <c r="AM901" s="207"/>
      <c r="AN901" s="207"/>
      <c r="AO901" s="207"/>
      <c r="AP901" s="207"/>
      <c r="AQ901" s="207"/>
      <c r="AR901" s="207"/>
      <c r="AS901" s="207"/>
      <c r="AT901" s="207"/>
      <c r="AU901" s="207"/>
      <c r="AV901" s="207"/>
      <c r="AW901" s="207"/>
      <c r="AX901" s="207"/>
      <c r="AY901" s="207"/>
      <c r="AZ901" s="207"/>
      <c r="BA901" s="207"/>
    </row>
    <row r="902" ht="18.75" hidden="1" customHeight="1">
      <c r="A902" s="207"/>
      <c r="B902" s="207"/>
      <c r="C902" s="207"/>
      <c r="D902" s="207"/>
      <c r="E902" s="207"/>
      <c r="F902" s="207"/>
      <c r="G902" s="207"/>
      <c r="H902" s="207"/>
      <c r="I902" s="207"/>
      <c r="J902" s="207"/>
      <c r="K902" s="207"/>
      <c r="L902" s="207"/>
      <c r="M902" s="207"/>
      <c r="N902" s="207"/>
      <c r="O902" s="207"/>
      <c r="P902" s="207"/>
      <c r="Q902" s="207"/>
      <c r="R902" s="207"/>
      <c r="S902" s="207"/>
      <c r="T902" s="207"/>
      <c r="U902" s="207"/>
      <c r="V902" s="207"/>
      <c r="W902" s="207"/>
      <c r="X902" s="207"/>
      <c r="Y902" s="207"/>
      <c r="Z902" s="207"/>
      <c r="AA902" s="207"/>
      <c r="AB902" s="207"/>
      <c r="AC902" s="207"/>
      <c r="AD902" s="207"/>
      <c r="AE902" s="207"/>
      <c r="AF902" s="207"/>
      <c r="AG902" s="207"/>
      <c r="AH902" s="207"/>
      <c r="AI902" s="207"/>
      <c r="AJ902" s="207"/>
      <c r="AK902" s="207"/>
      <c r="AL902" s="207"/>
      <c r="AM902" s="207"/>
      <c r="AN902" s="207"/>
      <c r="AO902" s="207"/>
      <c r="AP902" s="207"/>
      <c r="AQ902" s="207"/>
      <c r="AR902" s="207"/>
      <c r="AS902" s="207"/>
      <c r="AT902" s="207"/>
      <c r="AU902" s="207"/>
      <c r="AV902" s="207"/>
      <c r="AW902" s="207"/>
      <c r="AX902" s="207"/>
      <c r="AY902" s="207"/>
      <c r="AZ902" s="207"/>
      <c r="BA902" s="207"/>
    </row>
    <row r="903" ht="18.75" hidden="1" customHeight="1">
      <c r="A903" s="207"/>
      <c r="B903" s="207"/>
      <c r="C903" s="207"/>
      <c r="D903" s="207"/>
      <c r="E903" s="207"/>
      <c r="F903" s="207"/>
      <c r="G903" s="207"/>
      <c r="H903" s="207"/>
      <c r="I903" s="207"/>
      <c r="J903" s="207"/>
      <c r="K903" s="207"/>
      <c r="L903" s="207"/>
      <c r="M903" s="207"/>
      <c r="N903" s="207"/>
      <c r="O903" s="207"/>
      <c r="P903" s="207"/>
      <c r="Q903" s="207"/>
      <c r="R903" s="207"/>
      <c r="S903" s="207"/>
      <c r="T903" s="207"/>
      <c r="U903" s="207"/>
      <c r="V903" s="207"/>
      <c r="W903" s="207"/>
      <c r="X903" s="207"/>
      <c r="Y903" s="207"/>
      <c r="Z903" s="207"/>
      <c r="AA903" s="207"/>
      <c r="AB903" s="207"/>
      <c r="AC903" s="207"/>
      <c r="AD903" s="207"/>
      <c r="AE903" s="207"/>
      <c r="AF903" s="207"/>
      <c r="AG903" s="207"/>
      <c r="AH903" s="207"/>
      <c r="AI903" s="207"/>
      <c r="AJ903" s="207"/>
      <c r="AK903" s="207"/>
      <c r="AL903" s="207"/>
      <c r="AM903" s="207"/>
      <c r="AN903" s="207"/>
      <c r="AO903" s="207"/>
      <c r="AP903" s="207"/>
      <c r="AQ903" s="207"/>
      <c r="AR903" s="207"/>
      <c r="AS903" s="207"/>
      <c r="AT903" s="207"/>
      <c r="AU903" s="207"/>
      <c r="AV903" s="207"/>
      <c r="AW903" s="207"/>
      <c r="AX903" s="207"/>
      <c r="AY903" s="207"/>
      <c r="AZ903" s="207"/>
      <c r="BA903" s="207"/>
    </row>
    <row r="904" ht="18.75" hidden="1" customHeight="1">
      <c r="A904" s="207"/>
      <c r="B904" s="207"/>
      <c r="C904" s="207"/>
      <c r="D904" s="207"/>
      <c r="E904" s="207"/>
      <c r="F904" s="207"/>
      <c r="G904" s="207"/>
      <c r="H904" s="207"/>
      <c r="I904" s="207"/>
      <c r="J904" s="207"/>
      <c r="K904" s="207"/>
      <c r="L904" s="207"/>
      <c r="M904" s="207"/>
      <c r="N904" s="207"/>
      <c r="O904" s="207"/>
      <c r="P904" s="207"/>
      <c r="Q904" s="207"/>
      <c r="R904" s="207"/>
      <c r="S904" s="207"/>
      <c r="T904" s="207"/>
      <c r="U904" s="207"/>
      <c r="V904" s="207"/>
      <c r="W904" s="207"/>
      <c r="X904" s="207"/>
      <c r="Y904" s="207"/>
      <c r="Z904" s="207"/>
      <c r="AA904" s="207"/>
      <c r="AB904" s="207"/>
      <c r="AC904" s="207"/>
      <c r="AD904" s="207"/>
      <c r="AE904" s="207"/>
      <c r="AF904" s="207"/>
      <c r="AG904" s="207"/>
      <c r="AH904" s="207"/>
      <c r="AI904" s="207"/>
      <c r="AJ904" s="207"/>
      <c r="AK904" s="207"/>
      <c r="AL904" s="207"/>
      <c r="AM904" s="207"/>
      <c r="AN904" s="207"/>
      <c r="AO904" s="207"/>
      <c r="AP904" s="207"/>
      <c r="AQ904" s="207"/>
      <c r="AR904" s="207"/>
      <c r="AS904" s="207"/>
      <c r="AT904" s="207"/>
      <c r="AU904" s="207"/>
      <c r="AV904" s="207"/>
      <c r="AW904" s="207"/>
      <c r="AX904" s="207"/>
      <c r="AY904" s="207"/>
      <c r="AZ904" s="207"/>
      <c r="BA904" s="207"/>
    </row>
    <row r="905" ht="18.75" hidden="1" customHeight="1">
      <c r="A905" s="207"/>
      <c r="B905" s="207"/>
      <c r="C905" s="207"/>
      <c r="D905" s="207"/>
      <c r="E905" s="207"/>
      <c r="F905" s="207"/>
      <c r="G905" s="207"/>
      <c r="H905" s="207"/>
      <c r="I905" s="207"/>
      <c r="J905" s="207"/>
      <c r="K905" s="207"/>
      <c r="L905" s="207"/>
      <c r="M905" s="207"/>
      <c r="N905" s="207"/>
      <c r="O905" s="207"/>
      <c r="P905" s="207"/>
      <c r="Q905" s="207"/>
      <c r="R905" s="207"/>
      <c r="S905" s="207"/>
      <c r="T905" s="207"/>
      <c r="U905" s="207"/>
      <c r="V905" s="207"/>
      <c r="W905" s="207"/>
      <c r="X905" s="207"/>
      <c r="Y905" s="207"/>
      <c r="Z905" s="207"/>
      <c r="AA905" s="207"/>
      <c r="AB905" s="207"/>
      <c r="AC905" s="207"/>
      <c r="AD905" s="207"/>
      <c r="AE905" s="207"/>
      <c r="AF905" s="207"/>
      <c r="AG905" s="207"/>
      <c r="AH905" s="207"/>
      <c r="AI905" s="207"/>
      <c r="AJ905" s="207"/>
      <c r="AK905" s="207"/>
      <c r="AL905" s="207"/>
      <c r="AM905" s="207"/>
      <c r="AN905" s="207"/>
      <c r="AO905" s="207"/>
      <c r="AP905" s="207"/>
      <c r="AQ905" s="207"/>
      <c r="AR905" s="207"/>
      <c r="AS905" s="207"/>
      <c r="AT905" s="207"/>
      <c r="AU905" s="207"/>
      <c r="AV905" s="207"/>
      <c r="AW905" s="207"/>
      <c r="AX905" s="207"/>
      <c r="AY905" s="207"/>
      <c r="AZ905" s="207"/>
      <c r="BA905" s="207"/>
    </row>
    <row r="906" ht="18.75" hidden="1" customHeight="1">
      <c r="A906" s="207"/>
      <c r="B906" s="207"/>
      <c r="C906" s="207"/>
      <c r="D906" s="207"/>
      <c r="E906" s="207"/>
      <c r="F906" s="207"/>
      <c r="G906" s="207"/>
      <c r="H906" s="207"/>
      <c r="I906" s="207"/>
      <c r="J906" s="207"/>
      <c r="K906" s="207"/>
      <c r="L906" s="207"/>
      <c r="M906" s="207"/>
      <c r="N906" s="207"/>
      <c r="O906" s="207"/>
      <c r="P906" s="207"/>
      <c r="Q906" s="207"/>
      <c r="R906" s="207"/>
      <c r="S906" s="207"/>
      <c r="T906" s="207"/>
      <c r="U906" s="207"/>
      <c r="V906" s="207"/>
      <c r="W906" s="207"/>
      <c r="X906" s="207"/>
      <c r="Y906" s="207"/>
      <c r="Z906" s="207"/>
      <c r="AA906" s="207"/>
      <c r="AB906" s="207"/>
      <c r="AC906" s="207"/>
      <c r="AD906" s="207"/>
      <c r="AE906" s="207"/>
      <c r="AF906" s="207"/>
      <c r="AG906" s="207"/>
      <c r="AH906" s="207"/>
      <c r="AI906" s="207"/>
      <c r="AJ906" s="207"/>
      <c r="AK906" s="207"/>
      <c r="AL906" s="207"/>
      <c r="AM906" s="207"/>
      <c r="AN906" s="207"/>
      <c r="AO906" s="207"/>
      <c r="AP906" s="207"/>
      <c r="AQ906" s="207"/>
      <c r="AR906" s="207"/>
      <c r="AS906" s="207"/>
      <c r="AT906" s="207"/>
      <c r="AU906" s="207"/>
      <c r="AV906" s="207"/>
      <c r="AW906" s="207"/>
      <c r="AX906" s="207"/>
      <c r="AY906" s="207"/>
      <c r="AZ906" s="207"/>
      <c r="BA906" s="207"/>
    </row>
    <row r="907" ht="18.75" hidden="1" customHeight="1">
      <c r="A907" s="207"/>
      <c r="B907" s="207"/>
      <c r="C907" s="207"/>
      <c r="D907" s="207"/>
      <c r="E907" s="207"/>
      <c r="F907" s="207"/>
      <c r="G907" s="207"/>
      <c r="H907" s="207"/>
      <c r="I907" s="207"/>
      <c r="J907" s="207"/>
      <c r="K907" s="207"/>
      <c r="L907" s="207"/>
      <c r="M907" s="207"/>
      <c r="N907" s="207"/>
      <c r="O907" s="207"/>
      <c r="P907" s="207"/>
      <c r="Q907" s="207"/>
      <c r="R907" s="207"/>
      <c r="S907" s="207"/>
      <c r="T907" s="207"/>
      <c r="U907" s="207"/>
      <c r="V907" s="207"/>
      <c r="W907" s="207"/>
      <c r="X907" s="207"/>
      <c r="Y907" s="207"/>
      <c r="Z907" s="207"/>
      <c r="AA907" s="207"/>
      <c r="AB907" s="207"/>
      <c r="AC907" s="207"/>
      <c r="AD907" s="207"/>
      <c r="AE907" s="207"/>
      <c r="AF907" s="207"/>
      <c r="AG907" s="207"/>
      <c r="AH907" s="207"/>
      <c r="AI907" s="207"/>
      <c r="AJ907" s="207"/>
      <c r="AK907" s="207"/>
      <c r="AL907" s="207"/>
      <c r="AM907" s="207"/>
      <c r="AN907" s="207"/>
      <c r="AO907" s="207"/>
      <c r="AP907" s="207"/>
      <c r="AQ907" s="207"/>
      <c r="AR907" s="207"/>
      <c r="AS907" s="207"/>
      <c r="AT907" s="207"/>
      <c r="AU907" s="207"/>
      <c r="AV907" s="207"/>
      <c r="AW907" s="207"/>
      <c r="AX907" s="207"/>
      <c r="AY907" s="207"/>
      <c r="AZ907" s="207"/>
      <c r="BA907" s="207"/>
    </row>
    <row r="908" ht="18.75" hidden="1" customHeight="1">
      <c r="A908" s="207"/>
      <c r="B908" s="207"/>
      <c r="C908" s="207"/>
      <c r="D908" s="207"/>
      <c r="E908" s="207"/>
      <c r="F908" s="207"/>
      <c r="G908" s="207"/>
      <c r="H908" s="207"/>
      <c r="I908" s="207"/>
      <c r="J908" s="207"/>
      <c r="K908" s="207"/>
      <c r="L908" s="207"/>
      <c r="M908" s="207"/>
      <c r="N908" s="207"/>
      <c r="O908" s="207"/>
      <c r="P908" s="207"/>
      <c r="Q908" s="207"/>
      <c r="R908" s="207"/>
      <c r="S908" s="207"/>
      <c r="T908" s="207"/>
      <c r="U908" s="207"/>
      <c r="V908" s="207"/>
      <c r="W908" s="207"/>
      <c r="X908" s="207"/>
      <c r="Y908" s="207"/>
      <c r="Z908" s="207"/>
      <c r="AA908" s="207"/>
      <c r="AB908" s="207"/>
      <c r="AC908" s="207"/>
      <c r="AD908" s="207"/>
      <c r="AE908" s="207"/>
      <c r="AF908" s="207"/>
      <c r="AG908" s="207"/>
      <c r="AH908" s="207"/>
      <c r="AI908" s="207"/>
      <c r="AJ908" s="207"/>
      <c r="AK908" s="207"/>
      <c r="AL908" s="207"/>
      <c r="AM908" s="207"/>
      <c r="AN908" s="207"/>
      <c r="AO908" s="207"/>
      <c r="AP908" s="207"/>
      <c r="AQ908" s="207"/>
      <c r="AR908" s="207"/>
      <c r="AS908" s="207"/>
      <c r="AT908" s="207"/>
      <c r="AU908" s="207"/>
      <c r="AV908" s="207"/>
      <c r="AW908" s="207"/>
      <c r="AX908" s="207"/>
      <c r="AY908" s="207"/>
      <c r="AZ908" s="207"/>
      <c r="BA908" s="207"/>
    </row>
    <row r="909" ht="18.75" hidden="1" customHeight="1">
      <c r="A909" s="207"/>
      <c r="B909" s="207"/>
      <c r="C909" s="207"/>
      <c r="D909" s="207"/>
      <c r="E909" s="207"/>
      <c r="F909" s="207"/>
      <c r="G909" s="207"/>
      <c r="H909" s="207"/>
      <c r="I909" s="207"/>
      <c r="J909" s="207"/>
      <c r="K909" s="207"/>
      <c r="L909" s="207"/>
      <c r="M909" s="207"/>
      <c r="N909" s="207"/>
      <c r="O909" s="207"/>
      <c r="P909" s="207"/>
      <c r="Q909" s="207"/>
      <c r="R909" s="207"/>
      <c r="S909" s="207"/>
      <c r="T909" s="207"/>
      <c r="U909" s="207"/>
      <c r="V909" s="207"/>
      <c r="W909" s="207"/>
      <c r="X909" s="207"/>
      <c r="Y909" s="207"/>
      <c r="Z909" s="207"/>
      <c r="AA909" s="207"/>
      <c r="AB909" s="207"/>
      <c r="AC909" s="207"/>
      <c r="AD909" s="207"/>
      <c r="AE909" s="207"/>
      <c r="AF909" s="207"/>
      <c r="AG909" s="207"/>
      <c r="AH909" s="207"/>
      <c r="AI909" s="207"/>
      <c r="AJ909" s="207"/>
      <c r="AK909" s="207"/>
      <c r="AL909" s="207"/>
      <c r="AM909" s="207"/>
      <c r="AN909" s="207"/>
      <c r="AO909" s="207"/>
      <c r="AP909" s="207"/>
      <c r="AQ909" s="207"/>
      <c r="AR909" s="207"/>
      <c r="AS909" s="207"/>
      <c r="AT909" s="207"/>
      <c r="AU909" s="207"/>
      <c r="AV909" s="207"/>
      <c r="AW909" s="207"/>
      <c r="AX909" s="207"/>
      <c r="AY909" s="207"/>
      <c r="AZ909" s="207"/>
      <c r="BA909" s="207"/>
    </row>
    <row r="910" ht="18.75" hidden="1" customHeight="1">
      <c r="A910" s="207"/>
      <c r="B910" s="207"/>
      <c r="C910" s="207"/>
      <c r="D910" s="207"/>
      <c r="E910" s="207"/>
      <c r="F910" s="207"/>
      <c r="G910" s="207"/>
      <c r="H910" s="207"/>
      <c r="I910" s="207"/>
      <c r="J910" s="207"/>
      <c r="K910" s="207"/>
      <c r="L910" s="207"/>
      <c r="M910" s="207"/>
      <c r="N910" s="207"/>
      <c r="O910" s="207"/>
      <c r="P910" s="207"/>
      <c r="Q910" s="207"/>
      <c r="R910" s="207"/>
      <c r="S910" s="207"/>
      <c r="T910" s="207"/>
      <c r="U910" s="207"/>
      <c r="V910" s="207"/>
      <c r="W910" s="207"/>
      <c r="X910" s="207"/>
      <c r="Y910" s="207"/>
      <c r="Z910" s="207"/>
      <c r="AA910" s="207"/>
      <c r="AB910" s="207"/>
      <c r="AC910" s="207"/>
      <c r="AD910" s="207"/>
      <c r="AE910" s="207"/>
      <c r="AF910" s="207"/>
      <c r="AG910" s="207"/>
      <c r="AH910" s="207"/>
      <c r="AI910" s="207"/>
      <c r="AJ910" s="207"/>
      <c r="AK910" s="207"/>
      <c r="AL910" s="207"/>
      <c r="AM910" s="207"/>
      <c r="AN910" s="207"/>
      <c r="AO910" s="207"/>
      <c r="AP910" s="207"/>
      <c r="AQ910" s="207"/>
      <c r="AR910" s="207"/>
      <c r="AS910" s="207"/>
      <c r="AT910" s="207"/>
      <c r="AU910" s="207"/>
      <c r="AV910" s="207"/>
      <c r="AW910" s="207"/>
      <c r="AX910" s="207"/>
      <c r="AY910" s="207"/>
      <c r="AZ910" s="207"/>
      <c r="BA910" s="207"/>
    </row>
    <row r="911" ht="18.75" hidden="1" customHeight="1">
      <c r="A911" s="207"/>
      <c r="B911" s="207"/>
      <c r="C911" s="207"/>
      <c r="D911" s="207"/>
      <c r="E911" s="207"/>
      <c r="F911" s="207"/>
      <c r="G911" s="207"/>
      <c r="H911" s="207"/>
      <c r="I911" s="207"/>
      <c r="J911" s="207"/>
      <c r="K911" s="207"/>
      <c r="L911" s="207"/>
      <c r="M911" s="207"/>
      <c r="N911" s="207"/>
      <c r="O911" s="207"/>
      <c r="P911" s="207"/>
      <c r="Q911" s="207"/>
      <c r="R911" s="207"/>
      <c r="S911" s="207"/>
      <c r="T911" s="207"/>
      <c r="U911" s="207"/>
      <c r="V911" s="207"/>
      <c r="W911" s="207"/>
      <c r="X911" s="207"/>
      <c r="Y911" s="207"/>
      <c r="Z911" s="207"/>
      <c r="AA911" s="207"/>
      <c r="AB911" s="207"/>
      <c r="AC911" s="207"/>
      <c r="AD911" s="207"/>
      <c r="AE911" s="207"/>
      <c r="AF911" s="207"/>
      <c r="AG911" s="207"/>
      <c r="AH911" s="207"/>
      <c r="AI911" s="207"/>
      <c r="AJ911" s="207"/>
      <c r="AK911" s="207"/>
      <c r="AL911" s="207"/>
      <c r="AM911" s="207"/>
      <c r="AN911" s="207"/>
      <c r="AO911" s="207"/>
      <c r="AP911" s="207"/>
      <c r="AQ911" s="207"/>
      <c r="AR911" s="207"/>
      <c r="AS911" s="207"/>
      <c r="AT911" s="207"/>
      <c r="AU911" s="207"/>
      <c r="AV911" s="207"/>
      <c r="AW911" s="207"/>
      <c r="AX911" s="207"/>
      <c r="AY911" s="207"/>
      <c r="AZ911" s="207"/>
      <c r="BA911" s="207"/>
    </row>
    <row r="912" ht="18.75" hidden="1" customHeight="1">
      <c r="A912" s="207"/>
      <c r="B912" s="207"/>
      <c r="C912" s="207"/>
      <c r="D912" s="207"/>
      <c r="E912" s="207"/>
      <c r="F912" s="207"/>
      <c r="G912" s="207"/>
      <c r="H912" s="207"/>
      <c r="I912" s="207"/>
      <c r="J912" s="207"/>
      <c r="K912" s="207"/>
      <c r="L912" s="207"/>
      <c r="M912" s="207"/>
      <c r="N912" s="207"/>
      <c r="O912" s="207"/>
      <c r="P912" s="207"/>
      <c r="Q912" s="207"/>
      <c r="R912" s="207"/>
      <c r="S912" s="207"/>
      <c r="T912" s="207"/>
      <c r="U912" s="207"/>
      <c r="V912" s="207"/>
      <c r="W912" s="207"/>
      <c r="X912" s="207"/>
      <c r="Y912" s="207"/>
      <c r="Z912" s="207"/>
      <c r="AA912" s="207"/>
      <c r="AB912" s="207"/>
      <c r="AC912" s="207"/>
      <c r="AD912" s="207"/>
      <c r="AE912" s="207"/>
      <c r="AF912" s="207"/>
      <c r="AG912" s="207"/>
      <c r="AH912" s="207"/>
      <c r="AI912" s="207"/>
      <c r="AJ912" s="207"/>
      <c r="AK912" s="207"/>
      <c r="AL912" s="207"/>
      <c r="AM912" s="207"/>
      <c r="AN912" s="207"/>
      <c r="AO912" s="207"/>
      <c r="AP912" s="207"/>
      <c r="AQ912" s="207"/>
      <c r="AR912" s="207"/>
      <c r="AS912" s="207"/>
      <c r="AT912" s="207"/>
      <c r="AU912" s="207"/>
      <c r="AV912" s="207"/>
      <c r="AW912" s="207"/>
      <c r="AX912" s="207"/>
      <c r="AY912" s="207"/>
      <c r="AZ912" s="207"/>
      <c r="BA912" s="207"/>
    </row>
    <row r="913" ht="18.75" hidden="1" customHeight="1">
      <c r="A913" s="207"/>
      <c r="B913" s="207"/>
      <c r="C913" s="207"/>
      <c r="D913" s="207"/>
      <c r="E913" s="207"/>
      <c r="F913" s="207"/>
      <c r="G913" s="207"/>
      <c r="H913" s="207"/>
      <c r="I913" s="207"/>
      <c r="J913" s="207"/>
      <c r="K913" s="207"/>
      <c r="L913" s="207"/>
      <c r="M913" s="207"/>
      <c r="N913" s="207"/>
      <c r="O913" s="207"/>
      <c r="P913" s="207"/>
      <c r="Q913" s="207"/>
      <c r="R913" s="207"/>
      <c r="S913" s="207"/>
      <c r="T913" s="207"/>
      <c r="U913" s="207"/>
      <c r="V913" s="207"/>
      <c r="W913" s="207"/>
      <c r="X913" s="207"/>
      <c r="Y913" s="207"/>
      <c r="Z913" s="207"/>
      <c r="AA913" s="207"/>
      <c r="AB913" s="207"/>
      <c r="AC913" s="207"/>
      <c r="AD913" s="207"/>
      <c r="AE913" s="207"/>
      <c r="AF913" s="207"/>
      <c r="AG913" s="207"/>
      <c r="AH913" s="207"/>
      <c r="AI913" s="207"/>
      <c r="AJ913" s="207"/>
      <c r="AK913" s="207"/>
      <c r="AL913" s="207"/>
      <c r="AM913" s="207"/>
      <c r="AN913" s="207"/>
      <c r="AO913" s="207"/>
      <c r="AP913" s="207"/>
      <c r="AQ913" s="207"/>
      <c r="AR913" s="207"/>
      <c r="AS913" s="207"/>
      <c r="AT913" s="207"/>
      <c r="AU913" s="207"/>
      <c r="AV913" s="207"/>
      <c r="AW913" s="207"/>
      <c r="AX913" s="207"/>
      <c r="AY913" s="207"/>
      <c r="AZ913" s="207"/>
      <c r="BA913" s="207"/>
    </row>
    <row r="914" ht="18.75" hidden="1" customHeight="1">
      <c r="A914" s="207"/>
      <c r="B914" s="207"/>
      <c r="C914" s="207"/>
      <c r="D914" s="207"/>
      <c r="E914" s="207"/>
      <c r="F914" s="207"/>
      <c r="G914" s="207"/>
      <c r="H914" s="207"/>
      <c r="I914" s="207"/>
      <c r="J914" s="207"/>
      <c r="K914" s="207"/>
      <c r="L914" s="207"/>
      <c r="M914" s="207"/>
      <c r="N914" s="207"/>
      <c r="O914" s="207"/>
      <c r="P914" s="207"/>
      <c r="Q914" s="207"/>
      <c r="R914" s="207"/>
      <c r="S914" s="207"/>
      <c r="T914" s="207"/>
      <c r="U914" s="207"/>
      <c r="V914" s="207"/>
      <c r="W914" s="207"/>
      <c r="X914" s="207"/>
      <c r="Y914" s="207"/>
      <c r="Z914" s="207"/>
      <c r="AA914" s="207"/>
      <c r="AB914" s="207"/>
      <c r="AC914" s="207"/>
      <c r="AD914" s="207"/>
      <c r="AE914" s="207"/>
      <c r="AF914" s="207"/>
      <c r="AG914" s="207"/>
      <c r="AH914" s="207"/>
      <c r="AI914" s="207"/>
      <c r="AJ914" s="207"/>
      <c r="AK914" s="207"/>
      <c r="AL914" s="207"/>
      <c r="AM914" s="207"/>
      <c r="AN914" s="207"/>
      <c r="AO914" s="207"/>
      <c r="AP914" s="207"/>
      <c r="AQ914" s="207"/>
      <c r="AR914" s="207"/>
      <c r="AS914" s="207"/>
      <c r="AT914" s="207"/>
      <c r="AU914" s="207"/>
      <c r="AV914" s="207"/>
      <c r="AW914" s="207"/>
      <c r="AX914" s="207"/>
      <c r="AY914" s="207"/>
      <c r="AZ914" s="207"/>
      <c r="BA914" s="207"/>
    </row>
    <row r="915" ht="18.75" hidden="1" customHeight="1">
      <c r="A915" s="207"/>
      <c r="B915" s="207"/>
      <c r="C915" s="207"/>
      <c r="D915" s="207"/>
      <c r="E915" s="207"/>
      <c r="F915" s="207"/>
      <c r="G915" s="207"/>
      <c r="H915" s="207"/>
      <c r="I915" s="207"/>
      <c r="J915" s="207"/>
      <c r="K915" s="207"/>
      <c r="L915" s="207"/>
      <c r="M915" s="207"/>
      <c r="N915" s="207"/>
      <c r="O915" s="207"/>
      <c r="P915" s="207"/>
      <c r="Q915" s="207"/>
      <c r="R915" s="207"/>
      <c r="S915" s="207"/>
      <c r="T915" s="207"/>
      <c r="U915" s="207"/>
      <c r="V915" s="207"/>
      <c r="W915" s="207"/>
      <c r="X915" s="207"/>
      <c r="Y915" s="207"/>
      <c r="Z915" s="207"/>
      <c r="AA915" s="207"/>
      <c r="AB915" s="207"/>
      <c r="AC915" s="207"/>
      <c r="AD915" s="207"/>
      <c r="AE915" s="207"/>
      <c r="AF915" s="207"/>
      <c r="AG915" s="207"/>
      <c r="AH915" s="207"/>
      <c r="AI915" s="207"/>
      <c r="AJ915" s="207"/>
      <c r="AK915" s="207"/>
      <c r="AL915" s="207"/>
      <c r="AM915" s="207"/>
      <c r="AN915" s="207"/>
      <c r="AO915" s="207"/>
      <c r="AP915" s="207"/>
      <c r="AQ915" s="207"/>
      <c r="AR915" s="207"/>
      <c r="AS915" s="207"/>
      <c r="AT915" s="207"/>
      <c r="AU915" s="207"/>
      <c r="AV915" s="207"/>
      <c r="AW915" s="207"/>
      <c r="AX915" s="207"/>
      <c r="AY915" s="207"/>
      <c r="AZ915" s="207"/>
      <c r="BA915" s="207"/>
    </row>
    <row r="916" ht="18.75" hidden="1" customHeight="1">
      <c r="A916" s="207"/>
      <c r="B916" s="207"/>
      <c r="C916" s="207"/>
      <c r="D916" s="207"/>
      <c r="E916" s="207"/>
      <c r="F916" s="207"/>
      <c r="G916" s="207"/>
      <c r="H916" s="207"/>
      <c r="I916" s="207"/>
      <c r="J916" s="207"/>
      <c r="K916" s="207"/>
      <c r="L916" s="207"/>
      <c r="M916" s="207"/>
      <c r="N916" s="207"/>
      <c r="O916" s="207"/>
      <c r="P916" s="207"/>
      <c r="Q916" s="207"/>
      <c r="R916" s="207"/>
      <c r="S916" s="207"/>
      <c r="T916" s="207"/>
      <c r="U916" s="207"/>
      <c r="V916" s="207"/>
      <c r="W916" s="207"/>
      <c r="X916" s="207"/>
      <c r="Y916" s="207"/>
      <c r="Z916" s="207"/>
      <c r="AA916" s="207"/>
      <c r="AB916" s="207"/>
      <c r="AC916" s="207"/>
      <c r="AD916" s="207"/>
      <c r="AE916" s="207"/>
      <c r="AF916" s="207"/>
      <c r="AG916" s="207"/>
      <c r="AH916" s="207"/>
      <c r="AI916" s="207"/>
      <c r="AJ916" s="207"/>
      <c r="AK916" s="207"/>
      <c r="AL916" s="207"/>
      <c r="AM916" s="207"/>
      <c r="AN916" s="207"/>
      <c r="AO916" s="207"/>
      <c r="AP916" s="207"/>
      <c r="AQ916" s="207"/>
      <c r="AR916" s="207"/>
      <c r="AS916" s="207"/>
      <c r="AT916" s="207"/>
      <c r="AU916" s="207"/>
      <c r="AV916" s="207"/>
      <c r="AW916" s="207"/>
      <c r="AX916" s="207"/>
      <c r="AY916" s="207"/>
      <c r="AZ916" s="207"/>
      <c r="BA916" s="207"/>
    </row>
    <row r="917" ht="18.75" hidden="1" customHeight="1">
      <c r="A917" s="207"/>
      <c r="B917" s="207"/>
      <c r="C917" s="207"/>
      <c r="D917" s="207"/>
      <c r="E917" s="207"/>
      <c r="F917" s="207"/>
      <c r="G917" s="207"/>
      <c r="H917" s="207"/>
      <c r="I917" s="207"/>
      <c r="J917" s="207"/>
      <c r="K917" s="207"/>
      <c r="L917" s="207"/>
      <c r="M917" s="207"/>
      <c r="N917" s="207"/>
      <c r="O917" s="207"/>
      <c r="P917" s="207"/>
      <c r="Q917" s="207"/>
      <c r="R917" s="207"/>
      <c r="S917" s="207"/>
      <c r="T917" s="207"/>
      <c r="U917" s="207"/>
      <c r="V917" s="207"/>
      <c r="W917" s="207"/>
      <c r="X917" s="207"/>
      <c r="Y917" s="207"/>
      <c r="Z917" s="207"/>
      <c r="AA917" s="207"/>
      <c r="AB917" s="207"/>
      <c r="AC917" s="207"/>
      <c r="AD917" s="207"/>
      <c r="AE917" s="207"/>
      <c r="AF917" s="207"/>
      <c r="AG917" s="207"/>
      <c r="AH917" s="207"/>
      <c r="AI917" s="207"/>
      <c r="AJ917" s="207"/>
      <c r="AK917" s="207"/>
      <c r="AL917" s="207"/>
      <c r="AM917" s="207"/>
      <c r="AN917" s="207"/>
      <c r="AO917" s="207"/>
      <c r="AP917" s="207"/>
      <c r="AQ917" s="207"/>
      <c r="AR917" s="207"/>
      <c r="AS917" s="207"/>
      <c r="AT917" s="207"/>
      <c r="AU917" s="207"/>
      <c r="AV917" s="207"/>
      <c r="AW917" s="207"/>
      <c r="AX917" s="207"/>
      <c r="AY917" s="207"/>
      <c r="AZ917" s="207"/>
      <c r="BA917" s="207"/>
    </row>
    <row r="918" ht="18.75" hidden="1" customHeight="1">
      <c r="A918" s="207"/>
      <c r="B918" s="207"/>
      <c r="C918" s="207"/>
      <c r="D918" s="207"/>
      <c r="E918" s="207"/>
      <c r="F918" s="207"/>
      <c r="G918" s="207"/>
      <c r="H918" s="207"/>
      <c r="I918" s="207"/>
      <c r="J918" s="207"/>
      <c r="K918" s="207"/>
      <c r="L918" s="207"/>
      <c r="M918" s="207"/>
      <c r="N918" s="207"/>
      <c r="O918" s="207"/>
      <c r="P918" s="207"/>
      <c r="Q918" s="207"/>
      <c r="R918" s="207"/>
      <c r="S918" s="207"/>
      <c r="T918" s="207"/>
      <c r="U918" s="207"/>
      <c r="V918" s="207"/>
      <c r="W918" s="207"/>
      <c r="X918" s="207"/>
      <c r="Y918" s="207"/>
      <c r="Z918" s="207"/>
      <c r="AA918" s="207"/>
      <c r="AB918" s="207"/>
      <c r="AC918" s="207"/>
      <c r="AD918" s="207"/>
      <c r="AE918" s="207"/>
      <c r="AF918" s="207"/>
      <c r="AG918" s="207"/>
      <c r="AH918" s="207"/>
      <c r="AI918" s="207"/>
      <c r="AJ918" s="207"/>
      <c r="AK918" s="207"/>
      <c r="AL918" s="207"/>
      <c r="AM918" s="207"/>
      <c r="AN918" s="207"/>
      <c r="AO918" s="207"/>
      <c r="AP918" s="207"/>
      <c r="AQ918" s="207"/>
      <c r="AR918" s="207"/>
      <c r="AS918" s="207"/>
      <c r="AT918" s="207"/>
      <c r="AU918" s="207"/>
      <c r="AV918" s="207"/>
      <c r="AW918" s="207"/>
      <c r="AX918" s="207"/>
      <c r="AY918" s="207"/>
      <c r="AZ918" s="207"/>
      <c r="BA918" s="207"/>
    </row>
    <row r="919" ht="18.75" hidden="1" customHeight="1">
      <c r="A919" s="207"/>
      <c r="B919" s="207"/>
      <c r="C919" s="207"/>
      <c r="D919" s="207"/>
      <c r="E919" s="207"/>
      <c r="F919" s="207"/>
      <c r="G919" s="207"/>
      <c r="H919" s="207"/>
      <c r="I919" s="207"/>
      <c r="J919" s="207"/>
      <c r="K919" s="207"/>
      <c r="L919" s="207"/>
      <c r="M919" s="207"/>
      <c r="N919" s="207"/>
      <c r="O919" s="207"/>
      <c r="P919" s="207"/>
      <c r="Q919" s="207"/>
      <c r="R919" s="207"/>
      <c r="S919" s="207"/>
      <c r="T919" s="207"/>
      <c r="U919" s="207"/>
      <c r="V919" s="207"/>
      <c r="W919" s="207"/>
      <c r="X919" s="207"/>
      <c r="Y919" s="207"/>
      <c r="Z919" s="207"/>
      <c r="AA919" s="207"/>
      <c r="AB919" s="207"/>
      <c r="AC919" s="207"/>
      <c r="AD919" s="207"/>
      <c r="AE919" s="207"/>
      <c r="AF919" s="207"/>
      <c r="AG919" s="207"/>
      <c r="AH919" s="207"/>
      <c r="AI919" s="207"/>
      <c r="AJ919" s="207"/>
      <c r="AK919" s="207"/>
      <c r="AL919" s="207"/>
      <c r="AM919" s="207"/>
      <c r="AN919" s="207"/>
      <c r="AO919" s="207"/>
      <c r="AP919" s="207"/>
      <c r="AQ919" s="207"/>
      <c r="AR919" s="207"/>
      <c r="AS919" s="207"/>
      <c r="AT919" s="207"/>
      <c r="AU919" s="207"/>
      <c r="AV919" s="207"/>
      <c r="AW919" s="207"/>
      <c r="AX919" s="207"/>
      <c r="AY919" s="207"/>
      <c r="AZ919" s="207"/>
      <c r="BA919" s="207"/>
    </row>
    <row r="920" ht="18.75" hidden="1" customHeight="1">
      <c r="A920" s="207"/>
      <c r="B920" s="207"/>
      <c r="C920" s="207"/>
      <c r="D920" s="207"/>
      <c r="E920" s="207"/>
      <c r="F920" s="207"/>
      <c r="G920" s="207"/>
      <c r="H920" s="207"/>
      <c r="I920" s="207"/>
      <c r="J920" s="207"/>
      <c r="K920" s="207"/>
      <c r="L920" s="207"/>
      <c r="M920" s="207"/>
      <c r="N920" s="207"/>
      <c r="O920" s="207"/>
      <c r="P920" s="207"/>
      <c r="Q920" s="207"/>
      <c r="R920" s="207"/>
      <c r="S920" s="207"/>
      <c r="T920" s="207"/>
      <c r="U920" s="207"/>
      <c r="V920" s="207"/>
      <c r="W920" s="207"/>
      <c r="X920" s="207"/>
      <c r="Y920" s="207"/>
      <c r="Z920" s="207"/>
      <c r="AA920" s="207"/>
      <c r="AB920" s="207"/>
      <c r="AC920" s="207"/>
      <c r="AD920" s="207"/>
      <c r="AE920" s="207"/>
      <c r="AF920" s="207"/>
      <c r="AG920" s="207"/>
      <c r="AH920" s="207"/>
      <c r="AI920" s="207"/>
      <c r="AJ920" s="207"/>
      <c r="AK920" s="207"/>
      <c r="AL920" s="207"/>
      <c r="AM920" s="207"/>
      <c r="AN920" s="207"/>
      <c r="AO920" s="207"/>
      <c r="AP920" s="207"/>
      <c r="AQ920" s="207"/>
      <c r="AR920" s="207"/>
      <c r="AS920" s="207"/>
      <c r="AT920" s="207"/>
      <c r="AU920" s="207"/>
      <c r="AV920" s="207"/>
      <c r="AW920" s="207"/>
      <c r="AX920" s="207"/>
      <c r="AY920" s="207"/>
      <c r="AZ920" s="207"/>
      <c r="BA920" s="207"/>
    </row>
    <row r="921" ht="18.75" hidden="1" customHeight="1">
      <c r="A921" s="207"/>
      <c r="B921" s="207"/>
      <c r="C921" s="207"/>
      <c r="D921" s="207"/>
      <c r="E921" s="207"/>
      <c r="F921" s="207"/>
      <c r="G921" s="207"/>
      <c r="H921" s="207"/>
      <c r="I921" s="207"/>
      <c r="J921" s="207"/>
      <c r="K921" s="207"/>
      <c r="L921" s="207"/>
      <c r="M921" s="207"/>
      <c r="N921" s="207"/>
      <c r="O921" s="207"/>
      <c r="P921" s="207"/>
      <c r="Q921" s="207"/>
      <c r="R921" s="207"/>
      <c r="S921" s="207"/>
      <c r="T921" s="207"/>
      <c r="U921" s="207"/>
      <c r="V921" s="207"/>
      <c r="W921" s="207"/>
      <c r="X921" s="207"/>
      <c r="Y921" s="207"/>
      <c r="Z921" s="207"/>
      <c r="AA921" s="207"/>
      <c r="AB921" s="207"/>
      <c r="AC921" s="207"/>
      <c r="AD921" s="207"/>
      <c r="AE921" s="207"/>
      <c r="AF921" s="207"/>
      <c r="AG921" s="207"/>
      <c r="AH921" s="207"/>
      <c r="AI921" s="207"/>
      <c r="AJ921" s="207"/>
      <c r="AK921" s="207"/>
      <c r="AL921" s="207"/>
      <c r="AM921" s="207"/>
      <c r="AN921" s="207"/>
      <c r="AO921" s="207"/>
      <c r="AP921" s="207"/>
      <c r="AQ921" s="207"/>
      <c r="AR921" s="207"/>
      <c r="AS921" s="207"/>
      <c r="AT921" s="207"/>
      <c r="AU921" s="207"/>
      <c r="AV921" s="207"/>
      <c r="AW921" s="207"/>
      <c r="AX921" s="207"/>
      <c r="AY921" s="207"/>
      <c r="AZ921" s="207"/>
      <c r="BA921" s="207"/>
    </row>
    <row r="922" ht="18.75" hidden="1" customHeight="1">
      <c r="A922" s="207"/>
      <c r="B922" s="207"/>
      <c r="C922" s="207"/>
      <c r="D922" s="207"/>
      <c r="E922" s="207"/>
      <c r="F922" s="207"/>
      <c r="G922" s="207"/>
      <c r="H922" s="207"/>
      <c r="I922" s="207"/>
      <c r="J922" s="207"/>
      <c r="K922" s="207"/>
      <c r="L922" s="207"/>
      <c r="M922" s="207"/>
      <c r="N922" s="207"/>
      <c r="O922" s="207"/>
      <c r="P922" s="207"/>
      <c r="Q922" s="207"/>
      <c r="R922" s="207"/>
      <c r="S922" s="207"/>
      <c r="T922" s="207"/>
      <c r="U922" s="207"/>
      <c r="V922" s="207"/>
      <c r="W922" s="207"/>
      <c r="X922" s="207"/>
      <c r="Y922" s="207"/>
      <c r="Z922" s="207"/>
      <c r="AA922" s="207"/>
      <c r="AB922" s="207"/>
      <c r="AC922" s="207"/>
      <c r="AD922" s="207"/>
      <c r="AE922" s="207"/>
      <c r="AF922" s="207"/>
      <c r="AG922" s="207"/>
      <c r="AH922" s="207"/>
      <c r="AI922" s="207"/>
      <c r="AJ922" s="207"/>
      <c r="AK922" s="207"/>
      <c r="AL922" s="207"/>
      <c r="AM922" s="207"/>
      <c r="AN922" s="207"/>
      <c r="AO922" s="207"/>
      <c r="AP922" s="207"/>
      <c r="AQ922" s="207"/>
      <c r="AR922" s="207"/>
      <c r="AS922" s="207"/>
      <c r="AT922" s="207"/>
      <c r="AU922" s="207"/>
      <c r="AV922" s="207"/>
      <c r="AW922" s="207"/>
      <c r="AX922" s="207"/>
      <c r="AY922" s="207"/>
      <c r="AZ922" s="207"/>
      <c r="BA922" s="207"/>
    </row>
    <row r="923" ht="18.75" hidden="1" customHeight="1">
      <c r="A923" s="207"/>
      <c r="B923" s="207"/>
      <c r="C923" s="207"/>
      <c r="D923" s="207"/>
      <c r="E923" s="207"/>
      <c r="F923" s="207"/>
      <c r="G923" s="207"/>
      <c r="H923" s="207"/>
      <c r="I923" s="207"/>
      <c r="J923" s="207"/>
      <c r="K923" s="207"/>
      <c r="L923" s="207"/>
      <c r="M923" s="207"/>
      <c r="N923" s="207"/>
      <c r="O923" s="207"/>
      <c r="P923" s="207"/>
      <c r="Q923" s="207"/>
      <c r="R923" s="207"/>
      <c r="S923" s="207"/>
      <c r="T923" s="207"/>
      <c r="U923" s="207"/>
      <c r="V923" s="207"/>
      <c r="W923" s="207"/>
      <c r="X923" s="207"/>
      <c r="Y923" s="207"/>
      <c r="Z923" s="207"/>
      <c r="AA923" s="207"/>
      <c r="AB923" s="207"/>
      <c r="AC923" s="207"/>
      <c r="AD923" s="207"/>
      <c r="AE923" s="207"/>
      <c r="AF923" s="207"/>
      <c r="AG923" s="207"/>
      <c r="AH923" s="207"/>
      <c r="AI923" s="207"/>
      <c r="AJ923" s="207"/>
      <c r="AK923" s="207"/>
      <c r="AL923" s="207"/>
      <c r="AM923" s="207"/>
      <c r="AN923" s="207"/>
      <c r="AO923" s="207"/>
      <c r="AP923" s="207"/>
      <c r="AQ923" s="207"/>
      <c r="AR923" s="207"/>
      <c r="AS923" s="207"/>
      <c r="AT923" s="207"/>
      <c r="AU923" s="207"/>
      <c r="AV923" s="207"/>
      <c r="AW923" s="207"/>
      <c r="AX923" s="207"/>
      <c r="AY923" s="207"/>
      <c r="AZ923" s="207"/>
      <c r="BA923" s="207"/>
    </row>
    <row r="924" ht="18.75" hidden="1" customHeight="1">
      <c r="A924" s="207"/>
      <c r="B924" s="207"/>
      <c r="C924" s="207"/>
      <c r="D924" s="207"/>
      <c r="E924" s="207"/>
      <c r="F924" s="207"/>
      <c r="G924" s="207"/>
      <c r="H924" s="207"/>
      <c r="I924" s="207"/>
      <c r="J924" s="207"/>
      <c r="K924" s="207"/>
      <c r="L924" s="207"/>
      <c r="M924" s="207"/>
      <c r="N924" s="207"/>
      <c r="O924" s="207"/>
      <c r="P924" s="207"/>
      <c r="Q924" s="207"/>
      <c r="R924" s="207"/>
      <c r="S924" s="207"/>
      <c r="T924" s="207"/>
      <c r="U924" s="207"/>
      <c r="V924" s="207"/>
      <c r="W924" s="207"/>
      <c r="X924" s="207"/>
      <c r="Y924" s="207"/>
      <c r="Z924" s="207"/>
      <c r="AA924" s="207"/>
      <c r="AB924" s="207"/>
      <c r="AC924" s="207"/>
      <c r="AD924" s="207"/>
      <c r="AE924" s="207"/>
      <c r="AF924" s="207"/>
      <c r="AG924" s="207"/>
      <c r="AH924" s="207"/>
      <c r="AI924" s="207"/>
      <c r="AJ924" s="207"/>
      <c r="AK924" s="207"/>
      <c r="AL924" s="207"/>
      <c r="AM924" s="207"/>
      <c r="AN924" s="207"/>
      <c r="AO924" s="207"/>
      <c r="AP924" s="207"/>
      <c r="AQ924" s="207"/>
      <c r="AR924" s="207"/>
      <c r="AS924" s="207"/>
      <c r="AT924" s="207"/>
      <c r="AU924" s="207"/>
      <c r="AV924" s="207"/>
      <c r="AW924" s="207"/>
      <c r="AX924" s="207"/>
      <c r="AY924" s="207"/>
      <c r="AZ924" s="207"/>
      <c r="BA924" s="207"/>
    </row>
    <row r="925" ht="18.75" hidden="1" customHeight="1">
      <c r="A925" s="207"/>
      <c r="B925" s="207"/>
      <c r="C925" s="207"/>
      <c r="D925" s="207"/>
      <c r="E925" s="207"/>
      <c r="F925" s="207"/>
      <c r="G925" s="207"/>
      <c r="H925" s="207"/>
      <c r="I925" s="207"/>
      <c r="J925" s="207"/>
      <c r="K925" s="207"/>
      <c r="L925" s="207"/>
      <c r="M925" s="207"/>
      <c r="N925" s="207"/>
      <c r="O925" s="207"/>
      <c r="P925" s="207"/>
      <c r="Q925" s="207"/>
      <c r="R925" s="207"/>
      <c r="S925" s="207"/>
      <c r="T925" s="207"/>
      <c r="U925" s="207"/>
      <c r="V925" s="207"/>
      <c r="W925" s="207"/>
      <c r="X925" s="207"/>
      <c r="Y925" s="207"/>
      <c r="Z925" s="207"/>
      <c r="AA925" s="207"/>
      <c r="AB925" s="207"/>
      <c r="AC925" s="207"/>
      <c r="AD925" s="207"/>
      <c r="AE925" s="207"/>
      <c r="AF925" s="207"/>
      <c r="AG925" s="207"/>
      <c r="AH925" s="207"/>
      <c r="AI925" s="207"/>
      <c r="AJ925" s="207"/>
      <c r="AK925" s="207"/>
      <c r="AL925" s="207"/>
      <c r="AM925" s="207"/>
      <c r="AN925" s="207"/>
      <c r="AO925" s="207"/>
      <c r="AP925" s="207"/>
      <c r="AQ925" s="207"/>
      <c r="AR925" s="207"/>
      <c r="AS925" s="207"/>
      <c r="AT925" s="207"/>
      <c r="AU925" s="207"/>
      <c r="AV925" s="207"/>
      <c r="AW925" s="207"/>
      <c r="AX925" s="207"/>
      <c r="AY925" s="207"/>
      <c r="AZ925" s="207"/>
      <c r="BA925" s="207"/>
    </row>
    <row r="926" ht="18.75" hidden="1" customHeight="1">
      <c r="A926" s="207"/>
      <c r="B926" s="207"/>
      <c r="C926" s="207"/>
      <c r="D926" s="207"/>
      <c r="E926" s="207"/>
      <c r="F926" s="207"/>
      <c r="G926" s="207"/>
      <c r="H926" s="207"/>
      <c r="I926" s="207"/>
      <c r="J926" s="207"/>
      <c r="K926" s="207"/>
      <c r="L926" s="207"/>
      <c r="M926" s="207"/>
      <c r="N926" s="207"/>
      <c r="O926" s="207"/>
      <c r="P926" s="207"/>
      <c r="Q926" s="207"/>
      <c r="R926" s="207"/>
      <c r="S926" s="207"/>
      <c r="T926" s="207"/>
      <c r="U926" s="207"/>
      <c r="V926" s="207"/>
      <c r="W926" s="207"/>
      <c r="X926" s="207"/>
      <c r="Y926" s="207"/>
      <c r="Z926" s="207"/>
      <c r="AA926" s="207"/>
      <c r="AB926" s="207"/>
      <c r="AC926" s="207"/>
      <c r="AD926" s="207"/>
      <c r="AE926" s="207"/>
      <c r="AF926" s="207"/>
      <c r="AG926" s="207"/>
      <c r="AH926" s="207"/>
      <c r="AI926" s="207"/>
      <c r="AJ926" s="207"/>
      <c r="AK926" s="207"/>
      <c r="AL926" s="207"/>
      <c r="AM926" s="207"/>
      <c r="AN926" s="207"/>
      <c r="AO926" s="207"/>
      <c r="AP926" s="207"/>
      <c r="AQ926" s="207"/>
      <c r="AR926" s="207"/>
      <c r="AS926" s="207"/>
      <c r="AT926" s="207"/>
      <c r="AU926" s="207"/>
      <c r="AV926" s="207"/>
      <c r="AW926" s="207"/>
      <c r="AX926" s="207"/>
      <c r="AY926" s="207"/>
      <c r="AZ926" s="207"/>
      <c r="BA926" s="207"/>
    </row>
    <row r="927" ht="18.75" hidden="1" customHeight="1">
      <c r="A927" s="207"/>
      <c r="B927" s="207"/>
      <c r="C927" s="207"/>
      <c r="D927" s="207"/>
      <c r="E927" s="207"/>
      <c r="F927" s="207"/>
      <c r="G927" s="207"/>
      <c r="H927" s="207"/>
      <c r="I927" s="207"/>
      <c r="J927" s="207"/>
      <c r="K927" s="207"/>
      <c r="L927" s="207"/>
      <c r="M927" s="207"/>
      <c r="N927" s="207"/>
      <c r="O927" s="207"/>
      <c r="P927" s="207"/>
      <c r="Q927" s="207"/>
      <c r="R927" s="207"/>
      <c r="S927" s="207"/>
      <c r="T927" s="207"/>
      <c r="U927" s="207"/>
      <c r="V927" s="207"/>
      <c r="W927" s="207"/>
      <c r="X927" s="207"/>
      <c r="Y927" s="207"/>
      <c r="Z927" s="207"/>
      <c r="AA927" s="207"/>
      <c r="AB927" s="207"/>
      <c r="AC927" s="207"/>
      <c r="AD927" s="207"/>
      <c r="AE927" s="207"/>
      <c r="AF927" s="207"/>
      <c r="AG927" s="207"/>
      <c r="AH927" s="207"/>
      <c r="AI927" s="207"/>
      <c r="AJ927" s="207"/>
      <c r="AK927" s="207"/>
      <c r="AL927" s="207"/>
      <c r="AM927" s="207"/>
      <c r="AN927" s="207"/>
      <c r="AO927" s="207"/>
      <c r="AP927" s="207"/>
      <c r="AQ927" s="207"/>
      <c r="AR927" s="207"/>
      <c r="AS927" s="207"/>
      <c r="AT927" s="207"/>
      <c r="AU927" s="207"/>
      <c r="AV927" s="207"/>
      <c r="AW927" s="207"/>
      <c r="AX927" s="207"/>
      <c r="AY927" s="207"/>
      <c r="AZ927" s="207"/>
      <c r="BA927" s="207"/>
    </row>
    <row r="928" ht="18.75" hidden="1" customHeight="1">
      <c r="A928" s="207"/>
      <c r="B928" s="207"/>
      <c r="C928" s="207"/>
      <c r="D928" s="207"/>
      <c r="E928" s="207"/>
      <c r="F928" s="207"/>
      <c r="G928" s="207"/>
      <c r="H928" s="207"/>
      <c r="I928" s="207"/>
      <c r="J928" s="207"/>
      <c r="K928" s="207"/>
      <c r="L928" s="207"/>
      <c r="M928" s="207"/>
      <c r="N928" s="207"/>
      <c r="O928" s="207"/>
      <c r="P928" s="207"/>
      <c r="Q928" s="207"/>
      <c r="R928" s="207"/>
      <c r="S928" s="207"/>
      <c r="T928" s="207"/>
      <c r="U928" s="207"/>
      <c r="V928" s="207"/>
      <c r="W928" s="207"/>
      <c r="X928" s="207"/>
      <c r="Y928" s="207"/>
      <c r="Z928" s="207"/>
      <c r="AA928" s="207"/>
      <c r="AB928" s="207"/>
      <c r="AC928" s="207"/>
      <c r="AD928" s="207"/>
      <c r="AE928" s="207"/>
      <c r="AF928" s="207"/>
      <c r="AG928" s="207"/>
      <c r="AH928" s="207"/>
      <c r="AI928" s="207"/>
      <c r="AJ928" s="207"/>
      <c r="AK928" s="207"/>
      <c r="AL928" s="207"/>
      <c r="AM928" s="207"/>
      <c r="AN928" s="207"/>
      <c r="AO928" s="207"/>
      <c r="AP928" s="207"/>
      <c r="AQ928" s="207"/>
      <c r="AR928" s="207"/>
      <c r="AS928" s="207"/>
      <c r="AT928" s="207"/>
      <c r="AU928" s="207"/>
      <c r="AV928" s="207"/>
      <c r="AW928" s="207"/>
      <c r="AX928" s="207"/>
      <c r="AY928" s="207"/>
      <c r="AZ928" s="207"/>
      <c r="BA928" s="207"/>
    </row>
    <row r="929" ht="18.75" hidden="1" customHeight="1">
      <c r="A929" s="207"/>
      <c r="B929" s="207"/>
      <c r="C929" s="207"/>
      <c r="D929" s="207"/>
      <c r="E929" s="207"/>
      <c r="F929" s="207"/>
      <c r="G929" s="207"/>
      <c r="H929" s="207"/>
      <c r="I929" s="207"/>
      <c r="J929" s="207"/>
      <c r="K929" s="207"/>
      <c r="L929" s="207"/>
      <c r="M929" s="207"/>
      <c r="N929" s="207"/>
      <c r="O929" s="207"/>
      <c r="P929" s="207"/>
      <c r="Q929" s="207"/>
      <c r="R929" s="207"/>
      <c r="S929" s="207"/>
      <c r="T929" s="207"/>
      <c r="U929" s="207"/>
      <c r="V929" s="207"/>
      <c r="W929" s="207"/>
      <c r="X929" s="207"/>
      <c r="Y929" s="207"/>
      <c r="Z929" s="207"/>
      <c r="AA929" s="207"/>
      <c r="AB929" s="207"/>
      <c r="AC929" s="207"/>
      <c r="AD929" s="207"/>
      <c r="AE929" s="207"/>
      <c r="AF929" s="207"/>
      <c r="AG929" s="207"/>
      <c r="AH929" s="207"/>
      <c r="AI929" s="207"/>
      <c r="AJ929" s="207"/>
      <c r="AK929" s="207"/>
      <c r="AL929" s="207"/>
      <c r="AM929" s="207"/>
      <c r="AN929" s="207"/>
      <c r="AO929" s="207"/>
      <c r="AP929" s="207"/>
      <c r="AQ929" s="207"/>
      <c r="AR929" s="207"/>
      <c r="AS929" s="207"/>
      <c r="AT929" s="207"/>
      <c r="AU929" s="207"/>
      <c r="AV929" s="207"/>
      <c r="AW929" s="207"/>
      <c r="AX929" s="207"/>
      <c r="AY929" s="207"/>
      <c r="AZ929" s="207"/>
      <c r="BA929" s="207"/>
    </row>
    <row r="930" ht="18.75" hidden="1" customHeight="1">
      <c r="A930" s="207"/>
      <c r="B930" s="207"/>
      <c r="C930" s="207"/>
      <c r="D930" s="207"/>
      <c r="E930" s="207"/>
      <c r="F930" s="207"/>
      <c r="G930" s="207"/>
      <c r="H930" s="207"/>
      <c r="I930" s="207"/>
      <c r="J930" s="207"/>
      <c r="K930" s="207"/>
      <c r="L930" s="207"/>
      <c r="M930" s="207"/>
      <c r="N930" s="207"/>
      <c r="O930" s="207"/>
      <c r="P930" s="207"/>
      <c r="Q930" s="207"/>
      <c r="R930" s="207"/>
      <c r="S930" s="207"/>
      <c r="T930" s="207"/>
      <c r="U930" s="207"/>
      <c r="V930" s="207"/>
      <c r="W930" s="207"/>
      <c r="X930" s="207"/>
      <c r="Y930" s="207"/>
      <c r="Z930" s="207"/>
      <c r="AA930" s="207"/>
      <c r="AB930" s="207"/>
      <c r="AC930" s="207"/>
      <c r="AD930" s="207"/>
      <c r="AE930" s="207"/>
      <c r="AF930" s="207"/>
      <c r="AG930" s="207"/>
      <c r="AH930" s="207"/>
      <c r="AI930" s="207"/>
      <c r="AJ930" s="207"/>
      <c r="AK930" s="207"/>
      <c r="AL930" s="207"/>
      <c r="AM930" s="207"/>
      <c r="AN930" s="207"/>
      <c r="AO930" s="207"/>
      <c r="AP930" s="207"/>
      <c r="AQ930" s="207"/>
      <c r="AR930" s="207"/>
      <c r="AS930" s="207"/>
      <c r="AT930" s="207"/>
      <c r="AU930" s="207"/>
      <c r="AV930" s="207"/>
      <c r="AW930" s="207"/>
      <c r="AX930" s="207"/>
      <c r="AY930" s="207"/>
      <c r="AZ930" s="207"/>
      <c r="BA930" s="207"/>
    </row>
    <row r="931" ht="18.75" hidden="1" customHeight="1">
      <c r="A931" s="207"/>
      <c r="B931" s="207"/>
      <c r="C931" s="207"/>
      <c r="D931" s="207"/>
      <c r="E931" s="207"/>
      <c r="F931" s="207"/>
      <c r="G931" s="207"/>
      <c r="H931" s="207"/>
      <c r="I931" s="207"/>
      <c r="J931" s="207"/>
      <c r="K931" s="207"/>
      <c r="L931" s="207"/>
      <c r="M931" s="207"/>
      <c r="N931" s="207"/>
      <c r="O931" s="207"/>
      <c r="P931" s="207"/>
      <c r="Q931" s="207"/>
      <c r="R931" s="207"/>
      <c r="S931" s="207"/>
      <c r="T931" s="207"/>
      <c r="U931" s="207"/>
      <c r="V931" s="207"/>
      <c r="W931" s="207"/>
      <c r="X931" s="207"/>
      <c r="Y931" s="207"/>
      <c r="Z931" s="207"/>
      <c r="AA931" s="207"/>
      <c r="AB931" s="207"/>
      <c r="AC931" s="207"/>
      <c r="AD931" s="207"/>
      <c r="AE931" s="207"/>
      <c r="AF931" s="207"/>
      <c r="AG931" s="207"/>
      <c r="AH931" s="207"/>
      <c r="AI931" s="207"/>
      <c r="AJ931" s="207"/>
      <c r="AK931" s="207"/>
      <c r="AL931" s="207"/>
      <c r="AM931" s="207"/>
      <c r="AN931" s="207"/>
      <c r="AO931" s="207"/>
      <c r="AP931" s="207"/>
      <c r="AQ931" s="207"/>
      <c r="AR931" s="207"/>
      <c r="AS931" s="207"/>
      <c r="AT931" s="207"/>
      <c r="AU931" s="207"/>
      <c r="AV931" s="207"/>
      <c r="AW931" s="207"/>
      <c r="AX931" s="207"/>
      <c r="AY931" s="207"/>
      <c r="AZ931" s="207"/>
      <c r="BA931" s="207"/>
    </row>
    <row r="932" ht="18.75" hidden="1" customHeight="1">
      <c r="A932" s="207"/>
      <c r="B932" s="207"/>
      <c r="C932" s="207"/>
      <c r="D932" s="207"/>
      <c r="E932" s="207"/>
      <c r="F932" s="207"/>
      <c r="G932" s="207"/>
      <c r="H932" s="207"/>
      <c r="I932" s="207"/>
      <c r="J932" s="207"/>
      <c r="K932" s="207"/>
      <c r="L932" s="207"/>
      <c r="M932" s="207"/>
      <c r="N932" s="207"/>
      <c r="O932" s="207"/>
      <c r="P932" s="207"/>
      <c r="Q932" s="207"/>
      <c r="R932" s="207"/>
      <c r="S932" s="207"/>
      <c r="T932" s="207"/>
      <c r="U932" s="207"/>
      <c r="V932" s="207"/>
      <c r="W932" s="207"/>
      <c r="X932" s="207"/>
      <c r="Y932" s="207"/>
      <c r="Z932" s="207"/>
      <c r="AA932" s="207"/>
      <c r="AB932" s="207"/>
      <c r="AC932" s="207"/>
      <c r="AD932" s="207"/>
      <c r="AE932" s="207"/>
      <c r="AF932" s="207"/>
      <c r="AG932" s="207"/>
      <c r="AH932" s="207"/>
      <c r="AI932" s="207"/>
      <c r="AJ932" s="207"/>
      <c r="AK932" s="207"/>
      <c r="AL932" s="207"/>
      <c r="AM932" s="207"/>
      <c r="AN932" s="207"/>
      <c r="AO932" s="207"/>
      <c r="AP932" s="207"/>
      <c r="AQ932" s="207"/>
      <c r="AR932" s="207"/>
      <c r="AS932" s="207"/>
      <c r="AT932" s="207"/>
      <c r="AU932" s="207"/>
      <c r="AV932" s="207"/>
      <c r="AW932" s="207"/>
      <c r="AX932" s="207"/>
      <c r="AY932" s="207"/>
      <c r="AZ932" s="207"/>
      <c r="BA932" s="207"/>
    </row>
    <row r="933" ht="18.75" hidden="1" customHeight="1">
      <c r="A933" s="207"/>
      <c r="B933" s="207"/>
      <c r="C933" s="207"/>
      <c r="D933" s="207"/>
      <c r="E933" s="207"/>
      <c r="F933" s="207"/>
      <c r="G933" s="207"/>
      <c r="H933" s="207"/>
      <c r="I933" s="207"/>
      <c r="J933" s="207"/>
      <c r="K933" s="207"/>
      <c r="L933" s="207"/>
      <c r="M933" s="207"/>
      <c r="N933" s="207"/>
      <c r="O933" s="207"/>
      <c r="P933" s="207"/>
      <c r="Q933" s="207"/>
      <c r="R933" s="207"/>
      <c r="S933" s="207"/>
      <c r="T933" s="207"/>
      <c r="U933" s="207"/>
      <c r="V933" s="207"/>
      <c r="W933" s="207"/>
      <c r="X933" s="207"/>
      <c r="Y933" s="207"/>
      <c r="Z933" s="207"/>
      <c r="AA933" s="207"/>
      <c r="AB933" s="207"/>
      <c r="AC933" s="207"/>
      <c r="AD933" s="207"/>
      <c r="AE933" s="207"/>
      <c r="AF933" s="207"/>
      <c r="AG933" s="207"/>
      <c r="AH933" s="207"/>
      <c r="AI933" s="207"/>
      <c r="AJ933" s="207"/>
      <c r="AK933" s="207"/>
      <c r="AL933" s="207"/>
      <c r="AM933" s="207"/>
      <c r="AN933" s="207"/>
      <c r="AO933" s="207"/>
      <c r="AP933" s="207"/>
      <c r="AQ933" s="207"/>
      <c r="AR933" s="207"/>
      <c r="AS933" s="207"/>
      <c r="AT933" s="207"/>
      <c r="AU933" s="207"/>
      <c r="AV933" s="207"/>
      <c r="AW933" s="207"/>
      <c r="AX933" s="207"/>
      <c r="AY933" s="207"/>
      <c r="AZ933" s="207"/>
      <c r="BA933" s="207"/>
    </row>
    <row r="934" ht="18.75" hidden="1" customHeight="1">
      <c r="A934" s="207"/>
      <c r="B934" s="207"/>
      <c r="C934" s="207"/>
      <c r="D934" s="207"/>
      <c r="E934" s="207"/>
      <c r="F934" s="207"/>
      <c r="G934" s="207"/>
      <c r="H934" s="207"/>
      <c r="I934" s="207"/>
      <c r="J934" s="207"/>
      <c r="K934" s="207"/>
      <c r="L934" s="207"/>
      <c r="M934" s="207"/>
      <c r="N934" s="207"/>
      <c r="O934" s="207"/>
      <c r="P934" s="207"/>
      <c r="Q934" s="207"/>
      <c r="R934" s="207"/>
      <c r="S934" s="207"/>
      <c r="T934" s="207"/>
      <c r="U934" s="207"/>
      <c r="V934" s="207"/>
      <c r="W934" s="207"/>
      <c r="X934" s="207"/>
      <c r="Y934" s="207"/>
      <c r="Z934" s="207"/>
      <c r="AA934" s="207"/>
      <c r="AB934" s="207"/>
      <c r="AC934" s="207"/>
      <c r="AD934" s="207"/>
      <c r="AE934" s="207"/>
      <c r="AF934" s="207"/>
      <c r="AG934" s="207"/>
      <c r="AH934" s="207"/>
      <c r="AI934" s="207"/>
      <c r="AJ934" s="207"/>
      <c r="AK934" s="207"/>
      <c r="AL934" s="207"/>
      <c r="AM934" s="207"/>
      <c r="AN934" s="207"/>
      <c r="AO934" s="207"/>
      <c r="AP934" s="207"/>
      <c r="AQ934" s="207"/>
      <c r="AR934" s="207"/>
      <c r="AS934" s="207"/>
      <c r="AT934" s="207"/>
      <c r="AU934" s="207"/>
      <c r="AV934" s="207"/>
      <c r="AW934" s="207"/>
      <c r="AX934" s="207"/>
      <c r="AY934" s="207"/>
      <c r="AZ934" s="207"/>
      <c r="BA934" s="207"/>
    </row>
    <row r="935" ht="18.75" hidden="1" customHeight="1">
      <c r="A935" s="207"/>
      <c r="B935" s="207"/>
      <c r="C935" s="207"/>
      <c r="D935" s="207"/>
      <c r="E935" s="207"/>
      <c r="F935" s="207"/>
      <c r="G935" s="207"/>
      <c r="H935" s="207"/>
      <c r="I935" s="207"/>
      <c r="J935" s="207"/>
      <c r="K935" s="207"/>
      <c r="L935" s="207"/>
      <c r="M935" s="207"/>
      <c r="N935" s="207"/>
      <c r="O935" s="207"/>
      <c r="P935" s="207"/>
      <c r="Q935" s="207"/>
      <c r="R935" s="207"/>
      <c r="S935" s="207"/>
      <c r="T935" s="207"/>
      <c r="U935" s="207"/>
      <c r="V935" s="207"/>
      <c r="W935" s="207"/>
      <c r="X935" s="207"/>
      <c r="Y935" s="207"/>
      <c r="Z935" s="207"/>
      <c r="AA935" s="207"/>
      <c r="AB935" s="207"/>
      <c r="AC935" s="207"/>
      <c r="AD935" s="207"/>
      <c r="AE935" s="207"/>
      <c r="AF935" s="207"/>
      <c r="AG935" s="207"/>
      <c r="AH935" s="207"/>
      <c r="AI935" s="207"/>
      <c r="AJ935" s="207"/>
      <c r="AK935" s="207"/>
      <c r="AL935" s="207"/>
      <c r="AM935" s="207"/>
      <c r="AN935" s="207"/>
      <c r="AO935" s="207"/>
      <c r="AP935" s="207"/>
      <c r="AQ935" s="207"/>
      <c r="AR935" s="207"/>
      <c r="AS935" s="207"/>
      <c r="AT935" s="207"/>
      <c r="AU935" s="207"/>
      <c r="AV935" s="207"/>
      <c r="AW935" s="207"/>
      <c r="AX935" s="207"/>
      <c r="AY935" s="207"/>
      <c r="AZ935" s="207"/>
      <c r="BA935" s="207"/>
    </row>
    <row r="936" ht="18.75" hidden="1" customHeight="1">
      <c r="A936" s="207"/>
      <c r="B936" s="207"/>
      <c r="C936" s="207"/>
      <c r="D936" s="207"/>
      <c r="E936" s="207"/>
      <c r="F936" s="207"/>
      <c r="G936" s="207"/>
      <c r="H936" s="207"/>
      <c r="I936" s="207"/>
      <c r="J936" s="207"/>
      <c r="K936" s="207"/>
      <c r="L936" s="207"/>
      <c r="M936" s="207"/>
      <c r="N936" s="207"/>
      <c r="O936" s="207"/>
      <c r="P936" s="207"/>
      <c r="Q936" s="207"/>
      <c r="R936" s="207"/>
      <c r="S936" s="207"/>
      <c r="T936" s="207"/>
      <c r="U936" s="207"/>
      <c r="V936" s="207"/>
      <c r="W936" s="207"/>
      <c r="X936" s="207"/>
      <c r="Y936" s="207"/>
      <c r="Z936" s="207"/>
      <c r="AA936" s="207"/>
      <c r="AB936" s="207"/>
      <c r="AC936" s="207"/>
      <c r="AD936" s="207"/>
      <c r="AE936" s="207"/>
      <c r="AF936" s="207"/>
      <c r="AG936" s="207"/>
      <c r="AH936" s="207"/>
      <c r="AI936" s="207"/>
      <c r="AJ936" s="207"/>
      <c r="AK936" s="207"/>
      <c r="AL936" s="207"/>
      <c r="AM936" s="207"/>
      <c r="AN936" s="207"/>
      <c r="AO936" s="207"/>
      <c r="AP936" s="207"/>
      <c r="AQ936" s="207"/>
      <c r="AR936" s="207"/>
      <c r="AS936" s="207"/>
      <c r="AT936" s="207"/>
      <c r="AU936" s="207"/>
      <c r="AV936" s="207"/>
      <c r="AW936" s="207"/>
      <c r="AX936" s="207"/>
      <c r="AY936" s="207"/>
      <c r="AZ936" s="207"/>
      <c r="BA936" s="207"/>
    </row>
    <row r="937" ht="18.75" hidden="1" customHeight="1">
      <c r="A937" s="207"/>
      <c r="B937" s="207"/>
      <c r="C937" s="207"/>
      <c r="D937" s="207"/>
      <c r="E937" s="207"/>
      <c r="F937" s="207"/>
      <c r="G937" s="207"/>
      <c r="H937" s="207"/>
      <c r="I937" s="207"/>
      <c r="J937" s="207"/>
      <c r="K937" s="207"/>
      <c r="L937" s="207"/>
      <c r="M937" s="207"/>
      <c r="N937" s="207"/>
      <c r="O937" s="207"/>
      <c r="P937" s="207"/>
      <c r="Q937" s="207"/>
      <c r="R937" s="207"/>
      <c r="S937" s="207"/>
      <c r="T937" s="207"/>
      <c r="U937" s="207"/>
      <c r="V937" s="207"/>
      <c r="W937" s="207"/>
      <c r="X937" s="207"/>
      <c r="Y937" s="207"/>
      <c r="Z937" s="207"/>
      <c r="AA937" s="207"/>
      <c r="AB937" s="207"/>
      <c r="AC937" s="207"/>
      <c r="AD937" s="207"/>
      <c r="AE937" s="207"/>
      <c r="AF937" s="207"/>
      <c r="AG937" s="207"/>
      <c r="AH937" s="207"/>
      <c r="AI937" s="207"/>
      <c r="AJ937" s="207"/>
      <c r="AK937" s="207"/>
      <c r="AL937" s="207"/>
      <c r="AM937" s="207"/>
      <c r="AN937" s="207"/>
      <c r="AO937" s="207"/>
      <c r="AP937" s="207"/>
      <c r="AQ937" s="207"/>
      <c r="AR937" s="207"/>
      <c r="AS937" s="207"/>
      <c r="AT937" s="207"/>
      <c r="AU937" s="207"/>
      <c r="AV937" s="207"/>
      <c r="AW937" s="207"/>
      <c r="AX937" s="207"/>
      <c r="AY937" s="207"/>
      <c r="AZ937" s="207"/>
      <c r="BA937" s="207"/>
    </row>
    <row r="938" ht="18.75" hidden="1" customHeight="1">
      <c r="A938" s="207"/>
      <c r="B938" s="207"/>
      <c r="C938" s="207"/>
      <c r="D938" s="207"/>
      <c r="E938" s="207"/>
      <c r="F938" s="207"/>
      <c r="G938" s="207"/>
      <c r="H938" s="207"/>
      <c r="I938" s="207"/>
      <c r="J938" s="207"/>
      <c r="K938" s="207"/>
      <c r="L938" s="207"/>
      <c r="M938" s="207"/>
      <c r="N938" s="207"/>
      <c r="O938" s="207"/>
      <c r="P938" s="207"/>
      <c r="Q938" s="207"/>
      <c r="R938" s="207"/>
      <c r="S938" s="207"/>
      <c r="T938" s="207"/>
      <c r="U938" s="207"/>
      <c r="V938" s="207"/>
      <c r="W938" s="207"/>
      <c r="X938" s="207"/>
      <c r="Y938" s="207"/>
      <c r="Z938" s="207"/>
      <c r="AA938" s="207"/>
      <c r="AB938" s="207"/>
      <c r="AC938" s="207"/>
      <c r="AD938" s="207"/>
      <c r="AE938" s="207"/>
      <c r="AF938" s="207"/>
      <c r="AG938" s="207"/>
      <c r="AH938" s="207"/>
      <c r="AI938" s="207"/>
      <c r="AJ938" s="207"/>
      <c r="AK938" s="207"/>
      <c r="AL938" s="207"/>
      <c r="AM938" s="207"/>
      <c r="AN938" s="207"/>
      <c r="AO938" s="207"/>
      <c r="AP938" s="207"/>
      <c r="AQ938" s="207"/>
      <c r="AR938" s="207"/>
      <c r="AS938" s="207"/>
      <c r="AT938" s="207"/>
      <c r="AU938" s="207"/>
      <c r="AV938" s="207"/>
      <c r="AW938" s="207"/>
      <c r="AX938" s="207"/>
      <c r="AY938" s="207"/>
      <c r="AZ938" s="207"/>
      <c r="BA938" s="207"/>
    </row>
    <row r="939" ht="18.75" hidden="1" customHeight="1">
      <c r="A939" s="207"/>
      <c r="B939" s="207"/>
      <c r="C939" s="207"/>
      <c r="D939" s="207"/>
      <c r="E939" s="207"/>
      <c r="F939" s="207"/>
      <c r="G939" s="207"/>
      <c r="H939" s="207"/>
      <c r="I939" s="207"/>
      <c r="J939" s="207"/>
      <c r="K939" s="207"/>
      <c r="L939" s="207"/>
      <c r="M939" s="207"/>
      <c r="N939" s="207"/>
      <c r="O939" s="207"/>
      <c r="P939" s="207"/>
      <c r="Q939" s="207"/>
      <c r="R939" s="207"/>
      <c r="S939" s="207"/>
      <c r="T939" s="207"/>
      <c r="U939" s="207"/>
      <c r="V939" s="207"/>
      <c r="W939" s="207"/>
      <c r="X939" s="207"/>
      <c r="Y939" s="207"/>
      <c r="Z939" s="207"/>
      <c r="AA939" s="207"/>
      <c r="AB939" s="207"/>
      <c r="AC939" s="207"/>
      <c r="AD939" s="207"/>
      <c r="AE939" s="207"/>
      <c r="AF939" s="207"/>
      <c r="AG939" s="207"/>
      <c r="AH939" s="207"/>
      <c r="AI939" s="207"/>
      <c r="AJ939" s="207"/>
      <c r="AK939" s="207"/>
      <c r="AL939" s="207"/>
      <c r="AM939" s="207"/>
      <c r="AN939" s="207"/>
      <c r="AO939" s="207"/>
      <c r="AP939" s="207"/>
      <c r="AQ939" s="207"/>
      <c r="AR939" s="207"/>
      <c r="AS939" s="207"/>
      <c r="AT939" s="207"/>
      <c r="AU939" s="207"/>
      <c r="AV939" s="207"/>
      <c r="AW939" s="207"/>
      <c r="AX939" s="207"/>
      <c r="AY939" s="207"/>
      <c r="AZ939" s="207"/>
      <c r="BA939" s="207"/>
    </row>
    <row r="940" ht="18.75" hidden="1" customHeight="1">
      <c r="A940" s="207"/>
      <c r="B940" s="207"/>
      <c r="C940" s="207"/>
      <c r="D940" s="207"/>
      <c r="E940" s="207"/>
      <c r="F940" s="207"/>
      <c r="G940" s="207"/>
      <c r="H940" s="207"/>
      <c r="I940" s="207"/>
      <c r="J940" s="207"/>
      <c r="K940" s="207"/>
      <c r="L940" s="207"/>
      <c r="M940" s="207"/>
      <c r="N940" s="207"/>
      <c r="O940" s="207"/>
      <c r="P940" s="207"/>
      <c r="Q940" s="207"/>
      <c r="R940" s="207"/>
      <c r="S940" s="207"/>
      <c r="T940" s="207"/>
      <c r="U940" s="207"/>
      <c r="V940" s="207"/>
      <c r="W940" s="207"/>
      <c r="X940" s="207"/>
      <c r="Y940" s="207"/>
      <c r="Z940" s="207"/>
      <c r="AA940" s="207"/>
      <c r="AB940" s="207"/>
      <c r="AC940" s="207"/>
      <c r="AD940" s="207"/>
      <c r="AE940" s="207"/>
      <c r="AF940" s="207"/>
      <c r="AG940" s="207"/>
      <c r="AH940" s="207"/>
      <c r="AI940" s="207"/>
      <c r="AJ940" s="207"/>
      <c r="AK940" s="207"/>
      <c r="AL940" s="207"/>
      <c r="AM940" s="207"/>
      <c r="AN940" s="207"/>
      <c r="AO940" s="207"/>
      <c r="AP940" s="207"/>
      <c r="AQ940" s="207"/>
      <c r="AR940" s="207"/>
      <c r="AS940" s="207"/>
      <c r="AT940" s="207"/>
      <c r="AU940" s="207"/>
      <c r="AV940" s="207"/>
      <c r="AW940" s="207"/>
      <c r="AX940" s="207"/>
      <c r="AY940" s="207"/>
      <c r="AZ940" s="207"/>
      <c r="BA940" s="207"/>
    </row>
    <row r="941" ht="18.75" hidden="1" customHeight="1">
      <c r="A941" s="207"/>
      <c r="B941" s="207"/>
      <c r="C941" s="207"/>
      <c r="D941" s="207"/>
      <c r="E941" s="207"/>
      <c r="F941" s="207"/>
      <c r="G941" s="207"/>
      <c r="H941" s="207"/>
      <c r="I941" s="207"/>
      <c r="J941" s="207"/>
      <c r="K941" s="207"/>
      <c r="L941" s="207"/>
      <c r="M941" s="207"/>
      <c r="N941" s="207"/>
      <c r="O941" s="207"/>
      <c r="P941" s="207"/>
      <c r="Q941" s="207"/>
      <c r="R941" s="207"/>
      <c r="S941" s="207"/>
      <c r="T941" s="207"/>
      <c r="U941" s="207"/>
      <c r="V941" s="207"/>
      <c r="W941" s="207"/>
      <c r="X941" s="207"/>
      <c r="Y941" s="207"/>
      <c r="Z941" s="207"/>
      <c r="AA941" s="207"/>
      <c r="AB941" s="207"/>
      <c r="AC941" s="207"/>
      <c r="AD941" s="207"/>
      <c r="AE941" s="207"/>
      <c r="AF941" s="207"/>
      <c r="AG941" s="207"/>
      <c r="AH941" s="207"/>
      <c r="AI941" s="207"/>
      <c r="AJ941" s="207"/>
      <c r="AK941" s="207"/>
      <c r="AL941" s="207"/>
      <c r="AM941" s="207"/>
      <c r="AN941" s="207"/>
      <c r="AO941" s="207"/>
      <c r="AP941" s="207"/>
      <c r="AQ941" s="207"/>
      <c r="AR941" s="207"/>
      <c r="AS941" s="207"/>
      <c r="AT941" s="207"/>
      <c r="AU941" s="207"/>
      <c r="AV941" s="207"/>
      <c r="AW941" s="207"/>
      <c r="AX941" s="207"/>
      <c r="AY941" s="207"/>
      <c r="AZ941" s="207"/>
      <c r="BA941" s="207"/>
    </row>
    <row r="942" ht="18.75" hidden="1" customHeight="1">
      <c r="A942" s="207"/>
      <c r="B942" s="207"/>
      <c r="C942" s="207"/>
      <c r="D942" s="207"/>
      <c r="E942" s="207"/>
      <c r="F942" s="207"/>
      <c r="G942" s="207"/>
      <c r="H942" s="207"/>
      <c r="I942" s="207"/>
      <c r="J942" s="207"/>
      <c r="K942" s="207"/>
      <c r="L942" s="207"/>
      <c r="M942" s="207"/>
      <c r="N942" s="207"/>
      <c r="O942" s="207"/>
      <c r="P942" s="207"/>
      <c r="Q942" s="207"/>
      <c r="R942" s="207"/>
      <c r="S942" s="207"/>
      <c r="T942" s="207"/>
      <c r="U942" s="207"/>
      <c r="V942" s="207"/>
      <c r="W942" s="207"/>
      <c r="X942" s="207"/>
      <c r="Y942" s="207"/>
      <c r="Z942" s="207"/>
      <c r="AA942" s="207"/>
      <c r="AB942" s="207"/>
      <c r="AC942" s="207"/>
      <c r="AD942" s="207"/>
      <c r="AE942" s="207"/>
      <c r="AF942" s="207"/>
      <c r="AG942" s="207"/>
      <c r="AH942" s="207"/>
      <c r="AI942" s="207"/>
      <c r="AJ942" s="207"/>
      <c r="AK942" s="207"/>
      <c r="AL942" s="207"/>
      <c r="AM942" s="207"/>
      <c r="AN942" s="207"/>
      <c r="AO942" s="207"/>
      <c r="AP942" s="207"/>
      <c r="AQ942" s="207"/>
      <c r="AR942" s="207"/>
      <c r="AS942" s="207"/>
      <c r="AT942" s="207"/>
      <c r="AU942" s="207"/>
      <c r="AV942" s="207"/>
      <c r="AW942" s="207"/>
      <c r="AX942" s="207"/>
      <c r="AY942" s="207"/>
      <c r="AZ942" s="207"/>
      <c r="BA942" s="207"/>
    </row>
    <row r="943" ht="18.75" hidden="1" customHeight="1">
      <c r="A943" s="207"/>
      <c r="B943" s="207"/>
      <c r="C943" s="207"/>
      <c r="D943" s="207"/>
      <c r="E943" s="207"/>
      <c r="F943" s="207"/>
      <c r="G943" s="207"/>
      <c r="H943" s="207"/>
      <c r="I943" s="207"/>
      <c r="J943" s="207"/>
      <c r="K943" s="207"/>
      <c r="L943" s="207"/>
      <c r="M943" s="207"/>
      <c r="N943" s="207"/>
      <c r="O943" s="207"/>
      <c r="P943" s="207"/>
      <c r="Q943" s="207"/>
      <c r="R943" s="207"/>
      <c r="S943" s="207"/>
      <c r="T943" s="207"/>
      <c r="U943" s="207"/>
      <c r="V943" s="207"/>
      <c r="W943" s="207"/>
      <c r="X943" s="207"/>
      <c r="Y943" s="207"/>
      <c r="Z943" s="207"/>
      <c r="AA943" s="207"/>
      <c r="AB943" s="207"/>
      <c r="AC943" s="207"/>
      <c r="AD943" s="207"/>
      <c r="AE943" s="207"/>
      <c r="AF943" s="207"/>
      <c r="AG943" s="207"/>
      <c r="AH943" s="207"/>
      <c r="AI943" s="207"/>
      <c r="AJ943" s="207"/>
      <c r="AK943" s="207"/>
      <c r="AL943" s="207"/>
      <c r="AM943" s="207"/>
      <c r="AN943" s="207"/>
      <c r="AO943" s="207"/>
      <c r="AP943" s="207"/>
      <c r="AQ943" s="207"/>
      <c r="AR943" s="207"/>
      <c r="AS943" s="207"/>
      <c r="AT943" s="207"/>
      <c r="AU943" s="207"/>
      <c r="AV943" s="207"/>
      <c r="AW943" s="207"/>
      <c r="AX943" s="207"/>
      <c r="AY943" s="207"/>
      <c r="AZ943" s="207"/>
      <c r="BA943" s="207"/>
    </row>
    <row r="944" ht="18.75" hidden="1" customHeight="1">
      <c r="A944" s="207"/>
      <c r="B944" s="207"/>
      <c r="C944" s="207"/>
      <c r="D944" s="207"/>
      <c r="E944" s="207"/>
      <c r="F944" s="207"/>
      <c r="G944" s="207"/>
      <c r="H944" s="207"/>
      <c r="I944" s="207"/>
      <c r="J944" s="207"/>
      <c r="K944" s="207"/>
      <c r="L944" s="207"/>
      <c r="M944" s="207"/>
      <c r="N944" s="207"/>
      <c r="O944" s="207"/>
      <c r="P944" s="207"/>
      <c r="Q944" s="207"/>
      <c r="R944" s="207"/>
      <c r="S944" s="207"/>
      <c r="T944" s="207"/>
      <c r="U944" s="207"/>
      <c r="V944" s="207"/>
      <c r="W944" s="207"/>
      <c r="X944" s="207"/>
      <c r="Y944" s="207"/>
      <c r="Z944" s="207"/>
      <c r="AA944" s="207"/>
      <c r="AB944" s="207"/>
      <c r="AC944" s="207"/>
      <c r="AD944" s="207"/>
      <c r="AE944" s="207"/>
      <c r="AF944" s="207"/>
      <c r="AG944" s="207"/>
      <c r="AH944" s="207"/>
      <c r="AI944" s="207"/>
      <c r="AJ944" s="207"/>
      <c r="AK944" s="207"/>
      <c r="AL944" s="207"/>
      <c r="AM944" s="207"/>
      <c r="AN944" s="207"/>
      <c r="AO944" s="207"/>
      <c r="AP944" s="207"/>
      <c r="AQ944" s="207"/>
      <c r="AR944" s="207"/>
      <c r="AS944" s="207"/>
      <c r="AT944" s="207"/>
      <c r="AU944" s="207"/>
      <c r="AV944" s="207"/>
      <c r="AW944" s="207"/>
      <c r="AX944" s="207"/>
      <c r="AY944" s="207"/>
      <c r="AZ944" s="207"/>
      <c r="BA944" s="207"/>
    </row>
    <row r="945" ht="18.75" hidden="1" customHeight="1">
      <c r="A945" s="207"/>
      <c r="B945" s="207"/>
      <c r="C945" s="207"/>
      <c r="D945" s="207"/>
      <c r="E945" s="207"/>
      <c r="F945" s="207"/>
      <c r="G945" s="207"/>
      <c r="H945" s="207"/>
      <c r="I945" s="207"/>
      <c r="J945" s="207"/>
      <c r="K945" s="207"/>
      <c r="L945" s="207"/>
      <c r="M945" s="207"/>
      <c r="N945" s="207"/>
      <c r="O945" s="207"/>
      <c r="P945" s="207"/>
      <c r="Q945" s="207"/>
      <c r="R945" s="207"/>
      <c r="S945" s="207"/>
      <c r="T945" s="207"/>
      <c r="U945" s="207"/>
      <c r="V945" s="207"/>
      <c r="W945" s="207"/>
      <c r="X945" s="207"/>
      <c r="Y945" s="207"/>
      <c r="Z945" s="207"/>
      <c r="AA945" s="207"/>
      <c r="AB945" s="207"/>
      <c r="AC945" s="207"/>
      <c r="AD945" s="207"/>
      <c r="AE945" s="207"/>
      <c r="AF945" s="207"/>
      <c r="AG945" s="207"/>
      <c r="AH945" s="207"/>
      <c r="AI945" s="207"/>
      <c r="AJ945" s="207"/>
      <c r="AK945" s="207"/>
      <c r="AL945" s="207"/>
      <c r="AM945" s="207"/>
      <c r="AN945" s="207"/>
      <c r="AO945" s="207"/>
      <c r="AP945" s="207"/>
      <c r="AQ945" s="207"/>
      <c r="AR945" s="207"/>
      <c r="AS945" s="207"/>
      <c r="AT945" s="207"/>
      <c r="AU945" s="207"/>
      <c r="AV945" s="207"/>
      <c r="AW945" s="207"/>
      <c r="AX945" s="207"/>
      <c r="AY945" s="207"/>
      <c r="AZ945" s="207"/>
      <c r="BA945" s="207"/>
    </row>
    <row r="946" ht="18.75" hidden="1" customHeight="1">
      <c r="A946" s="207"/>
      <c r="B946" s="207"/>
      <c r="C946" s="207"/>
      <c r="D946" s="207"/>
      <c r="E946" s="207"/>
      <c r="F946" s="207"/>
      <c r="G946" s="207"/>
      <c r="H946" s="207"/>
      <c r="I946" s="207"/>
      <c r="J946" s="207"/>
      <c r="K946" s="207"/>
      <c r="L946" s="207"/>
      <c r="M946" s="207"/>
      <c r="N946" s="207"/>
      <c r="O946" s="207"/>
      <c r="P946" s="207"/>
      <c r="Q946" s="207"/>
      <c r="R946" s="207"/>
      <c r="S946" s="207"/>
      <c r="T946" s="207"/>
      <c r="U946" s="207"/>
      <c r="V946" s="207"/>
      <c r="W946" s="207"/>
      <c r="X946" s="207"/>
      <c r="Y946" s="207"/>
      <c r="Z946" s="207"/>
      <c r="AA946" s="207"/>
      <c r="AB946" s="207"/>
      <c r="AC946" s="207"/>
      <c r="AD946" s="207"/>
      <c r="AE946" s="207"/>
      <c r="AF946" s="207"/>
      <c r="AG946" s="207"/>
      <c r="AH946" s="207"/>
      <c r="AI946" s="207"/>
      <c r="AJ946" s="207"/>
      <c r="AK946" s="207"/>
      <c r="AL946" s="207"/>
      <c r="AM946" s="207"/>
      <c r="AN946" s="207"/>
      <c r="AO946" s="207"/>
      <c r="AP946" s="207"/>
      <c r="AQ946" s="207"/>
      <c r="AR946" s="207"/>
      <c r="AS946" s="207"/>
      <c r="AT946" s="207"/>
      <c r="AU946" s="207"/>
      <c r="AV946" s="207"/>
      <c r="AW946" s="207"/>
      <c r="AX946" s="207"/>
      <c r="AY946" s="207"/>
      <c r="AZ946" s="207"/>
      <c r="BA946" s="207"/>
    </row>
    <row r="947" ht="18.75" hidden="1" customHeight="1">
      <c r="A947" s="207"/>
      <c r="B947" s="207"/>
      <c r="C947" s="207"/>
      <c r="D947" s="207"/>
      <c r="E947" s="207"/>
      <c r="F947" s="207"/>
      <c r="G947" s="207"/>
      <c r="H947" s="207"/>
      <c r="I947" s="207"/>
      <c r="J947" s="207"/>
      <c r="K947" s="207"/>
      <c r="L947" s="207"/>
      <c r="M947" s="207"/>
      <c r="N947" s="207"/>
      <c r="O947" s="207"/>
      <c r="P947" s="207"/>
      <c r="Q947" s="207"/>
      <c r="R947" s="207"/>
      <c r="S947" s="207"/>
      <c r="T947" s="207"/>
      <c r="U947" s="207"/>
      <c r="V947" s="207"/>
      <c r="W947" s="207"/>
      <c r="X947" s="207"/>
      <c r="Y947" s="207"/>
      <c r="Z947" s="207"/>
      <c r="AA947" s="207"/>
      <c r="AB947" s="207"/>
      <c r="AC947" s="207"/>
      <c r="AD947" s="207"/>
      <c r="AE947" s="207"/>
      <c r="AF947" s="207"/>
      <c r="AG947" s="207"/>
      <c r="AH947" s="207"/>
      <c r="AI947" s="207"/>
      <c r="AJ947" s="207"/>
      <c r="AK947" s="207"/>
      <c r="AL947" s="207"/>
      <c r="AM947" s="207"/>
      <c r="AN947" s="207"/>
      <c r="AO947" s="207"/>
      <c r="AP947" s="207"/>
      <c r="AQ947" s="207"/>
      <c r="AR947" s="207"/>
      <c r="AS947" s="207"/>
      <c r="AT947" s="207"/>
      <c r="AU947" s="207"/>
      <c r="AV947" s="207"/>
      <c r="AW947" s="207"/>
      <c r="AX947" s="207"/>
      <c r="AY947" s="207"/>
      <c r="AZ947" s="207"/>
      <c r="BA947" s="207"/>
    </row>
    <row r="948" ht="18.75" hidden="1" customHeight="1">
      <c r="A948" s="207"/>
      <c r="B948" s="207"/>
      <c r="C948" s="207"/>
      <c r="D948" s="207"/>
      <c r="E948" s="207"/>
      <c r="F948" s="207"/>
      <c r="G948" s="207"/>
      <c r="H948" s="207"/>
      <c r="I948" s="207"/>
      <c r="J948" s="207"/>
      <c r="K948" s="207"/>
      <c r="L948" s="207"/>
      <c r="M948" s="207"/>
      <c r="N948" s="207"/>
      <c r="O948" s="207"/>
      <c r="P948" s="207"/>
      <c r="Q948" s="207"/>
      <c r="R948" s="207"/>
      <c r="S948" s="207"/>
      <c r="T948" s="207"/>
      <c r="U948" s="207"/>
      <c r="V948" s="207"/>
      <c r="W948" s="207"/>
      <c r="X948" s="207"/>
      <c r="Y948" s="207"/>
      <c r="Z948" s="207"/>
      <c r="AA948" s="207"/>
      <c r="AB948" s="207"/>
      <c r="AC948" s="207"/>
      <c r="AD948" s="207"/>
      <c r="AE948" s="207"/>
      <c r="AF948" s="207"/>
      <c r="AG948" s="207"/>
      <c r="AH948" s="207"/>
      <c r="AI948" s="207"/>
      <c r="AJ948" s="207"/>
      <c r="AK948" s="207"/>
      <c r="AL948" s="207"/>
      <c r="AM948" s="207"/>
      <c r="AN948" s="207"/>
      <c r="AO948" s="207"/>
      <c r="AP948" s="207"/>
      <c r="AQ948" s="207"/>
      <c r="AR948" s="207"/>
      <c r="AS948" s="207"/>
      <c r="AT948" s="207"/>
      <c r="AU948" s="207"/>
      <c r="AV948" s="207"/>
      <c r="AW948" s="207"/>
      <c r="AX948" s="207"/>
      <c r="AY948" s="207"/>
      <c r="AZ948" s="207"/>
      <c r="BA948" s="207"/>
    </row>
    <row r="949" ht="18.75" hidden="1" customHeight="1">
      <c r="A949" s="207"/>
      <c r="B949" s="207"/>
      <c r="C949" s="207"/>
      <c r="D949" s="207"/>
      <c r="E949" s="207"/>
      <c r="F949" s="207"/>
      <c r="G949" s="207"/>
      <c r="H949" s="207"/>
      <c r="I949" s="207"/>
      <c r="J949" s="207"/>
      <c r="K949" s="207"/>
      <c r="L949" s="207"/>
      <c r="M949" s="207"/>
      <c r="N949" s="207"/>
      <c r="O949" s="207"/>
      <c r="P949" s="207"/>
      <c r="Q949" s="207"/>
      <c r="R949" s="207"/>
      <c r="S949" s="207"/>
      <c r="T949" s="207"/>
      <c r="U949" s="207"/>
      <c r="V949" s="207"/>
      <c r="W949" s="207"/>
      <c r="X949" s="207"/>
      <c r="Y949" s="207"/>
      <c r="Z949" s="207"/>
      <c r="AA949" s="207"/>
      <c r="AB949" s="207"/>
      <c r="AC949" s="207"/>
      <c r="AD949" s="207"/>
      <c r="AE949" s="207"/>
      <c r="AF949" s="207"/>
      <c r="AG949" s="207"/>
      <c r="AH949" s="207"/>
      <c r="AI949" s="207"/>
      <c r="AJ949" s="207"/>
      <c r="AK949" s="207"/>
      <c r="AL949" s="207"/>
      <c r="AM949" s="207"/>
      <c r="AN949" s="207"/>
      <c r="AO949" s="207"/>
      <c r="AP949" s="207"/>
      <c r="AQ949" s="207"/>
      <c r="AR949" s="207"/>
      <c r="AS949" s="207"/>
      <c r="AT949" s="207"/>
      <c r="AU949" s="207"/>
      <c r="AV949" s="207"/>
      <c r="AW949" s="207"/>
      <c r="AX949" s="207"/>
      <c r="AY949" s="207"/>
      <c r="AZ949" s="207"/>
      <c r="BA949" s="207"/>
    </row>
    <row r="950" ht="18.75" hidden="1" customHeight="1">
      <c r="A950" s="207"/>
      <c r="B950" s="207"/>
      <c r="C950" s="207"/>
      <c r="D950" s="207"/>
      <c r="E950" s="207"/>
      <c r="F950" s="207"/>
      <c r="G950" s="207"/>
      <c r="H950" s="207"/>
      <c r="I950" s="207"/>
      <c r="J950" s="207"/>
      <c r="K950" s="207"/>
      <c r="L950" s="207"/>
      <c r="M950" s="207"/>
      <c r="N950" s="207"/>
      <c r="O950" s="207"/>
      <c r="P950" s="207"/>
      <c r="Q950" s="207"/>
      <c r="R950" s="207"/>
      <c r="S950" s="207"/>
      <c r="T950" s="207"/>
      <c r="U950" s="207"/>
      <c r="V950" s="207"/>
      <c r="W950" s="207"/>
      <c r="X950" s="207"/>
      <c r="Y950" s="207"/>
      <c r="Z950" s="207"/>
      <c r="AA950" s="207"/>
      <c r="AB950" s="207"/>
      <c r="AC950" s="207"/>
      <c r="AD950" s="207"/>
      <c r="AE950" s="207"/>
      <c r="AF950" s="207"/>
      <c r="AG950" s="207"/>
      <c r="AH950" s="207"/>
      <c r="AI950" s="207"/>
      <c r="AJ950" s="207"/>
      <c r="AK950" s="207"/>
      <c r="AL950" s="207"/>
      <c r="AM950" s="207"/>
      <c r="AN950" s="207"/>
      <c r="AO950" s="207"/>
      <c r="AP950" s="207"/>
      <c r="AQ950" s="207"/>
      <c r="AR950" s="207"/>
      <c r="AS950" s="207"/>
      <c r="AT950" s="207"/>
      <c r="AU950" s="207"/>
      <c r="AV950" s="207"/>
      <c r="AW950" s="207"/>
      <c r="AX950" s="207"/>
      <c r="AY950" s="207"/>
      <c r="AZ950" s="207"/>
      <c r="BA950" s="207"/>
    </row>
    <row r="951" ht="18.75" hidden="1" customHeight="1">
      <c r="A951" s="207"/>
      <c r="B951" s="207"/>
      <c r="C951" s="207"/>
      <c r="D951" s="207"/>
      <c r="E951" s="207"/>
      <c r="F951" s="207"/>
      <c r="G951" s="207"/>
      <c r="H951" s="207"/>
      <c r="I951" s="207"/>
      <c r="J951" s="207"/>
      <c r="K951" s="207"/>
      <c r="L951" s="207"/>
      <c r="M951" s="207"/>
      <c r="N951" s="207"/>
      <c r="O951" s="207"/>
      <c r="P951" s="207"/>
      <c r="Q951" s="207"/>
      <c r="R951" s="207"/>
      <c r="S951" s="207"/>
      <c r="T951" s="207"/>
      <c r="U951" s="207"/>
      <c r="V951" s="207"/>
      <c r="W951" s="207"/>
      <c r="X951" s="207"/>
      <c r="Y951" s="207"/>
      <c r="Z951" s="207"/>
      <c r="AA951" s="207"/>
      <c r="AB951" s="207"/>
      <c r="AC951" s="207"/>
      <c r="AD951" s="207"/>
      <c r="AE951" s="207"/>
      <c r="AF951" s="207"/>
      <c r="AG951" s="207"/>
      <c r="AH951" s="207"/>
      <c r="AI951" s="207"/>
      <c r="AJ951" s="207"/>
      <c r="AK951" s="207"/>
      <c r="AL951" s="207"/>
      <c r="AM951" s="207"/>
      <c r="AN951" s="207"/>
      <c r="AO951" s="207"/>
      <c r="AP951" s="207"/>
      <c r="AQ951" s="207"/>
      <c r="AR951" s="207"/>
      <c r="AS951" s="207"/>
      <c r="AT951" s="207"/>
      <c r="AU951" s="207"/>
      <c r="AV951" s="207"/>
      <c r="AW951" s="207"/>
      <c r="AX951" s="207"/>
      <c r="AY951" s="207"/>
      <c r="AZ951" s="207"/>
      <c r="BA951" s="207"/>
    </row>
    <row r="952" ht="18.75" hidden="1" customHeight="1">
      <c r="A952" s="207"/>
      <c r="B952" s="207"/>
      <c r="C952" s="207"/>
      <c r="D952" s="207"/>
      <c r="E952" s="207"/>
      <c r="F952" s="207"/>
      <c r="G952" s="207"/>
      <c r="H952" s="207"/>
      <c r="I952" s="207"/>
      <c r="J952" s="207"/>
      <c r="K952" s="207"/>
      <c r="L952" s="207"/>
      <c r="M952" s="207"/>
      <c r="N952" s="207"/>
      <c r="O952" s="207"/>
      <c r="P952" s="207"/>
      <c r="Q952" s="207"/>
      <c r="R952" s="207"/>
      <c r="S952" s="207"/>
      <c r="T952" s="207"/>
      <c r="U952" s="207"/>
      <c r="V952" s="207"/>
      <c r="W952" s="207"/>
      <c r="X952" s="207"/>
      <c r="Y952" s="207"/>
      <c r="Z952" s="207"/>
      <c r="AA952" s="207"/>
      <c r="AB952" s="207"/>
      <c r="AC952" s="207"/>
      <c r="AD952" s="207"/>
      <c r="AE952" s="207"/>
      <c r="AF952" s="207"/>
      <c r="AG952" s="207"/>
      <c r="AH952" s="207"/>
      <c r="AI952" s="207"/>
      <c r="AJ952" s="207"/>
      <c r="AK952" s="207"/>
      <c r="AL952" s="207"/>
      <c r="AM952" s="207"/>
      <c r="AN952" s="207"/>
      <c r="AO952" s="207"/>
      <c r="AP952" s="207"/>
      <c r="AQ952" s="207"/>
      <c r="AR952" s="207"/>
      <c r="AS952" s="207"/>
      <c r="AT952" s="207"/>
      <c r="AU952" s="207"/>
      <c r="AV952" s="207"/>
      <c r="AW952" s="207"/>
      <c r="AX952" s="207"/>
      <c r="AY952" s="207"/>
      <c r="AZ952" s="207"/>
      <c r="BA952" s="207"/>
    </row>
    <row r="953" ht="18.75" hidden="1" customHeight="1">
      <c r="A953" s="207"/>
      <c r="B953" s="207"/>
      <c r="C953" s="207"/>
      <c r="D953" s="207"/>
      <c r="E953" s="207"/>
      <c r="F953" s="207"/>
      <c r="G953" s="207"/>
      <c r="H953" s="207"/>
      <c r="I953" s="207"/>
      <c r="J953" s="207"/>
      <c r="K953" s="207"/>
      <c r="L953" s="207"/>
      <c r="M953" s="207"/>
      <c r="N953" s="207"/>
      <c r="O953" s="207"/>
      <c r="P953" s="207"/>
      <c r="Q953" s="207"/>
      <c r="R953" s="207"/>
      <c r="S953" s="207"/>
      <c r="T953" s="207"/>
      <c r="U953" s="207"/>
      <c r="V953" s="207"/>
      <c r="W953" s="207"/>
      <c r="X953" s="207"/>
      <c r="Y953" s="207"/>
      <c r="Z953" s="207"/>
      <c r="AA953" s="207"/>
      <c r="AB953" s="207"/>
      <c r="AC953" s="207"/>
      <c r="AD953" s="207"/>
      <c r="AE953" s="207"/>
      <c r="AF953" s="207"/>
      <c r="AG953" s="207"/>
      <c r="AH953" s="207"/>
      <c r="AI953" s="207"/>
      <c r="AJ953" s="207"/>
      <c r="AK953" s="207"/>
      <c r="AL953" s="207"/>
      <c r="AM953" s="207"/>
      <c r="AN953" s="207"/>
      <c r="AO953" s="207"/>
      <c r="AP953" s="207"/>
      <c r="AQ953" s="207"/>
      <c r="AR953" s="207"/>
      <c r="AS953" s="207"/>
      <c r="AT953" s="207"/>
      <c r="AU953" s="207"/>
      <c r="AV953" s="207"/>
      <c r="AW953" s="207"/>
      <c r="AX953" s="207"/>
      <c r="AY953" s="207"/>
      <c r="AZ953" s="207"/>
      <c r="BA953" s="207"/>
    </row>
    <row r="954" ht="18.75" hidden="1" customHeight="1">
      <c r="A954" s="207"/>
      <c r="B954" s="207"/>
      <c r="C954" s="207"/>
      <c r="D954" s="207"/>
      <c r="E954" s="207"/>
      <c r="F954" s="207"/>
      <c r="G954" s="207"/>
      <c r="H954" s="207"/>
      <c r="I954" s="207"/>
      <c r="J954" s="207"/>
      <c r="K954" s="207"/>
      <c r="L954" s="207"/>
      <c r="M954" s="207"/>
      <c r="N954" s="207"/>
      <c r="O954" s="207"/>
      <c r="P954" s="207"/>
      <c r="Q954" s="207"/>
      <c r="R954" s="207"/>
      <c r="S954" s="207"/>
      <c r="T954" s="207"/>
      <c r="U954" s="207"/>
      <c r="V954" s="207"/>
      <c r="W954" s="207"/>
      <c r="X954" s="207"/>
      <c r="Y954" s="207"/>
      <c r="Z954" s="207"/>
      <c r="AA954" s="207"/>
      <c r="AB954" s="207"/>
      <c r="AC954" s="207"/>
      <c r="AD954" s="207"/>
      <c r="AE954" s="207"/>
      <c r="AF954" s="207"/>
      <c r="AG954" s="207"/>
      <c r="AH954" s="207"/>
      <c r="AI954" s="207"/>
      <c r="AJ954" s="207"/>
      <c r="AK954" s="207"/>
      <c r="AL954" s="207"/>
      <c r="AM954" s="207"/>
      <c r="AN954" s="207"/>
      <c r="AO954" s="207"/>
      <c r="AP954" s="207"/>
      <c r="AQ954" s="207"/>
      <c r="AR954" s="207"/>
      <c r="AS954" s="207"/>
      <c r="AT954" s="207"/>
      <c r="AU954" s="207"/>
      <c r="AV954" s="207"/>
      <c r="AW954" s="207"/>
      <c r="AX954" s="207"/>
      <c r="AY954" s="207"/>
      <c r="AZ954" s="207"/>
      <c r="BA954" s="207"/>
    </row>
    <row r="955" ht="18.75" hidden="1" customHeight="1">
      <c r="A955" s="207"/>
      <c r="B955" s="207"/>
      <c r="C955" s="207"/>
      <c r="D955" s="207"/>
      <c r="E955" s="207"/>
      <c r="F955" s="207"/>
      <c r="G955" s="207"/>
      <c r="H955" s="207"/>
      <c r="I955" s="207"/>
      <c r="J955" s="207"/>
      <c r="K955" s="207"/>
      <c r="L955" s="207"/>
      <c r="M955" s="207"/>
      <c r="N955" s="207"/>
      <c r="O955" s="207"/>
      <c r="P955" s="207"/>
      <c r="Q955" s="207"/>
      <c r="R955" s="207"/>
      <c r="S955" s="207"/>
      <c r="T955" s="207"/>
      <c r="U955" s="207"/>
      <c r="V955" s="207"/>
      <c r="W955" s="207"/>
      <c r="X955" s="207"/>
      <c r="Y955" s="207"/>
      <c r="Z955" s="207"/>
      <c r="AA955" s="207"/>
      <c r="AB955" s="207"/>
      <c r="AC955" s="207"/>
      <c r="AD955" s="207"/>
      <c r="AE955" s="207"/>
      <c r="AF955" s="207"/>
      <c r="AG955" s="207"/>
      <c r="AH955" s="207"/>
      <c r="AI955" s="207"/>
      <c r="AJ955" s="207"/>
      <c r="AK955" s="207"/>
      <c r="AL955" s="207"/>
      <c r="AM955" s="207"/>
      <c r="AN955" s="207"/>
      <c r="AO955" s="207"/>
      <c r="AP955" s="207"/>
      <c r="AQ955" s="207"/>
      <c r="AR955" s="207"/>
      <c r="AS955" s="207"/>
      <c r="AT955" s="207"/>
      <c r="AU955" s="207"/>
      <c r="AV955" s="207"/>
      <c r="AW955" s="207"/>
      <c r="AX955" s="207"/>
      <c r="AY955" s="207"/>
      <c r="AZ955" s="207"/>
      <c r="BA955" s="207"/>
    </row>
    <row r="956" ht="18.75" hidden="1" customHeight="1">
      <c r="A956" s="207"/>
      <c r="B956" s="207"/>
      <c r="C956" s="207"/>
      <c r="D956" s="207"/>
      <c r="E956" s="207"/>
      <c r="F956" s="207"/>
      <c r="G956" s="207"/>
      <c r="H956" s="207"/>
      <c r="I956" s="207"/>
      <c r="J956" s="207"/>
      <c r="K956" s="207"/>
      <c r="L956" s="207"/>
      <c r="M956" s="207"/>
      <c r="N956" s="207"/>
      <c r="O956" s="207"/>
      <c r="P956" s="207"/>
      <c r="Q956" s="207"/>
      <c r="R956" s="207"/>
      <c r="S956" s="207"/>
      <c r="T956" s="207"/>
      <c r="U956" s="207"/>
      <c r="V956" s="207"/>
      <c r="W956" s="207"/>
      <c r="X956" s="207"/>
      <c r="Y956" s="207"/>
      <c r="Z956" s="207"/>
      <c r="AA956" s="207"/>
      <c r="AB956" s="207"/>
      <c r="AC956" s="207"/>
      <c r="AD956" s="207"/>
      <c r="AE956" s="207"/>
      <c r="AF956" s="207"/>
      <c r="AG956" s="207"/>
      <c r="AH956" s="207"/>
      <c r="AI956" s="207"/>
      <c r="AJ956" s="207"/>
      <c r="AK956" s="207"/>
      <c r="AL956" s="207"/>
      <c r="AM956" s="207"/>
      <c r="AN956" s="207"/>
      <c r="AO956" s="207"/>
      <c r="AP956" s="207"/>
      <c r="AQ956" s="207"/>
      <c r="AR956" s="207"/>
      <c r="AS956" s="207"/>
      <c r="AT956" s="207"/>
      <c r="AU956" s="207"/>
      <c r="AV956" s="207"/>
      <c r="AW956" s="207"/>
      <c r="AX956" s="207"/>
      <c r="AY956" s="207"/>
      <c r="AZ956" s="207"/>
      <c r="BA956" s="207"/>
    </row>
    <row r="957" ht="18.75" hidden="1" customHeight="1">
      <c r="A957" s="207"/>
      <c r="B957" s="207"/>
      <c r="C957" s="207"/>
      <c r="D957" s="207"/>
      <c r="E957" s="207"/>
      <c r="F957" s="207"/>
      <c r="G957" s="207"/>
      <c r="H957" s="207"/>
      <c r="I957" s="207"/>
      <c r="J957" s="207"/>
      <c r="K957" s="207"/>
      <c r="L957" s="207"/>
      <c r="M957" s="207"/>
      <c r="N957" s="207"/>
      <c r="O957" s="207"/>
      <c r="P957" s="207"/>
      <c r="Q957" s="207"/>
      <c r="R957" s="207"/>
      <c r="S957" s="207"/>
      <c r="T957" s="207"/>
      <c r="U957" s="207"/>
      <c r="V957" s="207"/>
      <c r="W957" s="207"/>
      <c r="X957" s="207"/>
      <c r="Y957" s="207"/>
      <c r="Z957" s="207"/>
      <c r="AA957" s="207"/>
      <c r="AB957" s="207"/>
      <c r="AC957" s="207"/>
      <c r="AD957" s="207"/>
      <c r="AE957" s="207"/>
      <c r="AF957" s="207"/>
      <c r="AG957" s="207"/>
      <c r="AH957" s="207"/>
      <c r="AI957" s="207"/>
      <c r="AJ957" s="207"/>
      <c r="AK957" s="207"/>
      <c r="AL957" s="207"/>
      <c r="AM957" s="207"/>
      <c r="AN957" s="207"/>
      <c r="AO957" s="207"/>
      <c r="AP957" s="207"/>
      <c r="AQ957" s="207"/>
      <c r="AR957" s="207"/>
      <c r="AS957" s="207"/>
      <c r="AT957" s="207"/>
      <c r="AU957" s="207"/>
      <c r="AV957" s="207"/>
      <c r="AW957" s="207"/>
      <c r="AX957" s="207"/>
      <c r="AY957" s="207"/>
      <c r="AZ957" s="207"/>
      <c r="BA957" s="207"/>
    </row>
    <row r="958" ht="18.75" hidden="1" customHeight="1">
      <c r="A958" s="207"/>
      <c r="B958" s="207"/>
      <c r="C958" s="207"/>
      <c r="D958" s="207"/>
      <c r="E958" s="207"/>
      <c r="F958" s="207"/>
      <c r="G958" s="207"/>
      <c r="H958" s="207"/>
      <c r="I958" s="207"/>
      <c r="J958" s="207"/>
      <c r="K958" s="207"/>
      <c r="L958" s="207"/>
      <c r="M958" s="207"/>
      <c r="N958" s="207"/>
      <c r="O958" s="207"/>
      <c r="P958" s="207"/>
      <c r="Q958" s="207"/>
      <c r="R958" s="207"/>
      <c r="S958" s="207"/>
      <c r="T958" s="207"/>
      <c r="U958" s="207"/>
      <c r="V958" s="207"/>
      <c r="W958" s="207"/>
      <c r="X958" s="207"/>
      <c r="Y958" s="207"/>
      <c r="Z958" s="207"/>
      <c r="AA958" s="207"/>
      <c r="AB958" s="207"/>
      <c r="AC958" s="207"/>
      <c r="AD958" s="207"/>
      <c r="AE958" s="207"/>
      <c r="AF958" s="207"/>
      <c r="AG958" s="207"/>
      <c r="AH958" s="207"/>
      <c r="AI958" s="207"/>
      <c r="AJ958" s="207"/>
      <c r="AK958" s="207"/>
      <c r="AL958" s="207"/>
      <c r="AM958" s="207"/>
      <c r="AN958" s="207"/>
      <c r="AO958" s="207"/>
      <c r="AP958" s="207"/>
      <c r="AQ958" s="207"/>
      <c r="AR958" s="207"/>
      <c r="AS958" s="207"/>
      <c r="AT958" s="207"/>
      <c r="AU958" s="207"/>
      <c r="AV958" s="207"/>
      <c r="AW958" s="207"/>
      <c r="AX958" s="207"/>
      <c r="AY958" s="207"/>
      <c r="AZ958" s="207"/>
      <c r="BA958" s="207"/>
    </row>
    <row r="959" ht="18.75" hidden="1" customHeight="1">
      <c r="A959" s="207"/>
      <c r="B959" s="207"/>
      <c r="C959" s="207"/>
      <c r="D959" s="207"/>
      <c r="E959" s="207"/>
      <c r="F959" s="207"/>
      <c r="G959" s="207"/>
      <c r="H959" s="207"/>
      <c r="I959" s="207"/>
      <c r="J959" s="207"/>
      <c r="K959" s="207"/>
      <c r="L959" s="207"/>
      <c r="M959" s="207"/>
      <c r="N959" s="207"/>
      <c r="O959" s="207"/>
      <c r="P959" s="207"/>
      <c r="Q959" s="207"/>
      <c r="R959" s="207"/>
      <c r="S959" s="207"/>
      <c r="T959" s="207"/>
      <c r="U959" s="207"/>
      <c r="V959" s="207"/>
      <c r="W959" s="207"/>
      <c r="X959" s="207"/>
      <c r="Y959" s="207"/>
      <c r="Z959" s="207"/>
      <c r="AA959" s="207"/>
      <c r="AB959" s="207"/>
      <c r="AC959" s="207"/>
      <c r="AD959" s="207"/>
      <c r="AE959" s="207"/>
      <c r="AF959" s="207"/>
      <c r="AG959" s="207"/>
      <c r="AH959" s="207"/>
      <c r="AI959" s="207"/>
      <c r="AJ959" s="207"/>
      <c r="AK959" s="207"/>
      <c r="AL959" s="207"/>
      <c r="AM959" s="207"/>
      <c r="AN959" s="207"/>
      <c r="AO959" s="207"/>
      <c r="AP959" s="207"/>
      <c r="AQ959" s="207"/>
      <c r="AR959" s="207"/>
      <c r="AS959" s="207"/>
      <c r="AT959" s="207"/>
      <c r="AU959" s="207"/>
      <c r="AV959" s="207"/>
      <c r="AW959" s="207"/>
      <c r="AX959" s="207"/>
      <c r="AY959" s="207"/>
      <c r="AZ959" s="207"/>
      <c r="BA959" s="207"/>
    </row>
    <row r="960" ht="18.75" hidden="1" customHeight="1">
      <c r="A960" s="207"/>
      <c r="B960" s="207"/>
      <c r="C960" s="207"/>
      <c r="D960" s="207"/>
      <c r="E960" s="207"/>
      <c r="F960" s="207"/>
      <c r="G960" s="207"/>
      <c r="H960" s="207"/>
      <c r="I960" s="207"/>
      <c r="J960" s="207"/>
      <c r="K960" s="207"/>
      <c r="L960" s="207"/>
      <c r="M960" s="207"/>
      <c r="N960" s="207"/>
      <c r="O960" s="207"/>
      <c r="P960" s="207"/>
      <c r="Q960" s="207"/>
      <c r="R960" s="207"/>
      <c r="S960" s="207"/>
      <c r="T960" s="207"/>
      <c r="U960" s="207"/>
      <c r="V960" s="207"/>
      <c r="W960" s="207"/>
      <c r="X960" s="207"/>
      <c r="Y960" s="207"/>
      <c r="Z960" s="207"/>
      <c r="AA960" s="207"/>
      <c r="AB960" s="207"/>
      <c r="AC960" s="207"/>
      <c r="AD960" s="207"/>
      <c r="AE960" s="207"/>
      <c r="AF960" s="207"/>
      <c r="AG960" s="207"/>
      <c r="AH960" s="207"/>
      <c r="AI960" s="207"/>
      <c r="AJ960" s="207"/>
      <c r="AK960" s="207"/>
      <c r="AL960" s="207"/>
      <c r="AM960" s="207"/>
      <c r="AN960" s="207"/>
      <c r="AO960" s="207"/>
      <c r="AP960" s="207"/>
      <c r="AQ960" s="207"/>
      <c r="AR960" s="207"/>
      <c r="AS960" s="207"/>
      <c r="AT960" s="207"/>
      <c r="AU960" s="207"/>
      <c r="AV960" s="207"/>
      <c r="AW960" s="207"/>
      <c r="AX960" s="207"/>
      <c r="AY960" s="207"/>
      <c r="AZ960" s="207"/>
      <c r="BA960" s="207"/>
    </row>
    <row r="961" ht="18.75" hidden="1" customHeight="1">
      <c r="A961" s="207"/>
      <c r="B961" s="207"/>
      <c r="C961" s="207"/>
      <c r="D961" s="207"/>
      <c r="E961" s="207"/>
      <c r="F961" s="207"/>
      <c r="G961" s="207"/>
      <c r="H961" s="207"/>
      <c r="I961" s="207"/>
      <c r="J961" s="207"/>
      <c r="K961" s="207"/>
      <c r="L961" s="207"/>
      <c r="M961" s="207"/>
      <c r="N961" s="207"/>
      <c r="O961" s="207"/>
      <c r="P961" s="207"/>
      <c r="Q961" s="207"/>
      <c r="R961" s="207"/>
      <c r="S961" s="207"/>
      <c r="T961" s="207"/>
      <c r="U961" s="207"/>
      <c r="V961" s="207"/>
      <c r="W961" s="207"/>
      <c r="X961" s="207"/>
      <c r="Y961" s="207"/>
      <c r="Z961" s="207"/>
      <c r="AA961" s="207"/>
      <c r="AB961" s="207"/>
      <c r="AC961" s="207"/>
      <c r="AD961" s="207"/>
      <c r="AE961" s="207"/>
      <c r="AF961" s="207"/>
      <c r="AG961" s="207"/>
      <c r="AH961" s="207"/>
      <c r="AI961" s="207"/>
      <c r="AJ961" s="207"/>
      <c r="AK961" s="207"/>
      <c r="AL961" s="207"/>
      <c r="AM961" s="207"/>
      <c r="AN961" s="207"/>
      <c r="AO961" s="207"/>
      <c r="AP961" s="207"/>
      <c r="AQ961" s="207"/>
      <c r="AR961" s="207"/>
      <c r="AS961" s="207"/>
      <c r="AT961" s="207"/>
      <c r="AU961" s="207"/>
      <c r="AV961" s="207"/>
      <c r="AW961" s="207"/>
      <c r="AX961" s="207"/>
      <c r="AY961" s="207"/>
      <c r="AZ961" s="207"/>
      <c r="BA961" s="207"/>
    </row>
    <row r="962" ht="18.75" hidden="1" customHeight="1">
      <c r="A962" s="207"/>
      <c r="B962" s="207"/>
      <c r="C962" s="207"/>
      <c r="D962" s="207"/>
      <c r="E962" s="207"/>
      <c r="F962" s="207"/>
      <c r="G962" s="207"/>
      <c r="H962" s="207"/>
      <c r="I962" s="207"/>
      <c r="J962" s="207"/>
      <c r="K962" s="207"/>
      <c r="L962" s="207"/>
      <c r="M962" s="207"/>
      <c r="N962" s="207"/>
      <c r="O962" s="207"/>
      <c r="P962" s="207"/>
      <c r="Q962" s="207"/>
      <c r="R962" s="207"/>
      <c r="S962" s="207"/>
      <c r="T962" s="207"/>
      <c r="U962" s="207"/>
      <c r="V962" s="207"/>
      <c r="W962" s="207"/>
      <c r="X962" s="207"/>
      <c r="Y962" s="207"/>
      <c r="Z962" s="207"/>
      <c r="AA962" s="207"/>
      <c r="AB962" s="207"/>
      <c r="AC962" s="207"/>
      <c r="AD962" s="207"/>
      <c r="AE962" s="207"/>
      <c r="AF962" s="207"/>
      <c r="AG962" s="207"/>
      <c r="AH962" s="207"/>
      <c r="AI962" s="207"/>
      <c r="AJ962" s="207"/>
      <c r="AK962" s="207"/>
      <c r="AL962" s="207"/>
      <c r="AM962" s="207"/>
      <c r="AN962" s="207"/>
      <c r="AO962" s="207"/>
      <c r="AP962" s="207"/>
      <c r="AQ962" s="207"/>
      <c r="AR962" s="207"/>
      <c r="AS962" s="207"/>
      <c r="AT962" s="207"/>
      <c r="AU962" s="207"/>
      <c r="AV962" s="207"/>
      <c r="AW962" s="207"/>
      <c r="AX962" s="207"/>
      <c r="AY962" s="207"/>
      <c r="AZ962" s="207"/>
      <c r="BA962" s="207"/>
    </row>
    <row r="963" ht="18.75" hidden="1" customHeight="1">
      <c r="A963" s="207"/>
      <c r="B963" s="207"/>
      <c r="C963" s="207"/>
      <c r="D963" s="207"/>
      <c r="E963" s="207"/>
      <c r="F963" s="207"/>
      <c r="G963" s="207"/>
      <c r="H963" s="207"/>
      <c r="I963" s="207"/>
      <c r="J963" s="207"/>
      <c r="K963" s="207"/>
      <c r="L963" s="207"/>
      <c r="M963" s="207"/>
      <c r="N963" s="207"/>
      <c r="O963" s="207"/>
      <c r="P963" s="207"/>
      <c r="Q963" s="207"/>
      <c r="R963" s="207"/>
      <c r="S963" s="207"/>
      <c r="T963" s="207"/>
      <c r="U963" s="207"/>
      <c r="V963" s="207"/>
      <c r="W963" s="207"/>
      <c r="X963" s="207"/>
      <c r="Y963" s="207"/>
      <c r="Z963" s="207"/>
      <c r="AA963" s="207"/>
      <c r="AB963" s="207"/>
      <c r="AC963" s="207"/>
      <c r="AD963" s="207"/>
      <c r="AE963" s="207"/>
      <c r="AF963" s="207"/>
      <c r="AG963" s="207"/>
      <c r="AH963" s="207"/>
      <c r="AI963" s="207"/>
      <c r="AJ963" s="207"/>
      <c r="AK963" s="207"/>
      <c r="AL963" s="207"/>
      <c r="AM963" s="207"/>
      <c r="AN963" s="207"/>
      <c r="AO963" s="207"/>
      <c r="AP963" s="207"/>
      <c r="AQ963" s="207"/>
      <c r="AR963" s="207"/>
      <c r="AS963" s="207"/>
      <c r="AT963" s="207"/>
      <c r="AU963" s="207"/>
      <c r="AV963" s="207"/>
      <c r="AW963" s="207"/>
      <c r="AX963" s="207"/>
      <c r="AY963" s="207"/>
      <c r="AZ963" s="207"/>
      <c r="BA963" s="207"/>
    </row>
    <row r="964" ht="18.75" hidden="1" customHeight="1">
      <c r="A964" s="207"/>
      <c r="B964" s="207"/>
      <c r="C964" s="207"/>
      <c r="D964" s="207"/>
      <c r="E964" s="207"/>
      <c r="F964" s="207"/>
      <c r="G964" s="207"/>
      <c r="H964" s="207"/>
      <c r="I964" s="207"/>
      <c r="J964" s="207"/>
      <c r="K964" s="207"/>
      <c r="L964" s="207"/>
      <c r="M964" s="207"/>
      <c r="N964" s="207"/>
      <c r="O964" s="207"/>
      <c r="P964" s="207"/>
      <c r="Q964" s="207"/>
      <c r="R964" s="207"/>
      <c r="S964" s="207"/>
      <c r="T964" s="207"/>
      <c r="U964" s="207"/>
      <c r="V964" s="207"/>
      <c r="W964" s="207"/>
      <c r="X964" s="207"/>
      <c r="Y964" s="207"/>
      <c r="Z964" s="207"/>
      <c r="AA964" s="207"/>
      <c r="AB964" s="207"/>
      <c r="AC964" s="207"/>
      <c r="AD964" s="207"/>
      <c r="AE964" s="207"/>
      <c r="AF964" s="207"/>
      <c r="AG964" s="207"/>
      <c r="AH964" s="207"/>
      <c r="AI964" s="207"/>
      <c r="AJ964" s="207"/>
      <c r="AK964" s="207"/>
      <c r="AL964" s="207"/>
      <c r="AM964" s="207"/>
      <c r="AN964" s="207"/>
      <c r="AO964" s="207"/>
      <c r="AP964" s="207"/>
      <c r="AQ964" s="207"/>
      <c r="AR964" s="207"/>
      <c r="AS964" s="207"/>
      <c r="AT964" s="207"/>
      <c r="AU964" s="207"/>
      <c r="AV964" s="207"/>
      <c r="AW964" s="207"/>
      <c r="AX964" s="207"/>
      <c r="AY964" s="207"/>
      <c r="AZ964" s="207"/>
      <c r="BA964" s="207"/>
    </row>
    <row r="965" ht="18.75" hidden="1" customHeight="1">
      <c r="A965" s="207"/>
      <c r="B965" s="207"/>
      <c r="C965" s="207"/>
      <c r="D965" s="207"/>
      <c r="E965" s="207"/>
      <c r="F965" s="207"/>
      <c r="G965" s="207"/>
      <c r="H965" s="207"/>
      <c r="I965" s="207"/>
      <c r="J965" s="207"/>
      <c r="K965" s="207"/>
      <c r="L965" s="207"/>
      <c r="M965" s="207"/>
      <c r="N965" s="207"/>
      <c r="O965" s="207"/>
      <c r="P965" s="207"/>
      <c r="Q965" s="207"/>
      <c r="R965" s="207"/>
      <c r="S965" s="207"/>
      <c r="T965" s="207"/>
      <c r="U965" s="207"/>
      <c r="V965" s="207"/>
      <c r="W965" s="207"/>
      <c r="X965" s="207"/>
      <c r="Y965" s="207"/>
      <c r="Z965" s="207"/>
      <c r="AA965" s="207"/>
      <c r="AB965" s="207"/>
      <c r="AC965" s="207"/>
      <c r="AD965" s="207"/>
      <c r="AE965" s="207"/>
      <c r="AF965" s="207"/>
      <c r="AG965" s="207"/>
      <c r="AH965" s="207"/>
      <c r="AI965" s="207"/>
      <c r="AJ965" s="207"/>
      <c r="AK965" s="207"/>
      <c r="AL965" s="207"/>
      <c r="AM965" s="207"/>
      <c r="AN965" s="207"/>
      <c r="AO965" s="207"/>
      <c r="AP965" s="207"/>
      <c r="AQ965" s="207"/>
      <c r="AR965" s="207"/>
      <c r="AS965" s="207"/>
      <c r="AT965" s="207"/>
      <c r="AU965" s="207"/>
      <c r="AV965" s="207"/>
      <c r="AW965" s="207"/>
      <c r="AX965" s="207"/>
      <c r="AY965" s="207"/>
      <c r="AZ965" s="207"/>
      <c r="BA965" s="207"/>
    </row>
    <row r="966" ht="18.75" hidden="1" customHeight="1">
      <c r="A966" s="207"/>
      <c r="B966" s="207"/>
      <c r="C966" s="207"/>
      <c r="D966" s="207"/>
      <c r="E966" s="207"/>
      <c r="F966" s="207"/>
      <c r="G966" s="207"/>
      <c r="H966" s="207"/>
      <c r="I966" s="207"/>
      <c r="J966" s="207"/>
      <c r="K966" s="207"/>
      <c r="L966" s="207"/>
      <c r="M966" s="207"/>
      <c r="N966" s="207"/>
      <c r="O966" s="207"/>
      <c r="P966" s="207"/>
      <c r="Q966" s="207"/>
      <c r="R966" s="207"/>
      <c r="S966" s="207"/>
      <c r="T966" s="207"/>
      <c r="U966" s="207"/>
      <c r="V966" s="207"/>
      <c r="W966" s="207"/>
      <c r="X966" s="207"/>
      <c r="Y966" s="207"/>
      <c r="Z966" s="207"/>
      <c r="AA966" s="207"/>
      <c r="AB966" s="207"/>
      <c r="AC966" s="207"/>
      <c r="AD966" s="207"/>
      <c r="AE966" s="207"/>
      <c r="AF966" s="207"/>
      <c r="AG966" s="207"/>
      <c r="AH966" s="207"/>
      <c r="AI966" s="207"/>
      <c r="AJ966" s="207"/>
      <c r="AK966" s="207"/>
      <c r="AL966" s="207"/>
      <c r="AM966" s="207"/>
      <c r="AN966" s="207"/>
      <c r="AO966" s="207"/>
      <c r="AP966" s="207"/>
      <c r="AQ966" s="207"/>
      <c r="AR966" s="207"/>
      <c r="AS966" s="207"/>
      <c r="AT966" s="207"/>
      <c r="AU966" s="207"/>
      <c r="AV966" s="207"/>
      <c r="AW966" s="207"/>
      <c r="AX966" s="207"/>
      <c r="AY966" s="207"/>
      <c r="AZ966" s="207"/>
      <c r="BA966" s="207"/>
    </row>
    <row r="967" ht="18.75" hidden="1" customHeight="1">
      <c r="A967" s="207"/>
      <c r="B967" s="207"/>
      <c r="C967" s="207"/>
      <c r="D967" s="207"/>
      <c r="E967" s="207"/>
      <c r="F967" s="207"/>
      <c r="G967" s="207"/>
      <c r="H967" s="207"/>
      <c r="I967" s="207"/>
      <c r="J967" s="207"/>
      <c r="K967" s="207"/>
      <c r="L967" s="207"/>
      <c r="M967" s="207"/>
      <c r="N967" s="207"/>
      <c r="O967" s="207"/>
      <c r="P967" s="207"/>
      <c r="Q967" s="207"/>
      <c r="R967" s="207"/>
      <c r="S967" s="207"/>
      <c r="T967" s="207"/>
      <c r="U967" s="207"/>
      <c r="V967" s="207"/>
      <c r="W967" s="207"/>
      <c r="X967" s="207"/>
      <c r="Y967" s="207"/>
      <c r="Z967" s="207"/>
      <c r="AA967" s="207"/>
      <c r="AB967" s="207"/>
      <c r="AC967" s="207"/>
      <c r="AD967" s="207"/>
      <c r="AE967" s="207"/>
      <c r="AF967" s="207"/>
      <c r="AG967" s="207"/>
      <c r="AH967" s="207"/>
      <c r="AI967" s="207"/>
      <c r="AJ967" s="207"/>
      <c r="AK967" s="207"/>
      <c r="AL967" s="207"/>
      <c r="AM967" s="207"/>
      <c r="AN967" s="207"/>
      <c r="AO967" s="207"/>
      <c r="AP967" s="207"/>
      <c r="AQ967" s="207"/>
      <c r="AR967" s="207"/>
      <c r="AS967" s="207"/>
      <c r="AT967" s="207"/>
      <c r="AU967" s="207"/>
      <c r="AV967" s="207"/>
      <c r="AW967" s="207"/>
      <c r="AX967" s="207"/>
      <c r="AY967" s="207"/>
      <c r="AZ967" s="207"/>
      <c r="BA967" s="207"/>
    </row>
    <row r="968" ht="18.75" hidden="1" customHeight="1">
      <c r="A968" s="207"/>
      <c r="B968" s="207"/>
      <c r="C968" s="207"/>
      <c r="D968" s="207"/>
      <c r="E968" s="207"/>
      <c r="F968" s="207"/>
      <c r="G968" s="207"/>
      <c r="H968" s="207"/>
      <c r="I968" s="207"/>
      <c r="J968" s="207"/>
      <c r="K968" s="207"/>
      <c r="L968" s="207"/>
      <c r="M968" s="207"/>
      <c r="N968" s="207"/>
      <c r="O968" s="207"/>
      <c r="P968" s="207"/>
      <c r="Q968" s="207"/>
      <c r="R968" s="207"/>
      <c r="S968" s="207"/>
      <c r="T968" s="207"/>
      <c r="U968" s="207"/>
      <c r="V968" s="207"/>
      <c r="W968" s="207"/>
      <c r="X968" s="207"/>
      <c r="Y968" s="207"/>
      <c r="Z968" s="207"/>
      <c r="AA968" s="207"/>
      <c r="AB968" s="207"/>
      <c r="AC968" s="207"/>
      <c r="AD968" s="207"/>
      <c r="AE968" s="207"/>
      <c r="AF968" s="207"/>
      <c r="AG968" s="207"/>
      <c r="AH968" s="207"/>
      <c r="AI968" s="207"/>
      <c r="AJ968" s="207"/>
      <c r="AK968" s="207"/>
      <c r="AL968" s="207"/>
      <c r="AM968" s="207"/>
      <c r="AN968" s="207"/>
      <c r="AO968" s="207"/>
      <c r="AP968" s="207"/>
      <c r="AQ968" s="207"/>
      <c r="AR968" s="207"/>
      <c r="AS968" s="207"/>
      <c r="AT968" s="207"/>
      <c r="AU968" s="207"/>
      <c r="AV968" s="207"/>
      <c r="AW968" s="207"/>
      <c r="AX968" s="207"/>
      <c r="AY968" s="207"/>
      <c r="AZ968" s="207"/>
      <c r="BA968" s="207"/>
    </row>
    <row r="969" ht="18.75" hidden="1" customHeight="1">
      <c r="A969" s="207"/>
      <c r="B969" s="207"/>
      <c r="C969" s="207"/>
      <c r="D969" s="207"/>
      <c r="E969" s="207"/>
      <c r="F969" s="207"/>
      <c r="G969" s="207"/>
      <c r="H969" s="207"/>
      <c r="I969" s="207"/>
      <c r="J969" s="207"/>
      <c r="K969" s="207"/>
      <c r="L969" s="207"/>
      <c r="M969" s="207"/>
      <c r="N969" s="207"/>
      <c r="O969" s="207"/>
      <c r="P969" s="207"/>
      <c r="Q969" s="207"/>
      <c r="R969" s="207"/>
      <c r="S969" s="207"/>
      <c r="T969" s="207"/>
      <c r="U969" s="207"/>
      <c r="V969" s="207"/>
      <c r="W969" s="207"/>
      <c r="X969" s="207"/>
      <c r="Y969" s="207"/>
      <c r="Z969" s="207"/>
      <c r="AA969" s="207"/>
      <c r="AB969" s="207"/>
      <c r="AC969" s="207"/>
      <c r="AD969" s="207"/>
      <c r="AE969" s="207"/>
      <c r="AF969" s="207"/>
      <c r="AG969" s="207"/>
      <c r="AH969" s="207"/>
      <c r="AI969" s="207"/>
      <c r="AJ969" s="207"/>
      <c r="AK969" s="207"/>
      <c r="AL969" s="207"/>
      <c r="AM969" s="207"/>
      <c r="AN969" s="207"/>
      <c r="AO969" s="207"/>
      <c r="AP969" s="207"/>
      <c r="AQ969" s="207"/>
      <c r="AR969" s="207"/>
      <c r="AS969" s="207"/>
      <c r="AT969" s="207"/>
      <c r="AU969" s="207"/>
      <c r="AV969" s="207"/>
      <c r="AW969" s="207"/>
      <c r="AX969" s="207"/>
      <c r="AY969" s="207"/>
      <c r="AZ969" s="207"/>
      <c r="BA969" s="207"/>
    </row>
    <row r="970" ht="18.75" hidden="1" customHeight="1">
      <c r="A970" s="207"/>
      <c r="B970" s="207"/>
      <c r="C970" s="207"/>
      <c r="D970" s="207"/>
      <c r="E970" s="207"/>
      <c r="F970" s="207"/>
      <c r="G970" s="207"/>
      <c r="H970" s="207"/>
      <c r="I970" s="207"/>
      <c r="J970" s="207"/>
      <c r="K970" s="207"/>
      <c r="L970" s="207"/>
      <c r="M970" s="207"/>
      <c r="N970" s="207"/>
      <c r="O970" s="207"/>
      <c r="P970" s="207"/>
      <c r="Q970" s="207"/>
      <c r="R970" s="207"/>
      <c r="S970" s="207"/>
      <c r="T970" s="207"/>
      <c r="U970" s="207"/>
      <c r="V970" s="207"/>
      <c r="W970" s="207"/>
      <c r="X970" s="207"/>
      <c r="Y970" s="207"/>
      <c r="Z970" s="207"/>
      <c r="AA970" s="207"/>
      <c r="AB970" s="207"/>
      <c r="AC970" s="207"/>
      <c r="AD970" s="207"/>
      <c r="AE970" s="207"/>
      <c r="AF970" s="207"/>
      <c r="AG970" s="207"/>
      <c r="AH970" s="207"/>
      <c r="AI970" s="207"/>
      <c r="AJ970" s="207"/>
      <c r="AK970" s="207"/>
      <c r="AL970" s="207"/>
      <c r="AM970" s="207"/>
      <c r="AN970" s="207"/>
      <c r="AO970" s="207"/>
      <c r="AP970" s="207"/>
      <c r="AQ970" s="207"/>
      <c r="AR970" s="207"/>
      <c r="AS970" s="207"/>
      <c r="AT970" s="207"/>
      <c r="AU970" s="207"/>
      <c r="AV970" s="207"/>
      <c r="AW970" s="207"/>
      <c r="AX970" s="207"/>
      <c r="AY970" s="207"/>
      <c r="AZ970" s="207"/>
      <c r="BA970" s="207"/>
    </row>
    <row r="971" ht="18.75" hidden="1" customHeight="1">
      <c r="A971" s="207"/>
      <c r="B971" s="207"/>
      <c r="C971" s="207"/>
      <c r="D971" s="207"/>
      <c r="E971" s="207"/>
      <c r="F971" s="207"/>
      <c r="G971" s="207"/>
      <c r="H971" s="207"/>
      <c r="I971" s="207"/>
      <c r="J971" s="207"/>
      <c r="K971" s="207"/>
      <c r="L971" s="207"/>
      <c r="M971" s="207"/>
      <c r="N971" s="207"/>
      <c r="O971" s="207"/>
      <c r="P971" s="207"/>
      <c r="Q971" s="207"/>
      <c r="R971" s="207"/>
      <c r="S971" s="207"/>
      <c r="T971" s="207"/>
      <c r="U971" s="207"/>
      <c r="V971" s="207"/>
      <c r="W971" s="207"/>
      <c r="X971" s="207"/>
      <c r="Y971" s="207"/>
      <c r="Z971" s="207"/>
      <c r="AA971" s="207"/>
      <c r="AB971" s="207"/>
      <c r="AC971" s="207"/>
      <c r="AD971" s="207"/>
      <c r="AE971" s="207"/>
      <c r="AF971" s="207"/>
      <c r="AG971" s="207"/>
      <c r="AH971" s="207"/>
      <c r="AI971" s="207"/>
      <c r="AJ971" s="207"/>
      <c r="AK971" s="207"/>
      <c r="AL971" s="207"/>
      <c r="AM971" s="207"/>
      <c r="AN971" s="207"/>
      <c r="AO971" s="207"/>
      <c r="AP971" s="207"/>
      <c r="AQ971" s="207"/>
      <c r="AR971" s="207"/>
      <c r="AS971" s="207"/>
      <c r="AT971" s="207"/>
      <c r="AU971" s="207"/>
      <c r="AV971" s="207"/>
      <c r="AW971" s="207"/>
      <c r="AX971" s="207"/>
      <c r="AY971" s="207"/>
      <c r="AZ971" s="207"/>
      <c r="BA971" s="207"/>
    </row>
    <row r="972" ht="18.75" hidden="1" customHeight="1">
      <c r="A972" s="207"/>
      <c r="B972" s="207"/>
      <c r="C972" s="207"/>
      <c r="D972" s="207"/>
      <c r="E972" s="207"/>
      <c r="F972" s="207"/>
      <c r="G972" s="207"/>
      <c r="H972" s="207"/>
      <c r="I972" s="207"/>
      <c r="J972" s="207"/>
      <c r="K972" s="207"/>
      <c r="L972" s="207"/>
      <c r="M972" s="207"/>
      <c r="N972" s="207"/>
      <c r="O972" s="207"/>
      <c r="P972" s="207"/>
      <c r="Q972" s="207"/>
      <c r="R972" s="207"/>
      <c r="S972" s="207"/>
      <c r="T972" s="207"/>
      <c r="U972" s="207"/>
      <c r="V972" s="207"/>
      <c r="W972" s="207"/>
      <c r="X972" s="207"/>
      <c r="Y972" s="207"/>
      <c r="Z972" s="207"/>
      <c r="AA972" s="207"/>
      <c r="AB972" s="207"/>
      <c r="AC972" s="207"/>
      <c r="AD972" s="207"/>
      <c r="AE972" s="207"/>
      <c r="AF972" s="207"/>
      <c r="AG972" s="207"/>
      <c r="AH972" s="207"/>
      <c r="AI972" s="207"/>
      <c r="AJ972" s="207"/>
      <c r="AK972" s="207"/>
      <c r="AL972" s="207"/>
      <c r="AM972" s="207"/>
      <c r="AN972" s="207"/>
      <c r="AO972" s="207"/>
      <c r="AP972" s="207"/>
      <c r="AQ972" s="207"/>
      <c r="AR972" s="207"/>
      <c r="AS972" s="207"/>
      <c r="AT972" s="207"/>
      <c r="AU972" s="207"/>
      <c r="AV972" s="207"/>
      <c r="AW972" s="207"/>
      <c r="AX972" s="207"/>
      <c r="AY972" s="207"/>
      <c r="AZ972" s="207"/>
      <c r="BA972" s="207"/>
    </row>
    <row r="973" ht="18.75" hidden="1" customHeight="1">
      <c r="A973" s="207"/>
      <c r="B973" s="207"/>
      <c r="C973" s="207"/>
      <c r="D973" s="207"/>
      <c r="E973" s="207"/>
      <c r="F973" s="207"/>
      <c r="G973" s="207"/>
      <c r="H973" s="207"/>
      <c r="I973" s="207"/>
      <c r="J973" s="207"/>
      <c r="K973" s="207"/>
      <c r="L973" s="207"/>
      <c r="M973" s="207"/>
      <c r="N973" s="207"/>
      <c r="O973" s="207"/>
      <c r="P973" s="207"/>
      <c r="Q973" s="207"/>
      <c r="R973" s="207"/>
      <c r="S973" s="207"/>
      <c r="T973" s="207"/>
      <c r="U973" s="207"/>
      <c r="V973" s="207"/>
      <c r="W973" s="207"/>
      <c r="X973" s="207"/>
      <c r="Y973" s="207"/>
      <c r="Z973" s="207"/>
      <c r="AA973" s="207"/>
      <c r="AB973" s="207"/>
      <c r="AC973" s="207"/>
      <c r="AD973" s="207"/>
      <c r="AE973" s="207"/>
      <c r="AF973" s="207"/>
      <c r="AG973" s="207"/>
      <c r="AH973" s="207"/>
      <c r="AI973" s="207"/>
      <c r="AJ973" s="207"/>
      <c r="AK973" s="207"/>
      <c r="AL973" s="207"/>
      <c r="AM973" s="207"/>
      <c r="AN973" s="207"/>
      <c r="AO973" s="207"/>
      <c r="AP973" s="207"/>
      <c r="AQ973" s="207"/>
      <c r="AR973" s="207"/>
      <c r="AS973" s="207"/>
      <c r="AT973" s="207"/>
      <c r="AU973" s="207"/>
      <c r="AV973" s="207"/>
      <c r="AW973" s="207"/>
      <c r="AX973" s="207"/>
      <c r="AY973" s="207"/>
      <c r="AZ973" s="207"/>
      <c r="BA973" s="207"/>
    </row>
    <row r="974" ht="18.75" hidden="1" customHeight="1">
      <c r="A974" s="207"/>
      <c r="B974" s="207"/>
      <c r="C974" s="207"/>
      <c r="D974" s="207"/>
      <c r="E974" s="207"/>
      <c r="F974" s="207"/>
      <c r="G974" s="207"/>
      <c r="H974" s="207"/>
      <c r="I974" s="207"/>
      <c r="J974" s="207"/>
      <c r="K974" s="207"/>
      <c r="L974" s="207"/>
      <c r="M974" s="207"/>
      <c r="N974" s="207"/>
      <c r="O974" s="207"/>
      <c r="P974" s="207"/>
      <c r="Q974" s="207"/>
      <c r="R974" s="207"/>
      <c r="S974" s="207"/>
      <c r="T974" s="207"/>
      <c r="U974" s="207"/>
      <c r="V974" s="207"/>
      <c r="W974" s="207"/>
      <c r="X974" s="207"/>
      <c r="Y974" s="207"/>
      <c r="Z974" s="207"/>
      <c r="AA974" s="207"/>
      <c r="AB974" s="207"/>
      <c r="AC974" s="207"/>
      <c r="AD974" s="207"/>
      <c r="AE974" s="207"/>
      <c r="AF974" s="207"/>
      <c r="AG974" s="207"/>
      <c r="AH974" s="207"/>
      <c r="AI974" s="207"/>
      <c r="AJ974" s="207"/>
      <c r="AK974" s="207"/>
      <c r="AL974" s="207"/>
      <c r="AM974" s="207"/>
      <c r="AN974" s="207"/>
      <c r="AO974" s="207"/>
      <c r="AP974" s="207"/>
      <c r="AQ974" s="207"/>
      <c r="AR974" s="207"/>
      <c r="AS974" s="207"/>
      <c r="AT974" s="207"/>
      <c r="AU974" s="207"/>
      <c r="AV974" s="207"/>
      <c r="AW974" s="207"/>
      <c r="AX974" s="207"/>
      <c r="AY974" s="207"/>
      <c r="AZ974" s="207"/>
      <c r="BA974" s="207"/>
    </row>
    <row r="975" ht="18.75" hidden="1" customHeight="1">
      <c r="A975" s="207"/>
      <c r="B975" s="207"/>
      <c r="C975" s="207"/>
      <c r="D975" s="207"/>
      <c r="E975" s="207"/>
      <c r="F975" s="207"/>
      <c r="G975" s="207"/>
      <c r="H975" s="207"/>
      <c r="I975" s="207"/>
      <c r="J975" s="207"/>
      <c r="K975" s="207"/>
      <c r="L975" s="207"/>
      <c r="M975" s="207"/>
      <c r="N975" s="207"/>
      <c r="O975" s="207"/>
      <c r="P975" s="207"/>
      <c r="Q975" s="207"/>
      <c r="R975" s="207"/>
      <c r="S975" s="207"/>
      <c r="T975" s="207"/>
      <c r="U975" s="207"/>
      <c r="V975" s="207"/>
      <c r="W975" s="207"/>
      <c r="X975" s="207"/>
      <c r="Y975" s="207"/>
      <c r="Z975" s="207"/>
      <c r="AA975" s="207"/>
      <c r="AB975" s="207"/>
      <c r="AC975" s="207"/>
      <c r="AD975" s="207"/>
      <c r="AE975" s="207"/>
      <c r="AF975" s="207"/>
      <c r="AG975" s="207"/>
      <c r="AH975" s="207"/>
      <c r="AI975" s="207"/>
      <c r="AJ975" s="207"/>
      <c r="AK975" s="207"/>
      <c r="AL975" s="207"/>
      <c r="AM975" s="207"/>
      <c r="AN975" s="207"/>
      <c r="AO975" s="207"/>
      <c r="AP975" s="207"/>
      <c r="AQ975" s="207"/>
      <c r="AR975" s="207"/>
      <c r="AS975" s="207"/>
      <c r="AT975" s="207"/>
      <c r="AU975" s="207"/>
      <c r="AV975" s="207"/>
      <c r="AW975" s="207"/>
      <c r="AX975" s="207"/>
      <c r="AY975" s="207"/>
      <c r="AZ975" s="207"/>
      <c r="BA975" s="207"/>
    </row>
    <row r="976" ht="18.75" hidden="1" customHeight="1">
      <c r="A976" s="207"/>
      <c r="B976" s="207"/>
      <c r="C976" s="207"/>
      <c r="D976" s="207"/>
      <c r="E976" s="207"/>
      <c r="F976" s="207"/>
      <c r="G976" s="207"/>
      <c r="H976" s="207"/>
      <c r="I976" s="207"/>
      <c r="J976" s="207"/>
      <c r="K976" s="207"/>
      <c r="L976" s="207"/>
      <c r="M976" s="207"/>
      <c r="N976" s="207"/>
      <c r="O976" s="207"/>
      <c r="P976" s="207"/>
      <c r="Q976" s="207"/>
      <c r="R976" s="207"/>
      <c r="S976" s="207"/>
      <c r="T976" s="207"/>
      <c r="U976" s="207"/>
      <c r="V976" s="207"/>
      <c r="W976" s="207"/>
      <c r="X976" s="207"/>
      <c r="Y976" s="207"/>
      <c r="Z976" s="207"/>
      <c r="AA976" s="207"/>
      <c r="AB976" s="207"/>
      <c r="AC976" s="207"/>
      <c r="AD976" s="207"/>
      <c r="AE976" s="207"/>
      <c r="AF976" s="207"/>
      <c r="AG976" s="207"/>
      <c r="AH976" s="207"/>
      <c r="AI976" s="207"/>
      <c r="AJ976" s="207"/>
      <c r="AK976" s="207"/>
      <c r="AL976" s="207"/>
      <c r="AM976" s="207"/>
      <c r="AN976" s="207"/>
      <c r="AO976" s="207"/>
      <c r="AP976" s="207"/>
      <c r="AQ976" s="207"/>
      <c r="AR976" s="207"/>
      <c r="AS976" s="207"/>
      <c r="AT976" s="207"/>
      <c r="AU976" s="207"/>
      <c r="AV976" s="207"/>
      <c r="AW976" s="207"/>
      <c r="AX976" s="207"/>
      <c r="AY976" s="207"/>
      <c r="AZ976" s="207"/>
      <c r="BA976" s="207"/>
    </row>
    <row r="977" ht="18.75" hidden="1" customHeight="1">
      <c r="A977" s="207"/>
      <c r="B977" s="207"/>
      <c r="C977" s="207"/>
      <c r="D977" s="207"/>
      <c r="E977" s="207"/>
      <c r="F977" s="207"/>
      <c r="G977" s="207"/>
      <c r="H977" s="207"/>
      <c r="I977" s="207"/>
      <c r="J977" s="207"/>
      <c r="K977" s="207"/>
      <c r="L977" s="207"/>
      <c r="M977" s="207"/>
      <c r="N977" s="207"/>
      <c r="O977" s="207"/>
      <c r="P977" s="207"/>
      <c r="Q977" s="207"/>
      <c r="R977" s="207"/>
      <c r="S977" s="207"/>
      <c r="T977" s="207"/>
      <c r="U977" s="207"/>
      <c r="V977" s="207"/>
      <c r="W977" s="207"/>
      <c r="X977" s="207"/>
      <c r="Y977" s="207"/>
      <c r="Z977" s="207"/>
      <c r="AA977" s="207"/>
      <c r="AB977" s="207"/>
      <c r="AC977" s="207"/>
      <c r="AD977" s="207"/>
      <c r="AE977" s="207"/>
      <c r="AF977" s="207"/>
      <c r="AG977" s="207"/>
      <c r="AH977" s="207"/>
      <c r="AI977" s="207"/>
      <c r="AJ977" s="207"/>
      <c r="AK977" s="207"/>
      <c r="AL977" s="207"/>
      <c r="AM977" s="207"/>
      <c r="AN977" s="207"/>
      <c r="AO977" s="207"/>
      <c r="AP977" s="207"/>
      <c r="AQ977" s="207"/>
      <c r="AR977" s="207"/>
      <c r="AS977" s="207"/>
      <c r="AT977" s="207"/>
      <c r="AU977" s="207"/>
      <c r="AV977" s="207"/>
      <c r="AW977" s="207"/>
      <c r="AX977" s="207"/>
      <c r="AY977" s="207"/>
      <c r="AZ977" s="207"/>
      <c r="BA977" s="207"/>
    </row>
    <row r="978" ht="18.75" hidden="1" customHeight="1">
      <c r="A978" s="207"/>
      <c r="B978" s="207"/>
      <c r="C978" s="207"/>
      <c r="D978" s="207"/>
      <c r="E978" s="207"/>
      <c r="F978" s="207"/>
      <c r="G978" s="207"/>
      <c r="H978" s="207"/>
      <c r="I978" s="207"/>
      <c r="J978" s="207"/>
      <c r="K978" s="207"/>
      <c r="L978" s="207"/>
      <c r="M978" s="207"/>
      <c r="N978" s="207"/>
      <c r="O978" s="207"/>
      <c r="P978" s="207"/>
      <c r="Q978" s="207"/>
      <c r="R978" s="207"/>
      <c r="S978" s="207"/>
      <c r="T978" s="207"/>
      <c r="U978" s="207"/>
      <c r="V978" s="207"/>
      <c r="W978" s="207"/>
      <c r="X978" s="207"/>
      <c r="Y978" s="207"/>
      <c r="Z978" s="207"/>
      <c r="AA978" s="207"/>
      <c r="AB978" s="207"/>
      <c r="AC978" s="207"/>
      <c r="AD978" s="207"/>
      <c r="AE978" s="207"/>
      <c r="AF978" s="207"/>
      <c r="AG978" s="207"/>
      <c r="AH978" s="207"/>
      <c r="AI978" s="207"/>
      <c r="AJ978" s="207"/>
      <c r="AK978" s="207"/>
      <c r="AL978" s="207"/>
      <c r="AM978" s="207"/>
      <c r="AN978" s="207"/>
      <c r="AO978" s="207"/>
      <c r="AP978" s="207"/>
      <c r="AQ978" s="207"/>
      <c r="AR978" s="207"/>
      <c r="AS978" s="207"/>
      <c r="AT978" s="207"/>
      <c r="AU978" s="207"/>
      <c r="AV978" s="207"/>
      <c r="AW978" s="207"/>
      <c r="AX978" s="207"/>
      <c r="AY978" s="207"/>
      <c r="AZ978" s="207"/>
      <c r="BA978" s="207"/>
    </row>
    <row r="979" ht="18.75" hidden="1" customHeight="1">
      <c r="A979" s="207"/>
      <c r="B979" s="207"/>
      <c r="C979" s="207"/>
      <c r="D979" s="207"/>
      <c r="E979" s="207"/>
      <c r="F979" s="207"/>
      <c r="G979" s="207"/>
      <c r="H979" s="207"/>
      <c r="I979" s="207"/>
      <c r="J979" s="207"/>
      <c r="K979" s="207"/>
      <c r="L979" s="207"/>
      <c r="M979" s="207"/>
      <c r="N979" s="207"/>
      <c r="O979" s="207"/>
      <c r="P979" s="207"/>
      <c r="Q979" s="207"/>
      <c r="R979" s="207"/>
      <c r="S979" s="207"/>
      <c r="T979" s="207"/>
      <c r="U979" s="207"/>
      <c r="V979" s="207"/>
      <c r="W979" s="207"/>
      <c r="X979" s="207"/>
      <c r="Y979" s="207"/>
      <c r="Z979" s="207"/>
      <c r="AA979" s="207"/>
      <c r="AB979" s="207"/>
      <c r="AC979" s="207"/>
      <c r="AD979" s="207"/>
      <c r="AE979" s="207"/>
      <c r="AF979" s="207"/>
      <c r="AG979" s="207"/>
      <c r="AH979" s="207"/>
      <c r="AI979" s="207"/>
      <c r="AJ979" s="207"/>
      <c r="AK979" s="207"/>
      <c r="AL979" s="207"/>
      <c r="AM979" s="207"/>
      <c r="AN979" s="207"/>
      <c r="AO979" s="207"/>
      <c r="AP979" s="207"/>
      <c r="AQ979" s="207"/>
      <c r="AR979" s="207"/>
      <c r="AS979" s="207"/>
      <c r="AT979" s="207"/>
      <c r="AU979" s="207"/>
      <c r="AV979" s="207"/>
      <c r="AW979" s="207"/>
      <c r="AX979" s="207"/>
      <c r="AY979" s="207"/>
      <c r="AZ979" s="207"/>
      <c r="BA979" s="207"/>
    </row>
    <row r="980" ht="18.75" hidden="1" customHeight="1">
      <c r="A980" s="207"/>
      <c r="B980" s="207"/>
      <c r="C980" s="207"/>
      <c r="D980" s="207"/>
      <c r="E980" s="207"/>
      <c r="F980" s="207"/>
      <c r="G980" s="207"/>
      <c r="H980" s="207"/>
      <c r="I980" s="207"/>
      <c r="J980" s="207"/>
      <c r="K980" s="207"/>
      <c r="L980" s="207"/>
      <c r="M980" s="207"/>
      <c r="N980" s="207"/>
      <c r="O980" s="207"/>
      <c r="P980" s="207"/>
      <c r="Q980" s="207"/>
      <c r="R980" s="207"/>
      <c r="S980" s="207"/>
      <c r="T980" s="207"/>
      <c r="U980" s="207"/>
      <c r="V980" s="207"/>
      <c r="W980" s="207"/>
      <c r="X980" s="207"/>
      <c r="Y980" s="207"/>
      <c r="Z980" s="207"/>
      <c r="AA980" s="207"/>
      <c r="AB980" s="207"/>
      <c r="AC980" s="207"/>
      <c r="AD980" s="207"/>
      <c r="AE980" s="207"/>
      <c r="AF980" s="207"/>
      <c r="AG980" s="207"/>
      <c r="AH980" s="207"/>
      <c r="AI980" s="207"/>
      <c r="AJ980" s="207"/>
      <c r="AK980" s="207"/>
      <c r="AL980" s="207"/>
      <c r="AM980" s="207"/>
      <c r="AN980" s="207"/>
      <c r="AO980" s="207"/>
      <c r="AP980" s="207"/>
      <c r="AQ980" s="207"/>
      <c r="AR980" s="207"/>
      <c r="AS980" s="207"/>
      <c r="AT980" s="207"/>
      <c r="AU980" s="207"/>
      <c r="AV980" s="207"/>
      <c r="AW980" s="207"/>
      <c r="AX980" s="207"/>
      <c r="AY980" s="207"/>
      <c r="AZ980" s="207"/>
      <c r="BA980" s="207"/>
    </row>
    <row r="981" ht="18.75" hidden="1" customHeight="1">
      <c r="A981" s="207"/>
      <c r="B981" s="207"/>
      <c r="C981" s="207"/>
      <c r="D981" s="207"/>
      <c r="E981" s="207"/>
      <c r="F981" s="207"/>
      <c r="G981" s="207"/>
      <c r="H981" s="207"/>
      <c r="I981" s="207"/>
      <c r="J981" s="207"/>
      <c r="K981" s="207"/>
      <c r="L981" s="207"/>
      <c r="M981" s="207"/>
      <c r="N981" s="207"/>
      <c r="O981" s="207"/>
      <c r="P981" s="207"/>
      <c r="Q981" s="207"/>
      <c r="R981" s="207"/>
      <c r="S981" s="207"/>
      <c r="T981" s="207"/>
      <c r="U981" s="207"/>
      <c r="V981" s="207"/>
      <c r="W981" s="207"/>
      <c r="X981" s="207"/>
      <c r="Y981" s="207"/>
      <c r="Z981" s="207"/>
      <c r="AA981" s="207"/>
      <c r="AB981" s="207"/>
      <c r="AC981" s="207"/>
      <c r="AD981" s="207"/>
      <c r="AE981" s="207"/>
      <c r="AF981" s="207"/>
      <c r="AG981" s="207"/>
      <c r="AH981" s="207"/>
      <c r="AI981" s="207"/>
      <c r="AJ981" s="207"/>
      <c r="AK981" s="207"/>
      <c r="AL981" s="207"/>
      <c r="AM981" s="207"/>
      <c r="AN981" s="207"/>
      <c r="AO981" s="207"/>
      <c r="AP981" s="207"/>
      <c r="AQ981" s="207"/>
      <c r="AR981" s="207"/>
      <c r="AS981" s="207"/>
      <c r="AT981" s="207"/>
      <c r="AU981" s="207"/>
      <c r="AV981" s="207"/>
      <c r="AW981" s="207"/>
      <c r="AX981" s="207"/>
      <c r="AY981" s="207"/>
      <c r="AZ981" s="207"/>
      <c r="BA981" s="207"/>
    </row>
    <row r="982" ht="18.75" hidden="1" customHeight="1">
      <c r="A982" s="207"/>
      <c r="B982" s="207"/>
      <c r="C982" s="207"/>
      <c r="D982" s="207"/>
      <c r="E982" s="207"/>
      <c r="F982" s="207"/>
      <c r="G982" s="207"/>
      <c r="H982" s="207"/>
      <c r="I982" s="207"/>
      <c r="J982" s="207"/>
      <c r="K982" s="207"/>
      <c r="L982" s="207"/>
      <c r="M982" s="207"/>
      <c r="N982" s="207"/>
      <c r="O982" s="207"/>
      <c r="P982" s="207"/>
      <c r="Q982" s="207"/>
      <c r="R982" s="207"/>
      <c r="S982" s="207"/>
      <c r="T982" s="207"/>
      <c r="U982" s="207"/>
      <c r="V982" s="207"/>
      <c r="W982" s="207"/>
      <c r="X982" s="207"/>
      <c r="Y982" s="207"/>
      <c r="Z982" s="207"/>
      <c r="AA982" s="207"/>
      <c r="AB982" s="207"/>
      <c r="AC982" s="207"/>
      <c r="AD982" s="207"/>
      <c r="AE982" s="207"/>
      <c r="AF982" s="207"/>
      <c r="AG982" s="207"/>
      <c r="AH982" s="207"/>
      <c r="AI982" s="207"/>
      <c r="AJ982" s="207"/>
      <c r="AK982" s="207"/>
      <c r="AL982" s="207"/>
      <c r="AM982" s="207"/>
      <c r="AN982" s="207"/>
      <c r="AO982" s="207"/>
      <c r="AP982" s="207"/>
      <c r="AQ982" s="207"/>
      <c r="AR982" s="207"/>
      <c r="AS982" s="207"/>
      <c r="AT982" s="207"/>
      <c r="AU982" s="207"/>
      <c r="AV982" s="207"/>
      <c r="AW982" s="207"/>
      <c r="AX982" s="207"/>
      <c r="AY982" s="207"/>
      <c r="AZ982" s="207"/>
      <c r="BA982" s="207"/>
    </row>
    <row r="983" ht="18.75" hidden="1" customHeight="1">
      <c r="A983" s="207"/>
      <c r="B983" s="207"/>
      <c r="C983" s="207"/>
      <c r="D983" s="207"/>
      <c r="E983" s="207"/>
      <c r="F983" s="207"/>
      <c r="G983" s="207"/>
      <c r="H983" s="207"/>
      <c r="I983" s="207"/>
      <c r="J983" s="207"/>
      <c r="K983" s="207"/>
      <c r="L983" s="207"/>
      <c r="M983" s="207"/>
      <c r="N983" s="207"/>
      <c r="O983" s="207"/>
      <c r="P983" s="207"/>
      <c r="Q983" s="207"/>
      <c r="R983" s="207"/>
      <c r="S983" s="207"/>
      <c r="T983" s="207"/>
      <c r="U983" s="207"/>
      <c r="V983" s="207"/>
      <c r="W983" s="207"/>
      <c r="X983" s="207"/>
      <c r="Y983" s="207"/>
      <c r="Z983" s="207"/>
      <c r="AA983" s="207"/>
      <c r="AB983" s="207"/>
      <c r="AC983" s="207"/>
      <c r="AD983" s="207"/>
      <c r="AE983" s="207"/>
      <c r="AF983" s="207"/>
      <c r="AG983" s="207"/>
      <c r="AH983" s="207"/>
      <c r="AI983" s="207"/>
      <c r="AJ983" s="207"/>
      <c r="AK983" s="207"/>
      <c r="AL983" s="207"/>
      <c r="AM983" s="207"/>
      <c r="AN983" s="207"/>
      <c r="AO983" s="207"/>
      <c r="AP983" s="207"/>
      <c r="AQ983" s="207"/>
      <c r="AR983" s="207"/>
      <c r="AS983" s="207"/>
      <c r="AT983" s="207"/>
      <c r="AU983" s="207"/>
      <c r="AV983" s="207"/>
      <c r="AW983" s="207"/>
      <c r="AX983" s="207"/>
      <c r="AY983" s="207"/>
      <c r="AZ983" s="207"/>
      <c r="BA983" s="207"/>
    </row>
    <row r="984" ht="18.75" hidden="1" customHeight="1">
      <c r="A984" s="207"/>
      <c r="B984" s="207"/>
      <c r="C984" s="207"/>
      <c r="D984" s="207"/>
      <c r="E984" s="207"/>
      <c r="F984" s="207"/>
      <c r="G984" s="207"/>
      <c r="H984" s="207"/>
      <c r="I984" s="207"/>
      <c r="J984" s="207"/>
      <c r="K984" s="207"/>
      <c r="L984" s="207"/>
      <c r="M984" s="207"/>
      <c r="N984" s="207"/>
      <c r="O984" s="207"/>
      <c r="P984" s="207"/>
      <c r="Q984" s="207"/>
      <c r="R984" s="207"/>
      <c r="S984" s="207"/>
      <c r="T984" s="207"/>
      <c r="U984" s="207"/>
      <c r="V984" s="207"/>
      <c r="W984" s="207"/>
      <c r="X984" s="207"/>
      <c r="Y984" s="207"/>
      <c r="Z984" s="207"/>
      <c r="AA984" s="207"/>
      <c r="AB984" s="207"/>
      <c r="AC984" s="207"/>
      <c r="AD984" s="207"/>
      <c r="AE984" s="207"/>
      <c r="AF984" s="207"/>
      <c r="AG984" s="207"/>
      <c r="AH984" s="207"/>
      <c r="AI984" s="207"/>
      <c r="AJ984" s="207"/>
      <c r="AK984" s="207"/>
      <c r="AL984" s="207"/>
      <c r="AM984" s="207"/>
      <c r="AN984" s="207"/>
      <c r="AO984" s="207"/>
      <c r="AP984" s="207"/>
      <c r="AQ984" s="207"/>
      <c r="AR984" s="207"/>
      <c r="AS984" s="207"/>
      <c r="AT984" s="207"/>
      <c r="AU984" s="207"/>
      <c r="AV984" s="207"/>
      <c r="AW984" s="207"/>
      <c r="AX984" s="207"/>
      <c r="AY984" s="207"/>
      <c r="AZ984" s="207"/>
      <c r="BA984" s="207"/>
    </row>
    <row r="985" ht="18.75" hidden="1" customHeight="1">
      <c r="A985" s="207"/>
      <c r="B985" s="207"/>
      <c r="C985" s="207"/>
      <c r="D985" s="207"/>
      <c r="E985" s="207"/>
      <c r="F985" s="207"/>
      <c r="G985" s="207"/>
      <c r="H985" s="207"/>
      <c r="I985" s="207"/>
      <c r="J985" s="207"/>
      <c r="K985" s="207"/>
      <c r="L985" s="207"/>
      <c r="M985" s="207"/>
      <c r="N985" s="207"/>
      <c r="O985" s="207"/>
      <c r="P985" s="207"/>
      <c r="Q985" s="207"/>
      <c r="R985" s="207"/>
      <c r="S985" s="207"/>
      <c r="T985" s="207"/>
      <c r="U985" s="207"/>
      <c r="V985" s="207"/>
      <c r="W985" s="207"/>
      <c r="X985" s="207"/>
      <c r="Y985" s="207"/>
      <c r="Z985" s="207"/>
      <c r="AA985" s="207"/>
      <c r="AB985" s="207"/>
      <c r="AC985" s="207"/>
      <c r="AD985" s="207"/>
      <c r="AE985" s="207"/>
      <c r="AF985" s="207"/>
      <c r="AG985" s="207"/>
      <c r="AH985" s="207"/>
      <c r="AI985" s="207"/>
      <c r="AJ985" s="207"/>
      <c r="AK985" s="207"/>
      <c r="AL985" s="207"/>
      <c r="AM985" s="207"/>
      <c r="AN985" s="207"/>
      <c r="AO985" s="207"/>
      <c r="AP985" s="207"/>
      <c r="AQ985" s="207"/>
      <c r="AR985" s="207"/>
      <c r="AS985" s="207"/>
      <c r="AT985" s="207"/>
      <c r="AU985" s="207"/>
      <c r="AV985" s="207"/>
      <c r="AW985" s="207"/>
      <c r="AX985" s="207"/>
      <c r="AY985" s="207"/>
      <c r="AZ985" s="207"/>
      <c r="BA985" s="207"/>
    </row>
    <row r="986" ht="18.75" hidden="1" customHeight="1">
      <c r="A986" s="207"/>
      <c r="B986" s="207"/>
      <c r="C986" s="207"/>
      <c r="D986" s="207"/>
      <c r="E986" s="207"/>
      <c r="F986" s="207"/>
      <c r="G986" s="207"/>
      <c r="H986" s="207"/>
      <c r="I986" s="207"/>
      <c r="J986" s="207"/>
      <c r="K986" s="207"/>
      <c r="L986" s="207"/>
      <c r="M986" s="207"/>
      <c r="N986" s="207"/>
      <c r="O986" s="207"/>
      <c r="P986" s="207"/>
      <c r="Q986" s="207"/>
      <c r="R986" s="207"/>
      <c r="S986" s="207"/>
      <c r="T986" s="207"/>
      <c r="U986" s="207"/>
      <c r="V986" s="207"/>
      <c r="W986" s="207"/>
      <c r="X986" s="207"/>
      <c r="Y986" s="207"/>
      <c r="Z986" s="207"/>
      <c r="AA986" s="207"/>
      <c r="AB986" s="207"/>
      <c r="AC986" s="207"/>
      <c r="AD986" s="207"/>
      <c r="AE986" s="207"/>
      <c r="AF986" s="207"/>
      <c r="AG986" s="207"/>
      <c r="AH986" s="207"/>
      <c r="AI986" s="207"/>
      <c r="AJ986" s="207"/>
      <c r="AK986" s="207"/>
      <c r="AL986" s="207"/>
      <c r="AM986" s="207"/>
      <c r="AN986" s="207"/>
      <c r="AO986" s="207"/>
      <c r="AP986" s="207"/>
      <c r="AQ986" s="207"/>
      <c r="AR986" s="207"/>
      <c r="AS986" s="207"/>
      <c r="AT986" s="207"/>
      <c r="AU986" s="207"/>
      <c r="AV986" s="207"/>
      <c r="AW986" s="207"/>
      <c r="AX986" s="207"/>
      <c r="AY986" s="207"/>
      <c r="AZ986" s="207"/>
      <c r="BA986" s="207"/>
    </row>
    <row r="987" ht="18.75" hidden="1" customHeight="1">
      <c r="A987" s="207"/>
      <c r="B987" s="207"/>
      <c r="C987" s="207"/>
      <c r="D987" s="207"/>
      <c r="E987" s="207"/>
      <c r="F987" s="207"/>
      <c r="G987" s="207"/>
      <c r="H987" s="207"/>
      <c r="I987" s="207"/>
      <c r="J987" s="207"/>
      <c r="K987" s="207"/>
      <c r="L987" s="207"/>
      <c r="M987" s="207"/>
      <c r="N987" s="207"/>
      <c r="O987" s="207"/>
      <c r="P987" s="207"/>
      <c r="Q987" s="207"/>
      <c r="R987" s="207"/>
      <c r="S987" s="207"/>
      <c r="T987" s="207"/>
      <c r="U987" s="207"/>
      <c r="V987" s="207"/>
      <c r="W987" s="207"/>
      <c r="X987" s="207"/>
      <c r="Y987" s="207"/>
      <c r="Z987" s="207"/>
      <c r="AA987" s="207"/>
      <c r="AB987" s="207"/>
      <c r="AC987" s="207"/>
      <c r="AD987" s="207"/>
      <c r="AE987" s="207"/>
      <c r="AF987" s="207"/>
      <c r="AG987" s="207"/>
      <c r="AH987" s="207"/>
      <c r="AI987" s="207"/>
      <c r="AJ987" s="207"/>
      <c r="AK987" s="207"/>
      <c r="AL987" s="207"/>
      <c r="AM987" s="207"/>
      <c r="AN987" s="207"/>
      <c r="AO987" s="207"/>
      <c r="AP987" s="207"/>
      <c r="AQ987" s="207"/>
      <c r="AR987" s="207"/>
      <c r="AS987" s="207"/>
      <c r="AT987" s="207"/>
      <c r="AU987" s="207"/>
      <c r="AV987" s="207"/>
      <c r="AW987" s="207"/>
      <c r="AX987" s="207"/>
      <c r="AY987" s="207"/>
      <c r="AZ987" s="207"/>
      <c r="BA987" s="207"/>
    </row>
    <row r="988" ht="18.75" hidden="1" customHeight="1">
      <c r="A988" s="207"/>
      <c r="B988" s="207"/>
      <c r="C988" s="207"/>
      <c r="D988" s="207"/>
      <c r="E988" s="207"/>
      <c r="F988" s="207"/>
      <c r="G988" s="207"/>
      <c r="H988" s="207"/>
      <c r="I988" s="207"/>
      <c r="J988" s="207"/>
      <c r="K988" s="207"/>
      <c r="L988" s="207"/>
      <c r="M988" s="207"/>
      <c r="N988" s="207"/>
      <c r="O988" s="207"/>
      <c r="P988" s="207"/>
      <c r="Q988" s="207"/>
      <c r="R988" s="207"/>
      <c r="S988" s="207"/>
      <c r="T988" s="207"/>
      <c r="U988" s="207"/>
      <c r="V988" s="207"/>
      <c r="W988" s="207"/>
      <c r="X988" s="207"/>
      <c r="Y988" s="207"/>
      <c r="Z988" s="207"/>
      <c r="AA988" s="207"/>
      <c r="AB988" s="207"/>
      <c r="AC988" s="207"/>
      <c r="AD988" s="207"/>
      <c r="AE988" s="207"/>
      <c r="AF988" s="207"/>
      <c r="AG988" s="207"/>
      <c r="AH988" s="207"/>
      <c r="AI988" s="207"/>
      <c r="AJ988" s="207"/>
      <c r="AK988" s="207"/>
      <c r="AL988" s="207"/>
      <c r="AM988" s="207"/>
      <c r="AN988" s="207"/>
      <c r="AO988" s="207"/>
      <c r="AP988" s="207"/>
      <c r="AQ988" s="207"/>
      <c r="AR988" s="207"/>
      <c r="AS988" s="207"/>
      <c r="AT988" s="207"/>
      <c r="AU988" s="207"/>
      <c r="AV988" s="207"/>
      <c r="AW988" s="207"/>
      <c r="AX988" s="207"/>
      <c r="AY988" s="207"/>
      <c r="AZ988" s="207"/>
      <c r="BA988" s="207"/>
    </row>
    <row r="989" ht="18.75" hidden="1" customHeight="1">
      <c r="A989" s="207"/>
      <c r="B989" s="207"/>
      <c r="C989" s="207"/>
      <c r="D989" s="207"/>
      <c r="E989" s="207"/>
      <c r="F989" s="207"/>
      <c r="G989" s="207"/>
      <c r="H989" s="207"/>
      <c r="I989" s="207"/>
      <c r="J989" s="207"/>
      <c r="K989" s="207"/>
      <c r="L989" s="207"/>
      <c r="M989" s="207"/>
      <c r="N989" s="207"/>
      <c r="O989" s="207"/>
      <c r="P989" s="207"/>
      <c r="Q989" s="207"/>
      <c r="R989" s="207"/>
      <c r="S989" s="207"/>
      <c r="T989" s="207"/>
      <c r="U989" s="207"/>
      <c r="V989" s="207"/>
      <c r="W989" s="207"/>
      <c r="X989" s="207"/>
      <c r="Y989" s="207"/>
      <c r="Z989" s="207"/>
      <c r="AA989" s="207"/>
      <c r="AB989" s="207"/>
      <c r="AC989" s="207"/>
      <c r="AD989" s="207"/>
      <c r="AE989" s="207"/>
      <c r="AF989" s="207"/>
      <c r="AG989" s="207"/>
      <c r="AH989" s="207"/>
      <c r="AI989" s="207"/>
      <c r="AJ989" s="207"/>
      <c r="AK989" s="207"/>
      <c r="AL989" s="207"/>
      <c r="AM989" s="207"/>
      <c r="AN989" s="207"/>
      <c r="AO989" s="207"/>
      <c r="AP989" s="207"/>
      <c r="AQ989" s="207"/>
      <c r="AR989" s="207"/>
      <c r="AS989" s="207"/>
      <c r="AT989" s="207"/>
      <c r="AU989" s="207"/>
      <c r="AV989" s="207"/>
      <c r="AW989" s="207"/>
      <c r="AX989" s="207"/>
      <c r="AY989" s="207"/>
      <c r="AZ989" s="207"/>
      <c r="BA989" s="207"/>
    </row>
    <row r="990" ht="18.75" hidden="1" customHeight="1">
      <c r="A990" s="207"/>
      <c r="B990" s="207"/>
      <c r="C990" s="207"/>
      <c r="D990" s="207"/>
      <c r="E990" s="207"/>
      <c r="F990" s="207"/>
      <c r="G990" s="207"/>
      <c r="H990" s="207"/>
      <c r="I990" s="207"/>
      <c r="J990" s="207"/>
      <c r="K990" s="207"/>
      <c r="L990" s="207"/>
      <c r="M990" s="207"/>
      <c r="N990" s="207"/>
      <c r="O990" s="207"/>
      <c r="P990" s="207"/>
      <c r="Q990" s="207"/>
      <c r="R990" s="207"/>
      <c r="S990" s="207"/>
      <c r="T990" s="207"/>
      <c r="U990" s="207"/>
      <c r="V990" s="207"/>
      <c r="W990" s="207"/>
      <c r="X990" s="207"/>
      <c r="Y990" s="207"/>
      <c r="Z990" s="207"/>
      <c r="AA990" s="207"/>
      <c r="AB990" s="207"/>
      <c r="AC990" s="207"/>
      <c r="AD990" s="207"/>
      <c r="AE990" s="207"/>
      <c r="AF990" s="207"/>
      <c r="AG990" s="207"/>
      <c r="AH990" s="207"/>
      <c r="AI990" s="207"/>
      <c r="AJ990" s="207"/>
      <c r="AK990" s="207"/>
      <c r="AL990" s="207"/>
      <c r="AM990" s="207"/>
      <c r="AN990" s="207"/>
      <c r="AO990" s="207"/>
      <c r="AP990" s="207"/>
      <c r="AQ990" s="207"/>
      <c r="AR990" s="207"/>
      <c r="AS990" s="207"/>
      <c r="AT990" s="207"/>
      <c r="AU990" s="207"/>
      <c r="AV990" s="207"/>
      <c r="AW990" s="207"/>
      <c r="AX990" s="207"/>
      <c r="AY990" s="207"/>
      <c r="AZ990" s="207"/>
      <c r="BA990" s="207"/>
    </row>
    <row r="991" ht="18.75" hidden="1" customHeight="1">
      <c r="A991" s="207"/>
      <c r="B991" s="207"/>
      <c r="C991" s="207"/>
      <c r="D991" s="207"/>
      <c r="E991" s="207"/>
      <c r="F991" s="207"/>
      <c r="G991" s="207"/>
      <c r="H991" s="207"/>
      <c r="I991" s="207"/>
      <c r="J991" s="207"/>
      <c r="K991" s="207"/>
      <c r="L991" s="207"/>
      <c r="M991" s="207"/>
      <c r="N991" s="207"/>
      <c r="O991" s="207"/>
      <c r="P991" s="207"/>
      <c r="Q991" s="207"/>
      <c r="R991" s="207"/>
      <c r="S991" s="207"/>
      <c r="T991" s="207"/>
      <c r="U991" s="207"/>
      <c r="V991" s="207"/>
      <c r="W991" s="207"/>
      <c r="X991" s="207"/>
      <c r="Y991" s="207"/>
      <c r="Z991" s="207"/>
      <c r="AA991" s="207"/>
      <c r="AB991" s="207"/>
      <c r="AC991" s="207"/>
      <c r="AD991" s="207"/>
      <c r="AE991" s="207"/>
      <c r="AF991" s="207"/>
      <c r="AG991" s="207"/>
      <c r="AH991" s="207"/>
      <c r="AI991" s="207"/>
      <c r="AJ991" s="207"/>
      <c r="AK991" s="207"/>
      <c r="AL991" s="207"/>
      <c r="AM991" s="207"/>
      <c r="AN991" s="207"/>
      <c r="AO991" s="207"/>
      <c r="AP991" s="207"/>
      <c r="AQ991" s="207"/>
      <c r="AR991" s="207"/>
      <c r="AS991" s="207"/>
      <c r="AT991" s="207"/>
      <c r="AU991" s="207"/>
      <c r="AV991" s="207"/>
      <c r="AW991" s="207"/>
      <c r="AX991" s="207"/>
      <c r="AY991" s="207"/>
      <c r="AZ991" s="207"/>
      <c r="BA991" s="207"/>
    </row>
    <row r="992" ht="18.75" hidden="1" customHeight="1">
      <c r="A992" s="207"/>
      <c r="B992" s="207"/>
      <c r="C992" s="207"/>
      <c r="D992" s="207"/>
      <c r="E992" s="207"/>
      <c r="F992" s="207"/>
      <c r="G992" s="207"/>
      <c r="H992" s="207"/>
      <c r="I992" s="207"/>
      <c r="J992" s="207"/>
      <c r="K992" s="207"/>
      <c r="L992" s="207"/>
      <c r="M992" s="207"/>
      <c r="N992" s="207"/>
      <c r="O992" s="207"/>
      <c r="P992" s="207"/>
      <c r="Q992" s="207"/>
      <c r="R992" s="207"/>
      <c r="S992" s="207"/>
      <c r="T992" s="207"/>
      <c r="U992" s="207"/>
      <c r="V992" s="207"/>
      <c r="W992" s="207"/>
      <c r="X992" s="207"/>
      <c r="Y992" s="207"/>
      <c r="Z992" s="207"/>
      <c r="AA992" s="207"/>
      <c r="AB992" s="207"/>
      <c r="AC992" s="207"/>
      <c r="AD992" s="207"/>
      <c r="AE992" s="207"/>
      <c r="AF992" s="207"/>
      <c r="AG992" s="207"/>
      <c r="AH992" s="207"/>
      <c r="AI992" s="207"/>
      <c r="AJ992" s="207"/>
      <c r="AK992" s="207"/>
      <c r="AL992" s="207"/>
      <c r="AM992" s="207"/>
      <c r="AN992" s="207"/>
      <c r="AO992" s="207"/>
      <c r="AP992" s="207"/>
      <c r="AQ992" s="207"/>
      <c r="AR992" s="207"/>
      <c r="AS992" s="207"/>
      <c r="AT992" s="207"/>
      <c r="AU992" s="207"/>
      <c r="AV992" s="207"/>
      <c r="AW992" s="207"/>
      <c r="AX992" s="207"/>
      <c r="AY992" s="207"/>
      <c r="AZ992" s="207"/>
      <c r="BA992" s="207"/>
    </row>
    <row r="993" ht="18.75" hidden="1" customHeight="1">
      <c r="A993" s="207"/>
      <c r="B993" s="207"/>
      <c r="C993" s="207"/>
      <c r="D993" s="207"/>
      <c r="E993" s="207"/>
      <c r="F993" s="207"/>
      <c r="G993" s="207"/>
      <c r="H993" s="207"/>
      <c r="I993" s="207"/>
      <c r="J993" s="207"/>
      <c r="K993" s="207"/>
      <c r="L993" s="207"/>
      <c r="M993" s="207"/>
      <c r="N993" s="207"/>
      <c r="O993" s="207"/>
      <c r="P993" s="207"/>
      <c r="Q993" s="207"/>
      <c r="R993" s="207"/>
      <c r="S993" s="207"/>
      <c r="T993" s="207"/>
      <c r="U993" s="207"/>
      <c r="V993" s="207"/>
      <c r="W993" s="207"/>
      <c r="X993" s="207"/>
      <c r="Y993" s="207"/>
      <c r="Z993" s="207"/>
      <c r="AA993" s="207"/>
      <c r="AB993" s="207"/>
      <c r="AC993" s="207"/>
      <c r="AD993" s="207"/>
      <c r="AE993" s="207"/>
      <c r="AF993" s="207"/>
      <c r="AG993" s="207"/>
      <c r="AH993" s="207"/>
      <c r="AI993" s="207"/>
      <c r="AJ993" s="207"/>
      <c r="AK993" s="207"/>
      <c r="AL993" s="207"/>
      <c r="AM993" s="207"/>
      <c r="AN993" s="207"/>
      <c r="AO993" s="207"/>
      <c r="AP993" s="207"/>
      <c r="AQ993" s="207"/>
      <c r="AR993" s="207"/>
      <c r="AS993" s="207"/>
      <c r="AT993" s="207"/>
      <c r="AU993" s="207"/>
      <c r="AV993" s="207"/>
      <c r="AW993" s="207"/>
      <c r="AX993" s="207"/>
      <c r="AY993" s="207"/>
      <c r="AZ993" s="207"/>
      <c r="BA993" s="207"/>
    </row>
    <row r="994" ht="18.75" hidden="1" customHeight="1">
      <c r="A994" s="207"/>
      <c r="B994" s="207"/>
      <c r="C994" s="207"/>
      <c r="D994" s="207"/>
      <c r="E994" s="207"/>
      <c r="F994" s="207"/>
      <c r="G994" s="207"/>
      <c r="H994" s="207"/>
      <c r="I994" s="207"/>
      <c r="J994" s="207"/>
      <c r="K994" s="207"/>
      <c r="L994" s="207"/>
      <c r="M994" s="207"/>
      <c r="N994" s="207"/>
      <c r="O994" s="207"/>
      <c r="P994" s="207"/>
      <c r="Q994" s="207"/>
      <c r="R994" s="207"/>
      <c r="S994" s="207"/>
      <c r="T994" s="207"/>
      <c r="U994" s="207"/>
      <c r="V994" s="207"/>
      <c r="W994" s="207"/>
      <c r="X994" s="207"/>
      <c r="Y994" s="207"/>
      <c r="Z994" s="207"/>
      <c r="AA994" s="207"/>
      <c r="AB994" s="207"/>
      <c r="AC994" s="207"/>
      <c r="AD994" s="207"/>
      <c r="AE994" s="207"/>
      <c r="AF994" s="207"/>
      <c r="AG994" s="207"/>
      <c r="AH994" s="207"/>
      <c r="AI994" s="207"/>
      <c r="AJ994" s="207"/>
      <c r="AK994" s="207"/>
      <c r="AL994" s="207"/>
      <c r="AM994" s="207"/>
      <c r="AN994" s="207"/>
      <c r="AO994" s="207"/>
      <c r="AP994" s="207"/>
      <c r="AQ994" s="207"/>
      <c r="AR994" s="207"/>
      <c r="AS994" s="207"/>
      <c r="AT994" s="207"/>
      <c r="AU994" s="207"/>
      <c r="AV994" s="207"/>
      <c r="AW994" s="207"/>
      <c r="AX994" s="207"/>
      <c r="AY994" s="207"/>
      <c r="AZ994" s="207"/>
      <c r="BA994" s="207"/>
    </row>
    <row r="995" ht="18.75" hidden="1" customHeight="1">
      <c r="A995" s="207"/>
      <c r="B995" s="207"/>
      <c r="C995" s="207"/>
      <c r="D995" s="207"/>
      <c r="E995" s="207"/>
      <c r="F995" s="207"/>
      <c r="G995" s="207"/>
      <c r="H995" s="207"/>
      <c r="I995" s="207"/>
      <c r="J995" s="207"/>
      <c r="K995" s="207"/>
      <c r="L995" s="207"/>
      <c r="M995" s="207"/>
      <c r="N995" s="207"/>
      <c r="O995" s="207"/>
      <c r="P995" s="207"/>
      <c r="Q995" s="207"/>
      <c r="R995" s="207"/>
      <c r="S995" s="207"/>
      <c r="T995" s="207"/>
      <c r="U995" s="207"/>
      <c r="V995" s="207"/>
      <c r="W995" s="207"/>
      <c r="X995" s="207"/>
      <c r="Y995" s="207"/>
      <c r="Z995" s="207"/>
      <c r="AA995" s="207"/>
      <c r="AB995" s="207"/>
      <c r="AC995" s="207"/>
      <c r="AD995" s="207"/>
      <c r="AE995" s="207"/>
      <c r="AF995" s="207"/>
      <c r="AG995" s="207"/>
      <c r="AH995" s="207"/>
      <c r="AI995" s="207"/>
      <c r="AJ995" s="207"/>
      <c r="AK995" s="207"/>
      <c r="AL995" s="207"/>
      <c r="AM995" s="207"/>
      <c r="AN995" s="207"/>
      <c r="AO995" s="207"/>
      <c r="AP995" s="207"/>
      <c r="AQ995" s="207"/>
      <c r="AR995" s="207"/>
      <c r="AS995" s="207"/>
      <c r="AT995" s="207"/>
      <c r="AU995" s="207"/>
      <c r="AV995" s="207"/>
      <c r="AW995" s="207"/>
      <c r="AX995" s="207"/>
      <c r="AY995" s="207"/>
      <c r="AZ995" s="207"/>
      <c r="BA995" s="207"/>
    </row>
    <row r="996" ht="18.75" hidden="1" customHeight="1">
      <c r="A996" s="207"/>
      <c r="B996" s="207"/>
      <c r="C996" s="207"/>
      <c r="D996" s="207"/>
      <c r="E996" s="207"/>
      <c r="F996" s="207"/>
      <c r="G996" s="207"/>
      <c r="H996" s="207"/>
      <c r="I996" s="207"/>
      <c r="J996" s="207"/>
      <c r="K996" s="207"/>
      <c r="L996" s="207"/>
      <c r="M996" s="207"/>
      <c r="N996" s="207"/>
      <c r="O996" s="207"/>
      <c r="P996" s="207"/>
      <c r="Q996" s="207"/>
      <c r="R996" s="207"/>
      <c r="S996" s="207"/>
      <c r="T996" s="207"/>
      <c r="U996" s="207"/>
      <c r="V996" s="207"/>
      <c r="W996" s="207"/>
      <c r="X996" s="207"/>
      <c r="Y996" s="207"/>
      <c r="Z996" s="207"/>
      <c r="AA996" s="207"/>
      <c r="AB996" s="207"/>
      <c r="AC996" s="207"/>
      <c r="AD996" s="207"/>
      <c r="AE996" s="207"/>
      <c r="AF996" s="207"/>
      <c r="AG996" s="207"/>
      <c r="AH996" s="207"/>
      <c r="AI996" s="207"/>
      <c r="AJ996" s="207"/>
      <c r="AK996" s="207"/>
      <c r="AL996" s="207"/>
      <c r="AM996" s="207"/>
      <c r="AN996" s="207"/>
      <c r="AO996" s="207"/>
      <c r="AP996" s="207"/>
      <c r="AQ996" s="207"/>
      <c r="AR996" s="207"/>
      <c r="AS996" s="207"/>
      <c r="AT996" s="207"/>
      <c r="AU996" s="207"/>
      <c r="AV996" s="207"/>
      <c r="AW996" s="207"/>
      <c r="AX996" s="207"/>
      <c r="AY996" s="207"/>
      <c r="AZ996" s="207"/>
      <c r="BA996" s="207"/>
    </row>
    <row r="997" ht="18.75" hidden="1" customHeight="1">
      <c r="A997" s="207"/>
      <c r="B997" s="207"/>
      <c r="C997" s="207"/>
      <c r="D997" s="207"/>
      <c r="E997" s="207"/>
      <c r="F997" s="207"/>
      <c r="G997" s="207"/>
      <c r="H997" s="207"/>
      <c r="I997" s="207"/>
      <c r="J997" s="207"/>
      <c r="K997" s="207"/>
      <c r="L997" s="207"/>
      <c r="M997" s="207"/>
      <c r="N997" s="207"/>
      <c r="O997" s="207"/>
      <c r="P997" s="207"/>
      <c r="Q997" s="207"/>
      <c r="R997" s="207"/>
      <c r="S997" s="207"/>
      <c r="T997" s="207"/>
      <c r="U997" s="207"/>
      <c r="V997" s="207"/>
      <c r="W997" s="207"/>
      <c r="X997" s="207"/>
      <c r="Y997" s="207"/>
      <c r="Z997" s="207"/>
      <c r="AA997" s="207"/>
      <c r="AB997" s="207"/>
      <c r="AC997" s="207"/>
      <c r="AD997" s="207"/>
      <c r="AE997" s="207"/>
      <c r="AF997" s="207"/>
      <c r="AG997" s="207"/>
      <c r="AH997" s="207"/>
      <c r="AI997" s="207"/>
      <c r="AJ997" s="207"/>
      <c r="AK997" s="207"/>
      <c r="AL997" s="207"/>
      <c r="AM997" s="207"/>
      <c r="AN997" s="207"/>
      <c r="AO997" s="207"/>
      <c r="AP997" s="207"/>
      <c r="AQ997" s="207"/>
      <c r="AR997" s="207"/>
      <c r="AS997" s="207"/>
      <c r="AT997" s="207"/>
      <c r="AU997" s="207"/>
      <c r="AV997" s="207"/>
      <c r="AW997" s="207"/>
      <c r="AX997" s="207"/>
      <c r="AY997" s="207"/>
      <c r="AZ997" s="207"/>
      <c r="BA997" s="207"/>
    </row>
    <row r="998" ht="18.75" hidden="1" customHeight="1">
      <c r="A998" s="207"/>
      <c r="B998" s="207"/>
      <c r="C998" s="207"/>
      <c r="D998" s="207"/>
      <c r="E998" s="207"/>
      <c r="F998" s="207"/>
      <c r="G998" s="207"/>
      <c r="H998" s="207"/>
      <c r="I998" s="207"/>
      <c r="J998" s="207"/>
      <c r="K998" s="207"/>
      <c r="L998" s="207"/>
      <c r="M998" s="207"/>
      <c r="N998" s="207"/>
      <c r="O998" s="207"/>
      <c r="P998" s="207"/>
      <c r="Q998" s="207"/>
      <c r="R998" s="207"/>
      <c r="S998" s="207"/>
      <c r="T998" s="207"/>
      <c r="U998" s="207"/>
      <c r="V998" s="207"/>
      <c r="W998" s="207"/>
      <c r="X998" s="207"/>
      <c r="Y998" s="207"/>
      <c r="Z998" s="207"/>
      <c r="AA998" s="207"/>
      <c r="AB998" s="207"/>
      <c r="AC998" s="207"/>
      <c r="AD998" s="207"/>
      <c r="AE998" s="207"/>
      <c r="AF998" s="207"/>
      <c r="AG998" s="207"/>
      <c r="AH998" s="207"/>
      <c r="AI998" s="207"/>
      <c r="AJ998" s="207"/>
      <c r="AK998" s="207"/>
      <c r="AL998" s="207"/>
      <c r="AM998" s="207"/>
      <c r="AN998" s="207"/>
      <c r="AO998" s="207"/>
      <c r="AP998" s="207"/>
      <c r="AQ998" s="207"/>
      <c r="AR998" s="207"/>
      <c r="AS998" s="207"/>
      <c r="AT998" s="207"/>
      <c r="AU998" s="207"/>
      <c r="AV998" s="207"/>
      <c r="AW998" s="207"/>
      <c r="AX998" s="207"/>
      <c r="AY998" s="207"/>
      <c r="AZ998" s="207"/>
      <c r="BA998" s="207"/>
    </row>
    <row r="999" ht="18.75" hidden="1" customHeight="1">
      <c r="A999" s="207"/>
      <c r="B999" s="207"/>
      <c r="C999" s="207"/>
      <c r="D999" s="207"/>
      <c r="E999" s="207"/>
      <c r="F999" s="207"/>
      <c r="G999" s="207"/>
      <c r="H999" s="207"/>
      <c r="I999" s="207"/>
      <c r="J999" s="207"/>
      <c r="K999" s="207"/>
      <c r="L999" s="207"/>
      <c r="M999" s="207"/>
      <c r="N999" s="207"/>
      <c r="O999" s="207"/>
      <c r="P999" s="207"/>
      <c r="Q999" s="207"/>
      <c r="R999" s="207"/>
      <c r="S999" s="207"/>
      <c r="T999" s="207"/>
      <c r="U999" s="207"/>
      <c r="V999" s="207"/>
      <c r="W999" s="207"/>
      <c r="X999" s="207"/>
      <c r="Y999" s="207"/>
      <c r="Z999" s="207"/>
      <c r="AA999" s="207"/>
      <c r="AB999" s="207"/>
      <c r="AC999" s="207"/>
      <c r="AD999" s="207"/>
      <c r="AE999" s="207"/>
      <c r="AF999" s="207"/>
      <c r="AG999" s="207"/>
      <c r="AH999" s="207"/>
      <c r="AI999" s="207"/>
      <c r="AJ999" s="207"/>
      <c r="AK999" s="207"/>
      <c r="AL999" s="207"/>
      <c r="AM999" s="207"/>
      <c r="AN999" s="207"/>
      <c r="AO999" s="207"/>
      <c r="AP999" s="207"/>
      <c r="AQ999" s="207"/>
      <c r="AR999" s="207"/>
      <c r="AS999" s="207"/>
      <c r="AT999" s="207"/>
      <c r="AU999" s="207"/>
      <c r="AV999" s="207"/>
      <c r="AW999" s="207"/>
      <c r="AX999" s="207"/>
      <c r="AY999" s="207"/>
      <c r="AZ999" s="207"/>
      <c r="BA999" s="207"/>
    </row>
    <row r="1000" ht="18.75" hidden="1" customHeight="1">
      <c r="A1000" s="207"/>
      <c r="B1000" s="207"/>
      <c r="C1000" s="207"/>
      <c r="D1000" s="207"/>
      <c r="E1000" s="207"/>
      <c r="F1000" s="207"/>
      <c r="G1000" s="207"/>
      <c r="H1000" s="207"/>
      <c r="I1000" s="207"/>
      <c r="J1000" s="207"/>
      <c r="K1000" s="207"/>
      <c r="L1000" s="207"/>
      <c r="M1000" s="207"/>
      <c r="N1000" s="207"/>
      <c r="O1000" s="207"/>
      <c r="P1000" s="207"/>
      <c r="Q1000" s="207"/>
      <c r="R1000" s="207"/>
      <c r="S1000" s="207"/>
      <c r="T1000" s="207"/>
      <c r="U1000" s="207"/>
      <c r="V1000" s="207"/>
      <c r="W1000" s="207"/>
      <c r="X1000" s="207"/>
      <c r="Y1000" s="207"/>
      <c r="Z1000" s="207"/>
      <c r="AA1000" s="207"/>
      <c r="AB1000" s="207"/>
      <c r="AC1000" s="207"/>
      <c r="AD1000" s="207"/>
      <c r="AE1000" s="207"/>
      <c r="AF1000" s="207"/>
      <c r="AG1000" s="207"/>
      <c r="AH1000" s="207"/>
      <c r="AI1000" s="207"/>
      <c r="AJ1000" s="207"/>
      <c r="AK1000" s="207"/>
      <c r="AL1000" s="207"/>
      <c r="AM1000" s="207"/>
      <c r="AN1000" s="207"/>
      <c r="AO1000" s="207"/>
      <c r="AP1000" s="207"/>
      <c r="AQ1000" s="207"/>
      <c r="AR1000" s="207"/>
      <c r="AS1000" s="207"/>
      <c r="AT1000" s="207"/>
      <c r="AU1000" s="207"/>
      <c r="AV1000" s="207"/>
      <c r="AW1000" s="207"/>
      <c r="AX1000" s="207"/>
      <c r="AY1000" s="207"/>
      <c r="AZ1000" s="207"/>
      <c r="BA1000" s="207"/>
    </row>
    <row r="1001" ht="18.75" hidden="1" customHeight="1">
      <c r="A1001" s="207"/>
      <c r="B1001" s="207"/>
      <c r="C1001" s="207"/>
      <c r="D1001" s="207"/>
      <c r="E1001" s="207"/>
      <c r="F1001" s="207"/>
      <c r="G1001" s="207"/>
      <c r="H1001" s="207"/>
      <c r="I1001" s="207"/>
      <c r="J1001" s="207"/>
      <c r="K1001" s="207"/>
      <c r="L1001" s="207"/>
      <c r="M1001" s="207"/>
      <c r="N1001" s="207"/>
      <c r="O1001" s="207"/>
      <c r="P1001" s="207"/>
      <c r="Q1001" s="207"/>
      <c r="R1001" s="207"/>
      <c r="S1001" s="207"/>
      <c r="T1001" s="207"/>
      <c r="U1001" s="207"/>
      <c r="V1001" s="207"/>
      <c r="W1001" s="207"/>
      <c r="X1001" s="207"/>
      <c r="Y1001" s="207"/>
      <c r="Z1001" s="207"/>
      <c r="AA1001" s="207"/>
      <c r="AB1001" s="207"/>
      <c r="AC1001" s="207"/>
      <c r="AD1001" s="207"/>
      <c r="AE1001" s="207"/>
      <c r="AF1001" s="207"/>
      <c r="AG1001" s="207"/>
      <c r="AH1001" s="207"/>
      <c r="AI1001" s="207"/>
      <c r="AJ1001" s="207"/>
      <c r="AK1001" s="207"/>
      <c r="AL1001" s="207"/>
      <c r="AM1001" s="207"/>
      <c r="AN1001" s="207"/>
      <c r="AO1001" s="207"/>
      <c r="AP1001" s="207"/>
      <c r="AQ1001" s="207"/>
      <c r="AR1001" s="207"/>
      <c r="AS1001" s="207"/>
      <c r="AT1001" s="207"/>
      <c r="AU1001" s="207"/>
      <c r="AV1001" s="207"/>
      <c r="AW1001" s="207"/>
      <c r="AX1001" s="207"/>
      <c r="AY1001" s="207"/>
      <c r="AZ1001" s="207"/>
      <c r="BA1001" s="207"/>
    </row>
  </sheetData>
  <mergeCells count="41">
    <mergeCell ref="Y3:AB3"/>
    <mergeCell ref="AC3:AF3"/>
    <mergeCell ref="AG3:AJ3"/>
    <mergeCell ref="AK3:AN3"/>
    <mergeCell ref="AO3:AR3"/>
    <mergeCell ref="AS3:AV3"/>
    <mergeCell ref="AW3:AZ3"/>
    <mergeCell ref="B2:D2"/>
    <mergeCell ref="B3:D3"/>
    <mergeCell ref="E3:H3"/>
    <mergeCell ref="I3:L3"/>
    <mergeCell ref="M3:P3"/>
    <mergeCell ref="Q3:T3"/>
    <mergeCell ref="U3:X3"/>
    <mergeCell ref="B4:B5"/>
    <mergeCell ref="C4:C5"/>
    <mergeCell ref="D4:D5"/>
    <mergeCell ref="E4:E5"/>
    <mergeCell ref="F4:H4"/>
    <mergeCell ref="I4:I5"/>
    <mergeCell ref="M4:M5"/>
    <mergeCell ref="AL4:AN4"/>
    <mergeCell ref="AP4:AR4"/>
    <mergeCell ref="AT4:AV4"/>
    <mergeCell ref="AX4:AZ4"/>
    <mergeCell ref="J4:L4"/>
    <mergeCell ref="N4:P4"/>
    <mergeCell ref="R4:T4"/>
    <mergeCell ref="V4:X4"/>
    <mergeCell ref="Z4:AB4"/>
    <mergeCell ref="AD4:AF4"/>
    <mergeCell ref="AH4:AJ4"/>
    <mergeCell ref="AS4:AS5"/>
    <mergeCell ref="AW4:AW5"/>
    <mergeCell ref="Q4:Q5"/>
    <mergeCell ref="U4:U5"/>
    <mergeCell ref="Y4:Y5"/>
    <mergeCell ref="AC4:AC5"/>
    <mergeCell ref="AG4:AG5"/>
    <mergeCell ref="AK4:AK5"/>
    <mergeCell ref="AO4:AO5"/>
  </mergeCells>
  <hyperlinks>
    <hyperlink r:id="rId1" location="gid=1224100097" ref="B1"/>
  </hyperlinks>
  <printOptions/>
  <pageMargins bottom="0.75" footer="0.0" header="0.0" left="0.7" right="0.7" top="0.75"/>
  <pageSetup orientation="landscape"/>
  <drawing r:id="rId2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showGridLines="0" workbookViewId="0">
      <pane xSplit="4.0" ySplit="6.0" topLeftCell="E7" activePane="bottomRight" state="frozen"/>
      <selection activeCell="E1" sqref="E1" pane="topRight"/>
      <selection activeCell="A7" sqref="A7" pane="bottomLeft"/>
      <selection activeCell="E7" sqref="E7" pane="bottomRight"/>
    </sheetView>
  </sheetViews>
  <sheetFormatPr customHeight="1" defaultColWidth="12.63" defaultRowHeight="15.0"/>
  <cols>
    <col customWidth="1" min="1" max="1" width="0.38"/>
    <col customWidth="1" min="2" max="2" width="29.13"/>
    <col customWidth="1" min="3" max="3" width="6.75"/>
    <col customWidth="1" min="4" max="4" width="5.88"/>
    <col customWidth="1" min="5" max="5" width="7.0"/>
    <col customWidth="1" min="6" max="6" width="6.88"/>
    <col customWidth="1" min="7" max="7" width="6.0"/>
    <col customWidth="1" min="8" max="8" width="6.13"/>
    <col customWidth="1" min="9" max="9" width="7.0"/>
    <col customWidth="1" min="10" max="10" width="6.88"/>
    <col customWidth="1" min="11" max="11" width="6.0"/>
    <col customWidth="1" min="12" max="12" width="6.13"/>
    <col customWidth="1" min="13" max="13" width="7.0"/>
    <col customWidth="1" min="14" max="14" width="6.88"/>
    <col customWidth="1" min="15" max="15" width="6.0"/>
    <col customWidth="1" min="16" max="16" width="6.13"/>
    <col customWidth="1" min="17" max="17" width="7.0"/>
    <col customWidth="1" min="18" max="18" width="6.88"/>
    <col customWidth="1" min="19" max="19" width="6.0"/>
    <col customWidth="1" min="20" max="20" width="6.13"/>
    <col customWidth="1" min="21" max="21" width="7.0"/>
    <col customWidth="1" min="22" max="22" width="6.88"/>
    <col customWidth="1" min="23" max="23" width="6.0"/>
    <col customWidth="1" min="24" max="24" width="6.13"/>
    <col customWidth="1" min="25" max="25" width="7.0"/>
    <col customWidth="1" min="26" max="26" width="6.88"/>
    <col customWidth="1" min="27" max="27" width="6.0"/>
    <col customWidth="1" min="28" max="28" width="6.13"/>
    <col customWidth="1" min="29" max="29" width="7.0"/>
    <col customWidth="1" min="30" max="30" width="6.88"/>
    <col customWidth="1" min="31" max="31" width="6.0"/>
    <col customWidth="1" min="32" max="32" width="6.13"/>
    <col customWidth="1" min="33" max="33" width="7.0"/>
    <col customWidth="1" min="34" max="34" width="6.88"/>
    <col customWidth="1" min="35" max="35" width="6.0"/>
    <col customWidth="1" min="36" max="36" width="6.13"/>
    <col customWidth="1" min="37" max="37" width="7.0"/>
    <col customWidth="1" min="38" max="38" width="6.88"/>
    <col customWidth="1" min="39" max="39" width="6.0"/>
    <col customWidth="1" min="40" max="40" width="6.13"/>
    <col customWidth="1" min="41" max="41" width="7.0"/>
    <col customWidth="1" min="42" max="42" width="6.88"/>
    <col customWidth="1" min="43" max="43" width="6.0"/>
    <col customWidth="1" min="44" max="44" width="6.13"/>
    <col customWidth="1" min="45" max="45" width="7.0"/>
    <col customWidth="1" min="46" max="46" width="6.88"/>
    <col customWidth="1" min="47" max="47" width="6.0"/>
    <col customWidth="1" min="48" max="48" width="6.13"/>
    <col customWidth="1" min="49" max="49" width="7.0"/>
    <col customWidth="1" min="50" max="50" width="6.88"/>
    <col customWidth="1" min="51" max="51" width="6.0"/>
    <col customWidth="1" min="52" max="52" width="6.13"/>
    <col customWidth="1" min="53" max="53" width="0.38"/>
  </cols>
  <sheetData>
    <row r="1">
      <c r="A1" s="234"/>
      <c r="B1" s="184" t="s">
        <v>162</v>
      </c>
      <c r="C1" s="235"/>
      <c r="D1" s="235"/>
      <c r="E1" s="234"/>
      <c r="F1" s="236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</row>
    <row r="2" ht="21.0" hidden="1" customHeight="1">
      <c r="A2" s="186" t="str">
        <f>IFERROR(__xludf.DUMMYFUNCTION("IMPORTRANGE(""https://docs.google.com/spreadsheets/d/1lB3W4lJ3kDVG754oRioQtWmxF5nkCNArx1kX0kvRPbc/edit#gid=1042480408"",""TONG!A1:AZ106"")"),"")</f>
        <v/>
      </c>
      <c r="B2" s="187" t="str">
        <f>IFERROR(__xludf.DUMMYFUNCTION("""COMPUTED_VALUE"""),"Ngày báo cáo:[15 hàng tháng]")</f>
        <v>Ngày báo cáo:[15 hàng tháng]</v>
      </c>
      <c r="C2" s="188"/>
      <c r="D2" s="5"/>
      <c r="E2" s="189" t="str">
        <f>IFERROR(__xludf.DUMMYFUNCTION("""COMPUTED_VALUE"""),"* Lưu ý: chỉ nhập số liệu vào các ô tô màu vàng")</f>
        <v>* Lưu ý: chỉ nhập số liệu vào các ô tô màu vàng</v>
      </c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1"/>
      <c r="BA2" s="186"/>
    </row>
    <row r="3" ht="18.75" customHeight="1">
      <c r="A3" s="6"/>
      <c r="B3" s="134" t="str">
        <f>IFERROR(__xludf.DUMMYFUNCTION("""COMPUTED_VALUE"""),"BIỂU THỐNG KÊ SỐ LIỆU CẤP TH&amp;THCS")</f>
        <v>BIỂU THỐNG KÊ SỐ LIỆU CẤP TH&amp;THCS</v>
      </c>
      <c r="C3" s="8"/>
      <c r="D3" s="9"/>
      <c r="E3" s="11" t="str">
        <f>IFERROR(__xludf.DUMMYFUNCTION("""COMPUTED_VALUE"""),"Kỳ tháng 10/2023")</f>
        <v>Kỳ tháng 10/2023</v>
      </c>
      <c r="F3" s="8"/>
      <c r="G3" s="8"/>
      <c r="H3" s="9"/>
      <c r="I3" s="11" t="str">
        <f>IFERROR(__xludf.DUMMYFUNCTION("""COMPUTED_VALUE"""),"Kỳ tháng 11/2023")</f>
        <v>Kỳ tháng 11/2023</v>
      </c>
      <c r="J3" s="8"/>
      <c r="K3" s="8"/>
      <c r="L3" s="9"/>
      <c r="M3" s="11" t="str">
        <f>IFERROR(__xludf.DUMMYFUNCTION("""COMPUTED_VALUE"""),"Kỳ tháng 12/2023")</f>
        <v>Kỳ tháng 12/2023</v>
      </c>
      <c r="N3" s="8"/>
      <c r="O3" s="8"/>
      <c r="P3" s="9"/>
      <c r="Q3" s="12" t="str">
        <f>IFERROR(__xludf.DUMMYFUNCTION("""COMPUTED_VALUE"""),"Kỳ tháng 1/2024")</f>
        <v>Kỳ tháng 1/2024</v>
      </c>
      <c r="R3" s="8"/>
      <c r="S3" s="8"/>
      <c r="T3" s="9"/>
      <c r="U3" s="12" t="str">
        <f>IFERROR(__xludf.DUMMYFUNCTION("""COMPUTED_VALUE"""),"Kỳ tháng 2/2024")</f>
        <v>Kỳ tháng 2/2024</v>
      </c>
      <c r="V3" s="8"/>
      <c r="W3" s="8"/>
      <c r="X3" s="9"/>
      <c r="Y3" s="12" t="str">
        <f>IFERROR(__xludf.DUMMYFUNCTION("""COMPUTED_VALUE"""),"Kỳ tháng 3/2024")</f>
        <v>Kỳ tháng 3/2024</v>
      </c>
      <c r="Z3" s="8"/>
      <c r="AA3" s="8"/>
      <c r="AB3" s="9"/>
      <c r="AC3" s="13" t="str">
        <f>IFERROR(__xludf.DUMMYFUNCTION("""COMPUTED_VALUE"""),"Kỳ tháng 4/2024")</f>
        <v>Kỳ tháng 4/2024</v>
      </c>
      <c r="AD3" s="8"/>
      <c r="AE3" s="8"/>
      <c r="AF3" s="9"/>
      <c r="AG3" s="13" t="str">
        <f>IFERROR(__xludf.DUMMYFUNCTION("""COMPUTED_VALUE"""),"Kỳ tháng 5/2024")</f>
        <v>Kỳ tháng 5/2024</v>
      </c>
      <c r="AH3" s="8"/>
      <c r="AI3" s="8"/>
      <c r="AJ3" s="9"/>
      <c r="AK3" s="13" t="str">
        <f>IFERROR(__xludf.DUMMYFUNCTION("""COMPUTED_VALUE"""),"Kỳ tháng 6/2024")</f>
        <v>Kỳ tháng 6/2024</v>
      </c>
      <c r="AL3" s="8"/>
      <c r="AM3" s="8"/>
      <c r="AN3" s="9"/>
      <c r="AO3" s="14" t="str">
        <f>IFERROR(__xludf.DUMMYFUNCTION("""COMPUTED_VALUE"""),"Kỳ tháng 7/2024")</f>
        <v>Kỳ tháng 7/2024</v>
      </c>
      <c r="AP3" s="8"/>
      <c r="AQ3" s="8"/>
      <c r="AR3" s="9"/>
      <c r="AS3" s="14" t="str">
        <f>IFERROR(__xludf.DUMMYFUNCTION("""COMPUTED_VALUE"""),"Kỳ tháng 8/2024")</f>
        <v>Kỳ tháng 8/2024</v>
      </c>
      <c r="AT3" s="8"/>
      <c r="AU3" s="8"/>
      <c r="AV3" s="9"/>
      <c r="AW3" s="14" t="str">
        <f>IFERROR(__xludf.DUMMYFUNCTION("""COMPUTED_VALUE"""),"Kỳ tháng 9/2024")</f>
        <v>Kỳ tháng 9/2024</v>
      </c>
      <c r="AX3" s="8"/>
      <c r="AY3" s="8"/>
      <c r="AZ3" s="15"/>
      <c r="BA3" s="16"/>
    </row>
    <row r="4" ht="15.75" customHeight="1">
      <c r="A4" s="6"/>
      <c r="B4" s="17" t="str">
        <f>IFERROR(__xludf.DUMMYFUNCTION("""COMPUTED_VALUE"""),"TOÀN TỈNH")</f>
        <v>TOÀN TỈNH</v>
      </c>
      <c r="C4" s="18" t="str">
        <f>IFERROR(__xludf.DUMMYFUNCTION("""COMPUTED_VALUE"""),"Tần suất
báo cáo")</f>
        <v>Tần suất
báo cáo</v>
      </c>
      <c r="D4" s="18" t="str">
        <f>IFERROR(__xludf.DUMMYFUNCTION("""COMPUTED_VALUE"""),"Đơn vị
tính")</f>
        <v>Đơn vị
tính</v>
      </c>
      <c r="E4" s="19" t="str">
        <f>IFERROR(__xludf.DUMMYFUNCTION("""COMPUTED_VALUE"""),"Tổng số")</f>
        <v>Tổng số</v>
      </c>
      <c r="F4" s="20" t="str">
        <f>IFERROR(__xludf.DUMMYFUNCTION("""COMPUTED_VALUE"""),"Trong đó")</f>
        <v>Trong đó</v>
      </c>
      <c r="G4" s="21"/>
      <c r="H4" s="22"/>
      <c r="I4" s="19" t="str">
        <f>IFERROR(__xludf.DUMMYFUNCTION("""COMPUTED_VALUE"""),"Tổng số")</f>
        <v>Tổng số</v>
      </c>
      <c r="J4" s="20" t="str">
        <f>IFERROR(__xludf.DUMMYFUNCTION("""COMPUTED_VALUE"""),"Trong đó")</f>
        <v>Trong đó</v>
      </c>
      <c r="K4" s="21"/>
      <c r="L4" s="22"/>
      <c r="M4" s="19" t="str">
        <f>IFERROR(__xludf.DUMMYFUNCTION("""COMPUTED_VALUE"""),"Tổng số")</f>
        <v>Tổng số</v>
      </c>
      <c r="N4" s="20" t="str">
        <f>IFERROR(__xludf.DUMMYFUNCTION("""COMPUTED_VALUE"""),"Trong đó")</f>
        <v>Trong đó</v>
      </c>
      <c r="O4" s="21"/>
      <c r="P4" s="22"/>
      <c r="Q4" s="19" t="str">
        <f>IFERROR(__xludf.DUMMYFUNCTION("""COMPUTED_VALUE"""),"Tổng số")</f>
        <v>Tổng số</v>
      </c>
      <c r="R4" s="20" t="str">
        <f>IFERROR(__xludf.DUMMYFUNCTION("""COMPUTED_VALUE"""),"Trong đó")</f>
        <v>Trong đó</v>
      </c>
      <c r="S4" s="21"/>
      <c r="T4" s="22"/>
      <c r="U4" s="19" t="str">
        <f>IFERROR(__xludf.DUMMYFUNCTION("""COMPUTED_VALUE"""),"Tổng số")</f>
        <v>Tổng số</v>
      </c>
      <c r="V4" s="20" t="str">
        <f>IFERROR(__xludf.DUMMYFUNCTION("""COMPUTED_VALUE"""),"Trong đó")</f>
        <v>Trong đó</v>
      </c>
      <c r="W4" s="21"/>
      <c r="X4" s="22"/>
      <c r="Y4" s="19" t="str">
        <f>IFERROR(__xludf.DUMMYFUNCTION("""COMPUTED_VALUE"""),"Tổng số")</f>
        <v>Tổng số</v>
      </c>
      <c r="Z4" s="20" t="str">
        <f>IFERROR(__xludf.DUMMYFUNCTION("""COMPUTED_VALUE"""),"Trong đó")</f>
        <v>Trong đó</v>
      </c>
      <c r="AA4" s="21"/>
      <c r="AB4" s="22"/>
      <c r="AC4" s="19" t="str">
        <f>IFERROR(__xludf.DUMMYFUNCTION("""COMPUTED_VALUE"""),"Tổng số")</f>
        <v>Tổng số</v>
      </c>
      <c r="AD4" s="20" t="str">
        <f>IFERROR(__xludf.DUMMYFUNCTION("""COMPUTED_VALUE"""),"Trong đó")</f>
        <v>Trong đó</v>
      </c>
      <c r="AE4" s="21"/>
      <c r="AF4" s="22"/>
      <c r="AG4" s="19" t="str">
        <f>IFERROR(__xludf.DUMMYFUNCTION("""COMPUTED_VALUE"""),"Tổng số")</f>
        <v>Tổng số</v>
      </c>
      <c r="AH4" s="20" t="str">
        <f>IFERROR(__xludf.DUMMYFUNCTION("""COMPUTED_VALUE"""),"Trong đó")</f>
        <v>Trong đó</v>
      </c>
      <c r="AI4" s="21"/>
      <c r="AJ4" s="22"/>
      <c r="AK4" s="19" t="str">
        <f>IFERROR(__xludf.DUMMYFUNCTION("""COMPUTED_VALUE"""),"Tổng số")</f>
        <v>Tổng số</v>
      </c>
      <c r="AL4" s="20" t="str">
        <f>IFERROR(__xludf.DUMMYFUNCTION("""COMPUTED_VALUE"""),"Trong đó")</f>
        <v>Trong đó</v>
      </c>
      <c r="AM4" s="21"/>
      <c r="AN4" s="22"/>
      <c r="AO4" s="19" t="str">
        <f>IFERROR(__xludf.DUMMYFUNCTION("""COMPUTED_VALUE"""),"Tổng số")</f>
        <v>Tổng số</v>
      </c>
      <c r="AP4" s="20" t="str">
        <f>IFERROR(__xludf.DUMMYFUNCTION("""COMPUTED_VALUE"""),"Trong đó")</f>
        <v>Trong đó</v>
      </c>
      <c r="AQ4" s="21"/>
      <c r="AR4" s="22"/>
      <c r="AS4" s="19" t="str">
        <f>IFERROR(__xludf.DUMMYFUNCTION("""COMPUTED_VALUE"""),"Tổng số")</f>
        <v>Tổng số</v>
      </c>
      <c r="AT4" s="20" t="str">
        <f>IFERROR(__xludf.DUMMYFUNCTION("""COMPUTED_VALUE"""),"Trong đó")</f>
        <v>Trong đó</v>
      </c>
      <c r="AU4" s="21"/>
      <c r="AV4" s="22"/>
      <c r="AW4" s="19" t="str">
        <f>IFERROR(__xludf.DUMMYFUNCTION("""COMPUTED_VALUE"""),"Tổng số")</f>
        <v>Tổng số</v>
      </c>
      <c r="AX4" s="20" t="str">
        <f>IFERROR(__xludf.DUMMYFUNCTION("""COMPUTED_VALUE"""),"Trong đó")</f>
        <v>Trong đó</v>
      </c>
      <c r="AY4" s="21"/>
      <c r="AZ4" s="23"/>
      <c r="BA4" s="16"/>
    </row>
    <row r="5" ht="15.75" customHeight="1">
      <c r="A5" s="6"/>
      <c r="B5" s="24"/>
      <c r="C5" s="25"/>
      <c r="D5" s="25"/>
      <c r="E5" s="25"/>
      <c r="F5" s="26" t="str">
        <f>IFERROR(__xludf.DUMMYFUNCTION("""COMPUTED_VALUE"""),"Công lập")</f>
        <v>Công lập</v>
      </c>
      <c r="G5" s="26" t="str">
        <f>IFERROR(__xludf.DUMMYFUNCTION("""COMPUTED_VALUE"""),"Dân lập")</f>
        <v>Dân lập</v>
      </c>
      <c r="H5" s="26" t="str">
        <f>IFERROR(__xludf.DUMMYFUNCTION("""COMPUTED_VALUE"""),"Tư thục")</f>
        <v>Tư thục</v>
      </c>
      <c r="I5" s="25"/>
      <c r="J5" s="26" t="str">
        <f>IFERROR(__xludf.DUMMYFUNCTION("""COMPUTED_VALUE"""),"Công lập")</f>
        <v>Công lập</v>
      </c>
      <c r="K5" s="26" t="str">
        <f>IFERROR(__xludf.DUMMYFUNCTION("""COMPUTED_VALUE"""),"Dân lập")</f>
        <v>Dân lập</v>
      </c>
      <c r="L5" s="26" t="str">
        <f>IFERROR(__xludf.DUMMYFUNCTION("""COMPUTED_VALUE"""),"Tư thục")</f>
        <v>Tư thục</v>
      </c>
      <c r="M5" s="25"/>
      <c r="N5" s="26" t="str">
        <f>IFERROR(__xludf.DUMMYFUNCTION("""COMPUTED_VALUE"""),"Công lập")</f>
        <v>Công lập</v>
      </c>
      <c r="O5" s="26" t="str">
        <f>IFERROR(__xludf.DUMMYFUNCTION("""COMPUTED_VALUE"""),"Dân lập")</f>
        <v>Dân lập</v>
      </c>
      <c r="P5" s="26" t="str">
        <f>IFERROR(__xludf.DUMMYFUNCTION("""COMPUTED_VALUE"""),"Tư thục")</f>
        <v>Tư thục</v>
      </c>
      <c r="Q5" s="25"/>
      <c r="R5" s="26" t="str">
        <f>IFERROR(__xludf.DUMMYFUNCTION("""COMPUTED_VALUE"""),"Công lập")</f>
        <v>Công lập</v>
      </c>
      <c r="S5" s="26" t="str">
        <f>IFERROR(__xludf.DUMMYFUNCTION("""COMPUTED_VALUE"""),"Dân lập")</f>
        <v>Dân lập</v>
      </c>
      <c r="T5" s="26" t="str">
        <f>IFERROR(__xludf.DUMMYFUNCTION("""COMPUTED_VALUE"""),"Tư thục")</f>
        <v>Tư thục</v>
      </c>
      <c r="U5" s="25"/>
      <c r="V5" s="26" t="str">
        <f>IFERROR(__xludf.DUMMYFUNCTION("""COMPUTED_VALUE"""),"Công lập")</f>
        <v>Công lập</v>
      </c>
      <c r="W5" s="26" t="str">
        <f>IFERROR(__xludf.DUMMYFUNCTION("""COMPUTED_VALUE"""),"Dân lập")</f>
        <v>Dân lập</v>
      </c>
      <c r="X5" s="26" t="str">
        <f>IFERROR(__xludf.DUMMYFUNCTION("""COMPUTED_VALUE"""),"Tư thục")</f>
        <v>Tư thục</v>
      </c>
      <c r="Y5" s="25"/>
      <c r="Z5" s="26" t="str">
        <f>IFERROR(__xludf.DUMMYFUNCTION("""COMPUTED_VALUE"""),"Công lập")</f>
        <v>Công lập</v>
      </c>
      <c r="AA5" s="26" t="str">
        <f>IFERROR(__xludf.DUMMYFUNCTION("""COMPUTED_VALUE"""),"Dân lập")</f>
        <v>Dân lập</v>
      </c>
      <c r="AB5" s="26" t="str">
        <f>IFERROR(__xludf.DUMMYFUNCTION("""COMPUTED_VALUE"""),"Tư thục")</f>
        <v>Tư thục</v>
      </c>
      <c r="AC5" s="25"/>
      <c r="AD5" s="26" t="str">
        <f>IFERROR(__xludf.DUMMYFUNCTION("""COMPUTED_VALUE"""),"Công lập")</f>
        <v>Công lập</v>
      </c>
      <c r="AE5" s="26" t="str">
        <f>IFERROR(__xludf.DUMMYFUNCTION("""COMPUTED_VALUE"""),"Dân lập")</f>
        <v>Dân lập</v>
      </c>
      <c r="AF5" s="26" t="str">
        <f>IFERROR(__xludf.DUMMYFUNCTION("""COMPUTED_VALUE"""),"Tư thục")</f>
        <v>Tư thục</v>
      </c>
      <c r="AG5" s="25"/>
      <c r="AH5" s="26" t="str">
        <f>IFERROR(__xludf.DUMMYFUNCTION("""COMPUTED_VALUE"""),"Công lập")</f>
        <v>Công lập</v>
      </c>
      <c r="AI5" s="26" t="str">
        <f>IFERROR(__xludf.DUMMYFUNCTION("""COMPUTED_VALUE"""),"Dân lập")</f>
        <v>Dân lập</v>
      </c>
      <c r="AJ5" s="26" t="str">
        <f>IFERROR(__xludf.DUMMYFUNCTION("""COMPUTED_VALUE"""),"Tư thục")</f>
        <v>Tư thục</v>
      </c>
      <c r="AK5" s="25"/>
      <c r="AL5" s="26" t="str">
        <f>IFERROR(__xludf.DUMMYFUNCTION("""COMPUTED_VALUE"""),"Công lập")</f>
        <v>Công lập</v>
      </c>
      <c r="AM5" s="26" t="str">
        <f>IFERROR(__xludf.DUMMYFUNCTION("""COMPUTED_VALUE"""),"Dân lập")</f>
        <v>Dân lập</v>
      </c>
      <c r="AN5" s="26" t="str">
        <f>IFERROR(__xludf.DUMMYFUNCTION("""COMPUTED_VALUE"""),"Tư thục")</f>
        <v>Tư thục</v>
      </c>
      <c r="AO5" s="25"/>
      <c r="AP5" s="26" t="str">
        <f>IFERROR(__xludf.DUMMYFUNCTION("""COMPUTED_VALUE"""),"Công lập")</f>
        <v>Công lập</v>
      </c>
      <c r="AQ5" s="26" t="str">
        <f>IFERROR(__xludf.DUMMYFUNCTION("""COMPUTED_VALUE"""),"Dân lập")</f>
        <v>Dân lập</v>
      </c>
      <c r="AR5" s="26" t="str">
        <f>IFERROR(__xludf.DUMMYFUNCTION("""COMPUTED_VALUE"""),"Tư thục")</f>
        <v>Tư thục</v>
      </c>
      <c r="AS5" s="25"/>
      <c r="AT5" s="26" t="str">
        <f>IFERROR(__xludf.DUMMYFUNCTION("""COMPUTED_VALUE"""),"Công lập")</f>
        <v>Công lập</v>
      </c>
      <c r="AU5" s="26" t="str">
        <f>IFERROR(__xludf.DUMMYFUNCTION("""COMPUTED_VALUE"""),"Dân lập")</f>
        <v>Dân lập</v>
      </c>
      <c r="AV5" s="26" t="str">
        <f>IFERROR(__xludf.DUMMYFUNCTION("""COMPUTED_VALUE"""),"Tư thục")</f>
        <v>Tư thục</v>
      </c>
      <c r="AW5" s="25"/>
      <c r="AX5" s="26" t="str">
        <f>IFERROR(__xludf.DUMMYFUNCTION("""COMPUTED_VALUE"""),"Công lập")</f>
        <v>Công lập</v>
      </c>
      <c r="AY5" s="26" t="str">
        <f>IFERROR(__xludf.DUMMYFUNCTION("""COMPUTED_VALUE"""),"Dân lập")</f>
        <v>Dân lập</v>
      </c>
      <c r="AZ5" s="27" t="str">
        <f>IFERROR(__xludf.DUMMYFUNCTION("""COMPUTED_VALUE"""),"Tư thục")</f>
        <v>Tư thục</v>
      </c>
      <c r="BA5" s="16"/>
    </row>
    <row r="6" ht="13.5" customHeight="1">
      <c r="A6" s="6"/>
      <c r="B6" s="28" t="str">
        <f>IFERROR(__xludf.DUMMYFUNCTION("""COMPUTED_VALUE"""),"A")</f>
        <v>A</v>
      </c>
      <c r="C6" s="26" t="str">
        <f>IFERROR(__xludf.DUMMYFUNCTION("""COMPUTED_VALUE"""),"B")</f>
        <v>B</v>
      </c>
      <c r="D6" s="26" t="str">
        <f>IFERROR(__xludf.DUMMYFUNCTION("""COMPUTED_VALUE"""),"C")</f>
        <v>C</v>
      </c>
      <c r="E6" s="26" t="str">
        <f>IFERROR(__xludf.DUMMYFUNCTION("""COMPUTED_VALUE"""),"1=2+3+4")</f>
        <v>1=2+3+4</v>
      </c>
      <c r="F6" s="26">
        <f>IFERROR(__xludf.DUMMYFUNCTION("""COMPUTED_VALUE"""),2.0)</f>
        <v>2</v>
      </c>
      <c r="G6" s="26">
        <f>IFERROR(__xludf.DUMMYFUNCTION("""COMPUTED_VALUE"""),3.0)</f>
        <v>3</v>
      </c>
      <c r="H6" s="26">
        <f>IFERROR(__xludf.DUMMYFUNCTION("""COMPUTED_VALUE"""),4.0)</f>
        <v>4</v>
      </c>
      <c r="I6" s="26" t="str">
        <f>IFERROR(__xludf.DUMMYFUNCTION("""COMPUTED_VALUE"""),"1=2+3+4")</f>
        <v>1=2+3+4</v>
      </c>
      <c r="J6" s="26">
        <f>IFERROR(__xludf.DUMMYFUNCTION("""COMPUTED_VALUE"""),2.0)</f>
        <v>2</v>
      </c>
      <c r="K6" s="26">
        <f>IFERROR(__xludf.DUMMYFUNCTION("""COMPUTED_VALUE"""),3.0)</f>
        <v>3</v>
      </c>
      <c r="L6" s="26">
        <f>IFERROR(__xludf.DUMMYFUNCTION("""COMPUTED_VALUE"""),4.0)</f>
        <v>4</v>
      </c>
      <c r="M6" s="26" t="str">
        <f>IFERROR(__xludf.DUMMYFUNCTION("""COMPUTED_VALUE"""),"1=2+3+4")</f>
        <v>1=2+3+4</v>
      </c>
      <c r="N6" s="26">
        <f>IFERROR(__xludf.DUMMYFUNCTION("""COMPUTED_VALUE"""),2.0)</f>
        <v>2</v>
      </c>
      <c r="O6" s="26">
        <f>IFERROR(__xludf.DUMMYFUNCTION("""COMPUTED_VALUE"""),3.0)</f>
        <v>3</v>
      </c>
      <c r="P6" s="26">
        <f>IFERROR(__xludf.DUMMYFUNCTION("""COMPUTED_VALUE"""),4.0)</f>
        <v>4</v>
      </c>
      <c r="Q6" s="26" t="str">
        <f>IFERROR(__xludf.DUMMYFUNCTION("""COMPUTED_VALUE"""),"1=2+3+4")</f>
        <v>1=2+3+4</v>
      </c>
      <c r="R6" s="26">
        <f>IFERROR(__xludf.DUMMYFUNCTION("""COMPUTED_VALUE"""),2.0)</f>
        <v>2</v>
      </c>
      <c r="S6" s="26">
        <f>IFERROR(__xludf.DUMMYFUNCTION("""COMPUTED_VALUE"""),3.0)</f>
        <v>3</v>
      </c>
      <c r="T6" s="26">
        <f>IFERROR(__xludf.DUMMYFUNCTION("""COMPUTED_VALUE"""),4.0)</f>
        <v>4</v>
      </c>
      <c r="U6" s="26" t="str">
        <f>IFERROR(__xludf.DUMMYFUNCTION("""COMPUTED_VALUE"""),"1=2+3+4")</f>
        <v>1=2+3+4</v>
      </c>
      <c r="V6" s="26">
        <f>IFERROR(__xludf.DUMMYFUNCTION("""COMPUTED_VALUE"""),2.0)</f>
        <v>2</v>
      </c>
      <c r="W6" s="26">
        <f>IFERROR(__xludf.DUMMYFUNCTION("""COMPUTED_VALUE"""),3.0)</f>
        <v>3</v>
      </c>
      <c r="X6" s="26">
        <f>IFERROR(__xludf.DUMMYFUNCTION("""COMPUTED_VALUE"""),4.0)</f>
        <v>4</v>
      </c>
      <c r="Y6" s="26" t="str">
        <f>IFERROR(__xludf.DUMMYFUNCTION("""COMPUTED_VALUE"""),"1=2+3+4")</f>
        <v>1=2+3+4</v>
      </c>
      <c r="Z6" s="26">
        <f>IFERROR(__xludf.DUMMYFUNCTION("""COMPUTED_VALUE"""),2.0)</f>
        <v>2</v>
      </c>
      <c r="AA6" s="26">
        <f>IFERROR(__xludf.DUMMYFUNCTION("""COMPUTED_VALUE"""),3.0)</f>
        <v>3</v>
      </c>
      <c r="AB6" s="26">
        <f>IFERROR(__xludf.DUMMYFUNCTION("""COMPUTED_VALUE"""),4.0)</f>
        <v>4</v>
      </c>
      <c r="AC6" s="26" t="str">
        <f>IFERROR(__xludf.DUMMYFUNCTION("""COMPUTED_VALUE"""),"1=2+3+4")</f>
        <v>1=2+3+4</v>
      </c>
      <c r="AD6" s="26">
        <f>IFERROR(__xludf.DUMMYFUNCTION("""COMPUTED_VALUE"""),2.0)</f>
        <v>2</v>
      </c>
      <c r="AE6" s="26">
        <f>IFERROR(__xludf.DUMMYFUNCTION("""COMPUTED_VALUE"""),3.0)</f>
        <v>3</v>
      </c>
      <c r="AF6" s="26">
        <f>IFERROR(__xludf.DUMMYFUNCTION("""COMPUTED_VALUE"""),4.0)</f>
        <v>4</v>
      </c>
      <c r="AG6" s="26" t="str">
        <f>IFERROR(__xludf.DUMMYFUNCTION("""COMPUTED_VALUE"""),"1=2+3+4")</f>
        <v>1=2+3+4</v>
      </c>
      <c r="AH6" s="26">
        <f>IFERROR(__xludf.DUMMYFUNCTION("""COMPUTED_VALUE"""),2.0)</f>
        <v>2</v>
      </c>
      <c r="AI6" s="26">
        <f>IFERROR(__xludf.DUMMYFUNCTION("""COMPUTED_VALUE"""),3.0)</f>
        <v>3</v>
      </c>
      <c r="AJ6" s="26">
        <f>IFERROR(__xludf.DUMMYFUNCTION("""COMPUTED_VALUE"""),4.0)</f>
        <v>4</v>
      </c>
      <c r="AK6" s="26" t="str">
        <f>IFERROR(__xludf.DUMMYFUNCTION("""COMPUTED_VALUE"""),"1=2+3+4")</f>
        <v>1=2+3+4</v>
      </c>
      <c r="AL6" s="26">
        <f>IFERROR(__xludf.DUMMYFUNCTION("""COMPUTED_VALUE"""),2.0)</f>
        <v>2</v>
      </c>
      <c r="AM6" s="26">
        <f>IFERROR(__xludf.DUMMYFUNCTION("""COMPUTED_VALUE"""),3.0)</f>
        <v>3</v>
      </c>
      <c r="AN6" s="26">
        <f>IFERROR(__xludf.DUMMYFUNCTION("""COMPUTED_VALUE"""),4.0)</f>
        <v>4</v>
      </c>
      <c r="AO6" s="26" t="str">
        <f>IFERROR(__xludf.DUMMYFUNCTION("""COMPUTED_VALUE"""),"1=2+3+4")</f>
        <v>1=2+3+4</v>
      </c>
      <c r="AP6" s="26">
        <f>IFERROR(__xludf.DUMMYFUNCTION("""COMPUTED_VALUE"""),2.0)</f>
        <v>2</v>
      </c>
      <c r="AQ6" s="26">
        <f>IFERROR(__xludf.DUMMYFUNCTION("""COMPUTED_VALUE"""),3.0)</f>
        <v>3</v>
      </c>
      <c r="AR6" s="26">
        <f>IFERROR(__xludf.DUMMYFUNCTION("""COMPUTED_VALUE"""),4.0)</f>
        <v>4</v>
      </c>
      <c r="AS6" s="26" t="str">
        <f>IFERROR(__xludf.DUMMYFUNCTION("""COMPUTED_VALUE"""),"1=2+3+4")</f>
        <v>1=2+3+4</v>
      </c>
      <c r="AT6" s="26">
        <f>IFERROR(__xludf.DUMMYFUNCTION("""COMPUTED_VALUE"""),2.0)</f>
        <v>2</v>
      </c>
      <c r="AU6" s="26">
        <f>IFERROR(__xludf.DUMMYFUNCTION("""COMPUTED_VALUE"""),3.0)</f>
        <v>3</v>
      </c>
      <c r="AV6" s="26">
        <f>IFERROR(__xludf.DUMMYFUNCTION("""COMPUTED_VALUE"""),4.0)</f>
        <v>4</v>
      </c>
      <c r="AW6" s="26" t="str">
        <f>IFERROR(__xludf.DUMMYFUNCTION("""COMPUTED_VALUE"""),"1=2+3+4")</f>
        <v>1=2+3+4</v>
      </c>
      <c r="AX6" s="26">
        <f>IFERROR(__xludf.DUMMYFUNCTION("""COMPUTED_VALUE"""),2.0)</f>
        <v>2</v>
      </c>
      <c r="AY6" s="26">
        <f>IFERROR(__xludf.DUMMYFUNCTION("""COMPUTED_VALUE"""),3.0)</f>
        <v>3</v>
      </c>
      <c r="AZ6" s="27">
        <f>IFERROR(__xludf.DUMMYFUNCTION("""COMPUTED_VALUE"""),4.0)</f>
        <v>4</v>
      </c>
      <c r="BA6" s="16"/>
    </row>
    <row r="7" ht="15.75" customHeight="1">
      <c r="A7" s="29"/>
      <c r="B7" s="30" t="str">
        <f>IFERROR(__xludf.DUMMYFUNCTION("""COMPUTED_VALUE"""),"1. TRƯỜNG")</f>
        <v>1. TRƯỜNG</v>
      </c>
      <c r="C7" s="31" t="str">
        <f>IFERROR(__xludf.DUMMYFUNCTION("""COMPUTED_VALUE"""),"Tháng")</f>
        <v>Tháng</v>
      </c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3"/>
      <c r="BA7" s="34"/>
    </row>
    <row r="8" ht="15.75" customHeight="1">
      <c r="A8" s="29"/>
      <c r="B8" s="196" t="str">
        <f>IFERROR(__xludf.DUMMYFUNCTION("""COMPUTED_VALUE"""),"1.1. Tổng số")</f>
        <v>1.1. Tổng số</v>
      </c>
      <c r="C8" s="57"/>
      <c r="D8" s="57" t="str">
        <f>IFERROR(__xludf.DUMMYFUNCTION("""COMPUTED_VALUE"""),"Trường")</f>
        <v>Trường</v>
      </c>
      <c r="E8" s="125">
        <f>IFERROR(__xludf.DUMMYFUNCTION("""COMPUTED_VALUE"""),14.0)</f>
        <v>14</v>
      </c>
      <c r="F8" s="201">
        <f>IFERROR(__xludf.DUMMYFUNCTION("""COMPUTED_VALUE"""),12.0)</f>
        <v>12</v>
      </c>
      <c r="G8" s="201">
        <f>IFERROR(__xludf.DUMMYFUNCTION("""COMPUTED_VALUE"""),1.0)</f>
        <v>1</v>
      </c>
      <c r="H8" s="201">
        <f>IFERROR(__xludf.DUMMYFUNCTION("""COMPUTED_VALUE"""),1.0)</f>
        <v>1</v>
      </c>
      <c r="I8" s="125">
        <f>IFERROR(__xludf.DUMMYFUNCTION("""COMPUTED_VALUE"""),14.0)</f>
        <v>14</v>
      </c>
      <c r="J8" s="201">
        <f>IFERROR(__xludf.DUMMYFUNCTION("""COMPUTED_VALUE"""),12.0)</f>
        <v>12</v>
      </c>
      <c r="K8" s="201">
        <f>IFERROR(__xludf.DUMMYFUNCTION("""COMPUTED_VALUE"""),1.0)</f>
        <v>1</v>
      </c>
      <c r="L8" s="201">
        <f>IFERROR(__xludf.DUMMYFUNCTION("""COMPUTED_VALUE"""),1.0)</f>
        <v>1</v>
      </c>
      <c r="M8" s="125">
        <f>IFERROR(__xludf.DUMMYFUNCTION("""COMPUTED_VALUE"""),13.0)</f>
        <v>13</v>
      </c>
      <c r="N8" s="201">
        <f>IFERROR(__xludf.DUMMYFUNCTION("""COMPUTED_VALUE"""),11.0)</f>
        <v>11</v>
      </c>
      <c r="O8" s="201">
        <f>IFERROR(__xludf.DUMMYFUNCTION("""COMPUTED_VALUE"""),1.0)</f>
        <v>1</v>
      </c>
      <c r="P8" s="201">
        <f>IFERROR(__xludf.DUMMYFUNCTION("""COMPUTED_VALUE"""),1.0)</f>
        <v>1</v>
      </c>
      <c r="Q8" s="125">
        <f>IFERROR(__xludf.DUMMYFUNCTION("""COMPUTED_VALUE"""),13.0)</f>
        <v>13</v>
      </c>
      <c r="R8" s="201">
        <f>IFERROR(__xludf.DUMMYFUNCTION("""COMPUTED_VALUE"""),11.0)</f>
        <v>11</v>
      </c>
      <c r="S8" s="201">
        <f>IFERROR(__xludf.DUMMYFUNCTION("""COMPUTED_VALUE"""),1.0)</f>
        <v>1</v>
      </c>
      <c r="T8" s="201">
        <f>IFERROR(__xludf.DUMMYFUNCTION("""COMPUTED_VALUE"""),1.0)</f>
        <v>1</v>
      </c>
      <c r="U8" s="125">
        <f>IFERROR(__xludf.DUMMYFUNCTION("""COMPUTED_VALUE"""),13.0)</f>
        <v>13</v>
      </c>
      <c r="V8" s="201">
        <f>IFERROR(__xludf.DUMMYFUNCTION("""COMPUTED_VALUE"""),11.0)</f>
        <v>11</v>
      </c>
      <c r="W8" s="201">
        <f>IFERROR(__xludf.DUMMYFUNCTION("""COMPUTED_VALUE"""),1.0)</f>
        <v>1</v>
      </c>
      <c r="X8" s="201">
        <f>IFERROR(__xludf.DUMMYFUNCTION("""COMPUTED_VALUE"""),1.0)</f>
        <v>1</v>
      </c>
      <c r="Y8" s="125">
        <f>IFERROR(__xludf.DUMMYFUNCTION("""COMPUTED_VALUE"""),13.0)</f>
        <v>13</v>
      </c>
      <c r="Z8" s="201">
        <f>IFERROR(__xludf.DUMMYFUNCTION("""COMPUTED_VALUE"""),11.0)</f>
        <v>11</v>
      </c>
      <c r="AA8" s="201">
        <f>IFERROR(__xludf.DUMMYFUNCTION("""COMPUTED_VALUE"""),1.0)</f>
        <v>1</v>
      </c>
      <c r="AB8" s="201">
        <f>IFERROR(__xludf.DUMMYFUNCTION("""COMPUTED_VALUE"""),1.0)</f>
        <v>1</v>
      </c>
      <c r="AC8" s="125">
        <f>IFERROR(__xludf.DUMMYFUNCTION("""COMPUTED_VALUE"""),13.0)</f>
        <v>13</v>
      </c>
      <c r="AD8" s="201">
        <f>IFERROR(__xludf.DUMMYFUNCTION("""COMPUTED_VALUE"""),11.0)</f>
        <v>11</v>
      </c>
      <c r="AE8" s="201">
        <f>IFERROR(__xludf.DUMMYFUNCTION("""COMPUTED_VALUE"""),1.0)</f>
        <v>1</v>
      </c>
      <c r="AF8" s="201">
        <f>IFERROR(__xludf.DUMMYFUNCTION("""COMPUTED_VALUE"""),1.0)</f>
        <v>1</v>
      </c>
      <c r="AG8" s="125">
        <f>IFERROR(__xludf.DUMMYFUNCTION("""COMPUTED_VALUE"""),2.0)</f>
        <v>2</v>
      </c>
      <c r="AH8" s="201">
        <f>IFERROR(__xludf.DUMMYFUNCTION("""COMPUTED_VALUE"""),1.0)</f>
        <v>1</v>
      </c>
      <c r="AI8" s="201">
        <f>IFERROR(__xludf.DUMMYFUNCTION("""COMPUTED_VALUE"""),1.0)</f>
        <v>1</v>
      </c>
      <c r="AJ8" s="201">
        <f>IFERROR(__xludf.DUMMYFUNCTION("""COMPUTED_VALUE"""),0.0)</f>
        <v>0</v>
      </c>
      <c r="AK8" s="125">
        <f>IFERROR(__xludf.DUMMYFUNCTION("""COMPUTED_VALUE"""),0.0)</f>
        <v>0</v>
      </c>
      <c r="AL8" s="201">
        <f>IFERROR(__xludf.DUMMYFUNCTION("""COMPUTED_VALUE"""),0.0)</f>
        <v>0</v>
      </c>
      <c r="AM8" s="201">
        <f>IFERROR(__xludf.DUMMYFUNCTION("""COMPUTED_VALUE"""),0.0)</f>
        <v>0</v>
      </c>
      <c r="AN8" s="201">
        <f>IFERROR(__xludf.DUMMYFUNCTION("""COMPUTED_VALUE"""),0.0)</f>
        <v>0</v>
      </c>
      <c r="AO8" s="125">
        <f>IFERROR(__xludf.DUMMYFUNCTION("""COMPUTED_VALUE"""),0.0)</f>
        <v>0</v>
      </c>
      <c r="AP8" s="201">
        <f>IFERROR(__xludf.DUMMYFUNCTION("""COMPUTED_VALUE"""),0.0)</f>
        <v>0</v>
      </c>
      <c r="AQ8" s="201">
        <f>IFERROR(__xludf.DUMMYFUNCTION("""COMPUTED_VALUE"""),0.0)</f>
        <v>0</v>
      </c>
      <c r="AR8" s="201">
        <f>IFERROR(__xludf.DUMMYFUNCTION("""COMPUTED_VALUE"""),0.0)</f>
        <v>0</v>
      </c>
      <c r="AS8" s="125">
        <f>IFERROR(__xludf.DUMMYFUNCTION("""COMPUTED_VALUE"""),0.0)</f>
        <v>0</v>
      </c>
      <c r="AT8" s="201">
        <f>IFERROR(__xludf.DUMMYFUNCTION("""COMPUTED_VALUE"""),0.0)</f>
        <v>0</v>
      </c>
      <c r="AU8" s="201">
        <f>IFERROR(__xludf.DUMMYFUNCTION("""COMPUTED_VALUE"""),0.0)</f>
        <v>0</v>
      </c>
      <c r="AV8" s="201">
        <f>IFERROR(__xludf.DUMMYFUNCTION("""COMPUTED_VALUE"""),0.0)</f>
        <v>0</v>
      </c>
      <c r="AW8" s="125">
        <f>IFERROR(__xludf.DUMMYFUNCTION("""COMPUTED_VALUE"""),0.0)</f>
        <v>0</v>
      </c>
      <c r="AX8" s="201">
        <f>IFERROR(__xludf.DUMMYFUNCTION("""COMPUTED_VALUE"""),0.0)</f>
        <v>0</v>
      </c>
      <c r="AY8" s="201">
        <f>IFERROR(__xludf.DUMMYFUNCTION("""COMPUTED_VALUE"""),0.0)</f>
        <v>0</v>
      </c>
      <c r="AZ8" s="202">
        <f>IFERROR(__xludf.DUMMYFUNCTION("""COMPUTED_VALUE"""),0.0)</f>
        <v>0</v>
      </c>
      <c r="BA8" s="34"/>
    </row>
    <row r="9" ht="15.75" customHeight="1">
      <c r="A9" s="29"/>
      <c r="B9" s="48" t="str">
        <f>IFERROR(__xludf.DUMMYFUNCTION("""COMPUTED_VALUE"""),"Trong tổng số có:")</f>
        <v>Trong tổng số có:</v>
      </c>
      <c r="C9" s="49"/>
      <c r="D9" s="3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50"/>
      <c r="BA9" s="34"/>
    </row>
    <row r="10" ht="15.75" customHeight="1">
      <c r="A10" s="29"/>
      <c r="B10" s="67" t="str">
        <f>IFERROR(__xludf.DUMMYFUNCTION("""COMPUTED_VALUE"""),"1.2. Số trường có điểm lẻ")</f>
        <v>1.2. Số trường có điểm lẻ</v>
      </c>
      <c r="C10" s="31"/>
      <c r="D10" s="31" t="str">
        <f>IFERROR(__xludf.DUMMYFUNCTION("""COMPUTED_VALUE"""),"Trường")</f>
        <v>Trường</v>
      </c>
      <c r="E10" s="41">
        <f>IFERROR(__xludf.DUMMYFUNCTION("""COMPUTED_VALUE"""),12.0)</f>
        <v>12</v>
      </c>
      <c r="F10" s="197">
        <f>IFERROR(__xludf.DUMMYFUNCTION("""COMPUTED_VALUE"""),12.0)</f>
        <v>12</v>
      </c>
      <c r="G10" s="197">
        <f>IFERROR(__xludf.DUMMYFUNCTION("""COMPUTED_VALUE"""),0.0)</f>
        <v>0</v>
      </c>
      <c r="H10" s="197">
        <f>IFERROR(__xludf.DUMMYFUNCTION("""COMPUTED_VALUE"""),0.0)</f>
        <v>0</v>
      </c>
      <c r="I10" s="41">
        <f>IFERROR(__xludf.DUMMYFUNCTION("""COMPUTED_VALUE"""),10.0)</f>
        <v>10</v>
      </c>
      <c r="J10" s="197">
        <f>IFERROR(__xludf.DUMMYFUNCTION("""COMPUTED_VALUE"""),10.0)</f>
        <v>10</v>
      </c>
      <c r="K10" s="197">
        <f>IFERROR(__xludf.DUMMYFUNCTION("""COMPUTED_VALUE"""),0.0)</f>
        <v>0</v>
      </c>
      <c r="L10" s="197">
        <f>IFERROR(__xludf.DUMMYFUNCTION("""COMPUTED_VALUE"""),0.0)</f>
        <v>0</v>
      </c>
      <c r="M10" s="41">
        <f>IFERROR(__xludf.DUMMYFUNCTION("""COMPUTED_VALUE"""),9.0)</f>
        <v>9</v>
      </c>
      <c r="N10" s="197">
        <f>IFERROR(__xludf.DUMMYFUNCTION("""COMPUTED_VALUE"""),9.0)</f>
        <v>9</v>
      </c>
      <c r="O10" s="197">
        <f>IFERROR(__xludf.DUMMYFUNCTION("""COMPUTED_VALUE"""),0.0)</f>
        <v>0</v>
      </c>
      <c r="P10" s="197">
        <f>IFERROR(__xludf.DUMMYFUNCTION("""COMPUTED_VALUE"""),0.0)</f>
        <v>0</v>
      </c>
      <c r="Q10" s="41">
        <f>IFERROR(__xludf.DUMMYFUNCTION("""COMPUTED_VALUE"""),9.0)</f>
        <v>9</v>
      </c>
      <c r="R10" s="197">
        <f>IFERROR(__xludf.DUMMYFUNCTION("""COMPUTED_VALUE"""),9.0)</f>
        <v>9</v>
      </c>
      <c r="S10" s="197">
        <f>IFERROR(__xludf.DUMMYFUNCTION("""COMPUTED_VALUE"""),0.0)</f>
        <v>0</v>
      </c>
      <c r="T10" s="197">
        <f>IFERROR(__xludf.DUMMYFUNCTION("""COMPUTED_VALUE"""),0.0)</f>
        <v>0</v>
      </c>
      <c r="U10" s="41">
        <f>IFERROR(__xludf.DUMMYFUNCTION("""COMPUTED_VALUE"""),9.0)</f>
        <v>9</v>
      </c>
      <c r="V10" s="197">
        <f>IFERROR(__xludf.DUMMYFUNCTION("""COMPUTED_VALUE"""),9.0)</f>
        <v>9</v>
      </c>
      <c r="W10" s="197">
        <f>IFERROR(__xludf.DUMMYFUNCTION("""COMPUTED_VALUE"""),0.0)</f>
        <v>0</v>
      </c>
      <c r="X10" s="197">
        <f>IFERROR(__xludf.DUMMYFUNCTION("""COMPUTED_VALUE"""),0.0)</f>
        <v>0</v>
      </c>
      <c r="Y10" s="41">
        <f>IFERROR(__xludf.DUMMYFUNCTION("""COMPUTED_VALUE"""),10.0)</f>
        <v>10</v>
      </c>
      <c r="Z10" s="197">
        <f>IFERROR(__xludf.DUMMYFUNCTION("""COMPUTED_VALUE"""),10.0)</f>
        <v>10</v>
      </c>
      <c r="AA10" s="197">
        <f>IFERROR(__xludf.DUMMYFUNCTION("""COMPUTED_VALUE"""),0.0)</f>
        <v>0</v>
      </c>
      <c r="AB10" s="197">
        <f>IFERROR(__xludf.DUMMYFUNCTION("""COMPUTED_VALUE"""),0.0)</f>
        <v>0</v>
      </c>
      <c r="AC10" s="41">
        <f>IFERROR(__xludf.DUMMYFUNCTION("""COMPUTED_VALUE"""),10.0)</f>
        <v>10</v>
      </c>
      <c r="AD10" s="197">
        <f>IFERROR(__xludf.DUMMYFUNCTION("""COMPUTED_VALUE"""),10.0)</f>
        <v>10</v>
      </c>
      <c r="AE10" s="197">
        <f>IFERROR(__xludf.DUMMYFUNCTION("""COMPUTED_VALUE"""),0.0)</f>
        <v>0</v>
      </c>
      <c r="AF10" s="197">
        <f>IFERROR(__xludf.DUMMYFUNCTION("""COMPUTED_VALUE"""),0.0)</f>
        <v>0</v>
      </c>
      <c r="AG10" s="41">
        <f>IFERROR(__xludf.DUMMYFUNCTION("""COMPUTED_VALUE"""),1.0)</f>
        <v>1</v>
      </c>
      <c r="AH10" s="197">
        <f>IFERROR(__xludf.DUMMYFUNCTION("""COMPUTED_VALUE"""),1.0)</f>
        <v>1</v>
      </c>
      <c r="AI10" s="197">
        <f>IFERROR(__xludf.DUMMYFUNCTION("""COMPUTED_VALUE"""),0.0)</f>
        <v>0</v>
      </c>
      <c r="AJ10" s="197">
        <f>IFERROR(__xludf.DUMMYFUNCTION("""COMPUTED_VALUE"""),0.0)</f>
        <v>0</v>
      </c>
      <c r="AK10" s="41">
        <f>IFERROR(__xludf.DUMMYFUNCTION("""COMPUTED_VALUE"""),0.0)</f>
        <v>0</v>
      </c>
      <c r="AL10" s="197">
        <f>IFERROR(__xludf.DUMMYFUNCTION("""COMPUTED_VALUE"""),0.0)</f>
        <v>0</v>
      </c>
      <c r="AM10" s="197">
        <f>IFERROR(__xludf.DUMMYFUNCTION("""COMPUTED_VALUE"""),0.0)</f>
        <v>0</v>
      </c>
      <c r="AN10" s="197">
        <f>IFERROR(__xludf.DUMMYFUNCTION("""COMPUTED_VALUE"""),0.0)</f>
        <v>0</v>
      </c>
      <c r="AO10" s="41">
        <f>IFERROR(__xludf.DUMMYFUNCTION("""COMPUTED_VALUE"""),0.0)</f>
        <v>0</v>
      </c>
      <c r="AP10" s="197">
        <f>IFERROR(__xludf.DUMMYFUNCTION("""COMPUTED_VALUE"""),0.0)</f>
        <v>0</v>
      </c>
      <c r="AQ10" s="197">
        <f>IFERROR(__xludf.DUMMYFUNCTION("""COMPUTED_VALUE"""),0.0)</f>
        <v>0</v>
      </c>
      <c r="AR10" s="197">
        <f>IFERROR(__xludf.DUMMYFUNCTION("""COMPUTED_VALUE"""),0.0)</f>
        <v>0</v>
      </c>
      <c r="AS10" s="41">
        <f>IFERROR(__xludf.DUMMYFUNCTION("""COMPUTED_VALUE"""),0.0)</f>
        <v>0</v>
      </c>
      <c r="AT10" s="197">
        <f>IFERROR(__xludf.DUMMYFUNCTION("""COMPUTED_VALUE"""),0.0)</f>
        <v>0</v>
      </c>
      <c r="AU10" s="197">
        <f>IFERROR(__xludf.DUMMYFUNCTION("""COMPUTED_VALUE"""),0.0)</f>
        <v>0</v>
      </c>
      <c r="AV10" s="197">
        <f>IFERROR(__xludf.DUMMYFUNCTION("""COMPUTED_VALUE"""),0.0)</f>
        <v>0</v>
      </c>
      <c r="AW10" s="41">
        <f>IFERROR(__xludf.DUMMYFUNCTION("""COMPUTED_VALUE"""),0.0)</f>
        <v>0</v>
      </c>
      <c r="AX10" s="197">
        <f>IFERROR(__xludf.DUMMYFUNCTION("""COMPUTED_VALUE"""),0.0)</f>
        <v>0</v>
      </c>
      <c r="AY10" s="197">
        <f>IFERROR(__xludf.DUMMYFUNCTION("""COMPUTED_VALUE"""),0.0)</f>
        <v>0</v>
      </c>
      <c r="AZ10" s="198">
        <f>IFERROR(__xludf.DUMMYFUNCTION("""COMPUTED_VALUE"""),0.0)</f>
        <v>0</v>
      </c>
      <c r="BA10" s="34"/>
    </row>
    <row r="11" ht="15.75" customHeight="1">
      <c r="A11" s="29"/>
      <c r="B11" s="52" t="str">
        <f>IFERROR(__xludf.DUMMYFUNCTION("""COMPUTED_VALUE"""),"Tổng số điểm lẻ")</f>
        <v>Tổng số điểm lẻ</v>
      </c>
      <c r="C11" s="49"/>
      <c r="D11" s="31" t="str">
        <f>IFERROR(__xludf.DUMMYFUNCTION("""COMPUTED_VALUE"""),"Điểm")</f>
        <v>Điểm</v>
      </c>
      <c r="E11" s="41">
        <f>IFERROR(__xludf.DUMMYFUNCTION("""COMPUTED_VALUE"""),19.0)</f>
        <v>19</v>
      </c>
      <c r="F11" s="197">
        <f>IFERROR(__xludf.DUMMYFUNCTION("""COMPUTED_VALUE"""),19.0)</f>
        <v>19</v>
      </c>
      <c r="G11" s="197">
        <f>IFERROR(__xludf.DUMMYFUNCTION("""COMPUTED_VALUE"""),0.0)</f>
        <v>0</v>
      </c>
      <c r="H11" s="197">
        <f>IFERROR(__xludf.DUMMYFUNCTION("""COMPUTED_VALUE"""),0.0)</f>
        <v>0</v>
      </c>
      <c r="I11" s="41">
        <f>IFERROR(__xludf.DUMMYFUNCTION("""COMPUTED_VALUE"""),16.0)</f>
        <v>16</v>
      </c>
      <c r="J11" s="197">
        <f>IFERROR(__xludf.DUMMYFUNCTION("""COMPUTED_VALUE"""),16.0)</f>
        <v>16</v>
      </c>
      <c r="K11" s="197">
        <f>IFERROR(__xludf.DUMMYFUNCTION("""COMPUTED_VALUE"""),0.0)</f>
        <v>0</v>
      </c>
      <c r="L11" s="197">
        <f>IFERROR(__xludf.DUMMYFUNCTION("""COMPUTED_VALUE"""),0.0)</f>
        <v>0</v>
      </c>
      <c r="M11" s="41">
        <f>IFERROR(__xludf.DUMMYFUNCTION("""COMPUTED_VALUE"""),15.0)</f>
        <v>15</v>
      </c>
      <c r="N11" s="197">
        <f>IFERROR(__xludf.DUMMYFUNCTION("""COMPUTED_VALUE"""),15.0)</f>
        <v>15</v>
      </c>
      <c r="O11" s="197">
        <f>IFERROR(__xludf.DUMMYFUNCTION("""COMPUTED_VALUE"""),0.0)</f>
        <v>0</v>
      </c>
      <c r="P11" s="197">
        <f>IFERROR(__xludf.DUMMYFUNCTION("""COMPUTED_VALUE"""),0.0)</f>
        <v>0</v>
      </c>
      <c r="Q11" s="41">
        <f>IFERROR(__xludf.DUMMYFUNCTION("""COMPUTED_VALUE"""),15.0)</f>
        <v>15</v>
      </c>
      <c r="R11" s="197">
        <f>IFERROR(__xludf.DUMMYFUNCTION("""COMPUTED_VALUE"""),15.0)</f>
        <v>15</v>
      </c>
      <c r="S11" s="197">
        <f>IFERROR(__xludf.DUMMYFUNCTION("""COMPUTED_VALUE"""),0.0)</f>
        <v>0</v>
      </c>
      <c r="T11" s="197">
        <f>IFERROR(__xludf.DUMMYFUNCTION("""COMPUTED_VALUE"""),0.0)</f>
        <v>0</v>
      </c>
      <c r="U11" s="41">
        <f>IFERROR(__xludf.DUMMYFUNCTION("""COMPUTED_VALUE"""),15.0)</f>
        <v>15</v>
      </c>
      <c r="V11" s="197">
        <f>IFERROR(__xludf.DUMMYFUNCTION("""COMPUTED_VALUE"""),15.0)</f>
        <v>15</v>
      </c>
      <c r="W11" s="197">
        <f>IFERROR(__xludf.DUMMYFUNCTION("""COMPUTED_VALUE"""),0.0)</f>
        <v>0</v>
      </c>
      <c r="X11" s="197">
        <f>IFERROR(__xludf.DUMMYFUNCTION("""COMPUTED_VALUE"""),0.0)</f>
        <v>0</v>
      </c>
      <c r="Y11" s="41">
        <f>IFERROR(__xludf.DUMMYFUNCTION("""COMPUTED_VALUE"""),16.0)</f>
        <v>16</v>
      </c>
      <c r="Z11" s="197">
        <f>IFERROR(__xludf.DUMMYFUNCTION("""COMPUTED_VALUE"""),16.0)</f>
        <v>16</v>
      </c>
      <c r="AA11" s="197">
        <f>IFERROR(__xludf.DUMMYFUNCTION("""COMPUTED_VALUE"""),0.0)</f>
        <v>0</v>
      </c>
      <c r="AB11" s="197">
        <f>IFERROR(__xludf.DUMMYFUNCTION("""COMPUTED_VALUE"""),0.0)</f>
        <v>0</v>
      </c>
      <c r="AC11" s="41">
        <f>IFERROR(__xludf.DUMMYFUNCTION("""COMPUTED_VALUE"""),16.0)</f>
        <v>16</v>
      </c>
      <c r="AD11" s="197">
        <f>IFERROR(__xludf.DUMMYFUNCTION("""COMPUTED_VALUE"""),16.0)</f>
        <v>16</v>
      </c>
      <c r="AE11" s="197">
        <f>IFERROR(__xludf.DUMMYFUNCTION("""COMPUTED_VALUE"""),0.0)</f>
        <v>0</v>
      </c>
      <c r="AF11" s="197">
        <f>IFERROR(__xludf.DUMMYFUNCTION("""COMPUTED_VALUE"""),0.0)</f>
        <v>0</v>
      </c>
      <c r="AG11" s="41">
        <f>IFERROR(__xludf.DUMMYFUNCTION("""COMPUTED_VALUE"""),1.0)</f>
        <v>1</v>
      </c>
      <c r="AH11" s="197">
        <f>IFERROR(__xludf.DUMMYFUNCTION("""COMPUTED_VALUE"""),1.0)</f>
        <v>1</v>
      </c>
      <c r="AI11" s="197">
        <f>IFERROR(__xludf.DUMMYFUNCTION("""COMPUTED_VALUE"""),0.0)</f>
        <v>0</v>
      </c>
      <c r="AJ11" s="197">
        <f>IFERROR(__xludf.DUMMYFUNCTION("""COMPUTED_VALUE"""),0.0)</f>
        <v>0</v>
      </c>
      <c r="AK11" s="41">
        <f>IFERROR(__xludf.DUMMYFUNCTION("""COMPUTED_VALUE"""),0.0)</f>
        <v>0</v>
      </c>
      <c r="AL11" s="197">
        <f>IFERROR(__xludf.DUMMYFUNCTION("""COMPUTED_VALUE"""),0.0)</f>
        <v>0</v>
      </c>
      <c r="AM11" s="197">
        <f>IFERROR(__xludf.DUMMYFUNCTION("""COMPUTED_VALUE"""),0.0)</f>
        <v>0</v>
      </c>
      <c r="AN11" s="197">
        <f>IFERROR(__xludf.DUMMYFUNCTION("""COMPUTED_VALUE"""),0.0)</f>
        <v>0</v>
      </c>
      <c r="AO11" s="41">
        <f>IFERROR(__xludf.DUMMYFUNCTION("""COMPUTED_VALUE"""),0.0)</f>
        <v>0</v>
      </c>
      <c r="AP11" s="197">
        <f>IFERROR(__xludf.DUMMYFUNCTION("""COMPUTED_VALUE"""),0.0)</f>
        <v>0</v>
      </c>
      <c r="AQ11" s="197">
        <f>IFERROR(__xludf.DUMMYFUNCTION("""COMPUTED_VALUE"""),0.0)</f>
        <v>0</v>
      </c>
      <c r="AR11" s="197">
        <f>IFERROR(__xludf.DUMMYFUNCTION("""COMPUTED_VALUE"""),0.0)</f>
        <v>0</v>
      </c>
      <c r="AS11" s="41">
        <f>IFERROR(__xludf.DUMMYFUNCTION("""COMPUTED_VALUE"""),0.0)</f>
        <v>0</v>
      </c>
      <c r="AT11" s="197">
        <f>IFERROR(__xludf.DUMMYFUNCTION("""COMPUTED_VALUE"""),0.0)</f>
        <v>0</v>
      </c>
      <c r="AU11" s="197">
        <f>IFERROR(__xludf.DUMMYFUNCTION("""COMPUTED_VALUE"""),0.0)</f>
        <v>0</v>
      </c>
      <c r="AV11" s="197">
        <f>IFERROR(__xludf.DUMMYFUNCTION("""COMPUTED_VALUE"""),0.0)</f>
        <v>0</v>
      </c>
      <c r="AW11" s="41">
        <f>IFERROR(__xludf.DUMMYFUNCTION("""COMPUTED_VALUE"""),0.0)</f>
        <v>0</v>
      </c>
      <c r="AX11" s="197">
        <f>IFERROR(__xludf.DUMMYFUNCTION("""COMPUTED_VALUE"""),0.0)</f>
        <v>0</v>
      </c>
      <c r="AY11" s="197">
        <f>IFERROR(__xludf.DUMMYFUNCTION("""COMPUTED_VALUE"""),0.0)</f>
        <v>0</v>
      </c>
      <c r="AZ11" s="198">
        <f>IFERROR(__xludf.DUMMYFUNCTION("""COMPUTED_VALUE"""),0.0)</f>
        <v>0</v>
      </c>
      <c r="BA11" s="34"/>
    </row>
    <row r="12" ht="15.75" customHeight="1">
      <c r="A12" s="29"/>
      <c r="B12" s="67" t="str">
        <f>IFERROR(__xludf.DUMMYFUNCTION("""COMPUTED_VALUE"""),"1.3. Số trường đạt chuẩn quốc gia")</f>
        <v>1.3. Số trường đạt chuẩn quốc gia</v>
      </c>
      <c r="C12" s="31"/>
      <c r="D12" s="31" t="str">
        <f>IFERROR(__xludf.DUMMYFUNCTION("""COMPUTED_VALUE"""),"Trường")</f>
        <v>Trường</v>
      </c>
      <c r="E12" s="41">
        <f>IFERROR(__xludf.DUMMYFUNCTION("""COMPUTED_VALUE"""),7.0)</f>
        <v>7</v>
      </c>
      <c r="F12" s="197">
        <f>IFERROR(__xludf.DUMMYFUNCTION("""COMPUTED_VALUE"""),7.0)</f>
        <v>7</v>
      </c>
      <c r="G12" s="197">
        <f>IFERROR(__xludf.DUMMYFUNCTION("""COMPUTED_VALUE"""),0.0)</f>
        <v>0</v>
      </c>
      <c r="H12" s="197">
        <f>IFERROR(__xludf.DUMMYFUNCTION("""COMPUTED_VALUE"""),0.0)</f>
        <v>0</v>
      </c>
      <c r="I12" s="41">
        <f>IFERROR(__xludf.DUMMYFUNCTION("""COMPUTED_VALUE"""),7.0)</f>
        <v>7</v>
      </c>
      <c r="J12" s="197">
        <f>IFERROR(__xludf.DUMMYFUNCTION("""COMPUTED_VALUE"""),7.0)</f>
        <v>7</v>
      </c>
      <c r="K12" s="197">
        <f>IFERROR(__xludf.DUMMYFUNCTION("""COMPUTED_VALUE"""),0.0)</f>
        <v>0</v>
      </c>
      <c r="L12" s="197">
        <f>IFERROR(__xludf.DUMMYFUNCTION("""COMPUTED_VALUE"""),0.0)</f>
        <v>0</v>
      </c>
      <c r="M12" s="41">
        <f>IFERROR(__xludf.DUMMYFUNCTION("""COMPUTED_VALUE"""),7.0)</f>
        <v>7</v>
      </c>
      <c r="N12" s="197">
        <f>IFERROR(__xludf.DUMMYFUNCTION("""COMPUTED_VALUE"""),7.0)</f>
        <v>7</v>
      </c>
      <c r="O12" s="197">
        <f>IFERROR(__xludf.DUMMYFUNCTION("""COMPUTED_VALUE"""),0.0)</f>
        <v>0</v>
      </c>
      <c r="P12" s="197">
        <f>IFERROR(__xludf.DUMMYFUNCTION("""COMPUTED_VALUE"""),0.0)</f>
        <v>0</v>
      </c>
      <c r="Q12" s="41">
        <f>IFERROR(__xludf.DUMMYFUNCTION("""COMPUTED_VALUE"""),7.0)</f>
        <v>7</v>
      </c>
      <c r="R12" s="197">
        <f>IFERROR(__xludf.DUMMYFUNCTION("""COMPUTED_VALUE"""),7.0)</f>
        <v>7</v>
      </c>
      <c r="S12" s="197">
        <f>IFERROR(__xludf.DUMMYFUNCTION("""COMPUTED_VALUE"""),0.0)</f>
        <v>0</v>
      </c>
      <c r="T12" s="197">
        <f>IFERROR(__xludf.DUMMYFUNCTION("""COMPUTED_VALUE"""),0.0)</f>
        <v>0</v>
      </c>
      <c r="U12" s="41">
        <f>IFERROR(__xludf.DUMMYFUNCTION("""COMPUTED_VALUE"""),7.0)</f>
        <v>7</v>
      </c>
      <c r="V12" s="197">
        <f>IFERROR(__xludf.DUMMYFUNCTION("""COMPUTED_VALUE"""),7.0)</f>
        <v>7</v>
      </c>
      <c r="W12" s="197">
        <f>IFERROR(__xludf.DUMMYFUNCTION("""COMPUTED_VALUE"""),0.0)</f>
        <v>0</v>
      </c>
      <c r="X12" s="197">
        <f>IFERROR(__xludf.DUMMYFUNCTION("""COMPUTED_VALUE"""),0.0)</f>
        <v>0</v>
      </c>
      <c r="Y12" s="41">
        <f>IFERROR(__xludf.DUMMYFUNCTION("""COMPUTED_VALUE"""),6.0)</f>
        <v>6</v>
      </c>
      <c r="Z12" s="197">
        <f>IFERROR(__xludf.DUMMYFUNCTION("""COMPUTED_VALUE"""),6.0)</f>
        <v>6</v>
      </c>
      <c r="AA12" s="197">
        <f>IFERROR(__xludf.DUMMYFUNCTION("""COMPUTED_VALUE"""),0.0)</f>
        <v>0</v>
      </c>
      <c r="AB12" s="197">
        <f>IFERROR(__xludf.DUMMYFUNCTION("""COMPUTED_VALUE"""),0.0)</f>
        <v>0</v>
      </c>
      <c r="AC12" s="41">
        <f>IFERROR(__xludf.DUMMYFUNCTION("""COMPUTED_VALUE"""),6.0)</f>
        <v>6</v>
      </c>
      <c r="AD12" s="197">
        <f>IFERROR(__xludf.DUMMYFUNCTION("""COMPUTED_VALUE"""),6.0)</f>
        <v>6</v>
      </c>
      <c r="AE12" s="197">
        <f>IFERROR(__xludf.DUMMYFUNCTION("""COMPUTED_VALUE"""),0.0)</f>
        <v>0</v>
      </c>
      <c r="AF12" s="197">
        <f>IFERROR(__xludf.DUMMYFUNCTION("""COMPUTED_VALUE"""),0.0)</f>
        <v>0</v>
      </c>
      <c r="AG12" s="41">
        <f>IFERROR(__xludf.DUMMYFUNCTION("""COMPUTED_VALUE"""),1.0)</f>
        <v>1</v>
      </c>
      <c r="AH12" s="197">
        <f>IFERROR(__xludf.DUMMYFUNCTION("""COMPUTED_VALUE"""),1.0)</f>
        <v>1</v>
      </c>
      <c r="AI12" s="197">
        <f>IFERROR(__xludf.DUMMYFUNCTION("""COMPUTED_VALUE"""),0.0)</f>
        <v>0</v>
      </c>
      <c r="AJ12" s="197">
        <f>IFERROR(__xludf.DUMMYFUNCTION("""COMPUTED_VALUE"""),0.0)</f>
        <v>0</v>
      </c>
      <c r="AK12" s="41">
        <f>IFERROR(__xludf.DUMMYFUNCTION("""COMPUTED_VALUE"""),0.0)</f>
        <v>0</v>
      </c>
      <c r="AL12" s="197">
        <f>IFERROR(__xludf.DUMMYFUNCTION("""COMPUTED_VALUE"""),0.0)</f>
        <v>0</v>
      </c>
      <c r="AM12" s="197">
        <f>IFERROR(__xludf.DUMMYFUNCTION("""COMPUTED_VALUE"""),0.0)</f>
        <v>0</v>
      </c>
      <c r="AN12" s="197">
        <f>IFERROR(__xludf.DUMMYFUNCTION("""COMPUTED_VALUE"""),0.0)</f>
        <v>0</v>
      </c>
      <c r="AO12" s="41">
        <f>IFERROR(__xludf.DUMMYFUNCTION("""COMPUTED_VALUE"""),0.0)</f>
        <v>0</v>
      </c>
      <c r="AP12" s="197">
        <f>IFERROR(__xludf.DUMMYFUNCTION("""COMPUTED_VALUE"""),0.0)</f>
        <v>0</v>
      </c>
      <c r="AQ12" s="197">
        <f>IFERROR(__xludf.DUMMYFUNCTION("""COMPUTED_VALUE"""),0.0)</f>
        <v>0</v>
      </c>
      <c r="AR12" s="197">
        <f>IFERROR(__xludf.DUMMYFUNCTION("""COMPUTED_VALUE"""),0.0)</f>
        <v>0</v>
      </c>
      <c r="AS12" s="41">
        <f>IFERROR(__xludf.DUMMYFUNCTION("""COMPUTED_VALUE"""),0.0)</f>
        <v>0</v>
      </c>
      <c r="AT12" s="197">
        <f>IFERROR(__xludf.DUMMYFUNCTION("""COMPUTED_VALUE"""),0.0)</f>
        <v>0</v>
      </c>
      <c r="AU12" s="197">
        <f>IFERROR(__xludf.DUMMYFUNCTION("""COMPUTED_VALUE"""),0.0)</f>
        <v>0</v>
      </c>
      <c r="AV12" s="197">
        <f>IFERROR(__xludf.DUMMYFUNCTION("""COMPUTED_VALUE"""),0.0)</f>
        <v>0</v>
      </c>
      <c r="AW12" s="41">
        <f>IFERROR(__xludf.DUMMYFUNCTION("""COMPUTED_VALUE"""),0.0)</f>
        <v>0</v>
      </c>
      <c r="AX12" s="197">
        <f>IFERROR(__xludf.DUMMYFUNCTION("""COMPUTED_VALUE"""),0.0)</f>
        <v>0</v>
      </c>
      <c r="AY12" s="197">
        <f>IFERROR(__xludf.DUMMYFUNCTION("""COMPUTED_VALUE"""),0.0)</f>
        <v>0</v>
      </c>
      <c r="AZ12" s="198">
        <f>IFERROR(__xludf.DUMMYFUNCTION("""COMPUTED_VALUE"""),0.0)</f>
        <v>0</v>
      </c>
      <c r="BA12" s="34"/>
    </row>
    <row r="13" ht="15.75" customHeight="1">
      <c r="A13" s="29"/>
      <c r="B13" s="67" t="str">
        <f>IFERROR(__xludf.DUMMYFUNCTION("""COMPUTED_VALUE"""),"1.4. Số trường ở vùng đặc biệt khó khăn")</f>
        <v>1.4. Số trường ở vùng đặc biệt khó khăn</v>
      </c>
      <c r="C13" s="31"/>
      <c r="D13" s="31" t="str">
        <f>IFERROR(__xludf.DUMMYFUNCTION("""COMPUTED_VALUE"""),"Trường")</f>
        <v>Trường</v>
      </c>
      <c r="E13" s="41">
        <f>IFERROR(__xludf.DUMMYFUNCTION("""COMPUTED_VALUE"""),6.0)</f>
        <v>6</v>
      </c>
      <c r="F13" s="197">
        <f>IFERROR(__xludf.DUMMYFUNCTION("""COMPUTED_VALUE"""),6.0)</f>
        <v>6</v>
      </c>
      <c r="G13" s="197">
        <f>IFERROR(__xludf.DUMMYFUNCTION("""COMPUTED_VALUE"""),0.0)</f>
        <v>0</v>
      </c>
      <c r="H13" s="197">
        <f>IFERROR(__xludf.DUMMYFUNCTION("""COMPUTED_VALUE"""),0.0)</f>
        <v>0</v>
      </c>
      <c r="I13" s="41">
        <f>IFERROR(__xludf.DUMMYFUNCTION("""COMPUTED_VALUE"""),6.0)</f>
        <v>6</v>
      </c>
      <c r="J13" s="197">
        <f>IFERROR(__xludf.DUMMYFUNCTION("""COMPUTED_VALUE"""),6.0)</f>
        <v>6</v>
      </c>
      <c r="K13" s="197">
        <f>IFERROR(__xludf.DUMMYFUNCTION("""COMPUTED_VALUE"""),0.0)</f>
        <v>0</v>
      </c>
      <c r="L13" s="197">
        <f>IFERROR(__xludf.DUMMYFUNCTION("""COMPUTED_VALUE"""),0.0)</f>
        <v>0</v>
      </c>
      <c r="M13" s="41">
        <f>IFERROR(__xludf.DUMMYFUNCTION("""COMPUTED_VALUE"""),5.0)</f>
        <v>5</v>
      </c>
      <c r="N13" s="197">
        <f>IFERROR(__xludf.DUMMYFUNCTION("""COMPUTED_VALUE"""),5.0)</f>
        <v>5</v>
      </c>
      <c r="O13" s="197">
        <f>IFERROR(__xludf.DUMMYFUNCTION("""COMPUTED_VALUE"""),0.0)</f>
        <v>0</v>
      </c>
      <c r="P13" s="197">
        <f>IFERROR(__xludf.DUMMYFUNCTION("""COMPUTED_VALUE"""),0.0)</f>
        <v>0</v>
      </c>
      <c r="Q13" s="41">
        <f>IFERROR(__xludf.DUMMYFUNCTION("""COMPUTED_VALUE"""),5.0)</f>
        <v>5</v>
      </c>
      <c r="R13" s="197">
        <f>IFERROR(__xludf.DUMMYFUNCTION("""COMPUTED_VALUE"""),5.0)</f>
        <v>5</v>
      </c>
      <c r="S13" s="197">
        <f>IFERROR(__xludf.DUMMYFUNCTION("""COMPUTED_VALUE"""),0.0)</f>
        <v>0</v>
      </c>
      <c r="T13" s="197">
        <f>IFERROR(__xludf.DUMMYFUNCTION("""COMPUTED_VALUE"""),0.0)</f>
        <v>0</v>
      </c>
      <c r="U13" s="41">
        <f>IFERROR(__xludf.DUMMYFUNCTION("""COMPUTED_VALUE"""),5.0)</f>
        <v>5</v>
      </c>
      <c r="V13" s="197">
        <f>IFERROR(__xludf.DUMMYFUNCTION("""COMPUTED_VALUE"""),5.0)</f>
        <v>5</v>
      </c>
      <c r="W13" s="197">
        <f>IFERROR(__xludf.DUMMYFUNCTION("""COMPUTED_VALUE"""),0.0)</f>
        <v>0</v>
      </c>
      <c r="X13" s="197">
        <f>IFERROR(__xludf.DUMMYFUNCTION("""COMPUTED_VALUE"""),0.0)</f>
        <v>0</v>
      </c>
      <c r="Y13" s="41">
        <f>IFERROR(__xludf.DUMMYFUNCTION("""COMPUTED_VALUE"""),5.0)</f>
        <v>5</v>
      </c>
      <c r="Z13" s="197">
        <f>IFERROR(__xludf.DUMMYFUNCTION("""COMPUTED_VALUE"""),5.0)</f>
        <v>5</v>
      </c>
      <c r="AA13" s="197">
        <f>IFERROR(__xludf.DUMMYFUNCTION("""COMPUTED_VALUE"""),0.0)</f>
        <v>0</v>
      </c>
      <c r="AB13" s="197">
        <f>IFERROR(__xludf.DUMMYFUNCTION("""COMPUTED_VALUE"""),0.0)</f>
        <v>0</v>
      </c>
      <c r="AC13" s="41">
        <f>IFERROR(__xludf.DUMMYFUNCTION("""COMPUTED_VALUE"""),5.0)</f>
        <v>5</v>
      </c>
      <c r="AD13" s="197">
        <f>IFERROR(__xludf.DUMMYFUNCTION("""COMPUTED_VALUE"""),5.0)</f>
        <v>5</v>
      </c>
      <c r="AE13" s="197">
        <f>IFERROR(__xludf.DUMMYFUNCTION("""COMPUTED_VALUE"""),0.0)</f>
        <v>0</v>
      </c>
      <c r="AF13" s="197">
        <f>IFERROR(__xludf.DUMMYFUNCTION("""COMPUTED_VALUE"""),0.0)</f>
        <v>0</v>
      </c>
      <c r="AG13" s="41">
        <f>IFERROR(__xludf.DUMMYFUNCTION("""COMPUTED_VALUE"""),0.0)</f>
        <v>0</v>
      </c>
      <c r="AH13" s="197">
        <f>IFERROR(__xludf.DUMMYFUNCTION("""COMPUTED_VALUE"""),0.0)</f>
        <v>0</v>
      </c>
      <c r="AI13" s="197">
        <f>IFERROR(__xludf.DUMMYFUNCTION("""COMPUTED_VALUE"""),0.0)</f>
        <v>0</v>
      </c>
      <c r="AJ13" s="197">
        <f>IFERROR(__xludf.DUMMYFUNCTION("""COMPUTED_VALUE"""),0.0)</f>
        <v>0</v>
      </c>
      <c r="AK13" s="41">
        <f>IFERROR(__xludf.DUMMYFUNCTION("""COMPUTED_VALUE"""),0.0)</f>
        <v>0</v>
      </c>
      <c r="AL13" s="197">
        <f>IFERROR(__xludf.DUMMYFUNCTION("""COMPUTED_VALUE"""),0.0)</f>
        <v>0</v>
      </c>
      <c r="AM13" s="197">
        <f>IFERROR(__xludf.DUMMYFUNCTION("""COMPUTED_VALUE"""),0.0)</f>
        <v>0</v>
      </c>
      <c r="AN13" s="197">
        <f>IFERROR(__xludf.DUMMYFUNCTION("""COMPUTED_VALUE"""),0.0)</f>
        <v>0</v>
      </c>
      <c r="AO13" s="41">
        <f>IFERROR(__xludf.DUMMYFUNCTION("""COMPUTED_VALUE"""),0.0)</f>
        <v>0</v>
      </c>
      <c r="AP13" s="197">
        <f>IFERROR(__xludf.DUMMYFUNCTION("""COMPUTED_VALUE"""),0.0)</f>
        <v>0</v>
      </c>
      <c r="AQ13" s="197">
        <f>IFERROR(__xludf.DUMMYFUNCTION("""COMPUTED_VALUE"""),0.0)</f>
        <v>0</v>
      </c>
      <c r="AR13" s="197">
        <f>IFERROR(__xludf.DUMMYFUNCTION("""COMPUTED_VALUE"""),0.0)</f>
        <v>0</v>
      </c>
      <c r="AS13" s="41">
        <f>IFERROR(__xludf.DUMMYFUNCTION("""COMPUTED_VALUE"""),0.0)</f>
        <v>0</v>
      </c>
      <c r="AT13" s="197">
        <f>IFERROR(__xludf.DUMMYFUNCTION("""COMPUTED_VALUE"""),0.0)</f>
        <v>0</v>
      </c>
      <c r="AU13" s="197">
        <f>IFERROR(__xludf.DUMMYFUNCTION("""COMPUTED_VALUE"""),0.0)</f>
        <v>0</v>
      </c>
      <c r="AV13" s="197">
        <f>IFERROR(__xludf.DUMMYFUNCTION("""COMPUTED_VALUE"""),0.0)</f>
        <v>0</v>
      </c>
      <c r="AW13" s="41">
        <f>IFERROR(__xludf.DUMMYFUNCTION("""COMPUTED_VALUE"""),0.0)</f>
        <v>0</v>
      </c>
      <c r="AX13" s="197">
        <f>IFERROR(__xludf.DUMMYFUNCTION("""COMPUTED_VALUE"""),0.0)</f>
        <v>0</v>
      </c>
      <c r="AY13" s="197">
        <f>IFERROR(__xludf.DUMMYFUNCTION("""COMPUTED_VALUE"""),0.0)</f>
        <v>0</v>
      </c>
      <c r="AZ13" s="198">
        <f>IFERROR(__xludf.DUMMYFUNCTION("""COMPUTED_VALUE"""),0.0)</f>
        <v>0</v>
      </c>
      <c r="BA13" s="34"/>
    </row>
    <row r="14" ht="15.75" customHeight="1">
      <c r="A14" s="29"/>
      <c r="B14" s="30" t="str">
        <f>IFERROR(__xludf.DUMMYFUNCTION("""COMPUTED_VALUE"""),"2. LỚP")</f>
        <v>2. LỚP</v>
      </c>
      <c r="C14" s="31" t="str">
        <f>IFERROR(__xludf.DUMMYFUNCTION("""COMPUTED_VALUE"""),"Tháng")</f>
        <v>Tháng</v>
      </c>
      <c r="D14" s="3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50"/>
      <c r="BA14" s="34"/>
    </row>
    <row r="15" ht="15.75" customHeight="1">
      <c r="A15" s="29"/>
      <c r="B15" s="196" t="str">
        <f>IFERROR(__xludf.DUMMYFUNCTION("""COMPUTED_VALUE"""),"Tổng số")</f>
        <v>Tổng số</v>
      </c>
      <c r="C15" s="57"/>
      <c r="D15" s="57" t="str">
        <f>IFERROR(__xludf.DUMMYFUNCTION("""COMPUTED_VALUE"""),"Lớp")</f>
        <v>Lớp</v>
      </c>
      <c r="E15" s="125">
        <f>IFERROR(__xludf.DUMMYFUNCTION("""COMPUTED_VALUE"""),297.0)</f>
        <v>297</v>
      </c>
      <c r="F15" s="125">
        <f>IFERROR(__xludf.DUMMYFUNCTION("""COMPUTED_VALUE"""),256.0)</f>
        <v>256</v>
      </c>
      <c r="G15" s="125">
        <f>IFERROR(__xludf.DUMMYFUNCTION("""COMPUTED_VALUE"""),30.0)</f>
        <v>30</v>
      </c>
      <c r="H15" s="125">
        <f>IFERROR(__xludf.DUMMYFUNCTION("""COMPUTED_VALUE"""),11.0)</f>
        <v>11</v>
      </c>
      <c r="I15" s="125">
        <f>IFERROR(__xludf.DUMMYFUNCTION("""COMPUTED_VALUE"""),297.0)</f>
        <v>297</v>
      </c>
      <c r="J15" s="125">
        <f>IFERROR(__xludf.DUMMYFUNCTION("""COMPUTED_VALUE"""),256.0)</f>
        <v>256</v>
      </c>
      <c r="K15" s="125">
        <f>IFERROR(__xludf.DUMMYFUNCTION("""COMPUTED_VALUE"""),30.0)</f>
        <v>30</v>
      </c>
      <c r="L15" s="125">
        <f>IFERROR(__xludf.DUMMYFUNCTION("""COMPUTED_VALUE"""),11.0)</f>
        <v>11</v>
      </c>
      <c r="M15" s="125">
        <f>IFERROR(__xludf.DUMMYFUNCTION("""COMPUTED_VALUE"""),271.0)</f>
        <v>271</v>
      </c>
      <c r="N15" s="125">
        <f>IFERROR(__xludf.DUMMYFUNCTION("""COMPUTED_VALUE"""),230.0)</f>
        <v>230</v>
      </c>
      <c r="O15" s="125">
        <f>IFERROR(__xludf.DUMMYFUNCTION("""COMPUTED_VALUE"""),30.0)</f>
        <v>30</v>
      </c>
      <c r="P15" s="125">
        <f>IFERROR(__xludf.DUMMYFUNCTION("""COMPUTED_VALUE"""),11.0)</f>
        <v>11</v>
      </c>
      <c r="Q15" s="125">
        <f>IFERROR(__xludf.DUMMYFUNCTION("""COMPUTED_VALUE"""),271.0)</f>
        <v>271</v>
      </c>
      <c r="R15" s="125">
        <f>IFERROR(__xludf.DUMMYFUNCTION("""COMPUTED_VALUE"""),230.0)</f>
        <v>230</v>
      </c>
      <c r="S15" s="125">
        <f>IFERROR(__xludf.DUMMYFUNCTION("""COMPUTED_VALUE"""),30.0)</f>
        <v>30</v>
      </c>
      <c r="T15" s="125">
        <f>IFERROR(__xludf.DUMMYFUNCTION("""COMPUTED_VALUE"""),11.0)</f>
        <v>11</v>
      </c>
      <c r="U15" s="125">
        <f>IFERROR(__xludf.DUMMYFUNCTION("""COMPUTED_VALUE"""),271.0)</f>
        <v>271</v>
      </c>
      <c r="V15" s="125">
        <f>IFERROR(__xludf.DUMMYFUNCTION("""COMPUTED_VALUE"""),230.0)</f>
        <v>230</v>
      </c>
      <c r="W15" s="125">
        <f>IFERROR(__xludf.DUMMYFUNCTION("""COMPUTED_VALUE"""),30.0)</f>
        <v>30</v>
      </c>
      <c r="X15" s="125">
        <f>IFERROR(__xludf.DUMMYFUNCTION("""COMPUTED_VALUE"""),11.0)</f>
        <v>11</v>
      </c>
      <c r="Y15" s="125">
        <f>IFERROR(__xludf.DUMMYFUNCTION("""COMPUTED_VALUE"""),271.0)</f>
        <v>271</v>
      </c>
      <c r="Z15" s="125">
        <f>IFERROR(__xludf.DUMMYFUNCTION("""COMPUTED_VALUE"""),230.0)</f>
        <v>230</v>
      </c>
      <c r="AA15" s="125">
        <f>IFERROR(__xludf.DUMMYFUNCTION("""COMPUTED_VALUE"""),30.0)</f>
        <v>30</v>
      </c>
      <c r="AB15" s="125">
        <f>IFERROR(__xludf.DUMMYFUNCTION("""COMPUTED_VALUE"""),11.0)</f>
        <v>11</v>
      </c>
      <c r="AC15" s="125">
        <f>IFERROR(__xludf.DUMMYFUNCTION("""COMPUTED_VALUE"""),271.0)</f>
        <v>271</v>
      </c>
      <c r="AD15" s="125">
        <f>IFERROR(__xludf.DUMMYFUNCTION("""COMPUTED_VALUE"""),230.0)</f>
        <v>230</v>
      </c>
      <c r="AE15" s="125">
        <f>IFERROR(__xludf.DUMMYFUNCTION("""COMPUTED_VALUE"""),30.0)</f>
        <v>30</v>
      </c>
      <c r="AF15" s="125">
        <f>IFERROR(__xludf.DUMMYFUNCTION("""COMPUTED_VALUE"""),11.0)</f>
        <v>11</v>
      </c>
      <c r="AG15" s="125">
        <f>IFERROR(__xludf.DUMMYFUNCTION("""COMPUTED_VALUE"""),67.0)</f>
        <v>67</v>
      </c>
      <c r="AH15" s="125">
        <f>IFERROR(__xludf.DUMMYFUNCTION("""COMPUTED_VALUE"""),37.0)</f>
        <v>37</v>
      </c>
      <c r="AI15" s="125">
        <f>IFERROR(__xludf.DUMMYFUNCTION("""COMPUTED_VALUE"""),30.0)</f>
        <v>30</v>
      </c>
      <c r="AJ15" s="125">
        <f>IFERROR(__xludf.DUMMYFUNCTION("""COMPUTED_VALUE"""),0.0)</f>
        <v>0</v>
      </c>
      <c r="AK15" s="125">
        <f>IFERROR(__xludf.DUMMYFUNCTION("""COMPUTED_VALUE"""),0.0)</f>
        <v>0</v>
      </c>
      <c r="AL15" s="125">
        <f>IFERROR(__xludf.DUMMYFUNCTION("""COMPUTED_VALUE"""),0.0)</f>
        <v>0</v>
      </c>
      <c r="AM15" s="125">
        <f>IFERROR(__xludf.DUMMYFUNCTION("""COMPUTED_VALUE"""),0.0)</f>
        <v>0</v>
      </c>
      <c r="AN15" s="125">
        <f>IFERROR(__xludf.DUMMYFUNCTION("""COMPUTED_VALUE"""),0.0)</f>
        <v>0</v>
      </c>
      <c r="AO15" s="125">
        <f>IFERROR(__xludf.DUMMYFUNCTION("""COMPUTED_VALUE"""),0.0)</f>
        <v>0</v>
      </c>
      <c r="AP15" s="125">
        <f>IFERROR(__xludf.DUMMYFUNCTION("""COMPUTED_VALUE"""),0.0)</f>
        <v>0</v>
      </c>
      <c r="AQ15" s="125">
        <f>IFERROR(__xludf.DUMMYFUNCTION("""COMPUTED_VALUE"""),0.0)</f>
        <v>0</v>
      </c>
      <c r="AR15" s="125">
        <f>IFERROR(__xludf.DUMMYFUNCTION("""COMPUTED_VALUE"""),0.0)</f>
        <v>0</v>
      </c>
      <c r="AS15" s="125">
        <f>IFERROR(__xludf.DUMMYFUNCTION("""COMPUTED_VALUE"""),0.0)</f>
        <v>0</v>
      </c>
      <c r="AT15" s="125">
        <f>IFERROR(__xludf.DUMMYFUNCTION("""COMPUTED_VALUE"""),0.0)</f>
        <v>0</v>
      </c>
      <c r="AU15" s="125">
        <f>IFERROR(__xludf.DUMMYFUNCTION("""COMPUTED_VALUE"""),0.0)</f>
        <v>0</v>
      </c>
      <c r="AV15" s="125">
        <f>IFERROR(__xludf.DUMMYFUNCTION("""COMPUTED_VALUE"""),0.0)</f>
        <v>0</v>
      </c>
      <c r="AW15" s="125">
        <f>IFERROR(__xludf.DUMMYFUNCTION("""COMPUTED_VALUE"""),0.0)</f>
        <v>0</v>
      </c>
      <c r="AX15" s="125">
        <f>IFERROR(__xludf.DUMMYFUNCTION("""COMPUTED_VALUE"""),0.0)</f>
        <v>0</v>
      </c>
      <c r="AY15" s="125">
        <f>IFERROR(__xludf.DUMMYFUNCTION("""COMPUTED_VALUE"""),0.0)</f>
        <v>0</v>
      </c>
      <c r="AZ15" s="127">
        <f>IFERROR(__xludf.DUMMYFUNCTION("""COMPUTED_VALUE"""),0.0)</f>
        <v>0</v>
      </c>
      <c r="BA15" s="34"/>
    </row>
    <row r="16" ht="15.75" customHeight="1">
      <c r="A16" s="29"/>
      <c r="B16" s="48" t="str">
        <f>IFERROR(__xludf.DUMMYFUNCTION("""COMPUTED_VALUE"""),"Chia ra:")</f>
        <v>Chia ra:</v>
      </c>
      <c r="C16" s="49"/>
      <c r="D16" s="31"/>
      <c r="E16" s="41"/>
      <c r="F16" s="237"/>
      <c r="G16" s="237"/>
      <c r="H16" s="237"/>
      <c r="I16" s="41"/>
      <c r="J16" s="237"/>
      <c r="K16" s="237"/>
      <c r="L16" s="237"/>
      <c r="M16" s="41"/>
      <c r="N16" s="237"/>
      <c r="O16" s="237"/>
      <c r="P16" s="237"/>
      <c r="Q16" s="41"/>
      <c r="R16" s="237"/>
      <c r="S16" s="237"/>
      <c r="T16" s="237"/>
      <c r="U16" s="41"/>
      <c r="V16" s="237"/>
      <c r="W16" s="237"/>
      <c r="X16" s="237"/>
      <c r="Y16" s="41"/>
      <c r="Z16" s="237"/>
      <c r="AA16" s="237"/>
      <c r="AB16" s="237"/>
      <c r="AC16" s="41"/>
      <c r="AD16" s="237"/>
      <c r="AE16" s="237"/>
      <c r="AF16" s="237"/>
      <c r="AG16" s="41"/>
      <c r="AH16" s="237"/>
      <c r="AI16" s="237"/>
      <c r="AJ16" s="237"/>
      <c r="AK16" s="41"/>
      <c r="AL16" s="237"/>
      <c r="AM16" s="237"/>
      <c r="AN16" s="237"/>
      <c r="AO16" s="41"/>
      <c r="AP16" s="237"/>
      <c r="AQ16" s="237"/>
      <c r="AR16" s="237"/>
      <c r="AS16" s="41"/>
      <c r="AT16" s="237"/>
      <c r="AU16" s="237"/>
      <c r="AV16" s="237"/>
      <c r="AW16" s="41"/>
      <c r="AX16" s="237"/>
      <c r="AY16" s="237"/>
      <c r="AZ16" s="238"/>
      <c r="BA16" s="34"/>
    </row>
    <row r="17" ht="15.75" customHeight="1">
      <c r="A17" s="29"/>
      <c r="B17" s="67" t="str">
        <f>IFERROR(__xludf.DUMMYFUNCTION("""COMPUTED_VALUE""")," + Số lớp 1")</f>
        <v> + Số lớp 1</v>
      </c>
      <c r="C17" s="49"/>
      <c r="D17" s="31" t="str">
        <f>IFERROR(__xludf.DUMMYFUNCTION("""COMPUTED_VALUE"""),"""")</f>
        <v>"</v>
      </c>
      <c r="E17" s="41">
        <f>IFERROR(__xludf.DUMMYFUNCTION("""COMPUTED_VALUE"""),35.0)</f>
        <v>35</v>
      </c>
      <c r="F17" s="197">
        <f>IFERROR(__xludf.DUMMYFUNCTION("""COMPUTED_VALUE"""),29.0)</f>
        <v>29</v>
      </c>
      <c r="G17" s="197">
        <f>IFERROR(__xludf.DUMMYFUNCTION("""COMPUTED_VALUE"""),4.0)</f>
        <v>4</v>
      </c>
      <c r="H17" s="197">
        <f>IFERROR(__xludf.DUMMYFUNCTION("""COMPUTED_VALUE"""),2.0)</f>
        <v>2</v>
      </c>
      <c r="I17" s="41">
        <f>IFERROR(__xludf.DUMMYFUNCTION("""COMPUTED_VALUE"""),35.0)</f>
        <v>35</v>
      </c>
      <c r="J17" s="197">
        <f>IFERROR(__xludf.DUMMYFUNCTION("""COMPUTED_VALUE"""),29.0)</f>
        <v>29</v>
      </c>
      <c r="K17" s="197">
        <f>IFERROR(__xludf.DUMMYFUNCTION("""COMPUTED_VALUE"""),4.0)</f>
        <v>4</v>
      </c>
      <c r="L17" s="197">
        <f>IFERROR(__xludf.DUMMYFUNCTION("""COMPUTED_VALUE"""),2.0)</f>
        <v>2</v>
      </c>
      <c r="M17" s="41">
        <f>IFERROR(__xludf.DUMMYFUNCTION("""COMPUTED_VALUE"""),32.0)</f>
        <v>32</v>
      </c>
      <c r="N17" s="197">
        <f>IFERROR(__xludf.DUMMYFUNCTION("""COMPUTED_VALUE"""),26.0)</f>
        <v>26</v>
      </c>
      <c r="O17" s="197">
        <f>IFERROR(__xludf.DUMMYFUNCTION("""COMPUTED_VALUE"""),4.0)</f>
        <v>4</v>
      </c>
      <c r="P17" s="197">
        <f>IFERROR(__xludf.DUMMYFUNCTION("""COMPUTED_VALUE"""),2.0)</f>
        <v>2</v>
      </c>
      <c r="Q17" s="41">
        <f>IFERROR(__xludf.DUMMYFUNCTION("""COMPUTED_VALUE"""),32.0)</f>
        <v>32</v>
      </c>
      <c r="R17" s="197">
        <f>IFERROR(__xludf.DUMMYFUNCTION("""COMPUTED_VALUE"""),26.0)</f>
        <v>26</v>
      </c>
      <c r="S17" s="197">
        <f>IFERROR(__xludf.DUMMYFUNCTION("""COMPUTED_VALUE"""),4.0)</f>
        <v>4</v>
      </c>
      <c r="T17" s="197">
        <f>IFERROR(__xludf.DUMMYFUNCTION("""COMPUTED_VALUE"""),2.0)</f>
        <v>2</v>
      </c>
      <c r="U17" s="41">
        <f>IFERROR(__xludf.DUMMYFUNCTION("""COMPUTED_VALUE"""),32.0)</f>
        <v>32</v>
      </c>
      <c r="V17" s="197">
        <f>IFERROR(__xludf.DUMMYFUNCTION("""COMPUTED_VALUE"""),26.0)</f>
        <v>26</v>
      </c>
      <c r="W17" s="197">
        <f>IFERROR(__xludf.DUMMYFUNCTION("""COMPUTED_VALUE"""),4.0)</f>
        <v>4</v>
      </c>
      <c r="X17" s="197">
        <f>IFERROR(__xludf.DUMMYFUNCTION("""COMPUTED_VALUE"""),2.0)</f>
        <v>2</v>
      </c>
      <c r="Y17" s="41">
        <f>IFERROR(__xludf.DUMMYFUNCTION("""COMPUTED_VALUE"""),32.0)</f>
        <v>32</v>
      </c>
      <c r="Z17" s="197">
        <f>IFERROR(__xludf.DUMMYFUNCTION("""COMPUTED_VALUE"""),26.0)</f>
        <v>26</v>
      </c>
      <c r="AA17" s="197">
        <f>IFERROR(__xludf.DUMMYFUNCTION("""COMPUTED_VALUE"""),4.0)</f>
        <v>4</v>
      </c>
      <c r="AB17" s="197">
        <f>IFERROR(__xludf.DUMMYFUNCTION("""COMPUTED_VALUE"""),2.0)</f>
        <v>2</v>
      </c>
      <c r="AC17" s="41">
        <f>IFERROR(__xludf.DUMMYFUNCTION("""COMPUTED_VALUE"""),32.0)</f>
        <v>32</v>
      </c>
      <c r="AD17" s="197">
        <f>IFERROR(__xludf.DUMMYFUNCTION("""COMPUTED_VALUE"""),26.0)</f>
        <v>26</v>
      </c>
      <c r="AE17" s="197">
        <f>IFERROR(__xludf.DUMMYFUNCTION("""COMPUTED_VALUE"""),4.0)</f>
        <v>4</v>
      </c>
      <c r="AF17" s="197">
        <f>IFERROR(__xludf.DUMMYFUNCTION("""COMPUTED_VALUE"""),2.0)</f>
        <v>2</v>
      </c>
      <c r="AG17" s="41">
        <f>IFERROR(__xludf.DUMMYFUNCTION("""COMPUTED_VALUE"""),9.0)</f>
        <v>9</v>
      </c>
      <c r="AH17" s="197">
        <f>IFERROR(__xludf.DUMMYFUNCTION("""COMPUTED_VALUE"""),5.0)</f>
        <v>5</v>
      </c>
      <c r="AI17" s="197">
        <f>IFERROR(__xludf.DUMMYFUNCTION("""COMPUTED_VALUE"""),4.0)</f>
        <v>4</v>
      </c>
      <c r="AJ17" s="197">
        <f>IFERROR(__xludf.DUMMYFUNCTION("""COMPUTED_VALUE"""),0.0)</f>
        <v>0</v>
      </c>
      <c r="AK17" s="41">
        <f>IFERROR(__xludf.DUMMYFUNCTION("""COMPUTED_VALUE"""),0.0)</f>
        <v>0</v>
      </c>
      <c r="AL17" s="197">
        <f>IFERROR(__xludf.DUMMYFUNCTION("""COMPUTED_VALUE"""),0.0)</f>
        <v>0</v>
      </c>
      <c r="AM17" s="197">
        <f>IFERROR(__xludf.DUMMYFUNCTION("""COMPUTED_VALUE"""),0.0)</f>
        <v>0</v>
      </c>
      <c r="AN17" s="197">
        <f>IFERROR(__xludf.DUMMYFUNCTION("""COMPUTED_VALUE"""),0.0)</f>
        <v>0</v>
      </c>
      <c r="AO17" s="41">
        <f>IFERROR(__xludf.DUMMYFUNCTION("""COMPUTED_VALUE"""),0.0)</f>
        <v>0</v>
      </c>
      <c r="AP17" s="197">
        <f>IFERROR(__xludf.DUMMYFUNCTION("""COMPUTED_VALUE"""),0.0)</f>
        <v>0</v>
      </c>
      <c r="AQ17" s="197">
        <f>IFERROR(__xludf.DUMMYFUNCTION("""COMPUTED_VALUE"""),0.0)</f>
        <v>0</v>
      </c>
      <c r="AR17" s="197">
        <f>IFERROR(__xludf.DUMMYFUNCTION("""COMPUTED_VALUE"""),0.0)</f>
        <v>0</v>
      </c>
      <c r="AS17" s="41">
        <f>IFERROR(__xludf.DUMMYFUNCTION("""COMPUTED_VALUE"""),0.0)</f>
        <v>0</v>
      </c>
      <c r="AT17" s="197">
        <f>IFERROR(__xludf.DUMMYFUNCTION("""COMPUTED_VALUE"""),0.0)</f>
        <v>0</v>
      </c>
      <c r="AU17" s="197">
        <f>IFERROR(__xludf.DUMMYFUNCTION("""COMPUTED_VALUE"""),0.0)</f>
        <v>0</v>
      </c>
      <c r="AV17" s="197">
        <f>IFERROR(__xludf.DUMMYFUNCTION("""COMPUTED_VALUE"""),0.0)</f>
        <v>0</v>
      </c>
      <c r="AW17" s="41">
        <f>IFERROR(__xludf.DUMMYFUNCTION("""COMPUTED_VALUE"""),0.0)</f>
        <v>0</v>
      </c>
      <c r="AX17" s="197">
        <f>IFERROR(__xludf.DUMMYFUNCTION("""COMPUTED_VALUE"""),0.0)</f>
        <v>0</v>
      </c>
      <c r="AY17" s="197">
        <f>IFERROR(__xludf.DUMMYFUNCTION("""COMPUTED_VALUE"""),0.0)</f>
        <v>0</v>
      </c>
      <c r="AZ17" s="198">
        <f>IFERROR(__xludf.DUMMYFUNCTION("""COMPUTED_VALUE"""),0.0)</f>
        <v>0</v>
      </c>
      <c r="BA17" s="34"/>
    </row>
    <row r="18" ht="15.75" customHeight="1">
      <c r="A18" s="29"/>
      <c r="B18" s="67" t="str">
        <f>IFERROR(__xludf.DUMMYFUNCTION("""COMPUTED_VALUE""")," + Số lớp 2")</f>
        <v> + Số lớp 2</v>
      </c>
      <c r="C18" s="49"/>
      <c r="D18" s="31" t="str">
        <f>IFERROR(__xludf.DUMMYFUNCTION("""COMPUTED_VALUE"""),"""")</f>
        <v>"</v>
      </c>
      <c r="E18" s="41">
        <f>IFERROR(__xludf.DUMMYFUNCTION("""COMPUTED_VALUE"""),33.0)</f>
        <v>33</v>
      </c>
      <c r="F18" s="197">
        <f>IFERROR(__xludf.DUMMYFUNCTION("""COMPUTED_VALUE"""),27.0)</f>
        <v>27</v>
      </c>
      <c r="G18" s="197">
        <f>IFERROR(__xludf.DUMMYFUNCTION("""COMPUTED_VALUE"""),4.0)</f>
        <v>4</v>
      </c>
      <c r="H18" s="197">
        <f>IFERROR(__xludf.DUMMYFUNCTION("""COMPUTED_VALUE"""),2.0)</f>
        <v>2</v>
      </c>
      <c r="I18" s="41">
        <f>IFERROR(__xludf.DUMMYFUNCTION("""COMPUTED_VALUE"""),33.0)</f>
        <v>33</v>
      </c>
      <c r="J18" s="197">
        <f>IFERROR(__xludf.DUMMYFUNCTION("""COMPUTED_VALUE"""),27.0)</f>
        <v>27</v>
      </c>
      <c r="K18" s="197">
        <f>IFERROR(__xludf.DUMMYFUNCTION("""COMPUTED_VALUE"""),4.0)</f>
        <v>4</v>
      </c>
      <c r="L18" s="197">
        <f>IFERROR(__xludf.DUMMYFUNCTION("""COMPUTED_VALUE"""),2.0)</f>
        <v>2</v>
      </c>
      <c r="M18" s="41">
        <f>IFERROR(__xludf.DUMMYFUNCTION("""COMPUTED_VALUE"""),31.0)</f>
        <v>31</v>
      </c>
      <c r="N18" s="197">
        <f>IFERROR(__xludf.DUMMYFUNCTION("""COMPUTED_VALUE"""),25.0)</f>
        <v>25</v>
      </c>
      <c r="O18" s="197">
        <f>IFERROR(__xludf.DUMMYFUNCTION("""COMPUTED_VALUE"""),4.0)</f>
        <v>4</v>
      </c>
      <c r="P18" s="197">
        <f>IFERROR(__xludf.DUMMYFUNCTION("""COMPUTED_VALUE"""),2.0)</f>
        <v>2</v>
      </c>
      <c r="Q18" s="41">
        <f>IFERROR(__xludf.DUMMYFUNCTION("""COMPUTED_VALUE"""),31.0)</f>
        <v>31</v>
      </c>
      <c r="R18" s="197">
        <f>IFERROR(__xludf.DUMMYFUNCTION("""COMPUTED_VALUE"""),25.0)</f>
        <v>25</v>
      </c>
      <c r="S18" s="197">
        <f>IFERROR(__xludf.DUMMYFUNCTION("""COMPUTED_VALUE"""),4.0)</f>
        <v>4</v>
      </c>
      <c r="T18" s="197">
        <f>IFERROR(__xludf.DUMMYFUNCTION("""COMPUTED_VALUE"""),2.0)</f>
        <v>2</v>
      </c>
      <c r="U18" s="41">
        <f>IFERROR(__xludf.DUMMYFUNCTION("""COMPUTED_VALUE"""),31.0)</f>
        <v>31</v>
      </c>
      <c r="V18" s="197">
        <f>IFERROR(__xludf.DUMMYFUNCTION("""COMPUTED_VALUE"""),25.0)</f>
        <v>25</v>
      </c>
      <c r="W18" s="197">
        <f>IFERROR(__xludf.DUMMYFUNCTION("""COMPUTED_VALUE"""),4.0)</f>
        <v>4</v>
      </c>
      <c r="X18" s="197">
        <f>IFERROR(__xludf.DUMMYFUNCTION("""COMPUTED_VALUE"""),2.0)</f>
        <v>2</v>
      </c>
      <c r="Y18" s="41">
        <f>IFERROR(__xludf.DUMMYFUNCTION("""COMPUTED_VALUE"""),31.0)</f>
        <v>31</v>
      </c>
      <c r="Z18" s="197">
        <f>IFERROR(__xludf.DUMMYFUNCTION("""COMPUTED_VALUE"""),25.0)</f>
        <v>25</v>
      </c>
      <c r="AA18" s="197">
        <f>IFERROR(__xludf.DUMMYFUNCTION("""COMPUTED_VALUE"""),4.0)</f>
        <v>4</v>
      </c>
      <c r="AB18" s="197">
        <f>IFERROR(__xludf.DUMMYFUNCTION("""COMPUTED_VALUE"""),2.0)</f>
        <v>2</v>
      </c>
      <c r="AC18" s="41">
        <f>IFERROR(__xludf.DUMMYFUNCTION("""COMPUTED_VALUE"""),31.0)</f>
        <v>31</v>
      </c>
      <c r="AD18" s="197">
        <f>IFERROR(__xludf.DUMMYFUNCTION("""COMPUTED_VALUE"""),25.0)</f>
        <v>25</v>
      </c>
      <c r="AE18" s="197">
        <f>IFERROR(__xludf.DUMMYFUNCTION("""COMPUTED_VALUE"""),4.0)</f>
        <v>4</v>
      </c>
      <c r="AF18" s="197">
        <f>IFERROR(__xludf.DUMMYFUNCTION("""COMPUTED_VALUE"""),2.0)</f>
        <v>2</v>
      </c>
      <c r="AG18" s="41">
        <f>IFERROR(__xludf.DUMMYFUNCTION("""COMPUTED_VALUE"""),9.0)</f>
        <v>9</v>
      </c>
      <c r="AH18" s="197">
        <f>IFERROR(__xludf.DUMMYFUNCTION("""COMPUTED_VALUE"""),5.0)</f>
        <v>5</v>
      </c>
      <c r="AI18" s="197">
        <f>IFERROR(__xludf.DUMMYFUNCTION("""COMPUTED_VALUE"""),4.0)</f>
        <v>4</v>
      </c>
      <c r="AJ18" s="197">
        <f>IFERROR(__xludf.DUMMYFUNCTION("""COMPUTED_VALUE"""),0.0)</f>
        <v>0</v>
      </c>
      <c r="AK18" s="41">
        <f>IFERROR(__xludf.DUMMYFUNCTION("""COMPUTED_VALUE"""),0.0)</f>
        <v>0</v>
      </c>
      <c r="AL18" s="197">
        <f>IFERROR(__xludf.DUMMYFUNCTION("""COMPUTED_VALUE"""),0.0)</f>
        <v>0</v>
      </c>
      <c r="AM18" s="197">
        <f>IFERROR(__xludf.DUMMYFUNCTION("""COMPUTED_VALUE"""),0.0)</f>
        <v>0</v>
      </c>
      <c r="AN18" s="197">
        <f>IFERROR(__xludf.DUMMYFUNCTION("""COMPUTED_VALUE"""),0.0)</f>
        <v>0</v>
      </c>
      <c r="AO18" s="41">
        <f>IFERROR(__xludf.DUMMYFUNCTION("""COMPUTED_VALUE"""),0.0)</f>
        <v>0</v>
      </c>
      <c r="AP18" s="197">
        <f>IFERROR(__xludf.DUMMYFUNCTION("""COMPUTED_VALUE"""),0.0)</f>
        <v>0</v>
      </c>
      <c r="AQ18" s="197">
        <f>IFERROR(__xludf.DUMMYFUNCTION("""COMPUTED_VALUE"""),0.0)</f>
        <v>0</v>
      </c>
      <c r="AR18" s="197">
        <f>IFERROR(__xludf.DUMMYFUNCTION("""COMPUTED_VALUE"""),0.0)</f>
        <v>0</v>
      </c>
      <c r="AS18" s="41">
        <f>IFERROR(__xludf.DUMMYFUNCTION("""COMPUTED_VALUE"""),0.0)</f>
        <v>0</v>
      </c>
      <c r="AT18" s="197">
        <f>IFERROR(__xludf.DUMMYFUNCTION("""COMPUTED_VALUE"""),0.0)</f>
        <v>0</v>
      </c>
      <c r="AU18" s="197">
        <f>IFERROR(__xludf.DUMMYFUNCTION("""COMPUTED_VALUE"""),0.0)</f>
        <v>0</v>
      </c>
      <c r="AV18" s="197">
        <f>IFERROR(__xludf.DUMMYFUNCTION("""COMPUTED_VALUE"""),0.0)</f>
        <v>0</v>
      </c>
      <c r="AW18" s="41">
        <f>IFERROR(__xludf.DUMMYFUNCTION("""COMPUTED_VALUE"""),0.0)</f>
        <v>0</v>
      </c>
      <c r="AX18" s="197">
        <f>IFERROR(__xludf.DUMMYFUNCTION("""COMPUTED_VALUE"""),0.0)</f>
        <v>0</v>
      </c>
      <c r="AY18" s="197">
        <f>IFERROR(__xludf.DUMMYFUNCTION("""COMPUTED_VALUE"""),0.0)</f>
        <v>0</v>
      </c>
      <c r="AZ18" s="198">
        <f>IFERROR(__xludf.DUMMYFUNCTION("""COMPUTED_VALUE"""),0.0)</f>
        <v>0</v>
      </c>
      <c r="BA18" s="34"/>
    </row>
    <row r="19" ht="15.75" customHeight="1">
      <c r="A19" s="29"/>
      <c r="B19" s="67" t="str">
        <f>IFERROR(__xludf.DUMMYFUNCTION("""COMPUTED_VALUE""")," + Số lớp 3")</f>
        <v> + Số lớp 3</v>
      </c>
      <c r="C19" s="49"/>
      <c r="D19" s="31" t="str">
        <f>IFERROR(__xludf.DUMMYFUNCTION("""COMPUTED_VALUE"""),"""")</f>
        <v>"</v>
      </c>
      <c r="E19" s="41">
        <f>IFERROR(__xludf.DUMMYFUNCTION("""COMPUTED_VALUE"""),32.0)</f>
        <v>32</v>
      </c>
      <c r="F19" s="197">
        <f>IFERROR(__xludf.DUMMYFUNCTION("""COMPUTED_VALUE"""),27.0)</f>
        <v>27</v>
      </c>
      <c r="G19" s="197">
        <f>IFERROR(__xludf.DUMMYFUNCTION("""COMPUTED_VALUE"""),4.0)</f>
        <v>4</v>
      </c>
      <c r="H19" s="197">
        <f>IFERROR(__xludf.DUMMYFUNCTION("""COMPUTED_VALUE"""),1.0)</f>
        <v>1</v>
      </c>
      <c r="I19" s="41">
        <f>IFERROR(__xludf.DUMMYFUNCTION("""COMPUTED_VALUE"""),32.0)</f>
        <v>32</v>
      </c>
      <c r="J19" s="197">
        <f>IFERROR(__xludf.DUMMYFUNCTION("""COMPUTED_VALUE"""),27.0)</f>
        <v>27</v>
      </c>
      <c r="K19" s="197">
        <f>IFERROR(__xludf.DUMMYFUNCTION("""COMPUTED_VALUE"""),4.0)</f>
        <v>4</v>
      </c>
      <c r="L19" s="197">
        <f>IFERROR(__xludf.DUMMYFUNCTION("""COMPUTED_VALUE"""),1.0)</f>
        <v>1</v>
      </c>
      <c r="M19" s="41">
        <f>IFERROR(__xludf.DUMMYFUNCTION("""COMPUTED_VALUE"""),30.0)</f>
        <v>30</v>
      </c>
      <c r="N19" s="197">
        <f>IFERROR(__xludf.DUMMYFUNCTION("""COMPUTED_VALUE"""),25.0)</f>
        <v>25</v>
      </c>
      <c r="O19" s="197">
        <f>IFERROR(__xludf.DUMMYFUNCTION("""COMPUTED_VALUE"""),4.0)</f>
        <v>4</v>
      </c>
      <c r="P19" s="197">
        <f>IFERROR(__xludf.DUMMYFUNCTION("""COMPUTED_VALUE"""),1.0)</f>
        <v>1</v>
      </c>
      <c r="Q19" s="41">
        <f>IFERROR(__xludf.DUMMYFUNCTION("""COMPUTED_VALUE"""),30.0)</f>
        <v>30</v>
      </c>
      <c r="R19" s="197">
        <f>IFERROR(__xludf.DUMMYFUNCTION("""COMPUTED_VALUE"""),25.0)</f>
        <v>25</v>
      </c>
      <c r="S19" s="197">
        <f>IFERROR(__xludf.DUMMYFUNCTION("""COMPUTED_VALUE"""),4.0)</f>
        <v>4</v>
      </c>
      <c r="T19" s="197">
        <f>IFERROR(__xludf.DUMMYFUNCTION("""COMPUTED_VALUE"""),1.0)</f>
        <v>1</v>
      </c>
      <c r="U19" s="41">
        <f>IFERROR(__xludf.DUMMYFUNCTION("""COMPUTED_VALUE"""),30.0)</f>
        <v>30</v>
      </c>
      <c r="V19" s="197">
        <f>IFERROR(__xludf.DUMMYFUNCTION("""COMPUTED_VALUE"""),25.0)</f>
        <v>25</v>
      </c>
      <c r="W19" s="197">
        <f>IFERROR(__xludf.DUMMYFUNCTION("""COMPUTED_VALUE"""),4.0)</f>
        <v>4</v>
      </c>
      <c r="X19" s="197">
        <f>IFERROR(__xludf.DUMMYFUNCTION("""COMPUTED_VALUE"""),1.0)</f>
        <v>1</v>
      </c>
      <c r="Y19" s="41">
        <f>IFERROR(__xludf.DUMMYFUNCTION("""COMPUTED_VALUE"""),30.0)</f>
        <v>30</v>
      </c>
      <c r="Z19" s="197">
        <f>IFERROR(__xludf.DUMMYFUNCTION("""COMPUTED_VALUE"""),25.0)</f>
        <v>25</v>
      </c>
      <c r="AA19" s="197">
        <f>IFERROR(__xludf.DUMMYFUNCTION("""COMPUTED_VALUE"""),4.0)</f>
        <v>4</v>
      </c>
      <c r="AB19" s="197">
        <f>IFERROR(__xludf.DUMMYFUNCTION("""COMPUTED_VALUE"""),1.0)</f>
        <v>1</v>
      </c>
      <c r="AC19" s="41">
        <f>IFERROR(__xludf.DUMMYFUNCTION("""COMPUTED_VALUE"""),30.0)</f>
        <v>30</v>
      </c>
      <c r="AD19" s="197">
        <f>IFERROR(__xludf.DUMMYFUNCTION("""COMPUTED_VALUE"""),25.0)</f>
        <v>25</v>
      </c>
      <c r="AE19" s="197">
        <f>IFERROR(__xludf.DUMMYFUNCTION("""COMPUTED_VALUE"""),4.0)</f>
        <v>4</v>
      </c>
      <c r="AF19" s="197">
        <f>IFERROR(__xludf.DUMMYFUNCTION("""COMPUTED_VALUE"""),1.0)</f>
        <v>1</v>
      </c>
      <c r="AG19" s="41">
        <f>IFERROR(__xludf.DUMMYFUNCTION("""COMPUTED_VALUE"""),9.0)</f>
        <v>9</v>
      </c>
      <c r="AH19" s="197">
        <f>IFERROR(__xludf.DUMMYFUNCTION("""COMPUTED_VALUE"""),5.0)</f>
        <v>5</v>
      </c>
      <c r="AI19" s="197">
        <f>IFERROR(__xludf.DUMMYFUNCTION("""COMPUTED_VALUE"""),4.0)</f>
        <v>4</v>
      </c>
      <c r="AJ19" s="197">
        <f>IFERROR(__xludf.DUMMYFUNCTION("""COMPUTED_VALUE"""),0.0)</f>
        <v>0</v>
      </c>
      <c r="AK19" s="41">
        <f>IFERROR(__xludf.DUMMYFUNCTION("""COMPUTED_VALUE"""),0.0)</f>
        <v>0</v>
      </c>
      <c r="AL19" s="197">
        <f>IFERROR(__xludf.DUMMYFUNCTION("""COMPUTED_VALUE"""),0.0)</f>
        <v>0</v>
      </c>
      <c r="AM19" s="197">
        <f>IFERROR(__xludf.DUMMYFUNCTION("""COMPUTED_VALUE"""),0.0)</f>
        <v>0</v>
      </c>
      <c r="AN19" s="197">
        <f>IFERROR(__xludf.DUMMYFUNCTION("""COMPUTED_VALUE"""),0.0)</f>
        <v>0</v>
      </c>
      <c r="AO19" s="41">
        <f>IFERROR(__xludf.DUMMYFUNCTION("""COMPUTED_VALUE"""),0.0)</f>
        <v>0</v>
      </c>
      <c r="AP19" s="197">
        <f>IFERROR(__xludf.DUMMYFUNCTION("""COMPUTED_VALUE"""),0.0)</f>
        <v>0</v>
      </c>
      <c r="AQ19" s="197">
        <f>IFERROR(__xludf.DUMMYFUNCTION("""COMPUTED_VALUE"""),0.0)</f>
        <v>0</v>
      </c>
      <c r="AR19" s="197">
        <f>IFERROR(__xludf.DUMMYFUNCTION("""COMPUTED_VALUE"""),0.0)</f>
        <v>0</v>
      </c>
      <c r="AS19" s="41">
        <f>IFERROR(__xludf.DUMMYFUNCTION("""COMPUTED_VALUE"""),0.0)</f>
        <v>0</v>
      </c>
      <c r="AT19" s="197">
        <f>IFERROR(__xludf.DUMMYFUNCTION("""COMPUTED_VALUE"""),0.0)</f>
        <v>0</v>
      </c>
      <c r="AU19" s="197">
        <f>IFERROR(__xludf.DUMMYFUNCTION("""COMPUTED_VALUE"""),0.0)</f>
        <v>0</v>
      </c>
      <c r="AV19" s="197">
        <f>IFERROR(__xludf.DUMMYFUNCTION("""COMPUTED_VALUE"""),0.0)</f>
        <v>0</v>
      </c>
      <c r="AW19" s="41">
        <f>IFERROR(__xludf.DUMMYFUNCTION("""COMPUTED_VALUE"""),0.0)</f>
        <v>0</v>
      </c>
      <c r="AX19" s="197">
        <f>IFERROR(__xludf.DUMMYFUNCTION("""COMPUTED_VALUE"""),0.0)</f>
        <v>0</v>
      </c>
      <c r="AY19" s="197">
        <f>IFERROR(__xludf.DUMMYFUNCTION("""COMPUTED_VALUE"""),0.0)</f>
        <v>0</v>
      </c>
      <c r="AZ19" s="198">
        <f>IFERROR(__xludf.DUMMYFUNCTION("""COMPUTED_VALUE"""),0.0)</f>
        <v>0</v>
      </c>
      <c r="BA19" s="34"/>
    </row>
    <row r="20" ht="15.75" customHeight="1">
      <c r="A20" s="29"/>
      <c r="B20" s="67" t="str">
        <f>IFERROR(__xludf.DUMMYFUNCTION("""COMPUTED_VALUE""")," + Số lớp 4")</f>
        <v> + Số lớp 4</v>
      </c>
      <c r="C20" s="49"/>
      <c r="D20" s="31" t="str">
        <f>IFERROR(__xludf.DUMMYFUNCTION("""COMPUTED_VALUE"""),"""")</f>
        <v>"</v>
      </c>
      <c r="E20" s="41">
        <f>IFERROR(__xludf.DUMMYFUNCTION("""COMPUTED_VALUE"""),30.0)</f>
        <v>30</v>
      </c>
      <c r="F20" s="197">
        <f>IFERROR(__xludf.DUMMYFUNCTION("""COMPUTED_VALUE"""),26.0)</f>
        <v>26</v>
      </c>
      <c r="G20" s="197">
        <f>IFERROR(__xludf.DUMMYFUNCTION("""COMPUTED_VALUE"""),3.0)</f>
        <v>3</v>
      </c>
      <c r="H20" s="197">
        <f>IFERROR(__xludf.DUMMYFUNCTION("""COMPUTED_VALUE"""),1.0)</f>
        <v>1</v>
      </c>
      <c r="I20" s="41">
        <f>IFERROR(__xludf.DUMMYFUNCTION("""COMPUTED_VALUE"""),30.0)</f>
        <v>30</v>
      </c>
      <c r="J20" s="197">
        <f>IFERROR(__xludf.DUMMYFUNCTION("""COMPUTED_VALUE"""),26.0)</f>
        <v>26</v>
      </c>
      <c r="K20" s="197">
        <f>IFERROR(__xludf.DUMMYFUNCTION("""COMPUTED_VALUE"""),3.0)</f>
        <v>3</v>
      </c>
      <c r="L20" s="197">
        <f>IFERROR(__xludf.DUMMYFUNCTION("""COMPUTED_VALUE"""),1.0)</f>
        <v>1</v>
      </c>
      <c r="M20" s="41">
        <f>IFERROR(__xludf.DUMMYFUNCTION("""COMPUTED_VALUE"""),28.0)</f>
        <v>28</v>
      </c>
      <c r="N20" s="197">
        <f>IFERROR(__xludf.DUMMYFUNCTION("""COMPUTED_VALUE"""),24.0)</f>
        <v>24</v>
      </c>
      <c r="O20" s="197">
        <f>IFERROR(__xludf.DUMMYFUNCTION("""COMPUTED_VALUE"""),3.0)</f>
        <v>3</v>
      </c>
      <c r="P20" s="197">
        <f>IFERROR(__xludf.DUMMYFUNCTION("""COMPUTED_VALUE"""),1.0)</f>
        <v>1</v>
      </c>
      <c r="Q20" s="41">
        <f>IFERROR(__xludf.DUMMYFUNCTION("""COMPUTED_VALUE"""),28.0)</f>
        <v>28</v>
      </c>
      <c r="R20" s="197">
        <f>IFERROR(__xludf.DUMMYFUNCTION("""COMPUTED_VALUE"""),24.0)</f>
        <v>24</v>
      </c>
      <c r="S20" s="197">
        <f>IFERROR(__xludf.DUMMYFUNCTION("""COMPUTED_VALUE"""),3.0)</f>
        <v>3</v>
      </c>
      <c r="T20" s="197">
        <f>IFERROR(__xludf.DUMMYFUNCTION("""COMPUTED_VALUE"""),1.0)</f>
        <v>1</v>
      </c>
      <c r="U20" s="41">
        <f>IFERROR(__xludf.DUMMYFUNCTION("""COMPUTED_VALUE"""),28.0)</f>
        <v>28</v>
      </c>
      <c r="V20" s="197">
        <f>IFERROR(__xludf.DUMMYFUNCTION("""COMPUTED_VALUE"""),24.0)</f>
        <v>24</v>
      </c>
      <c r="W20" s="197">
        <f>IFERROR(__xludf.DUMMYFUNCTION("""COMPUTED_VALUE"""),3.0)</f>
        <v>3</v>
      </c>
      <c r="X20" s="197">
        <f>IFERROR(__xludf.DUMMYFUNCTION("""COMPUTED_VALUE"""),1.0)</f>
        <v>1</v>
      </c>
      <c r="Y20" s="41">
        <f>IFERROR(__xludf.DUMMYFUNCTION("""COMPUTED_VALUE"""),28.0)</f>
        <v>28</v>
      </c>
      <c r="Z20" s="197">
        <f>IFERROR(__xludf.DUMMYFUNCTION("""COMPUTED_VALUE"""),24.0)</f>
        <v>24</v>
      </c>
      <c r="AA20" s="197">
        <f>IFERROR(__xludf.DUMMYFUNCTION("""COMPUTED_VALUE"""),3.0)</f>
        <v>3</v>
      </c>
      <c r="AB20" s="197">
        <f>IFERROR(__xludf.DUMMYFUNCTION("""COMPUTED_VALUE"""),1.0)</f>
        <v>1</v>
      </c>
      <c r="AC20" s="41">
        <f>IFERROR(__xludf.DUMMYFUNCTION("""COMPUTED_VALUE"""),28.0)</f>
        <v>28</v>
      </c>
      <c r="AD20" s="197">
        <f>IFERROR(__xludf.DUMMYFUNCTION("""COMPUTED_VALUE"""),24.0)</f>
        <v>24</v>
      </c>
      <c r="AE20" s="197">
        <f>IFERROR(__xludf.DUMMYFUNCTION("""COMPUTED_VALUE"""),3.0)</f>
        <v>3</v>
      </c>
      <c r="AF20" s="197">
        <f>IFERROR(__xludf.DUMMYFUNCTION("""COMPUTED_VALUE"""),1.0)</f>
        <v>1</v>
      </c>
      <c r="AG20" s="41">
        <f>IFERROR(__xludf.DUMMYFUNCTION("""COMPUTED_VALUE"""),8.0)</f>
        <v>8</v>
      </c>
      <c r="AH20" s="197">
        <f>IFERROR(__xludf.DUMMYFUNCTION("""COMPUTED_VALUE"""),5.0)</f>
        <v>5</v>
      </c>
      <c r="AI20" s="197">
        <f>IFERROR(__xludf.DUMMYFUNCTION("""COMPUTED_VALUE"""),3.0)</f>
        <v>3</v>
      </c>
      <c r="AJ20" s="197">
        <f>IFERROR(__xludf.DUMMYFUNCTION("""COMPUTED_VALUE"""),0.0)</f>
        <v>0</v>
      </c>
      <c r="AK20" s="41">
        <f>IFERROR(__xludf.DUMMYFUNCTION("""COMPUTED_VALUE"""),0.0)</f>
        <v>0</v>
      </c>
      <c r="AL20" s="197">
        <f>IFERROR(__xludf.DUMMYFUNCTION("""COMPUTED_VALUE"""),0.0)</f>
        <v>0</v>
      </c>
      <c r="AM20" s="197">
        <f>IFERROR(__xludf.DUMMYFUNCTION("""COMPUTED_VALUE"""),0.0)</f>
        <v>0</v>
      </c>
      <c r="AN20" s="197">
        <f>IFERROR(__xludf.DUMMYFUNCTION("""COMPUTED_VALUE"""),0.0)</f>
        <v>0</v>
      </c>
      <c r="AO20" s="41">
        <f>IFERROR(__xludf.DUMMYFUNCTION("""COMPUTED_VALUE"""),0.0)</f>
        <v>0</v>
      </c>
      <c r="AP20" s="197">
        <f>IFERROR(__xludf.DUMMYFUNCTION("""COMPUTED_VALUE"""),0.0)</f>
        <v>0</v>
      </c>
      <c r="AQ20" s="197">
        <f>IFERROR(__xludf.DUMMYFUNCTION("""COMPUTED_VALUE"""),0.0)</f>
        <v>0</v>
      </c>
      <c r="AR20" s="197">
        <f>IFERROR(__xludf.DUMMYFUNCTION("""COMPUTED_VALUE"""),0.0)</f>
        <v>0</v>
      </c>
      <c r="AS20" s="41">
        <f>IFERROR(__xludf.DUMMYFUNCTION("""COMPUTED_VALUE"""),0.0)</f>
        <v>0</v>
      </c>
      <c r="AT20" s="197">
        <f>IFERROR(__xludf.DUMMYFUNCTION("""COMPUTED_VALUE"""),0.0)</f>
        <v>0</v>
      </c>
      <c r="AU20" s="197">
        <f>IFERROR(__xludf.DUMMYFUNCTION("""COMPUTED_VALUE"""),0.0)</f>
        <v>0</v>
      </c>
      <c r="AV20" s="197">
        <f>IFERROR(__xludf.DUMMYFUNCTION("""COMPUTED_VALUE"""),0.0)</f>
        <v>0</v>
      </c>
      <c r="AW20" s="41">
        <f>IFERROR(__xludf.DUMMYFUNCTION("""COMPUTED_VALUE"""),0.0)</f>
        <v>0</v>
      </c>
      <c r="AX20" s="197">
        <f>IFERROR(__xludf.DUMMYFUNCTION("""COMPUTED_VALUE"""),0.0)</f>
        <v>0</v>
      </c>
      <c r="AY20" s="197">
        <f>IFERROR(__xludf.DUMMYFUNCTION("""COMPUTED_VALUE"""),0.0)</f>
        <v>0</v>
      </c>
      <c r="AZ20" s="198">
        <f>IFERROR(__xludf.DUMMYFUNCTION("""COMPUTED_VALUE"""),0.0)</f>
        <v>0</v>
      </c>
      <c r="BA20" s="34"/>
    </row>
    <row r="21" ht="15.75" customHeight="1">
      <c r="A21" s="29"/>
      <c r="B21" s="67" t="str">
        <f>IFERROR(__xludf.DUMMYFUNCTION("""COMPUTED_VALUE""")," + Số lớp 5")</f>
        <v> + Số lớp 5</v>
      </c>
      <c r="C21" s="49"/>
      <c r="D21" s="31" t="str">
        <f>IFERROR(__xludf.DUMMYFUNCTION("""COMPUTED_VALUE"""),"""")</f>
        <v>"</v>
      </c>
      <c r="E21" s="41">
        <f>IFERROR(__xludf.DUMMYFUNCTION("""COMPUTED_VALUE"""),31.0)</f>
        <v>31</v>
      </c>
      <c r="F21" s="197">
        <f>IFERROR(__xludf.DUMMYFUNCTION("""COMPUTED_VALUE"""),26.0)</f>
        <v>26</v>
      </c>
      <c r="G21" s="197">
        <f>IFERROR(__xludf.DUMMYFUNCTION("""COMPUTED_VALUE"""),4.0)</f>
        <v>4</v>
      </c>
      <c r="H21" s="197">
        <f>IFERROR(__xludf.DUMMYFUNCTION("""COMPUTED_VALUE"""),1.0)</f>
        <v>1</v>
      </c>
      <c r="I21" s="41">
        <f>IFERROR(__xludf.DUMMYFUNCTION("""COMPUTED_VALUE"""),31.0)</f>
        <v>31</v>
      </c>
      <c r="J21" s="197">
        <f>IFERROR(__xludf.DUMMYFUNCTION("""COMPUTED_VALUE"""),26.0)</f>
        <v>26</v>
      </c>
      <c r="K21" s="197">
        <f>IFERROR(__xludf.DUMMYFUNCTION("""COMPUTED_VALUE"""),4.0)</f>
        <v>4</v>
      </c>
      <c r="L21" s="197">
        <f>IFERROR(__xludf.DUMMYFUNCTION("""COMPUTED_VALUE"""),1.0)</f>
        <v>1</v>
      </c>
      <c r="M21" s="41">
        <f>IFERROR(__xludf.DUMMYFUNCTION("""COMPUTED_VALUE"""),29.0)</f>
        <v>29</v>
      </c>
      <c r="N21" s="197">
        <f>IFERROR(__xludf.DUMMYFUNCTION("""COMPUTED_VALUE"""),24.0)</f>
        <v>24</v>
      </c>
      <c r="O21" s="197">
        <f>IFERROR(__xludf.DUMMYFUNCTION("""COMPUTED_VALUE"""),4.0)</f>
        <v>4</v>
      </c>
      <c r="P21" s="197">
        <f>IFERROR(__xludf.DUMMYFUNCTION("""COMPUTED_VALUE"""),1.0)</f>
        <v>1</v>
      </c>
      <c r="Q21" s="41">
        <f>IFERROR(__xludf.DUMMYFUNCTION("""COMPUTED_VALUE"""),29.0)</f>
        <v>29</v>
      </c>
      <c r="R21" s="197">
        <f>IFERROR(__xludf.DUMMYFUNCTION("""COMPUTED_VALUE"""),24.0)</f>
        <v>24</v>
      </c>
      <c r="S21" s="197">
        <f>IFERROR(__xludf.DUMMYFUNCTION("""COMPUTED_VALUE"""),4.0)</f>
        <v>4</v>
      </c>
      <c r="T21" s="197">
        <f>IFERROR(__xludf.DUMMYFUNCTION("""COMPUTED_VALUE"""),1.0)</f>
        <v>1</v>
      </c>
      <c r="U21" s="41">
        <f>IFERROR(__xludf.DUMMYFUNCTION("""COMPUTED_VALUE"""),29.0)</f>
        <v>29</v>
      </c>
      <c r="V21" s="197">
        <f>IFERROR(__xludf.DUMMYFUNCTION("""COMPUTED_VALUE"""),24.0)</f>
        <v>24</v>
      </c>
      <c r="W21" s="197">
        <f>IFERROR(__xludf.DUMMYFUNCTION("""COMPUTED_VALUE"""),4.0)</f>
        <v>4</v>
      </c>
      <c r="X21" s="197">
        <f>IFERROR(__xludf.DUMMYFUNCTION("""COMPUTED_VALUE"""),1.0)</f>
        <v>1</v>
      </c>
      <c r="Y21" s="41">
        <f>IFERROR(__xludf.DUMMYFUNCTION("""COMPUTED_VALUE"""),29.0)</f>
        <v>29</v>
      </c>
      <c r="Z21" s="197">
        <f>IFERROR(__xludf.DUMMYFUNCTION("""COMPUTED_VALUE"""),24.0)</f>
        <v>24</v>
      </c>
      <c r="AA21" s="197">
        <f>IFERROR(__xludf.DUMMYFUNCTION("""COMPUTED_VALUE"""),4.0)</f>
        <v>4</v>
      </c>
      <c r="AB21" s="197">
        <f>IFERROR(__xludf.DUMMYFUNCTION("""COMPUTED_VALUE"""),1.0)</f>
        <v>1</v>
      </c>
      <c r="AC21" s="41">
        <f>IFERROR(__xludf.DUMMYFUNCTION("""COMPUTED_VALUE"""),29.0)</f>
        <v>29</v>
      </c>
      <c r="AD21" s="197">
        <f>IFERROR(__xludf.DUMMYFUNCTION("""COMPUTED_VALUE"""),24.0)</f>
        <v>24</v>
      </c>
      <c r="AE21" s="197">
        <f>IFERROR(__xludf.DUMMYFUNCTION("""COMPUTED_VALUE"""),4.0)</f>
        <v>4</v>
      </c>
      <c r="AF21" s="197">
        <f>IFERROR(__xludf.DUMMYFUNCTION("""COMPUTED_VALUE"""),1.0)</f>
        <v>1</v>
      </c>
      <c r="AG21" s="41">
        <f>IFERROR(__xludf.DUMMYFUNCTION("""COMPUTED_VALUE"""),9.0)</f>
        <v>9</v>
      </c>
      <c r="AH21" s="197">
        <f>IFERROR(__xludf.DUMMYFUNCTION("""COMPUTED_VALUE"""),5.0)</f>
        <v>5</v>
      </c>
      <c r="AI21" s="197">
        <f>IFERROR(__xludf.DUMMYFUNCTION("""COMPUTED_VALUE"""),4.0)</f>
        <v>4</v>
      </c>
      <c r="AJ21" s="197">
        <f>IFERROR(__xludf.DUMMYFUNCTION("""COMPUTED_VALUE"""),0.0)</f>
        <v>0</v>
      </c>
      <c r="AK21" s="41">
        <f>IFERROR(__xludf.DUMMYFUNCTION("""COMPUTED_VALUE"""),0.0)</f>
        <v>0</v>
      </c>
      <c r="AL21" s="197">
        <f>IFERROR(__xludf.DUMMYFUNCTION("""COMPUTED_VALUE"""),0.0)</f>
        <v>0</v>
      </c>
      <c r="AM21" s="197">
        <f>IFERROR(__xludf.DUMMYFUNCTION("""COMPUTED_VALUE"""),0.0)</f>
        <v>0</v>
      </c>
      <c r="AN21" s="197">
        <f>IFERROR(__xludf.DUMMYFUNCTION("""COMPUTED_VALUE"""),0.0)</f>
        <v>0</v>
      </c>
      <c r="AO21" s="41">
        <f>IFERROR(__xludf.DUMMYFUNCTION("""COMPUTED_VALUE"""),0.0)</f>
        <v>0</v>
      </c>
      <c r="AP21" s="197">
        <f>IFERROR(__xludf.DUMMYFUNCTION("""COMPUTED_VALUE"""),0.0)</f>
        <v>0</v>
      </c>
      <c r="AQ21" s="197">
        <f>IFERROR(__xludf.DUMMYFUNCTION("""COMPUTED_VALUE"""),0.0)</f>
        <v>0</v>
      </c>
      <c r="AR21" s="197">
        <f>IFERROR(__xludf.DUMMYFUNCTION("""COMPUTED_VALUE"""),0.0)</f>
        <v>0</v>
      </c>
      <c r="AS21" s="41">
        <f>IFERROR(__xludf.DUMMYFUNCTION("""COMPUTED_VALUE"""),0.0)</f>
        <v>0</v>
      </c>
      <c r="AT21" s="197">
        <f>IFERROR(__xludf.DUMMYFUNCTION("""COMPUTED_VALUE"""),0.0)</f>
        <v>0</v>
      </c>
      <c r="AU21" s="197">
        <f>IFERROR(__xludf.DUMMYFUNCTION("""COMPUTED_VALUE"""),0.0)</f>
        <v>0</v>
      </c>
      <c r="AV21" s="197">
        <f>IFERROR(__xludf.DUMMYFUNCTION("""COMPUTED_VALUE"""),0.0)</f>
        <v>0</v>
      </c>
      <c r="AW21" s="41">
        <f>IFERROR(__xludf.DUMMYFUNCTION("""COMPUTED_VALUE"""),0.0)</f>
        <v>0</v>
      </c>
      <c r="AX21" s="197">
        <f>IFERROR(__xludf.DUMMYFUNCTION("""COMPUTED_VALUE"""),0.0)</f>
        <v>0</v>
      </c>
      <c r="AY21" s="197">
        <f>IFERROR(__xludf.DUMMYFUNCTION("""COMPUTED_VALUE"""),0.0)</f>
        <v>0</v>
      </c>
      <c r="AZ21" s="198">
        <f>IFERROR(__xludf.DUMMYFUNCTION("""COMPUTED_VALUE"""),0.0)</f>
        <v>0</v>
      </c>
      <c r="BA21" s="34"/>
    </row>
    <row r="22" ht="15.75" customHeight="1">
      <c r="A22" s="29"/>
      <c r="B22" s="67" t="str">
        <f>IFERROR(__xludf.DUMMYFUNCTION("""COMPUTED_VALUE""")," + Số lớp 6")</f>
        <v> + Số lớp 6</v>
      </c>
      <c r="C22" s="31"/>
      <c r="D22" s="31" t="str">
        <f>IFERROR(__xludf.DUMMYFUNCTION("""COMPUTED_VALUE"""),"""")</f>
        <v>"</v>
      </c>
      <c r="E22" s="41">
        <f>IFERROR(__xludf.DUMMYFUNCTION("""COMPUTED_VALUE"""),42.0)</f>
        <v>42</v>
      </c>
      <c r="F22" s="197">
        <f>IFERROR(__xludf.DUMMYFUNCTION("""COMPUTED_VALUE"""),37.0)</f>
        <v>37</v>
      </c>
      <c r="G22" s="197">
        <f>IFERROR(__xludf.DUMMYFUNCTION("""COMPUTED_VALUE"""),4.0)</f>
        <v>4</v>
      </c>
      <c r="H22" s="197">
        <f>IFERROR(__xludf.DUMMYFUNCTION("""COMPUTED_VALUE"""),1.0)</f>
        <v>1</v>
      </c>
      <c r="I22" s="41">
        <f>IFERROR(__xludf.DUMMYFUNCTION("""COMPUTED_VALUE"""),42.0)</f>
        <v>42</v>
      </c>
      <c r="J22" s="197">
        <f>IFERROR(__xludf.DUMMYFUNCTION("""COMPUTED_VALUE"""),37.0)</f>
        <v>37</v>
      </c>
      <c r="K22" s="197">
        <f>IFERROR(__xludf.DUMMYFUNCTION("""COMPUTED_VALUE"""),4.0)</f>
        <v>4</v>
      </c>
      <c r="L22" s="197">
        <f>IFERROR(__xludf.DUMMYFUNCTION("""COMPUTED_VALUE"""),1.0)</f>
        <v>1</v>
      </c>
      <c r="M22" s="41">
        <f>IFERROR(__xludf.DUMMYFUNCTION("""COMPUTED_VALUE"""),37.0)</f>
        <v>37</v>
      </c>
      <c r="N22" s="197">
        <f>IFERROR(__xludf.DUMMYFUNCTION("""COMPUTED_VALUE"""),32.0)</f>
        <v>32</v>
      </c>
      <c r="O22" s="197">
        <f>IFERROR(__xludf.DUMMYFUNCTION("""COMPUTED_VALUE"""),4.0)</f>
        <v>4</v>
      </c>
      <c r="P22" s="197">
        <f>IFERROR(__xludf.DUMMYFUNCTION("""COMPUTED_VALUE"""),1.0)</f>
        <v>1</v>
      </c>
      <c r="Q22" s="41">
        <f>IFERROR(__xludf.DUMMYFUNCTION("""COMPUTED_VALUE"""),37.0)</f>
        <v>37</v>
      </c>
      <c r="R22" s="197">
        <f>IFERROR(__xludf.DUMMYFUNCTION("""COMPUTED_VALUE"""),32.0)</f>
        <v>32</v>
      </c>
      <c r="S22" s="197">
        <f>IFERROR(__xludf.DUMMYFUNCTION("""COMPUTED_VALUE"""),4.0)</f>
        <v>4</v>
      </c>
      <c r="T22" s="197">
        <f>IFERROR(__xludf.DUMMYFUNCTION("""COMPUTED_VALUE"""),1.0)</f>
        <v>1</v>
      </c>
      <c r="U22" s="41">
        <f>IFERROR(__xludf.DUMMYFUNCTION("""COMPUTED_VALUE"""),37.0)</f>
        <v>37</v>
      </c>
      <c r="V22" s="197">
        <f>IFERROR(__xludf.DUMMYFUNCTION("""COMPUTED_VALUE"""),32.0)</f>
        <v>32</v>
      </c>
      <c r="W22" s="197">
        <f>IFERROR(__xludf.DUMMYFUNCTION("""COMPUTED_VALUE"""),4.0)</f>
        <v>4</v>
      </c>
      <c r="X22" s="197">
        <f>IFERROR(__xludf.DUMMYFUNCTION("""COMPUTED_VALUE"""),1.0)</f>
        <v>1</v>
      </c>
      <c r="Y22" s="41">
        <f>IFERROR(__xludf.DUMMYFUNCTION("""COMPUTED_VALUE"""),37.0)</f>
        <v>37</v>
      </c>
      <c r="Z22" s="197">
        <f>IFERROR(__xludf.DUMMYFUNCTION("""COMPUTED_VALUE"""),32.0)</f>
        <v>32</v>
      </c>
      <c r="AA22" s="197">
        <f>IFERROR(__xludf.DUMMYFUNCTION("""COMPUTED_VALUE"""),4.0)</f>
        <v>4</v>
      </c>
      <c r="AB22" s="197">
        <f>IFERROR(__xludf.DUMMYFUNCTION("""COMPUTED_VALUE"""),1.0)</f>
        <v>1</v>
      </c>
      <c r="AC22" s="41">
        <f>IFERROR(__xludf.DUMMYFUNCTION("""COMPUTED_VALUE"""),37.0)</f>
        <v>37</v>
      </c>
      <c r="AD22" s="197">
        <f>IFERROR(__xludf.DUMMYFUNCTION("""COMPUTED_VALUE"""),32.0)</f>
        <v>32</v>
      </c>
      <c r="AE22" s="197">
        <f>IFERROR(__xludf.DUMMYFUNCTION("""COMPUTED_VALUE"""),4.0)</f>
        <v>4</v>
      </c>
      <c r="AF22" s="197">
        <f>IFERROR(__xludf.DUMMYFUNCTION("""COMPUTED_VALUE"""),1.0)</f>
        <v>1</v>
      </c>
      <c r="AG22" s="41">
        <f>IFERROR(__xludf.DUMMYFUNCTION("""COMPUTED_VALUE"""),8.0)</f>
        <v>8</v>
      </c>
      <c r="AH22" s="197">
        <f>IFERROR(__xludf.DUMMYFUNCTION("""COMPUTED_VALUE"""),4.0)</f>
        <v>4</v>
      </c>
      <c r="AI22" s="197">
        <f>IFERROR(__xludf.DUMMYFUNCTION("""COMPUTED_VALUE"""),4.0)</f>
        <v>4</v>
      </c>
      <c r="AJ22" s="197">
        <f>IFERROR(__xludf.DUMMYFUNCTION("""COMPUTED_VALUE"""),0.0)</f>
        <v>0</v>
      </c>
      <c r="AK22" s="41">
        <f>IFERROR(__xludf.DUMMYFUNCTION("""COMPUTED_VALUE"""),0.0)</f>
        <v>0</v>
      </c>
      <c r="AL22" s="197">
        <f>IFERROR(__xludf.DUMMYFUNCTION("""COMPUTED_VALUE"""),0.0)</f>
        <v>0</v>
      </c>
      <c r="AM22" s="197">
        <f>IFERROR(__xludf.DUMMYFUNCTION("""COMPUTED_VALUE"""),0.0)</f>
        <v>0</v>
      </c>
      <c r="AN22" s="197">
        <f>IFERROR(__xludf.DUMMYFUNCTION("""COMPUTED_VALUE"""),0.0)</f>
        <v>0</v>
      </c>
      <c r="AO22" s="41">
        <f>IFERROR(__xludf.DUMMYFUNCTION("""COMPUTED_VALUE"""),0.0)</f>
        <v>0</v>
      </c>
      <c r="AP22" s="197">
        <f>IFERROR(__xludf.DUMMYFUNCTION("""COMPUTED_VALUE"""),0.0)</f>
        <v>0</v>
      </c>
      <c r="AQ22" s="197">
        <f>IFERROR(__xludf.DUMMYFUNCTION("""COMPUTED_VALUE"""),0.0)</f>
        <v>0</v>
      </c>
      <c r="AR22" s="197">
        <f>IFERROR(__xludf.DUMMYFUNCTION("""COMPUTED_VALUE"""),0.0)</f>
        <v>0</v>
      </c>
      <c r="AS22" s="41">
        <f>IFERROR(__xludf.DUMMYFUNCTION("""COMPUTED_VALUE"""),0.0)</f>
        <v>0</v>
      </c>
      <c r="AT22" s="197">
        <f>IFERROR(__xludf.DUMMYFUNCTION("""COMPUTED_VALUE"""),0.0)</f>
        <v>0</v>
      </c>
      <c r="AU22" s="197">
        <f>IFERROR(__xludf.DUMMYFUNCTION("""COMPUTED_VALUE"""),0.0)</f>
        <v>0</v>
      </c>
      <c r="AV22" s="197">
        <f>IFERROR(__xludf.DUMMYFUNCTION("""COMPUTED_VALUE"""),0.0)</f>
        <v>0</v>
      </c>
      <c r="AW22" s="41">
        <f>IFERROR(__xludf.DUMMYFUNCTION("""COMPUTED_VALUE"""),0.0)</f>
        <v>0</v>
      </c>
      <c r="AX22" s="197">
        <f>IFERROR(__xludf.DUMMYFUNCTION("""COMPUTED_VALUE"""),0.0)</f>
        <v>0</v>
      </c>
      <c r="AY22" s="197">
        <f>IFERROR(__xludf.DUMMYFUNCTION("""COMPUTED_VALUE"""),0.0)</f>
        <v>0</v>
      </c>
      <c r="AZ22" s="198">
        <f>IFERROR(__xludf.DUMMYFUNCTION("""COMPUTED_VALUE"""),0.0)</f>
        <v>0</v>
      </c>
      <c r="BA22" s="34"/>
    </row>
    <row r="23" ht="15.75" customHeight="1">
      <c r="A23" s="29"/>
      <c r="B23" s="67" t="str">
        <f>IFERROR(__xludf.DUMMYFUNCTION("""COMPUTED_VALUE""")," + Số lớp 7")</f>
        <v> + Số lớp 7</v>
      </c>
      <c r="C23" s="31"/>
      <c r="D23" s="31" t="str">
        <f>IFERROR(__xludf.DUMMYFUNCTION("""COMPUTED_VALUE"""),"""")</f>
        <v>"</v>
      </c>
      <c r="E23" s="41">
        <f>IFERROR(__xludf.DUMMYFUNCTION("""COMPUTED_VALUE"""),34.0)</f>
        <v>34</v>
      </c>
      <c r="F23" s="197">
        <f>IFERROR(__xludf.DUMMYFUNCTION("""COMPUTED_VALUE"""),30.0)</f>
        <v>30</v>
      </c>
      <c r="G23" s="197">
        <f>IFERROR(__xludf.DUMMYFUNCTION("""COMPUTED_VALUE"""),3.0)</f>
        <v>3</v>
      </c>
      <c r="H23" s="197">
        <f>IFERROR(__xludf.DUMMYFUNCTION("""COMPUTED_VALUE"""),1.0)</f>
        <v>1</v>
      </c>
      <c r="I23" s="41">
        <f>IFERROR(__xludf.DUMMYFUNCTION("""COMPUTED_VALUE"""),34.0)</f>
        <v>34</v>
      </c>
      <c r="J23" s="197">
        <f>IFERROR(__xludf.DUMMYFUNCTION("""COMPUTED_VALUE"""),30.0)</f>
        <v>30</v>
      </c>
      <c r="K23" s="197">
        <f>IFERROR(__xludf.DUMMYFUNCTION("""COMPUTED_VALUE"""),3.0)</f>
        <v>3</v>
      </c>
      <c r="L23" s="197">
        <f>IFERROR(__xludf.DUMMYFUNCTION("""COMPUTED_VALUE"""),1.0)</f>
        <v>1</v>
      </c>
      <c r="M23" s="41">
        <f>IFERROR(__xludf.DUMMYFUNCTION("""COMPUTED_VALUE"""),29.0)</f>
        <v>29</v>
      </c>
      <c r="N23" s="197">
        <f>IFERROR(__xludf.DUMMYFUNCTION("""COMPUTED_VALUE"""),25.0)</f>
        <v>25</v>
      </c>
      <c r="O23" s="197">
        <f>IFERROR(__xludf.DUMMYFUNCTION("""COMPUTED_VALUE"""),3.0)</f>
        <v>3</v>
      </c>
      <c r="P23" s="197">
        <f>IFERROR(__xludf.DUMMYFUNCTION("""COMPUTED_VALUE"""),1.0)</f>
        <v>1</v>
      </c>
      <c r="Q23" s="41">
        <f>IFERROR(__xludf.DUMMYFUNCTION("""COMPUTED_VALUE"""),29.0)</f>
        <v>29</v>
      </c>
      <c r="R23" s="197">
        <f>IFERROR(__xludf.DUMMYFUNCTION("""COMPUTED_VALUE"""),25.0)</f>
        <v>25</v>
      </c>
      <c r="S23" s="197">
        <f>IFERROR(__xludf.DUMMYFUNCTION("""COMPUTED_VALUE"""),3.0)</f>
        <v>3</v>
      </c>
      <c r="T23" s="197">
        <f>IFERROR(__xludf.DUMMYFUNCTION("""COMPUTED_VALUE"""),1.0)</f>
        <v>1</v>
      </c>
      <c r="U23" s="41">
        <f>IFERROR(__xludf.DUMMYFUNCTION("""COMPUTED_VALUE"""),29.0)</f>
        <v>29</v>
      </c>
      <c r="V23" s="197">
        <f>IFERROR(__xludf.DUMMYFUNCTION("""COMPUTED_VALUE"""),25.0)</f>
        <v>25</v>
      </c>
      <c r="W23" s="197">
        <f>IFERROR(__xludf.DUMMYFUNCTION("""COMPUTED_VALUE"""),3.0)</f>
        <v>3</v>
      </c>
      <c r="X23" s="197">
        <f>IFERROR(__xludf.DUMMYFUNCTION("""COMPUTED_VALUE"""),1.0)</f>
        <v>1</v>
      </c>
      <c r="Y23" s="41">
        <f>IFERROR(__xludf.DUMMYFUNCTION("""COMPUTED_VALUE"""),29.0)</f>
        <v>29</v>
      </c>
      <c r="Z23" s="197">
        <f>IFERROR(__xludf.DUMMYFUNCTION("""COMPUTED_VALUE"""),25.0)</f>
        <v>25</v>
      </c>
      <c r="AA23" s="197">
        <f>IFERROR(__xludf.DUMMYFUNCTION("""COMPUTED_VALUE"""),3.0)</f>
        <v>3</v>
      </c>
      <c r="AB23" s="197">
        <f>IFERROR(__xludf.DUMMYFUNCTION("""COMPUTED_VALUE"""),1.0)</f>
        <v>1</v>
      </c>
      <c r="AC23" s="41">
        <f>IFERROR(__xludf.DUMMYFUNCTION("""COMPUTED_VALUE"""),29.0)</f>
        <v>29</v>
      </c>
      <c r="AD23" s="197">
        <f>IFERROR(__xludf.DUMMYFUNCTION("""COMPUTED_VALUE"""),25.0)</f>
        <v>25</v>
      </c>
      <c r="AE23" s="197">
        <f>IFERROR(__xludf.DUMMYFUNCTION("""COMPUTED_VALUE"""),3.0)</f>
        <v>3</v>
      </c>
      <c r="AF23" s="197">
        <f>IFERROR(__xludf.DUMMYFUNCTION("""COMPUTED_VALUE"""),1.0)</f>
        <v>1</v>
      </c>
      <c r="AG23" s="41">
        <f>IFERROR(__xludf.DUMMYFUNCTION("""COMPUTED_VALUE"""),6.0)</f>
        <v>6</v>
      </c>
      <c r="AH23" s="197">
        <f>IFERROR(__xludf.DUMMYFUNCTION("""COMPUTED_VALUE"""),3.0)</f>
        <v>3</v>
      </c>
      <c r="AI23" s="197">
        <f>IFERROR(__xludf.DUMMYFUNCTION("""COMPUTED_VALUE"""),3.0)</f>
        <v>3</v>
      </c>
      <c r="AJ23" s="197">
        <f>IFERROR(__xludf.DUMMYFUNCTION("""COMPUTED_VALUE"""),0.0)</f>
        <v>0</v>
      </c>
      <c r="AK23" s="41">
        <f>IFERROR(__xludf.DUMMYFUNCTION("""COMPUTED_VALUE"""),0.0)</f>
        <v>0</v>
      </c>
      <c r="AL23" s="197">
        <f>IFERROR(__xludf.DUMMYFUNCTION("""COMPUTED_VALUE"""),0.0)</f>
        <v>0</v>
      </c>
      <c r="AM23" s="197">
        <f>IFERROR(__xludf.DUMMYFUNCTION("""COMPUTED_VALUE"""),0.0)</f>
        <v>0</v>
      </c>
      <c r="AN23" s="197">
        <f>IFERROR(__xludf.DUMMYFUNCTION("""COMPUTED_VALUE"""),0.0)</f>
        <v>0</v>
      </c>
      <c r="AO23" s="41">
        <f>IFERROR(__xludf.DUMMYFUNCTION("""COMPUTED_VALUE"""),0.0)</f>
        <v>0</v>
      </c>
      <c r="AP23" s="197">
        <f>IFERROR(__xludf.DUMMYFUNCTION("""COMPUTED_VALUE"""),0.0)</f>
        <v>0</v>
      </c>
      <c r="AQ23" s="197">
        <f>IFERROR(__xludf.DUMMYFUNCTION("""COMPUTED_VALUE"""),0.0)</f>
        <v>0</v>
      </c>
      <c r="AR23" s="197">
        <f>IFERROR(__xludf.DUMMYFUNCTION("""COMPUTED_VALUE"""),0.0)</f>
        <v>0</v>
      </c>
      <c r="AS23" s="41">
        <f>IFERROR(__xludf.DUMMYFUNCTION("""COMPUTED_VALUE"""),0.0)</f>
        <v>0</v>
      </c>
      <c r="AT23" s="197">
        <f>IFERROR(__xludf.DUMMYFUNCTION("""COMPUTED_VALUE"""),0.0)</f>
        <v>0</v>
      </c>
      <c r="AU23" s="197">
        <f>IFERROR(__xludf.DUMMYFUNCTION("""COMPUTED_VALUE"""),0.0)</f>
        <v>0</v>
      </c>
      <c r="AV23" s="197">
        <f>IFERROR(__xludf.DUMMYFUNCTION("""COMPUTED_VALUE"""),0.0)</f>
        <v>0</v>
      </c>
      <c r="AW23" s="41">
        <f>IFERROR(__xludf.DUMMYFUNCTION("""COMPUTED_VALUE"""),0.0)</f>
        <v>0</v>
      </c>
      <c r="AX23" s="197">
        <f>IFERROR(__xludf.DUMMYFUNCTION("""COMPUTED_VALUE"""),0.0)</f>
        <v>0</v>
      </c>
      <c r="AY23" s="197">
        <f>IFERROR(__xludf.DUMMYFUNCTION("""COMPUTED_VALUE"""),0.0)</f>
        <v>0</v>
      </c>
      <c r="AZ23" s="198">
        <f>IFERROR(__xludf.DUMMYFUNCTION("""COMPUTED_VALUE"""),0.0)</f>
        <v>0</v>
      </c>
      <c r="BA23" s="34"/>
    </row>
    <row r="24" ht="15.75" customHeight="1">
      <c r="A24" s="29"/>
      <c r="B24" s="67" t="str">
        <f>IFERROR(__xludf.DUMMYFUNCTION("""COMPUTED_VALUE""")," + Số lớp 8")</f>
        <v> + Số lớp 8</v>
      </c>
      <c r="C24" s="31"/>
      <c r="D24" s="31" t="str">
        <f>IFERROR(__xludf.DUMMYFUNCTION("""COMPUTED_VALUE"""),"""")</f>
        <v>"</v>
      </c>
      <c r="E24" s="41">
        <f>IFERROR(__xludf.DUMMYFUNCTION("""COMPUTED_VALUE"""),31.0)</f>
        <v>31</v>
      </c>
      <c r="F24" s="197">
        <f>IFERROR(__xludf.DUMMYFUNCTION("""COMPUTED_VALUE"""),28.0)</f>
        <v>28</v>
      </c>
      <c r="G24" s="197">
        <f>IFERROR(__xludf.DUMMYFUNCTION("""COMPUTED_VALUE"""),2.0)</f>
        <v>2</v>
      </c>
      <c r="H24" s="197">
        <f>IFERROR(__xludf.DUMMYFUNCTION("""COMPUTED_VALUE"""),1.0)</f>
        <v>1</v>
      </c>
      <c r="I24" s="41">
        <f>IFERROR(__xludf.DUMMYFUNCTION("""COMPUTED_VALUE"""),31.0)</f>
        <v>31</v>
      </c>
      <c r="J24" s="197">
        <f>IFERROR(__xludf.DUMMYFUNCTION("""COMPUTED_VALUE"""),28.0)</f>
        <v>28</v>
      </c>
      <c r="K24" s="197">
        <f>IFERROR(__xludf.DUMMYFUNCTION("""COMPUTED_VALUE"""),2.0)</f>
        <v>2</v>
      </c>
      <c r="L24" s="197">
        <f>IFERROR(__xludf.DUMMYFUNCTION("""COMPUTED_VALUE"""),1.0)</f>
        <v>1</v>
      </c>
      <c r="M24" s="41">
        <f>IFERROR(__xludf.DUMMYFUNCTION("""COMPUTED_VALUE"""),28.0)</f>
        <v>28</v>
      </c>
      <c r="N24" s="197">
        <f>IFERROR(__xludf.DUMMYFUNCTION("""COMPUTED_VALUE"""),25.0)</f>
        <v>25</v>
      </c>
      <c r="O24" s="197">
        <f>IFERROR(__xludf.DUMMYFUNCTION("""COMPUTED_VALUE"""),2.0)</f>
        <v>2</v>
      </c>
      <c r="P24" s="197">
        <f>IFERROR(__xludf.DUMMYFUNCTION("""COMPUTED_VALUE"""),1.0)</f>
        <v>1</v>
      </c>
      <c r="Q24" s="41">
        <f>IFERROR(__xludf.DUMMYFUNCTION("""COMPUTED_VALUE"""),28.0)</f>
        <v>28</v>
      </c>
      <c r="R24" s="197">
        <f>IFERROR(__xludf.DUMMYFUNCTION("""COMPUTED_VALUE"""),25.0)</f>
        <v>25</v>
      </c>
      <c r="S24" s="197">
        <f>IFERROR(__xludf.DUMMYFUNCTION("""COMPUTED_VALUE"""),2.0)</f>
        <v>2</v>
      </c>
      <c r="T24" s="197">
        <f>IFERROR(__xludf.DUMMYFUNCTION("""COMPUTED_VALUE"""),1.0)</f>
        <v>1</v>
      </c>
      <c r="U24" s="41">
        <f>IFERROR(__xludf.DUMMYFUNCTION("""COMPUTED_VALUE"""),28.0)</f>
        <v>28</v>
      </c>
      <c r="V24" s="197">
        <f>IFERROR(__xludf.DUMMYFUNCTION("""COMPUTED_VALUE"""),25.0)</f>
        <v>25</v>
      </c>
      <c r="W24" s="197">
        <f>IFERROR(__xludf.DUMMYFUNCTION("""COMPUTED_VALUE"""),2.0)</f>
        <v>2</v>
      </c>
      <c r="X24" s="197">
        <f>IFERROR(__xludf.DUMMYFUNCTION("""COMPUTED_VALUE"""),1.0)</f>
        <v>1</v>
      </c>
      <c r="Y24" s="41">
        <f>IFERROR(__xludf.DUMMYFUNCTION("""COMPUTED_VALUE"""),28.0)</f>
        <v>28</v>
      </c>
      <c r="Z24" s="197">
        <f>IFERROR(__xludf.DUMMYFUNCTION("""COMPUTED_VALUE"""),25.0)</f>
        <v>25</v>
      </c>
      <c r="AA24" s="197">
        <f>IFERROR(__xludf.DUMMYFUNCTION("""COMPUTED_VALUE"""),2.0)</f>
        <v>2</v>
      </c>
      <c r="AB24" s="197">
        <f>IFERROR(__xludf.DUMMYFUNCTION("""COMPUTED_VALUE"""),1.0)</f>
        <v>1</v>
      </c>
      <c r="AC24" s="41">
        <f>IFERROR(__xludf.DUMMYFUNCTION("""COMPUTED_VALUE"""),28.0)</f>
        <v>28</v>
      </c>
      <c r="AD24" s="197">
        <f>IFERROR(__xludf.DUMMYFUNCTION("""COMPUTED_VALUE"""),25.0)</f>
        <v>25</v>
      </c>
      <c r="AE24" s="197">
        <f>IFERROR(__xludf.DUMMYFUNCTION("""COMPUTED_VALUE"""),2.0)</f>
        <v>2</v>
      </c>
      <c r="AF24" s="197">
        <f>IFERROR(__xludf.DUMMYFUNCTION("""COMPUTED_VALUE"""),1.0)</f>
        <v>1</v>
      </c>
      <c r="AG24" s="41">
        <f>IFERROR(__xludf.DUMMYFUNCTION("""COMPUTED_VALUE"""),5.0)</f>
        <v>5</v>
      </c>
      <c r="AH24" s="197">
        <f>IFERROR(__xludf.DUMMYFUNCTION("""COMPUTED_VALUE"""),3.0)</f>
        <v>3</v>
      </c>
      <c r="AI24" s="197">
        <f>IFERROR(__xludf.DUMMYFUNCTION("""COMPUTED_VALUE"""),2.0)</f>
        <v>2</v>
      </c>
      <c r="AJ24" s="197">
        <f>IFERROR(__xludf.DUMMYFUNCTION("""COMPUTED_VALUE"""),0.0)</f>
        <v>0</v>
      </c>
      <c r="AK24" s="41">
        <f>IFERROR(__xludf.DUMMYFUNCTION("""COMPUTED_VALUE"""),0.0)</f>
        <v>0</v>
      </c>
      <c r="AL24" s="197">
        <f>IFERROR(__xludf.DUMMYFUNCTION("""COMPUTED_VALUE"""),0.0)</f>
        <v>0</v>
      </c>
      <c r="AM24" s="197">
        <f>IFERROR(__xludf.DUMMYFUNCTION("""COMPUTED_VALUE"""),0.0)</f>
        <v>0</v>
      </c>
      <c r="AN24" s="197">
        <f>IFERROR(__xludf.DUMMYFUNCTION("""COMPUTED_VALUE"""),0.0)</f>
        <v>0</v>
      </c>
      <c r="AO24" s="41">
        <f>IFERROR(__xludf.DUMMYFUNCTION("""COMPUTED_VALUE"""),0.0)</f>
        <v>0</v>
      </c>
      <c r="AP24" s="197">
        <f>IFERROR(__xludf.DUMMYFUNCTION("""COMPUTED_VALUE"""),0.0)</f>
        <v>0</v>
      </c>
      <c r="AQ24" s="197">
        <f>IFERROR(__xludf.DUMMYFUNCTION("""COMPUTED_VALUE"""),0.0)</f>
        <v>0</v>
      </c>
      <c r="AR24" s="197">
        <f>IFERROR(__xludf.DUMMYFUNCTION("""COMPUTED_VALUE"""),0.0)</f>
        <v>0</v>
      </c>
      <c r="AS24" s="41">
        <f>IFERROR(__xludf.DUMMYFUNCTION("""COMPUTED_VALUE"""),0.0)</f>
        <v>0</v>
      </c>
      <c r="AT24" s="197">
        <f>IFERROR(__xludf.DUMMYFUNCTION("""COMPUTED_VALUE"""),0.0)</f>
        <v>0</v>
      </c>
      <c r="AU24" s="197">
        <f>IFERROR(__xludf.DUMMYFUNCTION("""COMPUTED_VALUE"""),0.0)</f>
        <v>0</v>
      </c>
      <c r="AV24" s="197">
        <f>IFERROR(__xludf.DUMMYFUNCTION("""COMPUTED_VALUE"""),0.0)</f>
        <v>0</v>
      </c>
      <c r="AW24" s="41">
        <f>IFERROR(__xludf.DUMMYFUNCTION("""COMPUTED_VALUE"""),0.0)</f>
        <v>0</v>
      </c>
      <c r="AX24" s="197">
        <f>IFERROR(__xludf.DUMMYFUNCTION("""COMPUTED_VALUE"""),0.0)</f>
        <v>0</v>
      </c>
      <c r="AY24" s="197">
        <f>IFERROR(__xludf.DUMMYFUNCTION("""COMPUTED_VALUE"""),0.0)</f>
        <v>0</v>
      </c>
      <c r="AZ24" s="198">
        <f>IFERROR(__xludf.DUMMYFUNCTION("""COMPUTED_VALUE"""),0.0)</f>
        <v>0</v>
      </c>
      <c r="BA24" s="34"/>
    </row>
    <row r="25" ht="15.75" customHeight="1">
      <c r="A25" s="29"/>
      <c r="B25" s="67" t="str">
        <f>IFERROR(__xludf.DUMMYFUNCTION("""COMPUTED_VALUE""")," + Số lớp 9")</f>
        <v> + Số lớp 9</v>
      </c>
      <c r="C25" s="31"/>
      <c r="D25" s="31" t="str">
        <f>IFERROR(__xludf.DUMMYFUNCTION("""COMPUTED_VALUE"""),"""")</f>
        <v>"</v>
      </c>
      <c r="E25" s="41">
        <f>IFERROR(__xludf.DUMMYFUNCTION("""COMPUTED_VALUE"""),29.0)</f>
        <v>29</v>
      </c>
      <c r="F25" s="197">
        <f>IFERROR(__xludf.DUMMYFUNCTION("""COMPUTED_VALUE"""),26.0)</f>
        <v>26</v>
      </c>
      <c r="G25" s="197">
        <f>IFERROR(__xludf.DUMMYFUNCTION("""COMPUTED_VALUE"""),2.0)</f>
        <v>2</v>
      </c>
      <c r="H25" s="197">
        <f>IFERROR(__xludf.DUMMYFUNCTION("""COMPUTED_VALUE"""),1.0)</f>
        <v>1</v>
      </c>
      <c r="I25" s="41">
        <f>IFERROR(__xludf.DUMMYFUNCTION("""COMPUTED_VALUE"""),29.0)</f>
        <v>29</v>
      </c>
      <c r="J25" s="197">
        <f>IFERROR(__xludf.DUMMYFUNCTION("""COMPUTED_VALUE"""),26.0)</f>
        <v>26</v>
      </c>
      <c r="K25" s="197">
        <f>IFERROR(__xludf.DUMMYFUNCTION("""COMPUTED_VALUE"""),2.0)</f>
        <v>2</v>
      </c>
      <c r="L25" s="197">
        <f>IFERROR(__xludf.DUMMYFUNCTION("""COMPUTED_VALUE"""),1.0)</f>
        <v>1</v>
      </c>
      <c r="M25" s="41">
        <f>IFERROR(__xludf.DUMMYFUNCTION("""COMPUTED_VALUE"""),27.0)</f>
        <v>27</v>
      </c>
      <c r="N25" s="197">
        <f>IFERROR(__xludf.DUMMYFUNCTION("""COMPUTED_VALUE"""),24.0)</f>
        <v>24</v>
      </c>
      <c r="O25" s="197">
        <f>IFERROR(__xludf.DUMMYFUNCTION("""COMPUTED_VALUE"""),2.0)</f>
        <v>2</v>
      </c>
      <c r="P25" s="197">
        <f>IFERROR(__xludf.DUMMYFUNCTION("""COMPUTED_VALUE"""),1.0)</f>
        <v>1</v>
      </c>
      <c r="Q25" s="41">
        <f>IFERROR(__xludf.DUMMYFUNCTION("""COMPUTED_VALUE"""),27.0)</f>
        <v>27</v>
      </c>
      <c r="R25" s="197">
        <f>IFERROR(__xludf.DUMMYFUNCTION("""COMPUTED_VALUE"""),24.0)</f>
        <v>24</v>
      </c>
      <c r="S25" s="197">
        <f>IFERROR(__xludf.DUMMYFUNCTION("""COMPUTED_VALUE"""),2.0)</f>
        <v>2</v>
      </c>
      <c r="T25" s="197">
        <f>IFERROR(__xludf.DUMMYFUNCTION("""COMPUTED_VALUE"""),1.0)</f>
        <v>1</v>
      </c>
      <c r="U25" s="41">
        <f>IFERROR(__xludf.DUMMYFUNCTION("""COMPUTED_VALUE"""),27.0)</f>
        <v>27</v>
      </c>
      <c r="V25" s="197">
        <f>IFERROR(__xludf.DUMMYFUNCTION("""COMPUTED_VALUE"""),24.0)</f>
        <v>24</v>
      </c>
      <c r="W25" s="197">
        <f>IFERROR(__xludf.DUMMYFUNCTION("""COMPUTED_VALUE"""),2.0)</f>
        <v>2</v>
      </c>
      <c r="X25" s="197">
        <f>IFERROR(__xludf.DUMMYFUNCTION("""COMPUTED_VALUE"""),1.0)</f>
        <v>1</v>
      </c>
      <c r="Y25" s="41">
        <f>IFERROR(__xludf.DUMMYFUNCTION("""COMPUTED_VALUE"""),27.0)</f>
        <v>27</v>
      </c>
      <c r="Z25" s="197">
        <f>IFERROR(__xludf.DUMMYFUNCTION("""COMPUTED_VALUE"""),24.0)</f>
        <v>24</v>
      </c>
      <c r="AA25" s="197">
        <f>IFERROR(__xludf.DUMMYFUNCTION("""COMPUTED_VALUE"""),2.0)</f>
        <v>2</v>
      </c>
      <c r="AB25" s="197">
        <f>IFERROR(__xludf.DUMMYFUNCTION("""COMPUTED_VALUE"""),1.0)</f>
        <v>1</v>
      </c>
      <c r="AC25" s="41">
        <f>IFERROR(__xludf.DUMMYFUNCTION("""COMPUTED_VALUE"""),27.0)</f>
        <v>27</v>
      </c>
      <c r="AD25" s="197">
        <f>IFERROR(__xludf.DUMMYFUNCTION("""COMPUTED_VALUE"""),24.0)</f>
        <v>24</v>
      </c>
      <c r="AE25" s="197">
        <f>IFERROR(__xludf.DUMMYFUNCTION("""COMPUTED_VALUE"""),2.0)</f>
        <v>2</v>
      </c>
      <c r="AF25" s="197">
        <f>IFERROR(__xludf.DUMMYFUNCTION("""COMPUTED_VALUE"""),1.0)</f>
        <v>1</v>
      </c>
      <c r="AG25" s="41">
        <f>IFERROR(__xludf.DUMMYFUNCTION("""COMPUTED_VALUE"""),4.0)</f>
        <v>4</v>
      </c>
      <c r="AH25" s="197">
        <f>IFERROR(__xludf.DUMMYFUNCTION("""COMPUTED_VALUE"""),2.0)</f>
        <v>2</v>
      </c>
      <c r="AI25" s="197">
        <f>IFERROR(__xludf.DUMMYFUNCTION("""COMPUTED_VALUE"""),2.0)</f>
        <v>2</v>
      </c>
      <c r="AJ25" s="197">
        <f>IFERROR(__xludf.DUMMYFUNCTION("""COMPUTED_VALUE"""),0.0)</f>
        <v>0</v>
      </c>
      <c r="AK25" s="41">
        <f>IFERROR(__xludf.DUMMYFUNCTION("""COMPUTED_VALUE"""),0.0)</f>
        <v>0</v>
      </c>
      <c r="AL25" s="197">
        <f>IFERROR(__xludf.DUMMYFUNCTION("""COMPUTED_VALUE"""),0.0)</f>
        <v>0</v>
      </c>
      <c r="AM25" s="197">
        <f>IFERROR(__xludf.DUMMYFUNCTION("""COMPUTED_VALUE"""),0.0)</f>
        <v>0</v>
      </c>
      <c r="AN25" s="197">
        <f>IFERROR(__xludf.DUMMYFUNCTION("""COMPUTED_VALUE"""),0.0)</f>
        <v>0</v>
      </c>
      <c r="AO25" s="41">
        <f>IFERROR(__xludf.DUMMYFUNCTION("""COMPUTED_VALUE"""),0.0)</f>
        <v>0</v>
      </c>
      <c r="AP25" s="197">
        <f>IFERROR(__xludf.DUMMYFUNCTION("""COMPUTED_VALUE"""),0.0)</f>
        <v>0</v>
      </c>
      <c r="AQ25" s="197">
        <f>IFERROR(__xludf.DUMMYFUNCTION("""COMPUTED_VALUE"""),0.0)</f>
        <v>0</v>
      </c>
      <c r="AR25" s="197">
        <f>IFERROR(__xludf.DUMMYFUNCTION("""COMPUTED_VALUE"""),0.0)</f>
        <v>0</v>
      </c>
      <c r="AS25" s="41">
        <f>IFERROR(__xludf.DUMMYFUNCTION("""COMPUTED_VALUE"""),0.0)</f>
        <v>0</v>
      </c>
      <c r="AT25" s="197">
        <f>IFERROR(__xludf.DUMMYFUNCTION("""COMPUTED_VALUE"""),0.0)</f>
        <v>0</v>
      </c>
      <c r="AU25" s="197">
        <f>IFERROR(__xludf.DUMMYFUNCTION("""COMPUTED_VALUE"""),0.0)</f>
        <v>0</v>
      </c>
      <c r="AV25" s="197">
        <f>IFERROR(__xludf.DUMMYFUNCTION("""COMPUTED_VALUE"""),0.0)</f>
        <v>0</v>
      </c>
      <c r="AW25" s="41">
        <f>IFERROR(__xludf.DUMMYFUNCTION("""COMPUTED_VALUE"""),0.0)</f>
        <v>0</v>
      </c>
      <c r="AX25" s="197">
        <f>IFERROR(__xludf.DUMMYFUNCTION("""COMPUTED_VALUE"""),0.0)</f>
        <v>0</v>
      </c>
      <c r="AY25" s="197">
        <f>IFERROR(__xludf.DUMMYFUNCTION("""COMPUTED_VALUE"""),0.0)</f>
        <v>0</v>
      </c>
      <c r="AZ25" s="198">
        <f>IFERROR(__xludf.DUMMYFUNCTION("""COMPUTED_VALUE"""),0.0)</f>
        <v>0</v>
      </c>
      <c r="BA25" s="34"/>
    </row>
    <row r="26" ht="15.75" customHeight="1">
      <c r="A26" s="29"/>
      <c r="B26" s="67" t="str">
        <f>IFERROR(__xludf.DUMMYFUNCTION("""COMPUTED_VALUE""")," + Số lớp ghép")</f>
        <v> + Số lớp ghép</v>
      </c>
      <c r="C26" s="31"/>
      <c r="D26" s="31" t="str">
        <f>IFERROR(__xludf.DUMMYFUNCTION("""COMPUTED_VALUE"""),"""")</f>
        <v>"</v>
      </c>
      <c r="E26" s="41">
        <f>IFERROR(__xludf.DUMMYFUNCTION("""COMPUTED_VALUE"""),0.0)</f>
        <v>0</v>
      </c>
      <c r="F26" s="197">
        <f>IFERROR(__xludf.DUMMYFUNCTION("""COMPUTED_VALUE"""),0.0)</f>
        <v>0</v>
      </c>
      <c r="G26" s="197">
        <f>IFERROR(__xludf.DUMMYFUNCTION("""COMPUTED_VALUE"""),0.0)</f>
        <v>0</v>
      </c>
      <c r="H26" s="197">
        <f>IFERROR(__xludf.DUMMYFUNCTION("""COMPUTED_VALUE"""),0.0)</f>
        <v>0</v>
      </c>
      <c r="I26" s="41">
        <f>IFERROR(__xludf.DUMMYFUNCTION("""COMPUTED_VALUE"""),0.0)</f>
        <v>0</v>
      </c>
      <c r="J26" s="197">
        <f>IFERROR(__xludf.DUMMYFUNCTION("""COMPUTED_VALUE"""),0.0)</f>
        <v>0</v>
      </c>
      <c r="K26" s="197">
        <f>IFERROR(__xludf.DUMMYFUNCTION("""COMPUTED_VALUE"""),0.0)</f>
        <v>0</v>
      </c>
      <c r="L26" s="197">
        <f>IFERROR(__xludf.DUMMYFUNCTION("""COMPUTED_VALUE"""),0.0)</f>
        <v>0</v>
      </c>
      <c r="M26" s="41">
        <f>IFERROR(__xludf.DUMMYFUNCTION("""COMPUTED_VALUE"""),0.0)</f>
        <v>0</v>
      </c>
      <c r="N26" s="197">
        <f>IFERROR(__xludf.DUMMYFUNCTION("""COMPUTED_VALUE"""),0.0)</f>
        <v>0</v>
      </c>
      <c r="O26" s="197">
        <f>IFERROR(__xludf.DUMMYFUNCTION("""COMPUTED_VALUE"""),0.0)</f>
        <v>0</v>
      </c>
      <c r="P26" s="197">
        <f>IFERROR(__xludf.DUMMYFUNCTION("""COMPUTED_VALUE"""),0.0)</f>
        <v>0</v>
      </c>
      <c r="Q26" s="41">
        <f>IFERROR(__xludf.DUMMYFUNCTION("""COMPUTED_VALUE"""),0.0)</f>
        <v>0</v>
      </c>
      <c r="R26" s="197">
        <f>IFERROR(__xludf.DUMMYFUNCTION("""COMPUTED_VALUE"""),0.0)</f>
        <v>0</v>
      </c>
      <c r="S26" s="197">
        <f>IFERROR(__xludf.DUMMYFUNCTION("""COMPUTED_VALUE"""),0.0)</f>
        <v>0</v>
      </c>
      <c r="T26" s="197">
        <f>IFERROR(__xludf.DUMMYFUNCTION("""COMPUTED_VALUE"""),0.0)</f>
        <v>0</v>
      </c>
      <c r="U26" s="41">
        <f>IFERROR(__xludf.DUMMYFUNCTION("""COMPUTED_VALUE"""),0.0)</f>
        <v>0</v>
      </c>
      <c r="V26" s="197">
        <f>IFERROR(__xludf.DUMMYFUNCTION("""COMPUTED_VALUE"""),0.0)</f>
        <v>0</v>
      </c>
      <c r="W26" s="197">
        <f>IFERROR(__xludf.DUMMYFUNCTION("""COMPUTED_VALUE"""),0.0)</f>
        <v>0</v>
      </c>
      <c r="X26" s="197">
        <f>IFERROR(__xludf.DUMMYFUNCTION("""COMPUTED_VALUE"""),0.0)</f>
        <v>0</v>
      </c>
      <c r="Y26" s="41">
        <f>IFERROR(__xludf.DUMMYFUNCTION("""COMPUTED_VALUE"""),0.0)</f>
        <v>0</v>
      </c>
      <c r="Z26" s="197">
        <f>IFERROR(__xludf.DUMMYFUNCTION("""COMPUTED_VALUE"""),0.0)</f>
        <v>0</v>
      </c>
      <c r="AA26" s="197">
        <f>IFERROR(__xludf.DUMMYFUNCTION("""COMPUTED_VALUE"""),0.0)</f>
        <v>0</v>
      </c>
      <c r="AB26" s="197">
        <f>IFERROR(__xludf.DUMMYFUNCTION("""COMPUTED_VALUE"""),0.0)</f>
        <v>0</v>
      </c>
      <c r="AC26" s="41">
        <f>IFERROR(__xludf.DUMMYFUNCTION("""COMPUTED_VALUE"""),0.0)</f>
        <v>0</v>
      </c>
      <c r="AD26" s="197">
        <f>IFERROR(__xludf.DUMMYFUNCTION("""COMPUTED_VALUE"""),0.0)</f>
        <v>0</v>
      </c>
      <c r="AE26" s="197">
        <f>IFERROR(__xludf.DUMMYFUNCTION("""COMPUTED_VALUE"""),0.0)</f>
        <v>0</v>
      </c>
      <c r="AF26" s="197">
        <f>IFERROR(__xludf.DUMMYFUNCTION("""COMPUTED_VALUE"""),0.0)</f>
        <v>0</v>
      </c>
      <c r="AG26" s="41">
        <f>IFERROR(__xludf.DUMMYFUNCTION("""COMPUTED_VALUE"""),0.0)</f>
        <v>0</v>
      </c>
      <c r="AH26" s="197">
        <f>IFERROR(__xludf.DUMMYFUNCTION("""COMPUTED_VALUE"""),0.0)</f>
        <v>0</v>
      </c>
      <c r="AI26" s="197">
        <f>IFERROR(__xludf.DUMMYFUNCTION("""COMPUTED_VALUE"""),0.0)</f>
        <v>0</v>
      </c>
      <c r="AJ26" s="197">
        <f>IFERROR(__xludf.DUMMYFUNCTION("""COMPUTED_VALUE"""),0.0)</f>
        <v>0</v>
      </c>
      <c r="AK26" s="41">
        <f>IFERROR(__xludf.DUMMYFUNCTION("""COMPUTED_VALUE"""),0.0)</f>
        <v>0</v>
      </c>
      <c r="AL26" s="197">
        <f>IFERROR(__xludf.DUMMYFUNCTION("""COMPUTED_VALUE"""),0.0)</f>
        <v>0</v>
      </c>
      <c r="AM26" s="197">
        <f>IFERROR(__xludf.DUMMYFUNCTION("""COMPUTED_VALUE"""),0.0)</f>
        <v>0</v>
      </c>
      <c r="AN26" s="197">
        <f>IFERROR(__xludf.DUMMYFUNCTION("""COMPUTED_VALUE"""),0.0)</f>
        <v>0</v>
      </c>
      <c r="AO26" s="41">
        <f>IFERROR(__xludf.DUMMYFUNCTION("""COMPUTED_VALUE"""),0.0)</f>
        <v>0</v>
      </c>
      <c r="AP26" s="197">
        <f>IFERROR(__xludf.DUMMYFUNCTION("""COMPUTED_VALUE"""),0.0)</f>
        <v>0</v>
      </c>
      <c r="AQ26" s="197">
        <f>IFERROR(__xludf.DUMMYFUNCTION("""COMPUTED_VALUE"""),0.0)</f>
        <v>0</v>
      </c>
      <c r="AR26" s="197">
        <f>IFERROR(__xludf.DUMMYFUNCTION("""COMPUTED_VALUE"""),0.0)</f>
        <v>0</v>
      </c>
      <c r="AS26" s="41">
        <f>IFERROR(__xludf.DUMMYFUNCTION("""COMPUTED_VALUE"""),0.0)</f>
        <v>0</v>
      </c>
      <c r="AT26" s="197">
        <f>IFERROR(__xludf.DUMMYFUNCTION("""COMPUTED_VALUE"""),0.0)</f>
        <v>0</v>
      </c>
      <c r="AU26" s="197">
        <f>IFERROR(__xludf.DUMMYFUNCTION("""COMPUTED_VALUE"""),0.0)</f>
        <v>0</v>
      </c>
      <c r="AV26" s="197">
        <f>IFERROR(__xludf.DUMMYFUNCTION("""COMPUTED_VALUE"""),0.0)</f>
        <v>0</v>
      </c>
      <c r="AW26" s="41">
        <f>IFERROR(__xludf.DUMMYFUNCTION("""COMPUTED_VALUE"""),0.0)</f>
        <v>0</v>
      </c>
      <c r="AX26" s="197">
        <f>IFERROR(__xludf.DUMMYFUNCTION("""COMPUTED_VALUE"""),0.0)</f>
        <v>0</v>
      </c>
      <c r="AY26" s="197">
        <f>IFERROR(__xludf.DUMMYFUNCTION("""COMPUTED_VALUE"""),0.0)</f>
        <v>0</v>
      </c>
      <c r="AZ26" s="198">
        <f>IFERROR(__xludf.DUMMYFUNCTION("""COMPUTED_VALUE"""),0.0)</f>
        <v>0</v>
      </c>
      <c r="BA26" s="34"/>
    </row>
    <row r="27" ht="15.75" customHeight="1">
      <c r="A27" s="29"/>
      <c r="B27" s="30" t="str">
        <f>IFERROR(__xludf.DUMMYFUNCTION("""COMPUTED_VALUE"""),"3. HỌC SINH")</f>
        <v>3. HỌC SINH</v>
      </c>
      <c r="C27" s="31" t="str">
        <f>IFERROR(__xludf.DUMMYFUNCTION("""COMPUTED_VALUE"""),"Tháng")</f>
        <v>Tháng</v>
      </c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3"/>
      <c r="BA27" s="34"/>
    </row>
    <row r="28" ht="15.75" customHeight="1">
      <c r="A28" s="29"/>
      <c r="B28" s="196" t="str">
        <f>IFERROR(__xludf.DUMMYFUNCTION("""COMPUTED_VALUE"""),"3.1. Tổng số")</f>
        <v>3.1. Tổng số</v>
      </c>
      <c r="C28" s="57"/>
      <c r="D28" s="57" t="str">
        <f>IFERROR(__xludf.DUMMYFUNCTION("""COMPUTED_VALUE"""),"Người")</f>
        <v>Người</v>
      </c>
      <c r="E28" s="125">
        <f>IFERROR(__xludf.DUMMYFUNCTION("""COMPUTED_VALUE"""),9236.0)</f>
        <v>9236</v>
      </c>
      <c r="F28" s="125">
        <f>IFERROR(__xludf.DUMMYFUNCTION("""COMPUTED_VALUE"""),7877.0)</f>
        <v>7877</v>
      </c>
      <c r="G28" s="125">
        <f>IFERROR(__xludf.DUMMYFUNCTION("""COMPUTED_VALUE"""),1075.0)</f>
        <v>1075</v>
      </c>
      <c r="H28" s="125">
        <f>IFERROR(__xludf.DUMMYFUNCTION("""COMPUTED_VALUE"""),284.0)</f>
        <v>284</v>
      </c>
      <c r="I28" s="125">
        <f>IFERROR(__xludf.DUMMYFUNCTION("""COMPUTED_VALUE"""),9236.0)</f>
        <v>9236</v>
      </c>
      <c r="J28" s="125">
        <f>IFERROR(__xludf.DUMMYFUNCTION("""COMPUTED_VALUE"""),7879.0)</f>
        <v>7879</v>
      </c>
      <c r="K28" s="125">
        <f>IFERROR(__xludf.DUMMYFUNCTION("""COMPUTED_VALUE"""),1075.0)</f>
        <v>1075</v>
      </c>
      <c r="L28" s="125">
        <f>IFERROR(__xludf.DUMMYFUNCTION("""COMPUTED_VALUE"""),282.0)</f>
        <v>282</v>
      </c>
      <c r="M28" s="125">
        <f>IFERROR(__xludf.DUMMYFUNCTION("""COMPUTED_VALUE"""),8374.0)</f>
        <v>8374</v>
      </c>
      <c r="N28" s="125">
        <f>IFERROR(__xludf.DUMMYFUNCTION("""COMPUTED_VALUE"""),7021.0)</f>
        <v>7021</v>
      </c>
      <c r="O28" s="125">
        <f>IFERROR(__xludf.DUMMYFUNCTION("""COMPUTED_VALUE"""),1074.0)</f>
        <v>1074</v>
      </c>
      <c r="P28" s="125">
        <f>IFERROR(__xludf.DUMMYFUNCTION("""COMPUTED_VALUE"""),279.0)</f>
        <v>279</v>
      </c>
      <c r="Q28" s="125">
        <f>IFERROR(__xludf.DUMMYFUNCTION("""COMPUTED_VALUE"""),8339.0)</f>
        <v>8339</v>
      </c>
      <c r="R28" s="125">
        <f>IFERROR(__xludf.DUMMYFUNCTION("""COMPUTED_VALUE"""),6995.0)</f>
        <v>6995</v>
      </c>
      <c r="S28" s="125">
        <f>IFERROR(__xludf.DUMMYFUNCTION("""COMPUTED_VALUE"""),1065.0)</f>
        <v>1065</v>
      </c>
      <c r="T28" s="125">
        <f>IFERROR(__xludf.DUMMYFUNCTION("""COMPUTED_VALUE"""),279.0)</f>
        <v>279</v>
      </c>
      <c r="U28" s="125">
        <f>IFERROR(__xludf.DUMMYFUNCTION("""COMPUTED_VALUE"""),8330.0)</f>
        <v>8330</v>
      </c>
      <c r="V28" s="125">
        <f>IFERROR(__xludf.DUMMYFUNCTION("""COMPUTED_VALUE"""),6988.0)</f>
        <v>6988</v>
      </c>
      <c r="W28" s="125">
        <f>IFERROR(__xludf.DUMMYFUNCTION("""COMPUTED_VALUE"""),1065.0)</f>
        <v>1065</v>
      </c>
      <c r="X28" s="125">
        <f>IFERROR(__xludf.DUMMYFUNCTION("""COMPUTED_VALUE"""),277.0)</f>
        <v>277</v>
      </c>
      <c r="Y28" s="125">
        <f>IFERROR(__xludf.DUMMYFUNCTION("""COMPUTED_VALUE"""),8296.0)</f>
        <v>8296</v>
      </c>
      <c r="Z28" s="125">
        <f>IFERROR(__xludf.DUMMYFUNCTION("""COMPUTED_VALUE"""),6957.0)</f>
        <v>6957</v>
      </c>
      <c r="AA28" s="125">
        <f>IFERROR(__xludf.DUMMYFUNCTION("""COMPUTED_VALUE"""),1065.0)</f>
        <v>1065</v>
      </c>
      <c r="AB28" s="125">
        <f>IFERROR(__xludf.DUMMYFUNCTION("""COMPUTED_VALUE"""),274.0)</f>
        <v>274</v>
      </c>
      <c r="AC28" s="125">
        <f>IFERROR(__xludf.DUMMYFUNCTION("""COMPUTED_VALUE"""),8290.0)</f>
        <v>8290</v>
      </c>
      <c r="AD28" s="125">
        <f>IFERROR(__xludf.DUMMYFUNCTION("""COMPUTED_VALUE"""),6951.0)</f>
        <v>6951</v>
      </c>
      <c r="AE28" s="125">
        <f>IFERROR(__xludf.DUMMYFUNCTION("""COMPUTED_VALUE"""),1065.0)</f>
        <v>1065</v>
      </c>
      <c r="AF28" s="125">
        <f>IFERROR(__xludf.DUMMYFUNCTION("""COMPUTED_VALUE"""),274.0)</f>
        <v>274</v>
      </c>
      <c r="AG28" s="125">
        <f>IFERROR(__xludf.DUMMYFUNCTION("""COMPUTED_VALUE"""),2251.0)</f>
        <v>2251</v>
      </c>
      <c r="AH28" s="125">
        <f>IFERROR(__xludf.DUMMYFUNCTION("""COMPUTED_VALUE"""),1186.0)</f>
        <v>1186</v>
      </c>
      <c r="AI28" s="125">
        <f>IFERROR(__xludf.DUMMYFUNCTION("""COMPUTED_VALUE"""),1065.0)</f>
        <v>1065</v>
      </c>
      <c r="AJ28" s="125">
        <f>IFERROR(__xludf.DUMMYFUNCTION("""COMPUTED_VALUE"""),0.0)</f>
        <v>0</v>
      </c>
      <c r="AK28" s="125">
        <f>IFERROR(__xludf.DUMMYFUNCTION("""COMPUTED_VALUE"""),0.0)</f>
        <v>0</v>
      </c>
      <c r="AL28" s="125">
        <f>IFERROR(__xludf.DUMMYFUNCTION("""COMPUTED_VALUE"""),0.0)</f>
        <v>0</v>
      </c>
      <c r="AM28" s="125">
        <f>IFERROR(__xludf.DUMMYFUNCTION("""COMPUTED_VALUE"""),0.0)</f>
        <v>0</v>
      </c>
      <c r="AN28" s="125">
        <f>IFERROR(__xludf.DUMMYFUNCTION("""COMPUTED_VALUE"""),0.0)</f>
        <v>0</v>
      </c>
      <c r="AO28" s="125">
        <f>IFERROR(__xludf.DUMMYFUNCTION("""COMPUTED_VALUE"""),0.0)</f>
        <v>0</v>
      </c>
      <c r="AP28" s="125">
        <f>IFERROR(__xludf.DUMMYFUNCTION("""COMPUTED_VALUE"""),0.0)</f>
        <v>0</v>
      </c>
      <c r="AQ28" s="125">
        <f>IFERROR(__xludf.DUMMYFUNCTION("""COMPUTED_VALUE"""),0.0)</f>
        <v>0</v>
      </c>
      <c r="AR28" s="125">
        <f>IFERROR(__xludf.DUMMYFUNCTION("""COMPUTED_VALUE"""),0.0)</f>
        <v>0</v>
      </c>
      <c r="AS28" s="125">
        <f>IFERROR(__xludf.DUMMYFUNCTION("""COMPUTED_VALUE"""),0.0)</f>
        <v>0</v>
      </c>
      <c r="AT28" s="125">
        <f>IFERROR(__xludf.DUMMYFUNCTION("""COMPUTED_VALUE"""),0.0)</f>
        <v>0</v>
      </c>
      <c r="AU28" s="125">
        <f>IFERROR(__xludf.DUMMYFUNCTION("""COMPUTED_VALUE"""),0.0)</f>
        <v>0</v>
      </c>
      <c r="AV28" s="125">
        <f>IFERROR(__xludf.DUMMYFUNCTION("""COMPUTED_VALUE"""),0.0)</f>
        <v>0</v>
      </c>
      <c r="AW28" s="125">
        <f>IFERROR(__xludf.DUMMYFUNCTION("""COMPUTED_VALUE"""),0.0)</f>
        <v>0</v>
      </c>
      <c r="AX28" s="125">
        <f>IFERROR(__xludf.DUMMYFUNCTION("""COMPUTED_VALUE"""),0.0)</f>
        <v>0</v>
      </c>
      <c r="AY28" s="125">
        <f>IFERROR(__xludf.DUMMYFUNCTION("""COMPUTED_VALUE"""),0.0)</f>
        <v>0</v>
      </c>
      <c r="AZ28" s="127">
        <f>IFERROR(__xludf.DUMMYFUNCTION("""COMPUTED_VALUE"""),0.0)</f>
        <v>0</v>
      </c>
      <c r="BA28" s="34"/>
    </row>
    <row r="29" ht="15.75" customHeight="1">
      <c r="A29" s="29"/>
      <c r="B29" s="48" t="str">
        <f>IFERROR(__xludf.DUMMYFUNCTION("""COMPUTED_VALUE"""),"Chia ra:")</f>
        <v>Chia ra:</v>
      </c>
      <c r="C29" s="49"/>
      <c r="D29" s="31"/>
      <c r="E29" s="41"/>
      <c r="F29" s="237"/>
      <c r="G29" s="237"/>
      <c r="H29" s="237"/>
      <c r="I29" s="41"/>
      <c r="J29" s="237"/>
      <c r="K29" s="237"/>
      <c r="L29" s="237"/>
      <c r="M29" s="41"/>
      <c r="N29" s="237"/>
      <c r="O29" s="237"/>
      <c r="P29" s="237"/>
      <c r="Q29" s="41"/>
      <c r="R29" s="237"/>
      <c r="S29" s="237"/>
      <c r="T29" s="237"/>
      <c r="U29" s="41"/>
      <c r="V29" s="237"/>
      <c r="W29" s="237"/>
      <c r="X29" s="237"/>
      <c r="Y29" s="41"/>
      <c r="Z29" s="237"/>
      <c r="AA29" s="237"/>
      <c r="AB29" s="237"/>
      <c r="AC29" s="41"/>
      <c r="AD29" s="237"/>
      <c r="AE29" s="237"/>
      <c r="AF29" s="237"/>
      <c r="AG29" s="41"/>
      <c r="AH29" s="237"/>
      <c r="AI29" s="237"/>
      <c r="AJ29" s="237"/>
      <c r="AK29" s="41"/>
      <c r="AL29" s="237"/>
      <c r="AM29" s="237"/>
      <c r="AN29" s="237"/>
      <c r="AO29" s="41"/>
      <c r="AP29" s="237"/>
      <c r="AQ29" s="237"/>
      <c r="AR29" s="237"/>
      <c r="AS29" s="41"/>
      <c r="AT29" s="237"/>
      <c r="AU29" s="237"/>
      <c r="AV29" s="237"/>
      <c r="AW29" s="41"/>
      <c r="AX29" s="237"/>
      <c r="AY29" s="237"/>
      <c r="AZ29" s="238"/>
      <c r="BA29" s="34"/>
    </row>
    <row r="30" ht="15.75" customHeight="1">
      <c r="A30" s="29"/>
      <c r="B30" s="67" t="str">
        <f>IFERROR(__xludf.DUMMYFUNCTION("""COMPUTED_VALUE""")," + Lớp 1")</f>
        <v> + Lớp 1</v>
      </c>
      <c r="C30" s="31"/>
      <c r="D30" s="31" t="str">
        <f>IFERROR(__xludf.DUMMYFUNCTION("""COMPUTED_VALUE"""),"""")</f>
        <v>"</v>
      </c>
      <c r="E30" s="41">
        <f>IFERROR(__xludf.DUMMYFUNCTION("""COMPUTED_VALUE"""),981.0)</f>
        <v>981</v>
      </c>
      <c r="F30" s="197">
        <f>IFERROR(__xludf.DUMMYFUNCTION("""COMPUTED_VALUE"""),785.0)</f>
        <v>785</v>
      </c>
      <c r="G30" s="197">
        <f>IFERROR(__xludf.DUMMYFUNCTION("""COMPUTED_VALUE"""),142.0)</f>
        <v>142</v>
      </c>
      <c r="H30" s="197">
        <f>IFERROR(__xludf.DUMMYFUNCTION("""COMPUTED_VALUE"""),54.0)</f>
        <v>54</v>
      </c>
      <c r="I30" s="41">
        <f>IFERROR(__xludf.DUMMYFUNCTION("""COMPUTED_VALUE"""),983.0)</f>
        <v>983</v>
      </c>
      <c r="J30" s="197">
        <f>IFERROR(__xludf.DUMMYFUNCTION("""COMPUTED_VALUE"""),787.0)</f>
        <v>787</v>
      </c>
      <c r="K30" s="197">
        <f>IFERROR(__xludf.DUMMYFUNCTION("""COMPUTED_VALUE"""),142.0)</f>
        <v>142</v>
      </c>
      <c r="L30" s="197">
        <f>IFERROR(__xludf.DUMMYFUNCTION("""COMPUTED_VALUE"""),54.0)</f>
        <v>54</v>
      </c>
      <c r="M30" s="41">
        <f>IFERROR(__xludf.DUMMYFUNCTION("""COMPUTED_VALUE"""),899.0)</f>
        <v>899</v>
      </c>
      <c r="N30" s="197">
        <f>IFERROR(__xludf.DUMMYFUNCTION("""COMPUTED_VALUE"""),704.0)</f>
        <v>704</v>
      </c>
      <c r="O30" s="197">
        <f>IFERROR(__xludf.DUMMYFUNCTION("""COMPUTED_VALUE"""),142.0)</f>
        <v>142</v>
      </c>
      <c r="P30" s="197">
        <f>IFERROR(__xludf.DUMMYFUNCTION("""COMPUTED_VALUE"""),53.0)</f>
        <v>53</v>
      </c>
      <c r="Q30" s="41">
        <f>IFERROR(__xludf.DUMMYFUNCTION("""COMPUTED_VALUE"""),899.0)</f>
        <v>899</v>
      </c>
      <c r="R30" s="197">
        <f>IFERROR(__xludf.DUMMYFUNCTION("""COMPUTED_VALUE"""),709.0)</f>
        <v>709</v>
      </c>
      <c r="S30" s="197">
        <f>IFERROR(__xludf.DUMMYFUNCTION("""COMPUTED_VALUE"""),137.0)</f>
        <v>137</v>
      </c>
      <c r="T30" s="197">
        <f>IFERROR(__xludf.DUMMYFUNCTION("""COMPUTED_VALUE"""),53.0)</f>
        <v>53</v>
      </c>
      <c r="U30" s="41">
        <f>IFERROR(__xludf.DUMMYFUNCTION("""COMPUTED_VALUE"""),903.0)</f>
        <v>903</v>
      </c>
      <c r="V30" s="197">
        <f>IFERROR(__xludf.DUMMYFUNCTION("""COMPUTED_VALUE"""),713.0)</f>
        <v>713</v>
      </c>
      <c r="W30" s="197">
        <f>IFERROR(__xludf.DUMMYFUNCTION("""COMPUTED_VALUE"""),137.0)</f>
        <v>137</v>
      </c>
      <c r="X30" s="197">
        <f>IFERROR(__xludf.DUMMYFUNCTION("""COMPUTED_VALUE"""),53.0)</f>
        <v>53</v>
      </c>
      <c r="Y30" s="41">
        <f>IFERROR(__xludf.DUMMYFUNCTION("""COMPUTED_VALUE"""),898.0)</f>
        <v>898</v>
      </c>
      <c r="Z30" s="197">
        <f>IFERROR(__xludf.DUMMYFUNCTION("""COMPUTED_VALUE"""),710.0)</f>
        <v>710</v>
      </c>
      <c r="AA30" s="197">
        <f>IFERROR(__xludf.DUMMYFUNCTION("""COMPUTED_VALUE"""),137.0)</f>
        <v>137</v>
      </c>
      <c r="AB30" s="197">
        <f>IFERROR(__xludf.DUMMYFUNCTION("""COMPUTED_VALUE"""),51.0)</f>
        <v>51</v>
      </c>
      <c r="AC30" s="41">
        <f>IFERROR(__xludf.DUMMYFUNCTION("""COMPUTED_VALUE"""),898.0)</f>
        <v>898</v>
      </c>
      <c r="AD30" s="197">
        <f>IFERROR(__xludf.DUMMYFUNCTION("""COMPUTED_VALUE"""),710.0)</f>
        <v>710</v>
      </c>
      <c r="AE30" s="197">
        <f>IFERROR(__xludf.DUMMYFUNCTION("""COMPUTED_VALUE"""),137.0)</f>
        <v>137</v>
      </c>
      <c r="AF30" s="197">
        <f>IFERROR(__xludf.DUMMYFUNCTION("""COMPUTED_VALUE"""),51.0)</f>
        <v>51</v>
      </c>
      <c r="AG30" s="41">
        <f>IFERROR(__xludf.DUMMYFUNCTION("""COMPUTED_VALUE"""),305.0)</f>
        <v>305</v>
      </c>
      <c r="AH30" s="197">
        <f>IFERROR(__xludf.DUMMYFUNCTION("""COMPUTED_VALUE"""),168.0)</f>
        <v>168</v>
      </c>
      <c r="AI30" s="197">
        <f>IFERROR(__xludf.DUMMYFUNCTION("""COMPUTED_VALUE"""),137.0)</f>
        <v>137</v>
      </c>
      <c r="AJ30" s="197">
        <f>IFERROR(__xludf.DUMMYFUNCTION("""COMPUTED_VALUE"""),0.0)</f>
        <v>0</v>
      </c>
      <c r="AK30" s="41">
        <f>IFERROR(__xludf.DUMMYFUNCTION("""COMPUTED_VALUE"""),0.0)</f>
        <v>0</v>
      </c>
      <c r="AL30" s="197">
        <f>IFERROR(__xludf.DUMMYFUNCTION("""COMPUTED_VALUE"""),0.0)</f>
        <v>0</v>
      </c>
      <c r="AM30" s="197">
        <f>IFERROR(__xludf.DUMMYFUNCTION("""COMPUTED_VALUE"""),0.0)</f>
        <v>0</v>
      </c>
      <c r="AN30" s="197">
        <f>IFERROR(__xludf.DUMMYFUNCTION("""COMPUTED_VALUE"""),0.0)</f>
        <v>0</v>
      </c>
      <c r="AO30" s="41">
        <f>IFERROR(__xludf.DUMMYFUNCTION("""COMPUTED_VALUE"""),0.0)</f>
        <v>0</v>
      </c>
      <c r="AP30" s="197">
        <f>IFERROR(__xludf.DUMMYFUNCTION("""COMPUTED_VALUE"""),0.0)</f>
        <v>0</v>
      </c>
      <c r="AQ30" s="197">
        <f>IFERROR(__xludf.DUMMYFUNCTION("""COMPUTED_VALUE"""),0.0)</f>
        <v>0</v>
      </c>
      <c r="AR30" s="197">
        <f>IFERROR(__xludf.DUMMYFUNCTION("""COMPUTED_VALUE"""),0.0)</f>
        <v>0</v>
      </c>
      <c r="AS30" s="41">
        <f>IFERROR(__xludf.DUMMYFUNCTION("""COMPUTED_VALUE"""),0.0)</f>
        <v>0</v>
      </c>
      <c r="AT30" s="197">
        <f>IFERROR(__xludf.DUMMYFUNCTION("""COMPUTED_VALUE"""),0.0)</f>
        <v>0</v>
      </c>
      <c r="AU30" s="197">
        <f>IFERROR(__xludf.DUMMYFUNCTION("""COMPUTED_VALUE"""),0.0)</f>
        <v>0</v>
      </c>
      <c r="AV30" s="197">
        <f>IFERROR(__xludf.DUMMYFUNCTION("""COMPUTED_VALUE"""),0.0)</f>
        <v>0</v>
      </c>
      <c r="AW30" s="41">
        <f>IFERROR(__xludf.DUMMYFUNCTION("""COMPUTED_VALUE"""),0.0)</f>
        <v>0</v>
      </c>
      <c r="AX30" s="197">
        <f>IFERROR(__xludf.DUMMYFUNCTION("""COMPUTED_VALUE"""),0.0)</f>
        <v>0</v>
      </c>
      <c r="AY30" s="197">
        <f>IFERROR(__xludf.DUMMYFUNCTION("""COMPUTED_VALUE"""),0.0)</f>
        <v>0</v>
      </c>
      <c r="AZ30" s="198">
        <f>IFERROR(__xludf.DUMMYFUNCTION("""COMPUTED_VALUE"""),0.0)</f>
        <v>0</v>
      </c>
      <c r="BA30" s="34"/>
    </row>
    <row r="31" ht="15.75" customHeight="1">
      <c r="A31" s="29"/>
      <c r="B31" s="67" t="str">
        <f>IFERROR(__xludf.DUMMYFUNCTION("""COMPUTED_VALUE""")," + Lớp 2")</f>
        <v> + Lớp 2</v>
      </c>
      <c r="C31" s="31"/>
      <c r="D31" s="31" t="str">
        <f>IFERROR(__xludf.DUMMYFUNCTION("""COMPUTED_VALUE"""),"""")</f>
        <v>"</v>
      </c>
      <c r="E31" s="41">
        <f>IFERROR(__xludf.DUMMYFUNCTION("""COMPUTED_VALUE"""),915.0)</f>
        <v>915</v>
      </c>
      <c r="F31" s="197">
        <f>IFERROR(__xludf.DUMMYFUNCTION("""COMPUTED_VALUE"""),741.0)</f>
        <v>741</v>
      </c>
      <c r="G31" s="197">
        <f>IFERROR(__xludf.DUMMYFUNCTION("""COMPUTED_VALUE"""),123.0)</f>
        <v>123</v>
      </c>
      <c r="H31" s="197">
        <f>IFERROR(__xludf.DUMMYFUNCTION("""COMPUTED_VALUE"""),51.0)</f>
        <v>51</v>
      </c>
      <c r="I31" s="41">
        <f>IFERROR(__xludf.DUMMYFUNCTION("""COMPUTED_VALUE"""),916.0)</f>
        <v>916</v>
      </c>
      <c r="J31" s="197">
        <f>IFERROR(__xludf.DUMMYFUNCTION("""COMPUTED_VALUE"""),742.0)</f>
        <v>742</v>
      </c>
      <c r="K31" s="197">
        <f>IFERROR(__xludf.DUMMYFUNCTION("""COMPUTED_VALUE"""),123.0)</f>
        <v>123</v>
      </c>
      <c r="L31" s="197">
        <f>IFERROR(__xludf.DUMMYFUNCTION("""COMPUTED_VALUE"""),51.0)</f>
        <v>51</v>
      </c>
      <c r="M31" s="41">
        <f>IFERROR(__xludf.DUMMYFUNCTION("""COMPUTED_VALUE"""),843.0)</f>
        <v>843</v>
      </c>
      <c r="N31" s="197">
        <f>IFERROR(__xludf.DUMMYFUNCTION("""COMPUTED_VALUE"""),670.0)</f>
        <v>670</v>
      </c>
      <c r="O31" s="197">
        <f>IFERROR(__xludf.DUMMYFUNCTION("""COMPUTED_VALUE"""),123.0)</f>
        <v>123</v>
      </c>
      <c r="P31" s="197">
        <f>IFERROR(__xludf.DUMMYFUNCTION("""COMPUTED_VALUE"""),50.0)</f>
        <v>50</v>
      </c>
      <c r="Q31" s="41">
        <f>IFERROR(__xludf.DUMMYFUNCTION("""COMPUTED_VALUE"""),841.0)</f>
        <v>841</v>
      </c>
      <c r="R31" s="197">
        <f>IFERROR(__xludf.DUMMYFUNCTION("""COMPUTED_VALUE"""),670.0)</f>
        <v>670</v>
      </c>
      <c r="S31" s="197">
        <f>IFERROR(__xludf.DUMMYFUNCTION("""COMPUTED_VALUE"""),121.0)</f>
        <v>121</v>
      </c>
      <c r="T31" s="197">
        <f>IFERROR(__xludf.DUMMYFUNCTION("""COMPUTED_VALUE"""),50.0)</f>
        <v>50</v>
      </c>
      <c r="U31" s="41">
        <f>IFERROR(__xludf.DUMMYFUNCTION("""COMPUTED_VALUE"""),841.0)</f>
        <v>841</v>
      </c>
      <c r="V31" s="197">
        <f>IFERROR(__xludf.DUMMYFUNCTION("""COMPUTED_VALUE"""),670.0)</f>
        <v>670</v>
      </c>
      <c r="W31" s="197">
        <f>IFERROR(__xludf.DUMMYFUNCTION("""COMPUTED_VALUE"""),121.0)</f>
        <v>121</v>
      </c>
      <c r="X31" s="197">
        <f>IFERROR(__xludf.DUMMYFUNCTION("""COMPUTED_VALUE"""),50.0)</f>
        <v>50</v>
      </c>
      <c r="Y31" s="41">
        <f>IFERROR(__xludf.DUMMYFUNCTION("""COMPUTED_VALUE"""),844.0)</f>
        <v>844</v>
      </c>
      <c r="Z31" s="197">
        <f>IFERROR(__xludf.DUMMYFUNCTION("""COMPUTED_VALUE"""),673.0)</f>
        <v>673</v>
      </c>
      <c r="AA31" s="197">
        <f>IFERROR(__xludf.DUMMYFUNCTION("""COMPUTED_VALUE"""),121.0)</f>
        <v>121</v>
      </c>
      <c r="AB31" s="197">
        <f>IFERROR(__xludf.DUMMYFUNCTION("""COMPUTED_VALUE"""),50.0)</f>
        <v>50</v>
      </c>
      <c r="AC31" s="41">
        <f>IFERROR(__xludf.DUMMYFUNCTION("""COMPUTED_VALUE"""),845.0)</f>
        <v>845</v>
      </c>
      <c r="AD31" s="197">
        <f>IFERROR(__xludf.DUMMYFUNCTION("""COMPUTED_VALUE"""),674.0)</f>
        <v>674</v>
      </c>
      <c r="AE31" s="197">
        <f>IFERROR(__xludf.DUMMYFUNCTION("""COMPUTED_VALUE"""),121.0)</f>
        <v>121</v>
      </c>
      <c r="AF31" s="197">
        <f>IFERROR(__xludf.DUMMYFUNCTION("""COMPUTED_VALUE"""),50.0)</f>
        <v>50</v>
      </c>
      <c r="AG31" s="41">
        <f>IFERROR(__xludf.DUMMYFUNCTION("""COMPUTED_VALUE"""),266.0)</f>
        <v>266</v>
      </c>
      <c r="AH31" s="197">
        <f>IFERROR(__xludf.DUMMYFUNCTION("""COMPUTED_VALUE"""),145.0)</f>
        <v>145</v>
      </c>
      <c r="AI31" s="197">
        <f>IFERROR(__xludf.DUMMYFUNCTION("""COMPUTED_VALUE"""),121.0)</f>
        <v>121</v>
      </c>
      <c r="AJ31" s="197">
        <f>IFERROR(__xludf.DUMMYFUNCTION("""COMPUTED_VALUE"""),0.0)</f>
        <v>0</v>
      </c>
      <c r="AK31" s="41">
        <f>IFERROR(__xludf.DUMMYFUNCTION("""COMPUTED_VALUE"""),0.0)</f>
        <v>0</v>
      </c>
      <c r="AL31" s="197">
        <f>IFERROR(__xludf.DUMMYFUNCTION("""COMPUTED_VALUE"""),0.0)</f>
        <v>0</v>
      </c>
      <c r="AM31" s="197">
        <f>IFERROR(__xludf.DUMMYFUNCTION("""COMPUTED_VALUE"""),0.0)</f>
        <v>0</v>
      </c>
      <c r="AN31" s="197">
        <f>IFERROR(__xludf.DUMMYFUNCTION("""COMPUTED_VALUE"""),0.0)</f>
        <v>0</v>
      </c>
      <c r="AO31" s="41">
        <f>IFERROR(__xludf.DUMMYFUNCTION("""COMPUTED_VALUE"""),0.0)</f>
        <v>0</v>
      </c>
      <c r="AP31" s="197">
        <f>IFERROR(__xludf.DUMMYFUNCTION("""COMPUTED_VALUE"""),0.0)</f>
        <v>0</v>
      </c>
      <c r="AQ31" s="197">
        <f>IFERROR(__xludf.DUMMYFUNCTION("""COMPUTED_VALUE"""),0.0)</f>
        <v>0</v>
      </c>
      <c r="AR31" s="197">
        <f>IFERROR(__xludf.DUMMYFUNCTION("""COMPUTED_VALUE"""),0.0)</f>
        <v>0</v>
      </c>
      <c r="AS31" s="41">
        <f>IFERROR(__xludf.DUMMYFUNCTION("""COMPUTED_VALUE"""),0.0)</f>
        <v>0</v>
      </c>
      <c r="AT31" s="197">
        <f>IFERROR(__xludf.DUMMYFUNCTION("""COMPUTED_VALUE"""),0.0)</f>
        <v>0</v>
      </c>
      <c r="AU31" s="197">
        <f>IFERROR(__xludf.DUMMYFUNCTION("""COMPUTED_VALUE"""),0.0)</f>
        <v>0</v>
      </c>
      <c r="AV31" s="197">
        <f>IFERROR(__xludf.DUMMYFUNCTION("""COMPUTED_VALUE"""),0.0)</f>
        <v>0</v>
      </c>
      <c r="AW31" s="41">
        <f>IFERROR(__xludf.DUMMYFUNCTION("""COMPUTED_VALUE"""),0.0)</f>
        <v>0</v>
      </c>
      <c r="AX31" s="197">
        <f>IFERROR(__xludf.DUMMYFUNCTION("""COMPUTED_VALUE"""),0.0)</f>
        <v>0</v>
      </c>
      <c r="AY31" s="197">
        <f>IFERROR(__xludf.DUMMYFUNCTION("""COMPUTED_VALUE"""),0.0)</f>
        <v>0</v>
      </c>
      <c r="AZ31" s="198">
        <f>IFERROR(__xludf.DUMMYFUNCTION("""COMPUTED_VALUE"""),0.0)</f>
        <v>0</v>
      </c>
      <c r="BA31" s="34"/>
    </row>
    <row r="32" ht="15.75" customHeight="1">
      <c r="A32" s="29"/>
      <c r="B32" s="67" t="str">
        <f>IFERROR(__xludf.DUMMYFUNCTION("""COMPUTED_VALUE""")," + Lớp 3")</f>
        <v> + Lớp 3</v>
      </c>
      <c r="C32" s="31"/>
      <c r="D32" s="31" t="str">
        <f>IFERROR(__xludf.DUMMYFUNCTION("""COMPUTED_VALUE"""),"""")</f>
        <v>"</v>
      </c>
      <c r="E32" s="41">
        <f>IFERROR(__xludf.DUMMYFUNCTION("""COMPUTED_VALUE"""),851.0)</f>
        <v>851</v>
      </c>
      <c r="F32" s="197">
        <f>IFERROR(__xludf.DUMMYFUNCTION("""COMPUTED_VALUE"""),683.0)</f>
        <v>683</v>
      </c>
      <c r="G32" s="197">
        <f>IFERROR(__xludf.DUMMYFUNCTION("""COMPUTED_VALUE"""),140.0)</f>
        <v>140</v>
      </c>
      <c r="H32" s="197">
        <f>IFERROR(__xludf.DUMMYFUNCTION("""COMPUTED_VALUE"""),28.0)</f>
        <v>28</v>
      </c>
      <c r="I32" s="41">
        <f>IFERROR(__xludf.DUMMYFUNCTION("""COMPUTED_VALUE"""),852.0)</f>
        <v>852</v>
      </c>
      <c r="J32" s="197">
        <f>IFERROR(__xludf.DUMMYFUNCTION("""COMPUTED_VALUE"""),685.0)</f>
        <v>685</v>
      </c>
      <c r="K32" s="197">
        <f>IFERROR(__xludf.DUMMYFUNCTION("""COMPUTED_VALUE"""),140.0)</f>
        <v>140</v>
      </c>
      <c r="L32" s="197">
        <f>IFERROR(__xludf.DUMMYFUNCTION("""COMPUTED_VALUE"""),27.0)</f>
        <v>27</v>
      </c>
      <c r="M32" s="41">
        <f>IFERROR(__xludf.DUMMYFUNCTION("""COMPUTED_VALUE"""),794.0)</f>
        <v>794</v>
      </c>
      <c r="N32" s="197">
        <f>IFERROR(__xludf.DUMMYFUNCTION("""COMPUTED_VALUE"""),627.0)</f>
        <v>627</v>
      </c>
      <c r="O32" s="197">
        <f>IFERROR(__xludf.DUMMYFUNCTION("""COMPUTED_VALUE"""),140.0)</f>
        <v>140</v>
      </c>
      <c r="P32" s="197">
        <f>IFERROR(__xludf.DUMMYFUNCTION("""COMPUTED_VALUE"""),27.0)</f>
        <v>27</v>
      </c>
      <c r="Q32" s="41">
        <f>IFERROR(__xludf.DUMMYFUNCTION("""COMPUTED_VALUE"""),796.0)</f>
        <v>796</v>
      </c>
      <c r="R32" s="197">
        <f>IFERROR(__xludf.DUMMYFUNCTION("""COMPUTED_VALUE"""),628.0)</f>
        <v>628</v>
      </c>
      <c r="S32" s="197">
        <f>IFERROR(__xludf.DUMMYFUNCTION("""COMPUTED_VALUE"""),141.0)</f>
        <v>141</v>
      </c>
      <c r="T32" s="197">
        <f>IFERROR(__xludf.DUMMYFUNCTION("""COMPUTED_VALUE"""),27.0)</f>
        <v>27</v>
      </c>
      <c r="U32" s="41">
        <f>IFERROR(__xludf.DUMMYFUNCTION("""COMPUTED_VALUE"""),795.0)</f>
        <v>795</v>
      </c>
      <c r="V32" s="197">
        <f>IFERROR(__xludf.DUMMYFUNCTION("""COMPUTED_VALUE"""),627.0)</f>
        <v>627</v>
      </c>
      <c r="W32" s="197">
        <f>IFERROR(__xludf.DUMMYFUNCTION("""COMPUTED_VALUE"""),141.0)</f>
        <v>141</v>
      </c>
      <c r="X32" s="197">
        <f>IFERROR(__xludf.DUMMYFUNCTION("""COMPUTED_VALUE"""),27.0)</f>
        <v>27</v>
      </c>
      <c r="Y32" s="41">
        <f>IFERROR(__xludf.DUMMYFUNCTION("""COMPUTED_VALUE"""),796.0)</f>
        <v>796</v>
      </c>
      <c r="Z32" s="197">
        <f>IFERROR(__xludf.DUMMYFUNCTION("""COMPUTED_VALUE"""),628.0)</f>
        <v>628</v>
      </c>
      <c r="AA32" s="197">
        <f>IFERROR(__xludf.DUMMYFUNCTION("""COMPUTED_VALUE"""),141.0)</f>
        <v>141</v>
      </c>
      <c r="AB32" s="197">
        <f>IFERROR(__xludf.DUMMYFUNCTION("""COMPUTED_VALUE"""),27.0)</f>
        <v>27</v>
      </c>
      <c r="AC32" s="41">
        <f>IFERROR(__xludf.DUMMYFUNCTION("""COMPUTED_VALUE"""),796.0)</f>
        <v>796</v>
      </c>
      <c r="AD32" s="197">
        <f>IFERROR(__xludf.DUMMYFUNCTION("""COMPUTED_VALUE"""),628.0)</f>
        <v>628</v>
      </c>
      <c r="AE32" s="197">
        <f>IFERROR(__xludf.DUMMYFUNCTION("""COMPUTED_VALUE"""),141.0)</f>
        <v>141</v>
      </c>
      <c r="AF32" s="197">
        <f>IFERROR(__xludf.DUMMYFUNCTION("""COMPUTED_VALUE"""),27.0)</f>
        <v>27</v>
      </c>
      <c r="AG32" s="41">
        <f>IFERROR(__xludf.DUMMYFUNCTION("""COMPUTED_VALUE"""),257.0)</f>
        <v>257</v>
      </c>
      <c r="AH32" s="197">
        <f>IFERROR(__xludf.DUMMYFUNCTION("""COMPUTED_VALUE"""),116.0)</f>
        <v>116</v>
      </c>
      <c r="AI32" s="197">
        <f>IFERROR(__xludf.DUMMYFUNCTION("""COMPUTED_VALUE"""),141.0)</f>
        <v>141</v>
      </c>
      <c r="AJ32" s="197">
        <f>IFERROR(__xludf.DUMMYFUNCTION("""COMPUTED_VALUE"""),0.0)</f>
        <v>0</v>
      </c>
      <c r="AK32" s="41">
        <f>IFERROR(__xludf.DUMMYFUNCTION("""COMPUTED_VALUE"""),0.0)</f>
        <v>0</v>
      </c>
      <c r="AL32" s="197">
        <f>IFERROR(__xludf.DUMMYFUNCTION("""COMPUTED_VALUE"""),0.0)</f>
        <v>0</v>
      </c>
      <c r="AM32" s="197">
        <f>IFERROR(__xludf.DUMMYFUNCTION("""COMPUTED_VALUE"""),0.0)</f>
        <v>0</v>
      </c>
      <c r="AN32" s="197">
        <f>IFERROR(__xludf.DUMMYFUNCTION("""COMPUTED_VALUE"""),0.0)</f>
        <v>0</v>
      </c>
      <c r="AO32" s="41">
        <f>IFERROR(__xludf.DUMMYFUNCTION("""COMPUTED_VALUE"""),0.0)</f>
        <v>0</v>
      </c>
      <c r="AP32" s="197">
        <f>IFERROR(__xludf.DUMMYFUNCTION("""COMPUTED_VALUE"""),0.0)</f>
        <v>0</v>
      </c>
      <c r="AQ32" s="197">
        <f>IFERROR(__xludf.DUMMYFUNCTION("""COMPUTED_VALUE"""),0.0)</f>
        <v>0</v>
      </c>
      <c r="AR32" s="197">
        <f>IFERROR(__xludf.DUMMYFUNCTION("""COMPUTED_VALUE"""),0.0)</f>
        <v>0</v>
      </c>
      <c r="AS32" s="41">
        <f>IFERROR(__xludf.DUMMYFUNCTION("""COMPUTED_VALUE"""),0.0)</f>
        <v>0</v>
      </c>
      <c r="AT32" s="197">
        <f>IFERROR(__xludf.DUMMYFUNCTION("""COMPUTED_VALUE"""),0.0)</f>
        <v>0</v>
      </c>
      <c r="AU32" s="197">
        <f>IFERROR(__xludf.DUMMYFUNCTION("""COMPUTED_VALUE"""),0.0)</f>
        <v>0</v>
      </c>
      <c r="AV32" s="197">
        <f>IFERROR(__xludf.DUMMYFUNCTION("""COMPUTED_VALUE"""),0.0)</f>
        <v>0</v>
      </c>
      <c r="AW32" s="41">
        <f>IFERROR(__xludf.DUMMYFUNCTION("""COMPUTED_VALUE"""),0.0)</f>
        <v>0</v>
      </c>
      <c r="AX32" s="197">
        <f>IFERROR(__xludf.DUMMYFUNCTION("""COMPUTED_VALUE"""),0.0)</f>
        <v>0</v>
      </c>
      <c r="AY32" s="197">
        <f>IFERROR(__xludf.DUMMYFUNCTION("""COMPUTED_VALUE"""),0.0)</f>
        <v>0</v>
      </c>
      <c r="AZ32" s="198">
        <f>IFERROR(__xludf.DUMMYFUNCTION("""COMPUTED_VALUE"""),0.0)</f>
        <v>0</v>
      </c>
      <c r="BA32" s="34"/>
    </row>
    <row r="33" ht="15.75" customHeight="1">
      <c r="A33" s="29"/>
      <c r="B33" s="67" t="str">
        <f>IFERROR(__xludf.DUMMYFUNCTION("""COMPUTED_VALUE""")," + Lớp 4")</f>
        <v> + Lớp 4</v>
      </c>
      <c r="C33" s="31"/>
      <c r="D33" s="31" t="str">
        <f>IFERROR(__xludf.DUMMYFUNCTION("""COMPUTED_VALUE"""),"""")</f>
        <v>"</v>
      </c>
      <c r="E33" s="41">
        <f>IFERROR(__xludf.DUMMYFUNCTION("""COMPUTED_VALUE"""),815.0)</f>
        <v>815</v>
      </c>
      <c r="F33" s="197">
        <f>IFERROR(__xludf.DUMMYFUNCTION("""COMPUTED_VALUE"""),687.0)</f>
        <v>687</v>
      </c>
      <c r="G33" s="197">
        <f>IFERROR(__xludf.DUMMYFUNCTION("""COMPUTED_VALUE"""),90.0)</f>
        <v>90</v>
      </c>
      <c r="H33" s="197">
        <f>IFERROR(__xludf.DUMMYFUNCTION("""COMPUTED_VALUE"""),38.0)</f>
        <v>38</v>
      </c>
      <c r="I33" s="41">
        <f>IFERROR(__xludf.DUMMYFUNCTION("""COMPUTED_VALUE"""),817.0)</f>
        <v>817</v>
      </c>
      <c r="J33" s="197">
        <f>IFERROR(__xludf.DUMMYFUNCTION("""COMPUTED_VALUE"""),688.0)</f>
        <v>688</v>
      </c>
      <c r="K33" s="197">
        <f>IFERROR(__xludf.DUMMYFUNCTION("""COMPUTED_VALUE"""),90.0)</f>
        <v>90</v>
      </c>
      <c r="L33" s="197">
        <f>IFERROR(__xludf.DUMMYFUNCTION("""COMPUTED_VALUE"""),39.0)</f>
        <v>39</v>
      </c>
      <c r="M33" s="41">
        <f>IFERROR(__xludf.DUMMYFUNCTION("""COMPUTED_VALUE"""),764.0)</f>
        <v>764</v>
      </c>
      <c r="N33" s="197">
        <f>IFERROR(__xludf.DUMMYFUNCTION("""COMPUTED_VALUE"""),635.0)</f>
        <v>635</v>
      </c>
      <c r="O33" s="197">
        <f>IFERROR(__xludf.DUMMYFUNCTION("""COMPUTED_VALUE"""),90.0)</f>
        <v>90</v>
      </c>
      <c r="P33" s="197">
        <f>IFERROR(__xludf.DUMMYFUNCTION("""COMPUTED_VALUE"""),39.0)</f>
        <v>39</v>
      </c>
      <c r="Q33" s="41">
        <f>IFERROR(__xludf.DUMMYFUNCTION("""COMPUTED_VALUE"""),761.0)</f>
        <v>761</v>
      </c>
      <c r="R33" s="197">
        <f>IFERROR(__xludf.DUMMYFUNCTION("""COMPUTED_VALUE"""),633.0)</f>
        <v>633</v>
      </c>
      <c r="S33" s="197">
        <f>IFERROR(__xludf.DUMMYFUNCTION("""COMPUTED_VALUE"""),89.0)</f>
        <v>89</v>
      </c>
      <c r="T33" s="197">
        <f>IFERROR(__xludf.DUMMYFUNCTION("""COMPUTED_VALUE"""),39.0)</f>
        <v>39</v>
      </c>
      <c r="U33" s="41">
        <f>IFERROR(__xludf.DUMMYFUNCTION("""COMPUTED_VALUE"""),758.0)</f>
        <v>758</v>
      </c>
      <c r="V33" s="197">
        <f>IFERROR(__xludf.DUMMYFUNCTION("""COMPUTED_VALUE"""),631.0)</f>
        <v>631</v>
      </c>
      <c r="W33" s="197">
        <f>IFERROR(__xludf.DUMMYFUNCTION("""COMPUTED_VALUE"""),89.0)</f>
        <v>89</v>
      </c>
      <c r="X33" s="197">
        <f>IFERROR(__xludf.DUMMYFUNCTION("""COMPUTED_VALUE"""),38.0)</f>
        <v>38</v>
      </c>
      <c r="Y33" s="41">
        <f>IFERROR(__xludf.DUMMYFUNCTION("""COMPUTED_VALUE"""),757.0)</f>
        <v>757</v>
      </c>
      <c r="Z33" s="197">
        <f>IFERROR(__xludf.DUMMYFUNCTION("""COMPUTED_VALUE"""),630.0)</f>
        <v>630</v>
      </c>
      <c r="AA33" s="197">
        <f>IFERROR(__xludf.DUMMYFUNCTION("""COMPUTED_VALUE"""),89.0)</f>
        <v>89</v>
      </c>
      <c r="AB33" s="197">
        <f>IFERROR(__xludf.DUMMYFUNCTION("""COMPUTED_VALUE"""),38.0)</f>
        <v>38</v>
      </c>
      <c r="AC33" s="41">
        <f>IFERROR(__xludf.DUMMYFUNCTION("""COMPUTED_VALUE"""),757.0)</f>
        <v>757</v>
      </c>
      <c r="AD33" s="197">
        <f>IFERROR(__xludf.DUMMYFUNCTION("""COMPUTED_VALUE"""),630.0)</f>
        <v>630</v>
      </c>
      <c r="AE33" s="197">
        <f>IFERROR(__xludf.DUMMYFUNCTION("""COMPUTED_VALUE"""),89.0)</f>
        <v>89</v>
      </c>
      <c r="AF33" s="197">
        <f>IFERROR(__xludf.DUMMYFUNCTION("""COMPUTED_VALUE"""),38.0)</f>
        <v>38</v>
      </c>
      <c r="AG33" s="41">
        <f>IFERROR(__xludf.DUMMYFUNCTION("""COMPUTED_VALUE"""),234.0)</f>
        <v>234</v>
      </c>
      <c r="AH33" s="197">
        <f>IFERROR(__xludf.DUMMYFUNCTION("""COMPUTED_VALUE"""),145.0)</f>
        <v>145</v>
      </c>
      <c r="AI33" s="197">
        <f>IFERROR(__xludf.DUMMYFUNCTION("""COMPUTED_VALUE"""),89.0)</f>
        <v>89</v>
      </c>
      <c r="AJ33" s="197">
        <f>IFERROR(__xludf.DUMMYFUNCTION("""COMPUTED_VALUE"""),0.0)</f>
        <v>0</v>
      </c>
      <c r="AK33" s="41">
        <f>IFERROR(__xludf.DUMMYFUNCTION("""COMPUTED_VALUE"""),0.0)</f>
        <v>0</v>
      </c>
      <c r="AL33" s="197">
        <f>IFERROR(__xludf.DUMMYFUNCTION("""COMPUTED_VALUE"""),0.0)</f>
        <v>0</v>
      </c>
      <c r="AM33" s="197">
        <f>IFERROR(__xludf.DUMMYFUNCTION("""COMPUTED_VALUE"""),0.0)</f>
        <v>0</v>
      </c>
      <c r="AN33" s="197">
        <f>IFERROR(__xludf.DUMMYFUNCTION("""COMPUTED_VALUE"""),0.0)</f>
        <v>0</v>
      </c>
      <c r="AO33" s="41">
        <f>IFERROR(__xludf.DUMMYFUNCTION("""COMPUTED_VALUE"""),0.0)</f>
        <v>0</v>
      </c>
      <c r="AP33" s="197">
        <f>IFERROR(__xludf.DUMMYFUNCTION("""COMPUTED_VALUE"""),0.0)</f>
        <v>0</v>
      </c>
      <c r="AQ33" s="197">
        <f>IFERROR(__xludf.DUMMYFUNCTION("""COMPUTED_VALUE"""),0.0)</f>
        <v>0</v>
      </c>
      <c r="AR33" s="197">
        <f>IFERROR(__xludf.DUMMYFUNCTION("""COMPUTED_VALUE"""),0.0)</f>
        <v>0</v>
      </c>
      <c r="AS33" s="41">
        <f>IFERROR(__xludf.DUMMYFUNCTION("""COMPUTED_VALUE"""),0.0)</f>
        <v>0</v>
      </c>
      <c r="AT33" s="197">
        <f>IFERROR(__xludf.DUMMYFUNCTION("""COMPUTED_VALUE"""),0.0)</f>
        <v>0</v>
      </c>
      <c r="AU33" s="197">
        <f>IFERROR(__xludf.DUMMYFUNCTION("""COMPUTED_VALUE"""),0.0)</f>
        <v>0</v>
      </c>
      <c r="AV33" s="197">
        <f>IFERROR(__xludf.DUMMYFUNCTION("""COMPUTED_VALUE"""),0.0)</f>
        <v>0</v>
      </c>
      <c r="AW33" s="41">
        <f>IFERROR(__xludf.DUMMYFUNCTION("""COMPUTED_VALUE"""),0.0)</f>
        <v>0</v>
      </c>
      <c r="AX33" s="197">
        <f>IFERROR(__xludf.DUMMYFUNCTION("""COMPUTED_VALUE"""),0.0)</f>
        <v>0</v>
      </c>
      <c r="AY33" s="197">
        <f>IFERROR(__xludf.DUMMYFUNCTION("""COMPUTED_VALUE"""),0.0)</f>
        <v>0</v>
      </c>
      <c r="AZ33" s="198">
        <f>IFERROR(__xludf.DUMMYFUNCTION("""COMPUTED_VALUE"""),0.0)</f>
        <v>0</v>
      </c>
      <c r="BA33" s="34"/>
    </row>
    <row r="34" ht="15.75" customHeight="1">
      <c r="A34" s="29"/>
      <c r="B34" s="67" t="str">
        <f>IFERROR(__xludf.DUMMYFUNCTION("""COMPUTED_VALUE""")," + Lớp 5")</f>
        <v> + Lớp 5</v>
      </c>
      <c r="C34" s="31"/>
      <c r="D34" s="31" t="str">
        <f>IFERROR(__xludf.DUMMYFUNCTION("""COMPUTED_VALUE"""),"""")</f>
        <v>"</v>
      </c>
      <c r="E34" s="41">
        <f>IFERROR(__xludf.DUMMYFUNCTION("""COMPUTED_VALUE"""),918.0)</f>
        <v>918</v>
      </c>
      <c r="F34" s="197">
        <f>IFERROR(__xludf.DUMMYFUNCTION("""COMPUTED_VALUE"""),745.0)</f>
        <v>745</v>
      </c>
      <c r="G34" s="197">
        <f>IFERROR(__xludf.DUMMYFUNCTION("""COMPUTED_VALUE"""),143.0)</f>
        <v>143</v>
      </c>
      <c r="H34" s="197">
        <f>IFERROR(__xludf.DUMMYFUNCTION("""COMPUTED_VALUE"""),30.0)</f>
        <v>30</v>
      </c>
      <c r="I34" s="41">
        <f>IFERROR(__xludf.DUMMYFUNCTION("""COMPUTED_VALUE"""),918.0)</f>
        <v>918</v>
      </c>
      <c r="J34" s="197">
        <f>IFERROR(__xludf.DUMMYFUNCTION("""COMPUTED_VALUE"""),745.0)</f>
        <v>745</v>
      </c>
      <c r="K34" s="197">
        <f>IFERROR(__xludf.DUMMYFUNCTION("""COMPUTED_VALUE"""),143.0)</f>
        <v>143</v>
      </c>
      <c r="L34" s="197">
        <f>IFERROR(__xludf.DUMMYFUNCTION("""COMPUTED_VALUE"""),30.0)</f>
        <v>30</v>
      </c>
      <c r="M34" s="41">
        <f>IFERROR(__xludf.DUMMYFUNCTION("""COMPUTED_VALUE"""),850.0)</f>
        <v>850</v>
      </c>
      <c r="N34" s="197">
        <f>IFERROR(__xludf.DUMMYFUNCTION("""COMPUTED_VALUE"""),677.0)</f>
        <v>677</v>
      </c>
      <c r="O34" s="197">
        <f>IFERROR(__xludf.DUMMYFUNCTION("""COMPUTED_VALUE"""),143.0)</f>
        <v>143</v>
      </c>
      <c r="P34" s="197">
        <f>IFERROR(__xludf.DUMMYFUNCTION("""COMPUTED_VALUE"""),30.0)</f>
        <v>30</v>
      </c>
      <c r="Q34" s="41">
        <f>IFERROR(__xludf.DUMMYFUNCTION("""COMPUTED_VALUE"""),847.0)</f>
        <v>847</v>
      </c>
      <c r="R34" s="197">
        <f>IFERROR(__xludf.DUMMYFUNCTION("""COMPUTED_VALUE"""),675.0)</f>
        <v>675</v>
      </c>
      <c r="S34" s="197">
        <f>IFERROR(__xludf.DUMMYFUNCTION("""COMPUTED_VALUE"""),142.0)</f>
        <v>142</v>
      </c>
      <c r="T34" s="197">
        <f>IFERROR(__xludf.DUMMYFUNCTION("""COMPUTED_VALUE"""),30.0)</f>
        <v>30</v>
      </c>
      <c r="U34" s="41">
        <f>IFERROR(__xludf.DUMMYFUNCTION("""COMPUTED_VALUE"""),847.0)</f>
        <v>847</v>
      </c>
      <c r="V34" s="197">
        <f>IFERROR(__xludf.DUMMYFUNCTION("""COMPUTED_VALUE"""),675.0)</f>
        <v>675</v>
      </c>
      <c r="W34" s="197">
        <f>IFERROR(__xludf.DUMMYFUNCTION("""COMPUTED_VALUE"""),142.0)</f>
        <v>142</v>
      </c>
      <c r="X34" s="197">
        <f>IFERROR(__xludf.DUMMYFUNCTION("""COMPUTED_VALUE"""),30.0)</f>
        <v>30</v>
      </c>
      <c r="Y34" s="41">
        <f>IFERROR(__xludf.DUMMYFUNCTION("""COMPUTED_VALUE"""),844.0)</f>
        <v>844</v>
      </c>
      <c r="Z34" s="197">
        <f>IFERROR(__xludf.DUMMYFUNCTION("""COMPUTED_VALUE"""),672.0)</f>
        <v>672</v>
      </c>
      <c r="AA34" s="197">
        <f>IFERROR(__xludf.DUMMYFUNCTION("""COMPUTED_VALUE"""),142.0)</f>
        <v>142</v>
      </c>
      <c r="AB34" s="197">
        <f>IFERROR(__xludf.DUMMYFUNCTION("""COMPUTED_VALUE"""),30.0)</f>
        <v>30</v>
      </c>
      <c r="AC34" s="41">
        <f>IFERROR(__xludf.DUMMYFUNCTION("""COMPUTED_VALUE"""),844.0)</f>
        <v>844</v>
      </c>
      <c r="AD34" s="197">
        <f>IFERROR(__xludf.DUMMYFUNCTION("""COMPUTED_VALUE"""),672.0)</f>
        <v>672</v>
      </c>
      <c r="AE34" s="197">
        <f>IFERROR(__xludf.DUMMYFUNCTION("""COMPUTED_VALUE"""),142.0)</f>
        <v>142</v>
      </c>
      <c r="AF34" s="197">
        <f>IFERROR(__xludf.DUMMYFUNCTION("""COMPUTED_VALUE"""),30.0)</f>
        <v>30</v>
      </c>
      <c r="AG34" s="41">
        <f>IFERROR(__xludf.DUMMYFUNCTION("""COMPUTED_VALUE"""),287.0)</f>
        <v>287</v>
      </c>
      <c r="AH34" s="197">
        <f>IFERROR(__xludf.DUMMYFUNCTION("""COMPUTED_VALUE"""),145.0)</f>
        <v>145</v>
      </c>
      <c r="AI34" s="197">
        <f>IFERROR(__xludf.DUMMYFUNCTION("""COMPUTED_VALUE"""),142.0)</f>
        <v>142</v>
      </c>
      <c r="AJ34" s="197">
        <f>IFERROR(__xludf.DUMMYFUNCTION("""COMPUTED_VALUE"""),0.0)</f>
        <v>0</v>
      </c>
      <c r="AK34" s="41">
        <f>IFERROR(__xludf.DUMMYFUNCTION("""COMPUTED_VALUE"""),0.0)</f>
        <v>0</v>
      </c>
      <c r="AL34" s="197">
        <f>IFERROR(__xludf.DUMMYFUNCTION("""COMPUTED_VALUE"""),0.0)</f>
        <v>0</v>
      </c>
      <c r="AM34" s="197">
        <f>IFERROR(__xludf.DUMMYFUNCTION("""COMPUTED_VALUE"""),0.0)</f>
        <v>0</v>
      </c>
      <c r="AN34" s="197">
        <f>IFERROR(__xludf.DUMMYFUNCTION("""COMPUTED_VALUE"""),0.0)</f>
        <v>0</v>
      </c>
      <c r="AO34" s="41">
        <f>IFERROR(__xludf.DUMMYFUNCTION("""COMPUTED_VALUE"""),0.0)</f>
        <v>0</v>
      </c>
      <c r="AP34" s="197">
        <f>IFERROR(__xludf.DUMMYFUNCTION("""COMPUTED_VALUE"""),0.0)</f>
        <v>0</v>
      </c>
      <c r="AQ34" s="197">
        <f>IFERROR(__xludf.DUMMYFUNCTION("""COMPUTED_VALUE"""),0.0)</f>
        <v>0</v>
      </c>
      <c r="AR34" s="197">
        <f>IFERROR(__xludf.DUMMYFUNCTION("""COMPUTED_VALUE"""),0.0)</f>
        <v>0</v>
      </c>
      <c r="AS34" s="41">
        <f>IFERROR(__xludf.DUMMYFUNCTION("""COMPUTED_VALUE"""),0.0)</f>
        <v>0</v>
      </c>
      <c r="AT34" s="197">
        <f>IFERROR(__xludf.DUMMYFUNCTION("""COMPUTED_VALUE"""),0.0)</f>
        <v>0</v>
      </c>
      <c r="AU34" s="197">
        <f>IFERROR(__xludf.DUMMYFUNCTION("""COMPUTED_VALUE"""),0.0)</f>
        <v>0</v>
      </c>
      <c r="AV34" s="197">
        <f>IFERROR(__xludf.DUMMYFUNCTION("""COMPUTED_VALUE"""),0.0)</f>
        <v>0</v>
      </c>
      <c r="AW34" s="41">
        <f>IFERROR(__xludf.DUMMYFUNCTION("""COMPUTED_VALUE"""),0.0)</f>
        <v>0</v>
      </c>
      <c r="AX34" s="197">
        <f>IFERROR(__xludf.DUMMYFUNCTION("""COMPUTED_VALUE"""),0.0)</f>
        <v>0</v>
      </c>
      <c r="AY34" s="197">
        <f>IFERROR(__xludf.DUMMYFUNCTION("""COMPUTED_VALUE"""),0.0)</f>
        <v>0</v>
      </c>
      <c r="AZ34" s="198">
        <f>IFERROR(__xludf.DUMMYFUNCTION("""COMPUTED_VALUE"""),0.0)</f>
        <v>0</v>
      </c>
      <c r="BA34" s="34"/>
    </row>
    <row r="35" ht="15.75" customHeight="1">
      <c r="A35" s="29"/>
      <c r="B35" s="67" t="str">
        <f>IFERROR(__xludf.DUMMYFUNCTION("""COMPUTED_VALUE""")," + Lớp 6")</f>
        <v> + Lớp 6</v>
      </c>
      <c r="C35" s="31"/>
      <c r="D35" s="31" t="str">
        <f>IFERROR(__xludf.DUMMYFUNCTION("""COMPUTED_VALUE"""),"""")</f>
        <v>"</v>
      </c>
      <c r="E35" s="41">
        <f>IFERROR(__xludf.DUMMYFUNCTION("""COMPUTED_VALUE"""),1584.0)</f>
        <v>1584</v>
      </c>
      <c r="F35" s="197">
        <f>IFERROR(__xludf.DUMMYFUNCTION("""COMPUTED_VALUE"""),1395.0)</f>
        <v>1395</v>
      </c>
      <c r="G35" s="197">
        <f>IFERROR(__xludf.DUMMYFUNCTION("""COMPUTED_VALUE"""),156.0)</f>
        <v>156</v>
      </c>
      <c r="H35" s="197">
        <f>IFERROR(__xludf.DUMMYFUNCTION("""COMPUTED_VALUE"""),33.0)</f>
        <v>33</v>
      </c>
      <c r="I35" s="41">
        <f>IFERROR(__xludf.DUMMYFUNCTION("""COMPUTED_VALUE"""),1585.0)</f>
        <v>1585</v>
      </c>
      <c r="J35" s="197">
        <f>IFERROR(__xludf.DUMMYFUNCTION("""COMPUTED_VALUE"""),1396.0)</f>
        <v>1396</v>
      </c>
      <c r="K35" s="197">
        <f>IFERROR(__xludf.DUMMYFUNCTION("""COMPUTED_VALUE"""),156.0)</f>
        <v>156</v>
      </c>
      <c r="L35" s="197">
        <f>IFERROR(__xludf.DUMMYFUNCTION("""COMPUTED_VALUE"""),33.0)</f>
        <v>33</v>
      </c>
      <c r="M35" s="41">
        <f>IFERROR(__xludf.DUMMYFUNCTION("""COMPUTED_VALUE"""),1385.0)</f>
        <v>1385</v>
      </c>
      <c r="N35" s="197">
        <f>IFERROR(__xludf.DUMMYFUNCTION("""COMPUTED_VALUE"""),1198.0)</f>
        <v>1198</v>
      </c>
      <c r="O35" s="197">
        <f>IFERROR(__xludf.DUMMYFUNCTION("""COMPUTED_VALUE"""),155.0)</f>
        <v>155</v>
      </c>
      <c r="P35" s="197">
        <f>IFERROR(__xludf.DUMMYFUNCTION("""COMPUTED_VALUE"""),32.0)</f>
        <v>32</v>
      </c>
      <c r="Q35" s="41">
        <f>IFERROR(__xludf.DUMMYFUNCTION("""COMPUTED_VALUE"""),1379.0)</f>
        <v>1379</v>
      </c>
      <c r="R35" s="197">
        <f>IFERROR(__xludf.DUMMYFUNCTION("""COMPUTED_VALUE"""),1193.0)</f>
        <v>1193</v>
      </c>
      <c r="S35" s="197">
        <f>IFERROR(__xludf.DUMMYFUNCTION("""COMPUTED_VALUE"""),154.0)</f>
        <v>154</v>
      </c>
      <c r="T35" s="197">
        <f>IFERROR(__xludf.DUMMYFUNCTION("""COMPUTED_VALUE"""),32.0)</f>
        <v>32</v>
      </c>
      <c r="U35" s="41">
        <f>IFERROR(__xludf.DUMMYFUNCTION("""COMPUTED_VALUE"""),1375.0)</f>
        <v>1375</v>
      </c>
      <c r="V35" s="197">
        <f>IFERROR(__xludf.DUMMYFUNCTION("""COMPUTED_VALUE"""),1189.0)</f>
        <v>1189</v>
      </c>
      <c r="W35" s="197">
        <f>IFERROR(__xludf.DUMMYFUNCTION("""COMPUTED_VALUE"""),154.0)</f>
        <v>154</v>
      </c>
      <c r="X35" s="197">
        <f>IFERROR(__xludf.DUMMYFUNCTION("""COMPUTED_VALUE"""),32.0)</f>
        <v>32</v>
      </c>
      <c r="Y35" s="41">
        <f>IFERROR(__xludf.DUMMYFUNCTION("""COMPUTED_VALUE"""),1370.0)</f>
        <v>1370</v>
      </c>
      <c r="Z35" s="197">
        <f>IFERROR(__xludf.DUMMYFUNCTION("""COMPUTED_VALUE"""),1185.0)</f>
        <v>1185</v>
      </c>
      <c r="AA35" s="197">
        <f>IFERROR(__xludf.DUMMYFUNCTION("""COMPUTED_VALUE"""),154.0)</f>
        <v>154</v>
      </c>
      <c r="AB35" s="197">
        <f>IFERROR(__xludf.DUMMYFUNCTION("""COMPUTED_VALUE"""),31.0)</f>
        <v>31</v>
      </c>
      <c r="AC35" s="41">
        <f>IFERROR(__xludf.DUMMYFUNCTION("""COMPUTED_VALUE"""),1369.0)</f>
        <v>1369</v>
      </c>
      <c r="AD35" s="197">
        <f>IFERROR(__xludf.DUMMYFUNCTION("""COMPUTED_VALUE"""),1184.0)</f>
        <v>1184</v>
      </c>
      <c r="AE35" s="197">
        <f>IFERROR(__xludf.DUMMYFUNCTION("""COMPUTED_VALUE"""),154.0)</f>
        <v>154</v>
      </c>
      <c r="AF35" s="197">
        <f>IFERROR(__xludf.DUMMYFUNCTION("""COMPUTED_VALUE"""),31.0)</f>
        <v>31</v>
      </c>
      <c r="AG35" s="41">
        <f>IFERROR(__xludf.DUMMYFUNCTION("""COMPUTED_VALUE"""),324.0)</f>
        <v>324</v>
      </c>
      <c r="AH35" s="197">
        <f>IFERROR(__xludf.DUMMYFUNCTION("""COMPUTED_VALUE"""),170.0)</f>
        <v>170</v>
      </c>
      <c r="AI35" s="197">
        <f>IFERROR(__xludf.DUMMYFUNCTION("""COMPUTED_VALUE"""),154.0)</f>
        <v>154</v>
      </c>
      <c r="AJ35" s="197">
        <f>IFERROR(__xludf.DUMMYFUNCTION("""COMPUTED_VALUE"""),0.0)</f>
        <v>0</v>
      </c>
      <c r="AK35" s="41">
        <f>IFERROR(__xludf.DUMMYFUNCTION("""COMPUTED_VALUE"""),0.0)</f>
        <v>0</v>
      </c>
      <c r="AL35" s="197">
        <f>IFERROR(__xludf.DUMMYFUNCTION("""COMPUTED_VALUE"""),0.0)</f>
        <v>0</v>
      </c>
      <c r="AM35" s="197">
        <f>IFERROR(__xludf.DUMMYFUNCTION("""COMPUTED_VALUE"""),0.0)</f>
        <v>0</v>
      </c>
      <c r="AN35" s="197">
        <f>IFERROR(__xludf.DUMMYFUNCTION("""COMPUTED_VALUE"""),0.0)</f>
        <v>0</v>
      </c>
      <c r="AO35" s="41">
        <f>IFERROR(__xludf.DUMMYFUNCTION("""COMPUTED_VALUE"""),0.0)</f>
        <v>0</v>
      </c>
      <c r="AP35" s="197">
        <f>IFERROR(__xludf.DUMMYFUNCTION("""COMPUTED_VALUE"""),0.0)</f>
        <v>0</v>
      </c>
      <c r="AQ35" s="197">
        <f>IFERROR(__xludf.DUMMYFUNCTION("""COMPUTED_VALUE"""),0.0)</f>
        <v>0</v>
      </c>
      <c r="AR35" s="197">
        <f>IFERROR(__xludf.DUMMYFUNCTION("""COMPUTED_VALUE"""),0.0)</f>
        <v>0</v>
      </c>
      <c r="AS35" s="41">
        <f>IFERROR(__xludf.DUMMYFUNCTION("""COMPUTED_VALUE"""),0.0)</f>
        <v>0</v>
      </c>
      <c r="AT35" s="197">
        <f>IFERROR(__xludf.DUMMYFUNCTION("""COMPUTED_VALUE"""),0.0)</f>
        <v>0</v>
      </c>
      <c r="AU35" s="197">
        <f>IFERROR(__xludf.DUMMYFUNCTION("""COMPUTED_VALUE"""),0.0)</f>
        <v>0</v>
      </c>
      <c r="AV35" s="197">
        <f>IFERROR(__xludf.DUMMYFUNCTION("""COMPUTED_VALUE"""),0.0)</f>
        <v>0</v>
      </c>
      <c r="AW35" s="41">
        <f>IFERROR(__xludf.DUMMYFUNCTION("""COMPUTED_VALUE"""),0.0)</f>
        <v>0</v>
      </c>
      <c r="AX35" s="197">
        <f>IFERROR(__xludf.DUMMYFUNCTION("""COMPUTED_VALUE"""),0.0)</f>
        <v>0</v>
      </c>
      <c r="AY35" s="197">
        <f>IFERROR(__xludf.DUMMYFUNCTION("""COMPUTED_VALUE"""),0.0)</f>
        <v>0</v>
      </c>
      <c r="AZ35" s="198">
        <f>IFERROR(__xludf.DUMMYFUNCTION("""COMPUTED_VALUE"""),0.0)</f>
        <v>0</v>
      </c>
      <c r="BA35" s="34"/>
    </row>
    <row r="36" ht="15.75" customHeight="1">
      <c r="A36" s="29"/>
      <c r="B36" s="67" t="str">
        <f>IFERROR(__xludf.DUMMYFUNCTION("""COMPUTED_VALUE""")," + Lớp 7")</f>
        <v> + Lớp 7</v>
      </c>
      <c r="C36" s="31"/>
      <c r="D36" s="31" t="str">
        <f>IFERROR(__xludf.DUMMYFUNCTION("""COMPUTED_VALUE"""),"""")</f>
        <v>"</v>
      </c>
      <c r="E36" s="41">
        <f>IFERROR(__xludf.DUMMYFUNCTION("""COMPUTED_VALUE"""),1263.0)</f>
        <v>1263</v>
      </c>
      <c r="F36" s="197">
        <f>IFERROR(__xludf.DUMMYFUNCTION("""COMPUTED_VALUE"""),1117.0)</f>
        <v>1117</v>
      </c>
      <c r="G36" s="197">
        <f>IFERROR(__xludf.DUMMYFUNCTION("""COMPUTED_VALUE"""),127.0)</f>
        <v>127</v>
      </c>
      <c r="H36" s="197">
        <f>IFERROR(__xludf.DUMMYFUNCTION("""COMPUTED_VALUE"""),19.0)</f>
        <v>19</v>
      </c>
      <c r="I36" s="41">
        <f>IFERROR(__xludf.DUMMYFUNCTION("""COMPUTED_VALUE"""),1260.0)</f>
        <v>1260</v>
      </c>
      <c r="J36" s="197">
        <f>IFERROR(__xludf.DUMMYFUNCTION("""COMPUTED_VALUE"""),1115.0)</f>
        <v>1115</v>
      </c>
      <c r="K36" s="197">
        <f>IFERROR(__xludf.DUMMYFUNCTION("""COMPUTED_VALUE"""),127.0)</f>
        <v>127</v>
      </c>
      <c r="L36" s="197">
        <f>IFERROR(__xludf.DUMMYFUNCTION("""COMPUTED_VALUE"""),18.0)</f>
        <v>18</v>
      </c>
      <c r="M36" s="41">
        <f>IFERROR(__xludf.DUMMYFUNCTION("""COMPUTED_VALUE"""),1100.0)</f>
        <v>1100</v>
      </c>
      <c r="N36" s="197">
        <f>IFERROR(__xludf.DUMMYFUNCTION("""COMPUTED_VALUE"""),955.0)</f>
        <v>955</v>
      </c>
      <c r="O36" s="197">
        <f>IFERROR(__xludf.DUMMYFUNCTION("""COMPUTED_VALUE"""),127.0)</f>
        <v>127</v>
      </c>
      <c r="P36" s="197">
        <f>IFERROR(__xludf.DUMMYFUNCTION("""COMPUTED_VALUE"""),18.0)</f>
        <v>18</v>
      </c>
      <c r="Q36" s="41">
        <f>IFERROR(__xludf.DUMMYFUNCTION("""COMPUTED_VALUE"""),1090.0)</f>
        <v>1090</v>
      </c>
      <c r="R36" s="197">
        <f>IFERROR(__xludf.DUMMYFUNCTION("""COMPUTED_VALUE"""),945.0)</f>
        <v>945</v>
      </c>
      <c r="S36" s="197">
        <f>IFERROR(__xludf.DUMMYFUNCTION("""COMPUTED_VALUE"""),127.0)</f>
        <v>127</v>
      </c>
      <c r="T36" s="197">
        <f>IFERROR(__xludf.DUMMYFUNCTION("""COMPUTED_VALUE"""),18.0)</f>
        <v>18</v>
      </c>
      <c r="U36" s="41">
        <f>IFERROR(__xludf.DUMMYFUNCTION("""COMPUTED_VALUE"""),1087.0)</f>
        <v>1087</v>
      </c>
      <c r="V36" s="197">
        <f>IFERROR(__xludf.DUMMYFUNCTION("""COMPUTED_VALUE"""),943.0)</f>
        <v>943</v>
      </c>
      <c r="W36" s="197">
        <f>IFERROR(__xludf.DUMMYFUNCTION("""COMPUTED_VALUE"""),127.0)</f>
        <v>127</v>
      </c>
      <c r="X36" s="197">
        <f>IFERROR(__xludf.DUMMYFUNCTION("""COMPUTED_VALUE"""),17.0)</f>
        <v>17</v>
      </c>
      <c r="Y36" s="41">
        <f>IFERROR(__xludf.DUMMYFUNCTION("""COMPUTED_VALUE"""),1076.0)</f>
        <v>1076</v>
      </c>
      <c r="Z36" s="197">
        <f>IFERROR(__xludf.DUMMYFUNCTION("""COMPUTED_VALUE"""),932.0)</f>
        <v>932</v>
      </c>
      <c r="AA36" s="197">
        <f>IFERROR(__xludf.DUMMYFUNCTION("""COMPUTED_VALUE"""),127.0)</f>
        <v>127</v>
      </c>
      <c r="AB36" s="197">
        <f>IFERROR(__xludf.DUMMYFUNCTION("""COMPUTED_VALUE"""),17.0)</f>
        <v>17</v>
      </c>
      <c r="AC36" s="41">
        <f>IFERROR(__xludf.DUMMYFUNCTION("""COMPUTED_VALUE"""),1073.0)</f>
        <v>1073</v>
      </c>
      <c r="AD36" s="197">
        <f>IFERROR(__xludf.DUMMYFUNCTION("""COMPUTED_VALUE"""),929.0)</f>
        <v>929</v>
      </c>
      <c r="AE36" s="197">
        <f>IFERROR(__xludf.DUMMYFUNCTION("""COMPUTED_VALUE"""),127.0)</f>
        <v>127</v>
      </c>
      <c r="AF36" s="197">
        <f>IFERROR(__xludf.DUMMYFUNCTION("""COMPUTED_VALUE"""),17.0)</f>
        <v>17</v>
      </c>
      <c r="AG36" s="41">
        <f>IFERROR(__xludf.DUMMYFUNCTION("""COMPUTED_VALUE"""),257.0)</f>
        <v>257</v>
      </c>
      <c r="AH36" s="197">
        <f>IFERROR(__xludf.DUMMYFUNCTION("""COMPUTED_VALUE"""),130.0)</f>
        <v>130</v>
      </c>
      <c r="AI36" s="197">
        <f>IFERROR(__xludf.DUMMYFUNCTION("""COMPUTED_VALUE"""),127.0)</f>
        <v>127</v>
      </c>
      <c r="AJ36" s="197">
        <f>IFERROR(__xludf.DUMMYFUNCTION("""COMPUTED_VALUE"""),0.0)</f>
        <v>0</v>
      </c>
      <c r="AK36" s="41">
        <f>IFERROR(__xludf.DUMMYFUNCTION("""COMPUTED_VALUE"""),0.0)</f>
        <v>0</v>
      </c>
      <c r="AL36" s="197">
        <f>IFERROR(__xludf.DUMMYFUNCTION("""COMPUTED_VALUE"""),0.0)</f>
        <v>0</v>
      </c>
      <c r="AM36" s="197">
        <f>IFERROR(__xludf.DUMMYFUNCTION("""COMPUTED_VALUE"""),0.0)</f>
        <v>0</v>
      </c>
      <c r="AN36" s="197">
        <f>IFERROR(__xludf.DUMMYFUNCTION("""COMPUTED_VALUE"""),0.0)</f>
        <v>0</v>
      </c>
      <c r="AO36" s="41">
        <f>IFERROR(__xludf.DUMMYFUNCTION("""COMPUTED_VALUE"""),0.0)</f>
        <v>0</v>
      </c>
      <c r="AP36" s="197">
        <f>IFERROR(__xludf.DUMMYFUNCTION("""COMPUTED_VALUE"""),0.0)</f>
        <v>0</v>
      </c>
      <c r="AQ36" s="197">
        <f>IFERROR(__xludf.DUMMYFUNCTION("""COMPUTED_VALUE"""),0.0)</f>
        <v>0</v>
      </c>
      <c r="AR36" s="197">
        <f>IFERROR(__xludf.DUMMYFUNCTION("""COMPUTED_VALUE"""),0.0)</f>
        <v>0</v>
      </c>
      <c r="AS36" s="41">
        <f>IFERROR(__xludf.DUMMYFUNCTION("""COMPUTED_VALUE"""),0.0)</f>
        <v>0</v>
      </c>
      <c r="AT36" s="197">
        <f>IFERROR(__xludf.DUMMYFUNCTION("""COMPUTED_VALUE"""),0.0)</f>
        <v>0</v>
      </c>
      <c r="AU36" s="197">
        <f>IFERROR(__xludf.DUMMYFUNCTION("""COMPUTED_VALUE"""),0.0)</f>
        <v>0</v>
      </c>
      <c r="AV36" s="197">
        <f>IFERROR(__xludf.DUMMYFUNCTION("""COMPUTED_VALUE"""),0.0)</f>
        <v>0</v>
      </c>
      <c r="AW36" s="41">
        <f>IFERROR(__xludf.DUMMYFUNCTION("""COMPUTED_VALUE"""),0.0)</f>
        <v>0</v>
      </c>
      <c r="AX36" s="197">
        <f>IFERROR(__xludf.DUMMYFUNCTION("""COMPUTED_VALUE"""),0.0)</f>
        <v>0</v>
      </c>
      <c r="AY36" s="197">
        <f>IFERROR(__xludf.DUMMYFUNCTION("""COMPUTED_VALUE"""),0.0)</f>
        <v>0</v>
      </c>
      <c r="AZ36" s="198">
        <f>IFERROR(__xludf.DUMMYFUNCTION("""COMPUTED_VALUE"""),0.0)</f>
        <v>0</v>
      </c>
      <c r="BA36" s="34"/>
    </row>
    <row r="37" ht="15.75" customHeight="1">
      <c r="A37" s="29"/>
      <c r="B37" s="67" t="str">
        <f>IFERROR(__xludf.DUMMYFUNCTION("""COMPUTED_VALUE""")," + Lớp 8")</f>
        <v> + Lớp 8</v>
      </c>
      <c r="C37" s="31"/>
      <c r="D37" s="31" t="str">
        <f>IFERROR(__xludf.DUMMYFUNCTION("""COMPUTED_VALUE"""),"""")</f>
        <v>"</v>
      </c>
      <c r="E37" s="41">
        <f>IFERROR(__xludf.DUMMYFUNCTION("""COMPUTED_VALUE"""),920.0)</f>
        <v>920</v>
      </c>
      <c r="F37" s="197">
        <f>IFERROR(__xludf.DUMMYFUNCTION("""COMPUTED_VALUE"""),832.0)</f>
        <v>832</v>
      </c>
      <c r="G37" s="197">
        <f>IFERROR(__xludf.DUMMYFUNCTION("""COMPUTED_VALUE"""),75.0)</f>
        <v>75</v>
      </c>
      <c r="H37" s="197">
        <f>IFERROR(__xludf.DUMMYFUNCTION("""COMPUTED_VALUE"""),13.0)</f>
        <v>13</v>
      </c>
      <c r="I37" s="41">
        <f>IFERROR(__xludf.DUMMYFUNCTION("""COMPUTED_VALUE"""),917.0)</f>
        <v>917</v>
      </c>
      <c r="J37" s="197">
        <f>IFERROR(__xludf.DUMMYFUNCTION("""COMPUTED_VALUE"""),830.0)</f>
        <v>830</v>
      </c>
      <c r="K37" s="197">
        <f>IFERROR(__xludf.DUMMYFUNCTION("""COMPUTED_VALUE"""),75.0)</f>
        <v>75</v>
      </c>
      <c r="L37" s="197">
        <f>IFERROR(__xludf.DUMMYFUNCTION("""COMPUTED_VALUE"""),12.0)</f>
        <v>12</v>
      </c>
      <c r="M37" s="41">
        <f>IFERROR(__xludf.DUMMYFUNCTION("""COMPUTED_VALUE"""),826.0)</f>
        <v>826</v>
      </c>
      <c r="N37" s="197">
        <f>IFERROR(__xludf.DUMMYFUNCTION("""COMPUTED_VALUE"""),739.0)</f>
        <v>739</v>
      </c>
      <c r="O37" s="197">
        <f>IFERROR(__xludf.DUMMYFUNCTION("""COMPUTED_VALUE"""),75.0)</f>
        <v>75</v>
      </c>
      <c r="P37" s="197">
        <f>IFERROR(__xludf.DUMMYFUNCTION("""COMPUTED_VALUE"""),12.0)</f>
        <v>12</v>
      </c>
      <c r="Q37" s="41">
        <f>IFERROR(__xludf.DUMMYFUNCTION("""COMPUTED_VALUE"""),817.0)</f>
        <v>817</v>
      </c>
      <c r="R37" s="197">
        <f>IFERROR(__xludf.DUMMYFUNCTION("""COMPUTED_VALUE"""),730.0)</f>
        <v>730</v>
      </c>
      <c r="S37" s="197">
        <f>IFERROR(__xludf.DUMMYFUNCTION("""COMPUTED_VALUE"""),75.0)</f>
        <v>75</v>
      </c>
      <c r="T37" s="197">
        <f>IFERROR(__xludf.DUMMYFUNCTION("""COMPUTED_VALUE"""),12.0)</f>
        <v>12</v>
      </c>
      <c r="U37" s="41">
        <f>IFERROR(__xludf.DUMMYFUNCTION("""COMPUTED_VALUE"""),816.0)</f>
        <v>816</v>
      </c>
      <c r="V37" s="197">
        <f>IFERROR(__xludf.DUMMYFUNCTION("""COMPUTED_VALUE"""),729.0)</f>
        <v>729</v>
      </c>
      <c r="W37" s="197">
        <f>IFERROR(__xludf.DUMMYFUNCTION("""COMPUTED_VALUE"""),75.0)</f>
        <v>75</v>
      </c>
      <c r="X37" s="197">
        <f>IFERROR(__xludf.DUMMYFUNCTION("""COMPUTED_VALUE"""),12.0)</f>
        <v>12</v>
      </c>
      <c r="Y37" s="41">
        <f>IFERROR(__xludf.DUMMYFUNCTION("""COMPUTED_VALUE"""),809.0)</f>
        <v>809</v>
      </c>
      <c r="Z37" s="197">
        <f>IFERROR(__xludf.DUMMYFUNCTION("""COMPUTED_VALUE"""),722.0)</f>
        <v>722</v>
      </c>
      <c r="AA37" s="197">
        <f>IFERROR(__xludf.DUMMYFUNCTION("""COMPUTED_VALUE"""),75.0)</f>
        <v>75</v>
      </c>
      <c r="AB37" s="197">
        <f>IFERROR(__xludf.DUMMYFUNCTION("""COMPUTED_VALUE"""),12.0)</f>
        <v>12</v>
      </c>
      <c r="AC37" s="41">
        <f>IFERROR(__xludf.DUMMYFUNCTION("""COMPUTED_VALUE"""),809.0)</f>
        <v>809</v>
      </c>
      <c r="AD37" s="197">
        <f>IFERROR(__xludf.DUMMYFUNCTION("""COMPUTED_VALUE"""),722.0)</f>
        <v>722</v>
      </c>
      <c r="AE37" s="197">
        <f>IFERROR(__xludf.DUMMYFUNCTION("""COMPUTED_VALUE"""),75.0)</f>
        <v>75</v>
      </c>
      <c r="AF37" s="197">
        <f>IFERROR(__xludf.DUMMYFUNCTION("""COMPUTED_VALUE"""),12.0)</f>
        <v>12</v>
      </c>
      <c r="AG37" s="41">
        <f>IFERROR(__xludf.DUMMYFUNCTION("""COMPUTED_VALUE"""),163.0)</f>
        <v>163</v>
      </c>
      <c r="AH37" s="197">
        <f>IFERROR(__xludf.DUMMYFUNCTION("""COMPUTED_VALUE"""),88.0)</f>
        <v>88</v>
      </c>
      <c r="AI37" s="197">
        <f>IFERROR(__xludf.DUMMYFUNCTION("""COMPUTED_VALUE"""),75.0)</f>
        <v>75</v>
      </c>
      <c r="AJ37" s="197">
        <f>IFERROR(__xludf.DUMMYFUNCTION("""COMPUTED_VALUE"""),0.0)</f>
        <v>0</v>
      </c>
      <c r="AK37" s="41">
        <f>IFERROR(__xludf.DUMMYFUNCTION("""COMPUTED_VALUE"""),0.0)</f>
        <v>0</v>
      </c>
      <c r="AL37" s="197">
        <f>IFERROR(__xludf.DUMMYFUNCTION("""COMPUTED_VALUE"""),0.0)</f>
        <v>0</v>
      </c>
      <c r="AM37" s="197">
        <f>IFERROR(__xludf.DUMMYFUNCTION("""COMPUTED_VALUE"""),0.0)</f>
        <v>0</v>
      </c>
      <c r="AN37" s="197">
        <f>IFERROR(__xludf.DUMMYFUNCTION("""COMPUTED_VALUE"""),0.0)</f>
        <v>0</v>
      </c>
      <c r="AO37" s="41">
        <f>IFERROR(__xludf.DUMMYFUNCTION("""COMPUTED_VALUE"""),0.0)</f>
        <v>0</v>
      </c>
      <c r="AP37" s="197">
        <f>IFERROR(__xludf.DUMMYFUNCTION("""COMPUTED_VALUE"""),0.0)</f>
        <v>0</v>
      </c>
      <c r="AQ37" s="197">
        <f>IFERROR(__xludf.DUMMYFUNCTION("""COMPUTED_VALUE"""),0.0)</f>
        <v>0</v>
      </c>
      <c r="AR37" s="197">
        <f>IFERROR(__xludf.DUMMYFUNCTION("""COMPUTED_VALUE"""),0.0)</f>
        <v>0</v>
      </c>
      <c r="AS37" s="41">
        <f>IFERROR(__xludf.DUMMYFUNCTION("""COMPUTED_VALUE"""),0.0)</f>
        <v>0</v>
      </c>
      <c r="AT37" s="197">
        <f>IFERROR(__xludf.DUMMYFUNCTION("""COMPUTED_VALUE"""),0.0)</f>
        <v>0</v>
      </c>
      <c r="AU37" s="197">
        <f>IFERROR(__xludf.DUMMYFUNCTION("""COMPUTED_VALUE"""),0.0)</f>
        <v>0</v>
      </c>
      <c r="AV37" s="197">
        <f>IFERROR(__xludf.DUMMYFUNCTION("""COMPUTED_VALUE"""),0.0)</f>
        <v>0</v>
      </c>
      <c r="AW37" s="41">
        <f>IFERROR(__xludf.DUMMYFUNCTION("""COMPUTED_VALUE"""),0.0)</f>
        <v>0</v>
      </c>
      <c r="AX37" s="197">
        <f>IFERROR(__xludf.DUMMYFUNCTION("""COMPUTED_VALUE"""),0.0)</f>
        <v>0</v>
      </c>
      <c r="AY37" s="197">
        <f>IFERROR(__xludf.DUMMYFUNCTION("""COMPUTED_VALUE"""),0.0)</f>
        <v>0</v>
      </c>
      <c r="AZ37" s="198">
        <f>IFERROR(__xludf.DUMMYFUNCTION("""COMPUTED_VALUE"""),0.0)</f>
        <v>0</v>
      </c>
      <c r="BA37" s="34"/>
    </row>
    <row r="38" ht="15.75" customHeight="1">
      <c r="A38" s="29"/>
      <c r="B38" s="67" t="str">
        <f>IFERROR(__xludf.DUMMYFUNCTION("""COMPUTED_VALUE""")," + Lớp 9")</f>
        <v> + Lớp 9</v>
      </c>
      <c r="C38" s="31"/>
      <c r="D38" s="31" t="str">
        <f>IFERROR(__xludf.DUMMYFUNCTION("""COMPUTED_VALUE"""),"""")</f>
        <v>"</v>
      </c>
      <c r="E38" s="41">
        <f>IFERROR(__xludf.DUMMYFUNCTION("""COMPUTED_VALUE"""),989.0)</f>
        <v>989</v>
      </c>
      <c r="F38" s="197">
        <f>IFERROR(__xludf.DUMMYFUNCTION("""COMPUTED_VALUE"""),892.0)</f>
        <v>892</v>
      </c>
      <c r="G38" s="197">
        <f>IFERROR(__xludf.DUMMYFUNCTION("""COMPUTED_VALUE"""),79.0)</f>
        <v>79</v>
      </c>
      <c r="H38" s="197">
        <f>IFERROR(__xludf.DUMMYFUNCTION("""COMPUTED_VALUE"""),18.0)</f>
        <v>18</v>
      </c>
      <c r="I38" s="41">
        <f>IFERROR(__xludf.DUMMYFUNCTION("""COMPUTED_VALUE"""),988.0)</f>
        <v>988</v>
      </c>
      <c r="J38" s="197">
        <f>IFERROR(__xludf.DUMMYFUNCTION("""COMPUTED_VALUE"""),891.0)</f>
        <v>891</v>
      </c>
      <c r="K38" s="197">
        <f>IFERROR(__xludf.DUMMYFUNCTION("""COMPUTED_VALUE"""),79.0)</f>
        <v>79</v>
      </c>
      <c r="L38" s="197">
        <f>IFERROR(__xludf.DUMMYFUNCTION("""COMPUTED_VALUE"""),18.0)</f>
        <v>18</v>
      </c>
      <c r="M38" s="41">
        <f>IFERROR(__xludf.DUMMYFUNCTION("""COMPUTED_VALUE"""),913.0)</f>
        <v>913</v>
      </c>
      <c r="N38" s="197">
        <f>IFERROR(__xludf.DUMMYFUNCTION("""COMPUTED_VALUE"""),816.0)</f>
        <v>816</v>
      </c>
      <c r="O38" s="197">
        <f>IFERROR(__xludf.DUMMYFUNCTION("""COMPUTED_VALUE"""),79.0)</f>
        <v>79</v>
      </c>
      <c r="P38" s="197">
        <f>IFERROR(__xludf.DUMMYFUNCTION("""COMPUTED_VALUE"""),18.0)</f>
        <v>18</v>
      </c>
      <c r="Q38" s="41">
        <f>IFERROR(__xludf.DUMMYFUNCTION("""COMPUTED_VALUE"""),909.0)</f>
        <v>909</v>
      </c>
      <c r="R38" s="197">
        <f>IFERROR(__xludf.DUMMYFUNCTION("""COMPUTED_VALUE"""),812.0)</f>
        <v>812</v>
      </c>
      <c r="S38" s="197">
        <f>IFERROR(__xludf.DUMMYFUNCTION("""COMPUTED_VALUE"""),79.0)</f>
        <v>79</v>
      </c>
      <c r="T38" s="197">
        <f>IFERROR(__xludf.DUMMYFUNCTION("""COMPUTED_VALUE"""),18.0)</f>
        <v>18</v>
      </c>
      <c r="U38" s="41">
        <f>IFERROR(__xludf.DUMMYFUNCTION("""COMPUTED_VALUE"""),908.0)</f>
        <v>908</v>
      </c>
      <c r="V38" s="197">
        <f>IFERROR(__xludf.DUMMYFUNCTION("""COMPUTED_VALUE"""),811.0)</f>
        <v>811</v>
      </c>
      <c r="W38" s="197">
        <f>IFERROR(__xludf.DUMMYFUNCTION("""COMPUTED_VALUE"""),79.0)</f>
        <v>79</v>
      </c>
      <c r="X38" s="197">
        <f>IFERROR(__xludf.DUMMYFUNCTION("""COMPUTED_VALUE"""),18.0)</f>
        <v>18</v>
      </c>
      <c r="Y38" s="41">
        <f>IFERROR(__xludf.DUMMYFUNCTION("""COMPUTED_VALUE"""),902.0)</f>
        <v>902</v>
      </c>
      <c r="Z38" s="197">
        <f>IFERROR(__xludf.DUMMYFUNCTION("""COMPUTED_VALUE"""),805.0)</f>
        <v>805</v>
      </c>
      <c r="AA38" s="197">
        <f>IFERROR(__xludf.DUMMYFUNCTION("""COMPUTED_VALUE"""),79.0)</f>
        <v>79</v>
      </c>
      <c r="AB38" s="197">
        <f>IFERROR(__xludf.DUMMYFUNCTION("""COMPUTED_VALUE"""),18.0)</f>
        <v>18</v>
      </c>
      <c r="AC38" s="41">
        <f>IFERROR(__xludf.DUMMYFUNCTION("""COMPUTED_VALUE"""),899.0)</f>
        <v>899</v>
      </c>
      <c r="AD38" s="197">
        <f>IFERROR(__xludf.DUMMYFUNCTION("""COMPUTED_VALUE"""),802.0)</f>
        <v>802</v>
      </c>
      <c r="AE38" s="197">
        <f>IFERROR(__xludf.DUMMYFUNCTION("""COMPUTED_VALUE"""),79.0)</f>
        <v>79</v>
      </c>
      <c r="AF38" s="197">
        <f>IFERROR(__xludf.DUMMYFUNCTION("""COMPUTED_VALUE"""),18.0)</f>
        <v>18</v>
      </c>
      <c r="AG38" s="41">
        <f>IFERROR(__xludf.DUMMYFUNCTION("""COMPUTED_VALUE"""),158.0)</f>
        <v>158</v>
      </c>
      <c r="AH38" s="197">
        <f>IFERROR(__xludf.DUMMYFUNCTION("""COMPUTED_VALUE"""),79.0)</f>
        <v>79</v>
      </c>
      <c r="AI38" s="197">
        <f>IFERROR(__xludf.DUMMYFUNCTION("""COMPUTED_VALUE"""),79.0)</f>
        <v>79</v>
      </c>
      <c r="AJ38" s="197">
        <f>IFERROR(__xludf.DUMMYFUNCTION("""COMPUTED_VALUE"""),0.0)</f>
        <v>0</v>
      </c>
      <c r="AK38" s="41">
        <f>IFERROR(__xludf.DUMMYFUNCTION("""COMPUTED_VALUE"""),0.0)</f>
        <v>0</v>
      </c>
      <c r="AL38" s="197">
        <f>IFERROR(__xludf.DUMMYFUNCTION("""COMPUTED_VALUE"""),0.0)</f>
        <v>0</v>
      </c>
      <c r="AM38" s="197">
        <f>IFERROR(__xludf.DUMMYFUNCTION("""COMPUTED_VALUE"""),0.0)</f>
        <v>0</v>
      </c>
      <c r="AN38" s="197">
        <f>IFERROR(__xludf.DUMMYFUNCTION("""COMPUTED_VALUE"""),0.0)</f>
        <v>0</v>
      </c>
      <c r="AO38" s="41">
        <f>IFERROR(__xludf.DUMMYFUNCTION("""COMPUTED_VALUE"""),0.0)</f>
        <v>0</v>
      </c>
      <c r="AP38" s="197">
        <f>IFERROR(__xludf.DUMMYFUNCTION("""COMPUTED_VALUE"""),0.0)</f>
        <v>0</v>
      </c>
      <c r="AQ38" s="197">
        <f>IFERROR(__xludf.DUMMYFUNCTION("""COMPUTED_VALUE"""),0.0)</f>
        <v>0</v>
      </c>
      <c r="AR38" s="197">
        <f>IFERROR(__xludf.DUMMYFUNCTION("""COMPUTED_VALUE"""),0.0)</f>
        <v>0</v>
      </c>
      <c r="AS38" s="41">
        <f>IFERROR(__xludf.DUMMYFUNCTION("""COMPUTED_VALUE"""),0.0)</f>
        <v>0</v>
      </c>
      <c r="AT38" s="197">
        <f>IFERROR(__xludf.DUMMYFUNCTION("""COMPUTED_VALUE"""),0.0)</f>
        <v>0</v>
      </c>
      <c r="AU38" s="197">
        <f>IFERROR(__xludf.DUMMYFUNCTION("""COMPUTED_VALUE"""),0.0)</f>
        <v>0</v>
      </c>
      <c r="AV38" s="197">
        <f>IFERROR(__xludf.DUMMYFUNCTION("""COMPUTED_VALUE"""),0.0)</f>
        <v>0</v>
      </c>
      <c r="AW38" s="41">
        <f>IFERROR(__xludf.DUMMYFUNCTION("""COMPUTED_VALUE"""),0.0)</f>
        <v>0</v>
      </c>
      <c r="AX38" s="197">
        <f>IFERROR(__xludf.DUMMYFUNCTION("""COMPUTED_VALUE"""),0.0)</f>
        <v>0</v>
      </c>
      <c r="AY38" s="197">
        <f>IFERROR(__xludf.DUMMYFUNCTION("""COMPUTED_VALUE"""),0.0)</f>
        <v>0</v>
      </c>
      <c r="AZ38" s="198">
        <f>IFERROR(__xludf.DUMMYFUNCTION("""COMPUTED_VALUE"""),0.0)</f>
        <v>0</v>
      </c>
      <c r="BA38" s="34"/>
    </row>
    <row r="39" ht="15.75" customHeight="1">
      <c r="A39" s="29"/>
      <c r="B39" s="67" t="str">
        <f>IFERROR(__xludf.DUMMYFUNCTION("""COMPUTED_VALUE""")," + Lớp ghép")</f>
        <v> + Lớp ghép</v>
      </c>
      <c r="C39" s="31"/>
      <c r="D39" s="31" t="str">
        <f>IFERROR(__xludf.DUMMYFUNCTION("""COMPUTED_VALUE"""),"""")</f>
        <v>"</v>
      </c>
      <c r="E39" s="41">
        <f>IFERROR(__xludf.DUMMYFUNCTION("""COMPUTED_VALUE"""),0.0)</f>
        <v>0</v>
      </c>
      <c r="F39" s="197">
        <f>IFERROR(__xludf.DUMMYFUNCTION("""COMPUTED_VALUE"""),0.0)</f>
        <v>0</v>
      </c>
      <c r="G39" s="197">
        <f>IFERROR(__xludf.DUMMYFUNCTION("""COMPUTED_VALUE"""),0.0)</f>
        <v>0</v>
      </c>
      <c r="H39" s="197">
        <f>IFERROR(__xludf.DUMMYFUNCTION("""COMPUTED_VALUE"""),0.0)</f>
        <v>0</v>
      </c>
      <c r="I39" s="41">
        <f>IFERROR(__xludf.DUMMYFUNCTION("""COMPUTED_VALUE"""),0.0)</f>
        <v>0</v>
      </c>
      <c r="J39" s="197">
        <f>IFERROR(__xludf.DUMMYFUNCTION("""COMPUTED_VALUE"""),0.0)</f>
        <v>0</v>
      </c>
      <c r="K39" s="197">
        <f>IFERROR(__xludf.DUMMYFUNCTION("""COMPUTED_VALUE"""),0.0)</f>
        <v>0</v>
      </c>
      <c r="L39" s="197">
        <f>IFERROR(__xludf.DUMMYFUNCTION("""COMPUTED_VALUE"""),0.0)</f>
        <v>0</v>
      </c>
      <c r="M39" s="41">
        <f>IFERROR(__xludf.DUMMYFUNCTION("""COMPUTED_VALUE"""),0.0)</f>
        <v>0</v>
      </c>
      <c r="N39" s="197">
        <f>IFERROR(__xludf.DUMMYFUNCTION("""COMPUTED_VALUE"""),0.0)</f>
        <v>0</v>
      </c>
      <c r="O39" s="197">
        <f>IFERROR(__xludf.DUMMYFUNCTION("""COMPUTED_VALUE"""),0.0)</f>
        <v>0</v>
      </c>
      <c r="P39" s="197">
        <f>IFERROR(__xludf.DUMMYFUNCTION("""COMPUTED_VALUE"""),0.0)</f>
        <v>0</v>
      </c>
      <c r="Q39" s="41">
        <f>IFERROR(__xludf.DUMMYFUNCTION("""COMPUTED_VALUE"""),0.0)</f>
        <v>0</v>
      </c>
      <c r="R39" s="197">
        <f>IFERROR(__xludf.DUMMYFUNCTION("""COMPUTED_VALUE"""),0.0)</f>
        <v>0</v>
      </c>
      <c r="S39" s="197">
        <f>IFERROR(__xludf.DUMMYFUNCTION("""COMPUTED_VALUE"""),0.0)</f>
        <v>0</v>
      </c>
      <c r="T39" s="197">
        <f>IFERROR(__xludf.DUMMYFUNCTION("""COMPUTED_VALUE"""),0.0)</f>
        <v>0</v>
      </c>
      <c r="U39" s="41">
        <f>IFERROR(__xludf.DUMMYFUNCTION("""COMPUTED_VALUE"""),0.0)</f>
        <v>0</v>
      </c>
      <c r="V39" s="197">
        <f>IFERROR(__xludf.DUMMYFUNCTION("""COMPUTED_VALUE"""),0.0)</f>
        <v>0</v>
      </c>
      <c r="W39" s="197">
        <f>IFERROR(__xludf.DUMMYFUNCTION("""COMPUTED_VALUE"""),0.0)</f>
        <v>0</v>
      </c>
      <c r="X39" s="197">
        <f>IFERROR(__xludf.DUMMYFUNCTION("""COMPUTED_VALUE"""),0.0)</f>
        <v>0</v>
      </c>
      <c r="Y39" s="41">
        <f>IFERROR(__xludf.DUMMYFUNCTION("""COMPUTED_VALUE"""),0.0)</f>
        <v>0</v>
      </c>
      <c r="Z39" s="197">
        <f>IFERROR(__xludf.DUMMYFUNCTION("""COMPUTED_VALUE"""),0.0)</f>
        <v>0</v>
      </c>
      <c r="AA39" s="197">
        <f>IFERROR(__xludf.DUMMYFUNCTION("""COMPUTED_VALUE"""),0.0)</f>
        <v>0</v>
      </c>
      <c r="AB39" s="197">
        <f>IFERROR(__xludf.DUMMYFUNCTION("""COMPUTED_VALUE"""),0.0)</f>
        <v>0</v>
      </c>
      <c r="AC39" s="41">
        <f>IFERROR(__xludf.DUMMYFUNCTION("""COMPUTED_VALUE"""),0.0)</f>
        <v>0</v>
      </c>
      <c r="AD39" s="197">
        <f>IFERROR(__xludf.DUMMYFUNCTION("""COMPUTED_VALUE"""),0.0)</f>
        <v>0</v>
      </c>
      <c r="AE39" s="197">
        <f>IFERROR(__xludf.DUMMYFUNCTION("""COMPUTED_VALUE"""),0.0)</f>
        <v>0</v>
      </c>
      <c r="AF39" s="197">
        <f>IFERROR(__xludf.DUMMYFUNCTION("""COMPUTED_VALUE"""),0.0)</f>
        <v>0</v>
      </c>
      <c r="AG39" s="41">
        <f>IFERROR(__xludf.DUMMYFUNCTION("""COMPUTED_VALUE"""),0.0)</f>
        <v>0</v>
      </c>
      <c r="AH39" s="197">
        <f>IFERROR(__xludf.DUMMYFUNCTION("""COMPUTED_VALUE"""),0.0)</f>
        <v>0</v>
      </c>
      <c r="AI39" s="197">
        <f>IFERROR(__xludf.DUMMYFUNCTION("""COMPUTED_VALUE"""),0.0)</f>
        <v>0</v>
      </c>
      <c r="AJ39" s="197">
        <f>IFERROR(__xludf.DUMMYFUNCTION("""COMPUTED_VALUE"""),0.0)</f>
        <v>0</v>
      </c>
      <c r="AK39" s="41">
        <f>IFERROR(__xludf.DUMMYFUNCTION("""COMPUTED_VALUE"""),0.0)</f>
        <v>0</v>
      </c>
      <c r="AL39" s="197">
        <f>IFERROR(__xludf.DUMMYFUNCTION("""COMPUTED_VALUE"""),0.0)</f>
        <v>0</v>
      </c>
      <c r="AM39" s="197">
        <f>IFERROR(__xludf.DUMMYFUNCTION("""COMPUTED_VALUE"""),0.0)</f>
        <v>0</v>
      </c>
      <c r="AN39" s="197">
        <f>IFERROR(__xludf.DUMMYFUNCTION("""COMPUTED_VALUE"""),0.0)</f>
        <v>0</v>
      </c>
      <c r="AO39" s="41">
        <f>IFERROR(__xludf.DUMMYFUNCTION("""COMPUTED_VALUE"""),0.0)</f>
        <v>0</v>
      </c>
      <c r="AP39" s="197">
        <f>IFERROR(__xludf.DUMMYFUNCTION("""COMPUTED_VALUE"""),0.0)</f>
        <v>0</v>
      </c>
      <c r="AQ39" s="197">
        <f>IFERROR(__xludf.DUMMYFUNCTION("""COMPUTED_VALUE"""),0.0)</f>
        <v>0</v>
      </c>
      <c r="AR39" s="197">
        <f>IFERROR(__xludf.DUMMYFUNCTION("""COMPUTED_VALUE"""),0.0)</f>
        <v>0</v>
      </c>
      <c r="AS39" s="41">
        <f>IFERROR(__xludf.DUMMYFUNCTION("""COMPUTED_VALUE"""),0.0)</f>
        <v>0</v>
      </c>
      <c r="AT39" s="197">
        <f>IFERROR(__xludf.DUMMYFUNCTION("""COMPUTED_VALUE"""),0.0)</f>
        <v>0</v>
      </c>
      <c r="AU39" s="197">
        <f>IFERROR(__xludf.DUMMYFUNCTION("""COMPUTED_VALUE"""),0.0)</f>
        <v>0</v>
      </c>
      <c r="AV39" s="197">
        <f>IFERROR(__xludf.DUMMYFUNCTION("""COMPUTED_VALUE"""),0.0)</f>
        <v>0</v>
      </c>
      <c r="AW39" s="41">
        <f>IFERROR(__xludf.DUMMYFUNCTION("""COMPUTED_VALUE"""),0.0)</f>
        <v>0</v>
      </c>
      <c r="AX39" s="197">
        <f>IFERROR(__xludf.DUMMYFUNCTION("""COMPUTED_VALUE"""),0.0)</f>
        <v>0</v>
      </c>
      <c r="AY39" s="197">
        <f>IFERROR(__xludf.DUMMYFUNCTION("""COMPUTED_VALUE"""),0.0)</f>
        <v>0</v>
      </c>
      <c r="AZ39" s="198">
        <f>IFERROR(__xludf.DUMMYFUNCTION("""COMPUTED_VALUE"""),0.0)</f>
        <v>0</v>
      </c>
      <c r="BA39" s="34"/>
    </row>
    <row r="40" ht="15.75" customHeight="1">
      <c r="A40" s="92"/>
      <c r="B40" s="93" t="str">
        <f>IFERROR(__xludf.DUMMYFUNCTION("""COMPUTED_VALUE"""),"3.2. Trong tổng số có")</f>
        <v>3.2. Trong tổng số có</v>
      </c>
      <c r="C40" s="94"/>
      <c r="D40" s="87"/>
      <c r="E40" s="88">
        <f>IFERROR(__xludf.DUMMYFUNCTION("""COMPUTED_VALUE"""),9236.0)</f>
        <v>9236</v>
      </c>
      <c r="F40" s="88">
        <f>IFERROR(__xludf.DUMMYFUNCTION("""COMPUTED_VALUE"""),7877.0)</f>
        <v>7877</v>
      </c>
      <c r="G40" s="88">
        <f>IFERROR(__xludf.DUMMYFUNCTION("""COMPUTED_VALUE"""),1075.0)</f>
        <v>1075</v>
      </c>
      <c r="H40" s="88">
        <f>IFERROR(__xludf.DUMMYFUNCTION("""COMPUTED_VALUE"""),284.0)</f>
        <v>284</v>
      </c>
      <c r="I40" s="88">
        <f>IFERROR(__xludf.DUMMYFUNCTION("""COMPUTED_VALUE"""),9236.0)</f>
        <v>9236</v>
      </c>
      <c r="J40" s="88">
        <f>IFERROR(__xludf.DUMMYFUNCTION("""COMPUTED_VALUE"""),7879.0)</f>
        <v>7879</v>
      </c>
      <c r="K40" s="88">
        <f>IFERROR(__xludf.DUMMYFUNCTION("""COMPUTED_VALUE"""),1075.0)</f>
        <v>1075</v>
      </c>
      <c r="L40" s="88">
        <f>IFERROR(__xludf.DUMMYFUNCTION("""COMPUTED_VALUE"""),282.0)</f>
        <v>282</v>
      </c>
      <c r="M40" s="88">
        <f>IFERROR(__xludf.DUMMYFUNCTION("""COMPUTED_VALUE"""),8374.0)</f>
        <v>8374</v>
      </c>
      <c r="N40" s="88">
        <f>IFERROR(__xludf.DUMMYFUNCTION("""COMPUTED_VALUE"""),7021.0)</f>
        <v>7021</v>
      </c>
      <c r="O40" s="88">
        <f>IFERROR(__xludf.DUMMYFUNCTION("""COMPUTED_VALUE"""),1074.0)</f>
        <v>1074</v>
      </c>
      <c r="P40" s="88">
        <f>IFERROR(__xludf.DUMMYFUNCTION("""COMPUTED_VALUE"""),279.0)</f>
        <v>279</v>
      </c>
      <c r="Q40" s="88">
        <f>IFERROR(__xludf.DUMMYFUNCTION("""COMPUTED_VALUE"""),8339.0)</f>
        <v>8339</v>
      </c>
      <c r="R40" s="88">
        <f>IFERROR(__xludf.DUMMYFUNCTION("""COMPUTED_VALUE"""),6995.0)</f>
        <v>6995</v>
      </c>
      <c r="S40" s="88">
        <f>IFERROR(__xludf.DUMMYFUNCTION("""COMPUTED_VALUE"""),1065.0)</f>
        <v>1065</v>
      </c>
      <c r="T40" s="88">
        <f>IFERROR(__xludf.DUMMYFUNCTION("""COMPUTED_VALUE"""),279.0)</f>
        <v>279</v>
      </c>
      <c r="U40" s="88">
        <f>IFERROR(__xludf.DUMMYFUNCTION("""COMPUTED_VALUE"""),8330.0)</f>
        <v>8330</v>
      </c>
      <c r="V40" s="88">
        <f>IFERROR(__xludf.DUMMYFUNCTION("""COMPUTED_VALUE"""),6988.0)</f>
        <v>6988</v>
      </c>
      <c r="W40" s="88">
        <f>IFERROR(__xludf.DUMMYFUNCTION("""COMPUTED_VALUE"""),1065.0)</f>
        <v>1065</v>
      </c>
      <c r="X40" s="88">
        <f>IFERROR(__xludf.DUMMYFUNCTION("""COMPUTED_VALUE"""),277.0)</f>
        <v>277</v>
      </c>
      <c r="Y40" s="88">
        <f>IFERROR(__xludf.DUMMYFUNCTION("""COMPUTED_VALUE"""),8296.0)</f>
        <v>8296</v>
      </c>
      <c r="Z40" s="88">
        <f>IFERROR(__xludf.DUMMYFUNCTION("""COMPUTED_VALUE"""),6957.0)</f>
        <v>6957</v>
      </c>
      <c r="AA40" s="88">
        <f>IFERROR(__xludf.DUMMYFUNCTION("""COMPUTED_VALUE"""),1065.0)</f>
        <v>1065</v>
      </c>
      <c r="AB40" s="88">
        <f>IFERROR(__xludf.DUMMYFUNCTION("""COMPUTED_VALUE"""),274.0)</f>
        <v>274</v>
      </c>
      <c r="AC40" s="88">
        <f>IFERROR(__xludf.DUMMYFUNCTION("""COMPUTED_VALUE"""),8290.0)</f>
        <v>8290</v>
      </c>
      <c r="AD40" s="88">
        <f>IFERROR(__xludf.DUMMYFUNCTION("""COMPUTED_VALUE"""),6951.0)</f>
        <v>6951</v>
      </c>
      <c r="AE40" s="88">
        <f>IFERROR(__xludf.DUMMYFUNCTION("""COMPUTED_VALUE"""),1065.0)</f>
        <v>1065</v>
      </c>
      <c r="AF40" s="88">
        <f>IFERROR(__xludf.DUMMYFUNCTION("""COMPUTED_VALUE"""),274.0)</f>
        <v>274</v>
      </c>
      <c r="AG40" s="88">
        <f>IFERROR(__xludf.DUMMYFUNCTION("""COMPUTED_VALUE"""),2251.0)</f>
        <v>2251</v>
      </c>
      <c r="AH40" s="88">
        <f>IFERROR(__xludf.DUMMYFUNCTION("""COMPUTED_VALUE"""),1186.0)</f>
        <v>1186</v>
      </c>
      <c r="AI40" s="88">
        <f>IFERROR(__xludf.DUMMYFUNCTION("""COMPUTED_VALUE"""),1065.0)</f>
        <v>1065</v>
      </c>
      <c r="AJ40" s="88">
        <f>IFERROR(__xludf.DUMMYFUNCTION("""COMPUTED_VALUE"""),0.0)</f>
        <v>0</v>
      </c>
      <c r="AK40" s="88">
        <f>IFERROR(__xludf.DUMMYFUNCTION("""COMPUTED_VALUE"""),0.0)</f>
        <v>0</v>
      </c>
      <c r="AL40" s="88">
        <f>IFERROR(__xludf.DUMMYFUNCTION("""COMPUTED_VALUE"""),0.0)</f>
        <v>0</v>
      </c>
      <c r="AM40" s="88">
        <f>IFERROR(__xludf.DUMMYFUNCTION("""COMPUTED_VALUE"""),0.0)</f>
        <v>0</v>
      </c>
      <c r="AN40" s="88">
        <f>IFERROR(__xludf.DUMMYFUNCTION("""COMPUTED_VALUE"""),0.0)</f>
        <v>0</v>
      </c>
      <c r="AO40" s="88">
        <f>IFERROR(__xludf.DUMMYFUNCTION("""COMPUTED_VALUE"""),0.0)</f>
        <v>0</v>
      </c>
      <c r="AP40" s="88">
        <f>IFERROR(__xludf.DUMMYFUNCTION("""COMPUTED_VALUE"""),0.0)</f>
        <v>0</v>
      </c>
      <c r="AQ40" s="88">
        <f>IFERROR(__xludf.DUMMYFUNCTION("""COMPUTED_VALUE"""),0.0)</f>
        <v>0</v>
      </c>
      <c r="AR40" s="88">
        <f>IFERROR(__xludf.DUMMYFUNCTION("""COMPUTED_VALUE"""),0.0)</f>
        <v>0</v>
      </c>
      <c r="AS40" s="88">
        <f>IFERROR(__xludf.DUMMYFUNCTION("""COMPUTED_VALUE"""),0.0)</f>
        <v>0</v>
      </c>
      <c r="AT40" s="88">
        <f>IFERROR(__xludf.DUMMYFUNCTION("""COMPUTED_VALUE"""),0.0)</f>
        <v>0</v>
      </c>
      <c r="AU40" s="88">
        <f>IFERROR(__xludf.DUMMYFUNCTION("""COMPUTED_VALUE"""),0.0)</f>
        <v>0</v>
      </c>
      <c r="AV40" s="88">
        <f>IFERROR(__xludf.DUMMYFUNCTION("""COMPUTED_VALUE"""),0.0)</f>
        <v>0</v>
      </c>
      <c r="AW40" s="88">
        <f>IFERROR(__xludf.DUMMYFUNCTION("""COMPUTED_VALUE"""),0.0)</f>
        <v>0</v>
      </c>
      <c r="AX40" s="88">
        <f>IFERROR(__xludf.DUMMYFUNCTION("""COMPUTED_VALUE"""),0.0)</f>
        <v>0</v>
      </c>
      <c r="AY40" s="88">
        <f>IFERROR(__xludf.DUMMYFUNCTION("""COMPUTED_VALUE"""),0.0)</f>
        <v>0</v>
      </c>
      <c r="AZ40" s="95">
        <f>IFERROR(__xludf.DUMMYFUNCTION("""COMPUTED_VALUE"""),0.0)</f>
        <v>0</v>
      </c>
      <c r="BA40" s="96"/>
    </row>
    <row r="41" ht="15.75" customHeight="1">
      <c r="A41" s="29"/>
      <c r="B41" s="67" t="str">
        <f>IFERROR(__xludf.DUMMYFUNCTION("""COMPUTED_VALUE""")," + Nữ")</f>
        <v> + Nữ</v>
      </c>
      <c r="C41" s="31"/>
      <c r="D41" s="31" t="str">
        <f>IFERROR(__xludf.DUMMYFUNCTION("""COMPUTED_VALUE""")," Người")</f>
        <v> Người</v>
      </c>
      <c r="E41" s="41">
        <f>IFERROR(__xludf.DUMMYFUNCTION("""COMPUTED_VALUE"""),3632.0)</f>
        <v>3632</v>
      </c>
      <c r="F41" s="197">
        <f>IFERROR(__xludf.DUMMYFUNCTION("""COMPUTED_VALUE"""),3304.0)</f>
        <v>3304</v>
      </c>
      <c r="G41" s="197">
        <f>IFERROR(__xludf.DUMMYFUNCTION("""COMPUTED_VALUE"""),202.0)</f>
        <v>202</v>
      </c>
      <c r="H41" s="197">
        <f>IFERROR(__xludf.DUMMYFUNCTION("""COMPUTED_VALUE"""),126.0)</f>
        <v>126</v>
      </c>
      <c r="I41" s="41">
        <f>IFERROR(__xludf.DUMMYFUNCTION("""COMPUTED_VALUE"""),3633.0)</f>
        <v>3633</v>
      </c>
      <c r="J41" s="197">
        <f>IFERROR(__xludf.DUMMYFUNCTION("""COMPUTED_VALUE"""),3307.0)</f>
        <v>3307</v>
      </c>
      <c r="K41" s="197">
        <f>IFERROR(__xludf.DUMMYFUNCTION("""COMPUTED_VALUE"""),202.0)</f>
        <v>202</v>
      </c>
      <c r="L41" s="197">
        <f>IFERROR(__xludf.DUMMYFUNCTION("""COMPUTED_VALUE"""),124.0)</f>
        <v>124</v>
      </c>
      <c r="M41" s="41">
        <f>IFERROR(__xludf.DUMMYFUNCTION("""COMPUTED_VALUE"""),3468.0)</f>
        <v>3468</v>
      </c>
      <c r="N41" s="197">
        <f>IFERROR(__xludf.DUMMYFUNCTION("""COMPUTED_VALUE"""),3144.0)</f>
        <v>3144</v>
      </c>
      <c r="O41" s="197">
        <f>IFERROR(__xludf.DUMMYFUNCTION("""COMPUTED_VALUE"""),202.0)</f>
        <v>202</v>
      </c>
      <c r="P41" s="197">
        <f>IFERROR(__xludf.DUMMYFUNCTION("""COMPUTED_VALUE"""),122.0)</f>
        <v>122</v>
      </c>
      <c r="Q41" s="41">
        <f>IFERROR(__xludf.DUMMYFUNCTION("""COMPUTED_VALUE"""),3460.0)</f>
        <v>3460</v>
      </c>
      <c r="R41" s="197">
        <f>IFERROR(__xludf.DUMMYFUNCTION("""COMPUTED_VALUE"""),3136.0)</f>
        <v>3136</v>
      </c>
      <c r="S41" s="197">
        <f>IFERROR(__xludf.DUMMYFUNCTION("""COMPUTED_VALUE"""),202.0)</f>
        <v>202</v>
      </c>
      <c r="T41" s="197">
        <f>IFERROR(__xludf.DUMMYFUNCTION("""COMPUTED_VALUE"""),122.0)</f>
        <v>122</v>
      </c>
      <c r="U41" s="41">
        <f>IFERROR(__xludf.DUMMYFUNCTION("""COMPUTED_VALUE"""),3455.0)</f>
        <v>3455</v>
      </c>
      <c r="V41" s="197">
        <f>IFERROR(__xludf.DUMMYFUNCTION("""COMPUTED_VALUE"""),3132.0)</f>
        <v>3132</v>
      </c>
      <c r="W41" s="197">
        <f>IFERROR(__xludf.DUMMYFUNCTION("""COMPUTED_VALUE"""),202.0)</f>
        <v>202</v>
      </c>
      <c r="X41" s="197">
        <f>IFERROR(__xludf.DUMMYFUNCTION("""COMPUTED_VALUE"""),121.0)</f>
        <v>121</v>
      </c>
      <c r="Y41" s="41">
        <f>IFERROR(__xludf.DUMMYFUNCTION("""COMPUTED_VALUE"""),3375.0)</f>
        <v>3375</v>
      </c>
      <c r="Z41" s="197">
        <f>IFERROR(__xludf.DUMMYFUNCTION("""COMPUTED_VALUE"""),3053.0)</f>
        <v>3053</v>
      </c>
      <c r="AA41" s="197">
        <f>IFERROR(__xludf.DUMMYFUNCTION("""COMPUTED_VALUE"""),202.0)</f>
        <v>202</v>
      </c>
      <c r="AB41" s="197">
        <f>IFERROR(__xludf.DUMMYFUNCTION("""COMPUTED_VALUE"""),120.0)</f>
        <v>120</v>
      </c>
      <c r="AC41" s="41">
        <f>IFERROR(__xludf.DUMMYFUNCTION("""COMPUTED_VALUE"""),3315.0)</f>
        <v>3315</v>
      </c>
      <c r="AD41" s="197">
        <f>IFERROR(__xludf.DUMMYFUNCTION("""COMPUTED_VALUE"""),2993.0)</f>
        <v>2993</v>
      </c>
      <c r="AE41" s="197">
        <f>IFERROR(__xludf.DUMMYFUNCTION("""COMPUTED_VALUE"""),202.0)</f>
        <v>202</v>
      </c>
      <c r="AF41" s="197">
        <f>IFERROR(__xludf.DUMMYFUNCTION("""COMPUTED_VALUE"""),120.0)</f>
        <v>120</v>
      </c>
      <c r="AG41" s="41">
        <f>IFERROR(__xludf.DUMMYFUNCTION("""COMPUTED_VALUE"""),446.0)</f>
        <v>446</v>
      </c>
      <c r="AH41" s="197">
        <f>IFERROR(__xludf.DUMMYFUNCTION("""COMPUTED_VALUE"""),244.0)</f>
        <v>244</v>
      </c>
      <c r="AI41" s="197">
        <f>IFERROR(__xludf.DUMMYFUNCTION("""COMPUTED_VALUE"""),202.0)</f>
        <v>202</v>
      </c>
      <c r="AJ41" s="197">
        <f>IFERROR(__xludf.DUMMYFUNCTION("""COMPUTED_VALUE"""),0.0)</f>
        <v>0</v>
      </c>
      <c r="AK41" s="41">
        <f>IFERROR(__xludf.DUMMYFUNCTION("""COMPUTED_VALUE"""),0.0)</f>
        <v>0</v>
      </c>
      <c r="AL41" s="197">
        <f>IFERROR(__xludf.DUMMYFUNCTION("""COMPUTED_VALUE"""),0.0)</f>
        <v>0</v>
      </c>
      <c r="AM41" s="197">
        <f>IFERROR(__xludf.DUMMYFUNCTION("""COMPUTED_VALUE"""),0.0)</f>
        <v>0</v>
      </c>
      <c r="AN41" s="197">
        <f>IFERROR(__xludf.DUMMYFUNCTION("""COMPUTED_VALUE"""),0.0)</f>
        <v>0</v>
      </c>
      <c r="AO41" s="41">
        <f>IFERROR(__xludf.DUMMYFUNCTION("""COMPUTED_VALUE"""),0.0)</f>
        <v>0</v>
      </c>
      <c r="AP41" s="197">
        <f>IFERROR(__xludf.DUMMYFUNCTION("""COMPUTED_VALUE"""),0.0)</f>
        <v>0</v>
      </c>
      <c r="AQ41" s="197">
        <f>IFERROR(__xludf.DUMMYFUNCTION("""COMPUTED_VALUE"""),0.0)</f>
        <v>0</v>
      </c>
      <c r="AR41" s="197">
        <f>IFERROR(__xludf.DUMMYFUNCTION("""COMPUTED_VALUE"""),0.0)</f>
        <v>0</v>
      </c>
      <c r="AS41" s="41">
        <f>IFERROR(__xludf.DUMMYFUNCTION("""COMPUTED_VALUE"""),0.0)</f>
        <v>0</v>
      </c>
      <c r="AT41" s="197">
        <f>IFERROR(__xludf.DUMMYFUNCTION("""COMPUTED_VALUE"""),0.0)</f>
        <v>0</v>
      </c>
      <c r="AU41" s="197">
        <f>IFERROR(__xludf.DUMMYFUNCTION("""COMPUTED_VALUE"""),0.0)</f>
        <v>0</v>
      </c>
      <c r="AV41" s="197">
        <f>IFERROR(__xludf.DUMMYFUNCTION("""COMPUTED_VALUE"""),0.0)</f>
        <v>0</v>
      </c>
      <c r="AW41" s="41">
        <f>IFERROR(__xludf.DUMMYFUNCTION("""COMPUTED_VALUE"""),0.0)</f>
        <v>0</v>
      </c>
      <c r="AX41" s="197">
        <f>IFERROR(__xludf.DUMMYFUNCTION("""COMPUTED_VALUE"""),0.0)</f>
        <v>0</v>
      </c>
      <c r="AY41" s="197">
        <f>IFERROR(__xludf.DUMMYFUNCTION("""COMPUTED_VALUE"""),0.0)</f>
        <v>0</v>
      </c>
      <c r="AZ41" s="198">
        <f>IFERROR(__xludf.DUMMYFUNCTION("""COMPUTED_VALUE"""),0.0)</f>
        <v>0</v>
      </c>
      <c r="BA41" s="34"/>
    </row>
    <row r="42" ht="15.75" customHeight="1">
      <c r="A42" s="29"/>
      <c r="B42" s="67" t="str">
        <f>IFERROR(__xludf.DUMMYFUNCTION("""COMPUTED_VALUE""")," + Dân tộc thiểu số")</f>
        <v> + Dân tộc thiểu số</v>
      </c>
      <c r="C42" s="31"/>
      <c r="D42" s="31" t="str">
        <f>IFERROR(__xludf.DUMMYFUNCTION("""COMPUTED_VALUE"""),"""")</f>
        <v>"</v>
      </c>
      <c r="E42" s="41">
        <f>IFERROR(__xludf.DUMMYFUNCTION("""COMPUTED_VALUE"""),2715.0)</f>
        <v>2715</v>
      </c>
      <c r="F42" s="197">
        <f>IFERROR(__xludf.DUMMYFUNCTION("""COMPUTED_VALUE"""),2268.0)</f>
        <v>2268</v>
      </c>
      <c r="G42" s="197">
        <f>IFERROR(__xludf.DUMMYFUNCTION("""COMPUTED_VALUE"""),371.0)</f>
        <v>371</v>
      </c>
      <c r="H42" s="197">
        <f>IFERROR(__xludf.DUMMYFUNCTION("""COMPUTED_VALUE"""),76.0)</f>
        <v>76</v>
      </c>
      <c r="I42" s="41">
        <f>IFERROR(__xludf.DUMMYFUNCTION("""COMPUTED_VALUE"""),2717.0)</f>
        <v>2717</v>
      </c>
      <c r="J42" s="197">
        <f>IFERROR(__xludf.DUMMYFUNCTION("""COMPUTED_VALUE"""),2270.0)</f>
        <v>2270</v>
      </c>
      <c r="K42" s="197">
        <f>IFERROR(__xludf.DUMMYFUNCTION("""COMPUTED_VALUE"""),371.0)</f>
        <v>371</v>
      </c>
      <c r="L42" s="197">
        <f>IFERROR(__xludf.DUMMYFUNCTION("""COMPUTED_VALUE"""),76.0)</f>
        <v>76</v>
      </c>
      <c r="M42" s="41">
        <f>IFERROR(__xludf.DUMMYFUNCTION("""COMPUTED_VALUE"""),2403.0)</f>
        <v>2403</v>
      </c>
      <c r="N42" s="197">
        <f>IFERROR(__xludf.DUMMYFUNCTION("""COMPUTED_VALUE"""),1956.0)</f>
        <v>1956</v>
      </c>
      <c r="O42" s="197">
        <f>IFERROR(__xludf.DUMMYFUNCTION("""COMPUTED_VALUE"""),371.0)</f>
        <v>371</v>
      </c>
      <c r="P42" s="197">
        <f>IFERROR(__xludf.DUMMYFUNCTION("""COMPUTED_VALUE"""),76.0)</f>
        <v>76</v>
      </c>
      <c r="Q42" s="41">
        <f>IFERROR(__xludf.DUMMYFUNCTION("""COMPUTED_VALUE"""),2394.0)</f>
        <v>2394</v>
      </c>
      <c r="R42" s="197">
        <f>IFERROR(__xludf.DUMMYFUNCTION("""COMPUTED_VALUE"""),1947.0)</f>
        <v>1947</v>
      </c>
      <c r="S42" s="197">
        <f>IFERROR(__xludf.DUMMYFUNCTION("""COMPUTED_VALUE"""),371.0)</f>
        <v>371</v>
      </c>
      <c r="T42" s="197">
        <f>IFERROR(__xludf.DUMMYFUNCTION("""COMPUTED_VALUE"""),76.0)</f>
        <v>76</v>
      </c>
      <c r="U42" s="41">
        <f>IFERROR(__xludf.DUMMYFUNCTION("""COMPUTED_VALUE"""),2389.0)</f>
        <v>2389</v>
      </c>
      <c r="V42" s="197">
        <f>IFERROR(__xludf.DUMMYFUNCTION("""COMPUTED_VALUE"""),1943.0)</f>
        <v>1943</v>
      </c>
      <c r="W42" s="197">
        <f>IFERROR(__xludf.DUMMYFUNCTION("""COMPUTED_VALUE"""),371.0)</f>
        <v>371</v>
      </c>
      <c r="X42" s="197">
        <f>IFERROR(__xludf.DUMMYFUNCTION("""COMPUTED_VALUE"""),75.0)</f>
        <v>75</v>
      </c>
      <c r="Y42" s="41">
        <f>IFERROR(__xludf.DUMMYFUNCTION("""COMPUTED_VALUE"""),2478.0)</f>
        <v>2478</v>
      </c>
      <c r="Z42" s="197">
        <f>IFERROR(__xludf.DUMMYFUNCTION("""COMPUTED_VALUE"""),2033.0)</f>
        <v>2033</v>
      </c>
      <c r="AA42" s="197">
        <f>IFERROR(__xludf.DUMMYFUNCTION("""COMPUTED_VALUE"""),371.0)</f>
        <v>371</v>
      </c>
      <c r="AB42" s="197">
        <f>IFERROR(__xludf.DUMMYFUNCTION("""COMPUTED_VALUE"""),74.0)</f>
        <v>74</v>
      </c>
      <c r="AC42" s="41">
        <f>IFERROR(__xludf.DUMMYFUNCTION("""COMPUTED_VALUE"""),2460.0)</f>
        <v>2460</v>
      </c>
      <c r="AD42" s="197">
        <f>IFERROR(__xludf.DUMMYFUNCTION("""COMPUTED_VALUE"""),2016.0)</f>
        <v>2016</v>
      </c>
      <c r="AE42" s="197">
        <f>IFERROR(__xludf.DUMMYFUNCTION("""COMPUTED_VALUE"""),370.0)</f>
        <v>370</v>
      </c>
      <c r="AF42" s="197">
        <f>IFERROR(__xludf.DUMMYFUNCTION("""COMPUTED_VALUE"""),74.0)</f>
        <v>74</v>
      </c>
      <c r="AG42" s="41">
        <f>IFERROR(__xludf.DUMMYFUNCTION("""COMPUTED_VALUE"""),810.0)</f>
        <v>810</v>
      </c>
      <c r="AH42" s="197">
        <f>IFERROR(__xludf.DUMMYFUNCTION("""COMPUTED_VALUE"""),440.0)</f>
        <v>440</v>
      </c>
      <c r="AI42" s="197">
        <f>IFERROR(__xludf.DUMMYFUNCTION("""COMPUTED_VALUE"""),370.0)</f>
        <v>370</v>
      </c>
      <c r="AJ42" s="197">
        <f>IFERROR(__xludf.DUMMYFUNCTION("""COMPUTED_VALUE"""),0.0)</f>
        <v>0</v>
      </c>
      <c r="AK42" s="41">
        <f>IFERROR(__xludf.DUMMYFUNCTION("""COMPUTED_VALUE"""),0.0)</f>
        <v>0</v>
      </c>
      <c r="AL42" s="197">
        <f>IFERROR(__xludf.DUMMYFUNCTION("""COMPUTED_VALUE"""),0.0)</f>
        <v>0</v>
      </c>
      <c r="AM42" s="197">
        <f>IFERROR(__xludf.DUMMYFUNCTION("""COMPUTED_VALUE"""),0.0)</f>
        <v>0</v>
      </c>
      <c r="AN42" s="197">
        <f>IFERROR(__xludf.DUMMYFUNCTION("""COMPUTED_VALUE"""),0.0)</f>
        <v>0</v>
      </c>
      <c r="AO42" s="41">
        <f>IFERROR(__xludf.DUMMYFUNCTION("""COMPUTED_VALUE"""),0.0)</f>
        <v>0</v>
      </c>
      <c r="AP42" s="197">
        <f>IFERROR(__xludf.DUMMYFUNCTION("""COMPUTED_VALUE"""),0.0)</f>
        <v>0</v>
      </c>
      <c r="AQ42" s="197">
        <f>IFERROR(__xludf.DUMMYFUNCTION("""COMPUTED_VALUE"""),0.0)</f>
        <v>0</v>
      </c>
      <c r="AR42" s="197">
        <f>IFERROR(__xludf.DUMMYFUNCTION("""COMPUTED_VALUE"""),0.0)</f>
        <v>0</v>
      </c>
      <c r="AS42" s="41">
        <f>IFERROR(__xludf.DUMMYFUNCTION("""COMPUTED_VALUE"""),0.0)</f>
        <v>0</v>
      </c>
      <c r="AT42" s="197">
        <f>IFERROR(__xludf.DUMMYFUNCTION("""COMPUTED_VALUE"""),0.0)</f>
        <v>0</v>
      </c>
      <c r="AU42" s="197">
        <f>IFERROR(__xludf.DUMMYFUNCTION("""COMPUTED_VALUE"""),0.0)</f>
        <v>0</v>
      </c>
      <c r="AV42" s="197">
        <f>IFERROR(__xludf.DUMMYFUNCTION("""COMPUTED_VALUE"""),0.0)</f>
        <v>0</v>
      </c>
      <c r="AW42" s="41">
        <f>IFERROR(__xludf.DUMMYFUNCTION("""COMPUTED_VALUE"""),0.0)</f>
        <v>0</v>
      </c>
      <c r="AX42" s="197">
        <f>IFERROR(__xludf.DUMMYFUNCTION("""COMPUTED_VALUE"""),0.0)</f>
        <v>0</v>
      </c>
      <c r="AY42" s="197">
        <f>IFERROR(__xludf.DUMMYFUNCTION("""COMPUTED_VALUE"""),0.0)</f>
        <v>0</v>
      </c>
      <c r="AZ42" s="198">
        <f>IFERROR(__xludf.DUMMYFUNCTION("""COMPUTED_VALUE"""),0.0)</f>
        <v>0</v>
      </c>
      <c r="BA42" s="34"/>
    </row>
    <row r="43" ht="15.75" customHeight="1">
      <c r="A43" s="29"/>
      <c r="B43" s="67" t="str">
        <f>IFERROR(__xludf.DUMMYFUNCTION("""COMPUTED_VALUE""")," + Nữ dân tộc thiểu số")</f>
        <v> + Nữ dân tộc thiểu số</v>
      </c>
      <c r="C43" s="31"/>
      <c r="D43" s="31" t="str">
        <f>IFERROR(__xludf.DUMMYFUNCTION("""COMPUTED_VALUE"""),"""")</f>
        <v>"</v>
      </c>
      <c r="E43" s="41">
        <f>IFERROR(__xludf.DUMMYFUNCTION("""COMPUTED_VALUE"""),1371.0)</f>
        <v>1371</v>
      </c>
      <c r="F43" s="197">
        <f>IFERROR(__xludf.DUMMYFUNCTION("""COMPUTED_VALUE"""),1171.0)</f>
        <v>1171</v>
      </c>
      <c r="G43" s="197">
        <f>IFERROR(__xludf.DUMMYFUNCTION("""COMPUTED_VALUE"""),168.0)</f>
        <v>168</v>
      </c>
      <c r="H43" s="197">
        <f>IFERROR(__xludf.DUMMYFUNCTION("""COMPUTED_VALUE"""),32.0)</f>
        <v>32</v>
      </c>
      <c r="I43" s="41">
        <f>IFERROR(__xludf.DUMMYFUNCTION("""COMPUTED_VALUE"""),1371.0)</f>
        <v>1371</v>
      </c>
      <c r="J43" s="197">
        <f>IFERROR(__xludf.DUMMYFUNCTION("""COMPUTED_VALUE"""),1173.0)</f>
        <v>1173</v>
      </c>
      <c r="K43" s="197">
        <f>IFERROR(__xludf.DUMMYFUNCTION("""COMPUTED_VALUE"""),168.0)</f>
        <v>168</v>
      </c>
      <c r="L43" s="197">
        <f>IFERROR(__xludf.DUMMYFUNCTION("""COMPUTED_VALUE"""),30.0)</f>
        <v>30</v>
      </c>
      <c r="M43" s="41">
        <f>IFERROR(__xludf.DUMMYFUNCTION("""COMPUTED_VALUE"""),1226.0)</f>
        <v>1226</v>
      </c>
      <c r="N43" s="197">
        <f>IFERROR(__xludf.DUMMYFUNCTION("""COMPUTED_VALUE"""),1028.0)</f>
        <v>1028</v>
      </c>
      <c r="O43" s="197">
        <f>IFERROR(__xludf.DUMMYFUNCTION("""COMPUTED_VALUE"""),168.0)</f>
        <v>168</v>
      </c>
      <c r="P43" s="197">
        <f>IFERROR(__xludf.DUMMYFUNCTION("""COMPUTED_VALUE"""),30.0)</f>
        <v>30</v>
      </c>
      <c r="Q43" s="41">
        <f>IFERROR(__xludf.DUMMYFUNCTION("""COMPUTED_VALUE"""),1221.0)</f>
        <v>1221</v>
      </c>
      <c r="R43" s="197">
        <f>IFERROR(__xludf.DUMMYFUNCTION("""COMPUTED_VALUE"""),1023.0)</f>
        <v>1023</v>
      </c>
      <c r="S43" s="197">
        <f>IFERROR(__xludf.DUMMYFUNCTION("""COMPUTED_VALUE"""),168.0)</f>
        <v>168</v>
      </c>
      <c r="T43" s="197">
        <f>IFERROR(__xludf.DUMMYFUNCTION("""COMPUTED_VALUE"""),30.0)</f>
        <v>30</v>
      </c>
      <c r="U43" s="41">
        <f>IFERROR(__xludf.DUMMYFUNCTION("""COMPUTED_VALUE"""),1217.0)</f>
        <v>1217</v>
      </c>
      <c r="V43" s="197">
        <f>IFERROR(__xludf.DUMMYFUNCTION("""COMPUTED_VALUE"""),1019.0)</f>
        <v>1019</v>
      </c>
      <c r="W43" s="197">
        <f>IFERROR(__xludf.DUMMYFUNCTION("""COMPUTED_VALUE"""),168.0)</f>
        <v>168</v>
      </c>
      <c r="X43" s="197">
        <f>IFERROR(__xludf.DUMMYFUNCTION("""COMPUTED_VALUE"""),30.0)</f>
        <v>30</v>
      </c>
      <c r="Y43" s="41">
        <f>IFERROR(__xludf.DUMMYFUNCTION("""COMPUTED_VALUE"""),1220.0)</f>
        <v>1220</v>
      </c>
      <c r="Z43" s="197">
        <f>IFERROR(__xludf.DUMMYFUNCTION("""COMPUTED_VALUE"""),1021.0)</f>
        <v>1021</v>
      </c>
      <c r="AA43" s="197">
        <f>IFERROR(__xludf.DUMMYFUNCTION("""COMPUTED_VALUE"""),168.0)</f>
        <v>168</v>
      </c>
      <c r="AB43" s="197">
        <f>IFERROR(__xludf.DUMMYFUNCTION("""COMPUTED_VALUE"""),31.0)</f>
        <v>31</v>
      </c>
      <c r="AC43" s="41">
        <f>IFERROR(__xludf.DUMMYFUNCTION("""COMPUTED_VALUE"""),1213.0)</f>
        <v>1213</v>
      </c>
      <c r="AD43" s="197">
        <f>IFERROR(__xludf.DUMMYFUNCTION("""COMPUTED_VALUE"""),1014.0)</f>
        <v>1014</v>
      </c>
      <c r="AE43" s="197">
        <f>IFERROR(__xludf.DUMMYFUNCTION("""COMPUTED_VALUE"""),168.0)</f>
        <v>168</v>
      </c>
      <c r="AF43" s="197">
        <f>IFERROR(__xludf.DUMMYFUNCTION("""COMPUTED_VALUE"""),31.0)</f>
        <v>31</v>
      </c>
      <c r="AG43" s="41">
        <f>IFERROR(__xludf.DUMMYFUNCTION("""COMPUTED_VALUE"""),401.0)</f>
        <v>401</v>
      </c>
      <c r="AH43" s="197">
        <f>IFERROR(__xludf.DUMMYFUNCTION("""COMPUTED_VALUE"""),233.0)</f>
        <v>233</v>
      </c>
      <c r="AI43" s="197">
        <f>IFERROR(__xludf.DUMMYFUNCTION("""COMPUTED_VALUE"""),168.0)</f>
        <v>168</v>
      </c>
      <c r="AJ43" s="197">
        <f>IFERROR(__xludf.DUMMYFUNCTION("""COMPUTED_VALUE"""),0.0)</f>
        <v>0</v>
      </c>
      <c r="AK43" s="41">
        <f>IFERROR(__xludf.DUMMYFUNCTION("""COMPUTED_VALUE"""),0.0)</f>
        <v>0</v>
      </c>
      <c r="AL43" s="197">
        <f>IFERROR(__xludf.DUMMYFUNCTION("""COMPUTED_VALUE"""),0.0)</f>
        <v>0</v>
      </c>
      <c r="AM43" s="197">
        <f>IFERROR(__xludf.DUMMYFUNCTION("""COMPUTED_VALUE"""),0.0)</f>
        <v>0</v>
      </c>
      <c r="AN43" s="197">
        <f>IFERROR(__xludf.DUMMYFUNCTION("""COMPUTED_VALUE"""),0.0)</f>
        <v>0</v>
      </c>
      <c r="AO43" s="41">
        <f>IFERROR(__xludf.DUMMYFUNCTION("""COMPUTED_VALUE"""),0.0)</f>
        <v>0</v>
      </c>
      <c r="AP43" s="197">
        <f>IFERROR(__xludf.DUMMYFUNCTION("""COMPUTED_VALUE"""),0.0)</f>
        <v>0</v>
      </c>
      <c r="AQ43" s="197">
        <f>IFERROR(__xludf.DUMMYFUNCTION("""COMPUTED_VALUE"""),0.0)</f>
        <v>0</v>
      </c>
      <c r="AR43" s="197">
        <f>IFERROR(__xludf.DUMMYFUNCTION("""COMPUTED_VALUE"""),0.0)</f>
        <v>0</v>
      </c>
      <c r="AS43" s="41">
        <f>IFERROR(__xludf.DUMMYFUNCTION("""COMPUTED_VALUE"""),0.0)</f>
        <v>0</v>
      </c>
      <c r="AT43" s="197">
        <f>IFERROR(__xludf.DUMMYFUNCTION("""COMPUTED_VALUE"""),0.0)</f>
        <v>0</v>
      </c>
      <c r="AU43" s="197">
        <f>IFERROR(__xludf.DUMMYFUNCTION("""COMPUTED_VALUE"""),0.0)</f>
        <v>0</v>
      </c>
      <c r="AV43" s="197">
        <f>IFERROR(__xludf.DUMMYFUNCTION("""COMPUTED_VALUE"""),0.0)</f>
        <v>0</v>
      </c>
      <c r="AW43" s="41">
        <f>IFERROR(__xludf.DUMMYFUNCTION("""COMPUTED_VALUE"""),0.0)</f>
        <v>0</v>
      </c>
      <c r="AX43" s="197">
        <f>IFERROR(__xludf.DUMMYFUNCTION("""COMPUTED_VALUE"""),0.0)</f>
        <v>0</v>
      </c>
      <c r="AY43" s="197">
        <f>IFERROR(__xludf.DUMMYFUNCTION("""COMPUTED_VALUE"""),0.0)</f>
        <v>0</v>
      </c>
      <c r="AZ43" s="198">
        <f>IFERROR(__xludf.DUMMYFUNCTION("""COMPUTED_VALUE"""),0.0)</f>
        <v>0</v>
      </c>
      <c r="BA43" s="34"/>
    </row>
    <row r="44" ht="15.75" customHeight="1">
      <c r="A44" s="29"/>
      <c r="B44" s="67" t="str">
        <f>IFERROR(__xludf.DUMMYFUNCTION("""COMPUTED_VALUE""")," + Khuyết tật")</f>
        <v> + Khuyết tật</v>
      </c>
      <c r="C44" s="31"/>
      <c r="D44" s="31" t="str">
        <f>IFERROR(__xludf.DUMMYFUNCTION("""COMPUTED_VALUE"""),"""")</f>
        <v>"</v>
      </c>
      <c r="E44" s="41">
        <f>IFERROR(__xludf.DUMMYFUNCTION("""COMPUTED_VALUE"""),22.0)</f>
        <v>22</v>
      </c>
      <c r="F44" s="197">
        <f>IFERROR(__xludf.DUMMYFUNCTION("""COMPUTED_VALUE"""),22.0)</f>
        <v>22</v>
      </c>
      <c r="G44" s="197">
        <f>IFERROR(__xludf.DUMMYFUNCTION("""COMPUTED_VALUE"""),0.0)</f>
        <v>0</v>
      </c>
      <c r="H44" s="197">
        <f>IFERROR(__xludf.DUMMYFUNCTION("""COMPUTED_VALUE"""),0.0)</f>
        <v>0</v>
      </c>
      <c r="I44" s="41">
        <f>IFERROR(__xludf.DUMMYFUNCTION("""COMPUTED_VALUE"""),23.0)</f>
        <v>23</v>
      </c>
      <c r="J44" s="197">
        <f>IFERROR(__xludf.DUMMYFUNCTION("""COMPUTED_VALUE"""),23.0)</f>
        <v>23</v>
      </c>
      <c r="K44" s="197">
        <f>IFERROR(__xludf.DUMMYFUNCTION("""COMPUTED_VALUE"""),0.0)</f>
        <v>0</v>
      </c>
      <c r="L44" s="197">
        <f>IFERROR(__xludf.DUMMYFUNCTION("""COMPUTED_VALUE"""),0.0)</f>
        <v>0</v>
      </c>
      <c r="M44" s="41">
        <f>IFERROR(__xludf.DUMMYFUNCTION("""COMPUTED_VALUE"""),223.0)</f>
        <v>223</v>
      </c>
      <c r="N44" s="197">
        <f>IFERROR(__xludf.DUMMYFUNCTION("""COMPUTED_VALUE"""),223.0)</f>
        <v>223</v>
      </c>
      <c r="O44" s="197">
        <f>IFERROR(__xludf.DUMMYFUNCTION("""COMPUTED_VALUE"""),0.0)</f>
        <v>0</v>
      </c>
      <c r="P44" s="197">
        <f>IFERROR(__xludf.DUMMYFUNCTION("""COMPUTED_VALUE"""),0.0)</f>
        <v>0</v>
      </c>
      <c r="Q44" s="41">
        <f>IFERROR(__xludf.DUMMYFUNCTION("""COMPUTED_VALUE"""),23.0)</f>
        <v>23</v>
      </c>
      <c r="R44" s="197">
        <f>IFERROR(__xludf.DUMMYFUNCTION("""COMPUTED_VALUE"""),23.0)</f>
        <v>23</v>
      </c>
      <c r="S44" s="197">
        <f>IFERROR(__xludf.DUMMYFUNCTION("""COMPUTED_VALUE"""),0.0)</f>
        <v>0</v>
      </c>
      <c r="T44" s="197">
        <f>IFERROR(__xludf.DUMMYFUNCTION("""COMPUTED_VALUE"""),0.0)</f>
        <v>0</v>
      </c>
      <c r="U44" s="41">
        <f>IFERROR(__xludf.DUMMYFUNCTION("""COMPUTED_VALUE"""),23.0)</f>
        <v>23</v>
      </c>
      <c r="V44" s="197">
        <f>IFERROR(__xludf.DUMMYFUNCTION("""COMPUTED_VALUE"""),23.0)</f>
        <v>23</v>
      </c>
      <c r="W44" s="197">
        <f>IFERROR(__xludf.DUMMYFUNCTION("""COMPUTED_VALUE"""),0.0)</f>
        <v>0</v>
      </c>
      <c r="X44" s="197">
        <f>IFERROR(__xludf.DUMMYFUNCTION("""COMPUTED_VALUE"""),0.0)</f>
        <v>0</v>
      </c>
      <c r="Y44" s="41">
        <f>IFERROR(__xludf.DUMMYFUNCTION("""COMPUTED_VALUE"""),23.0)</f>
        <v>23</v>
      </c>
      <c r="Z44" s="197">
        <f>IFERROR(__xludf.DUMMYFUNCTION("""COMPUTED_VALUE"""),23.0)</f>
        <v>23</v>
      </c>
      <c r="AA44" s="197">
        <f>IFERROR(__xludf.DUMMYFUNCTION("""COMPUTED_VALUE"""),0.0)</f>
        <v>0</v>
      </c>
      <c r="AB44" s="197">
        <f>IFERROR(__xludf.DUMMYFUNCTION("""COMPUTED_VALUE"""),0.0)</f>
        <v>0</v>
      </c>
      <c r="AC44" s="41">
        <f>IFERROR(__xludf.DUMMYFUNCTION("""COMPUTED_VALUE"""),23.0)</f>
        <v>23</v>
      </c>
      <c r="AD44" s="197">
        <f>IFERROR(__xludf.DUMMYFUNCTION("""COMPUTED_VALUE"""),23.0)</f>
        <v>23</v>
      </c>
      <c r="AE44" s="197">
        <f>IFERROR(__xludf.DUMMYFUNCTION("""COMPUTED_VALUE"""),0.0)</f>
        <v>0</v>
      </c>
      <c r="AF44" s="197">
        <f>IFERROR(__xludf.DUMMYFUNCTION("""COMPUTED_VALUE"""),0.0)</f>
        <v>0</v>
      </c>
      <c r="AG44" s="41">
        <f>IFERROR(__xludf.DUMMYFUNCTION("""COMPUTED_VALUE"""),0.0)</f>
        <v>0</v>
      </c>
      <c r="AH44" s="197">
        <f>IFERROR(__xludf.DUMMYFUNCTION("""COMPUTED_VALUE"""),0.0)</f>
        <v>0</v>
      </c>
      <c r="AI44" s="197">
        <f>IFERROR(__xludf.DUMMYFUNCTION("""COMPUTED_VALUE"""),0.0)</f>
        <v>0</v>
      </c>
      <c r="AJ44" s="197">
        <f>IFERROR(__xludf.DUMMYFUNCTION("""COMPUTED_VALUE"""),0.0)</f>
        <v>0</v>
      </c>
      <c r="AK44" s="41">
        <f>IFERROR(__xludf.DUMMYFUNCTION("""COMPUTED_VALUE"""),0.0)</f>
        <v>0</v>
      </c>
      <c r="AL44" s="197">
        <f>IFERROR(__xludf.DUMMYFUNCTION("""COMPUTED_VALUE"""),0.0)</f>
        <v>0</v>
      </c>
      <c r="AM44" s="197">
        <f>IFERROR(__xludf.DUMMYFUNCTION("""COMPUTED_VALUE"""),0.0)</f>
        <v>0</v>
      </c>
      <c r="AN44" s="197">
        <f>IFERROR(__xludf.DUMMYFUNCTION("""COMPUTED_VALUE"""),0.0)</f>
        <v>0</v>
      </c>
      <c r="AO44" s="41">
        <f>IFERROR(__xludf.DUMMYFUNCTION("""COMPUTED_VALUE"""),0.0)</f>
        <v>0</v>
      </c>
      <c r="AP44" s="197">
        <f>IFERROR(__xludf.DUMMYFUNCTION("""COMPUTED_VALUE"""),0.0)</f>
        <v>0</v>
      </c>
      <c r="AQ44" s="197">
        <f>IFERROR(__xludf.DUMMYFUNCTION("""COMPUTED_VALUE"""),0.0)</f>
        <v>0</v>
      </c>
      <c r="AR44" s="197">
        <f>IFERROR(__xludf.DUMMYFUNCTION("""COMPUTED_VALUE"""),0.0)</f>
        <v>0</v>
      </c>
      <c r="AS44" s="41">
        <f>IFERROR(__xludf.DUMMYFUNCTION("""COMPUTED_VALUE"""),0.0)</f>
        <v>0</v>
      </c>
      <c r="AT44" s="197">
        <f>IFERROR(__xludf.DUMMYFUNCTION("""COMPUTED_VALUE"""),0.0)</f>
        <v>0</v>
      </c>
      <c r="AU44" s="197">
        <f>IFERROR(__xludf.DUMMYFUNCTION("""COMPUTED_VALUE"""),0.0)</f>
        <v>0</v>
      </c>
      <c r="AV44" s="197">
        <f>IFERROR(__xludf.DUMMYFUNCTION("""COMPUTED_VALUE"""),0.0)</f>
        <v>0</v>
      </c>
      <c r="AW44" s="41">
        <f>IFERROR(__xludf.DUMMYFUNCTION("""COMPUTED_VALUE"""),0.0)</f>
        <v>0</v>
      </c>
      <c r="AX44" s="197">
        <f>IFERROR(__xludf.DUMMYFUNCTION("""COMPUTED_VALUE"""),0.0)</f>
        <v>0</v>
      </c>
      <c r="AY44" s="197">
        <f>IFERROR(__xludf.DUMMYFUNCTION("""COMPUTED_VALUE"""),0.0)</f>
        <v>0</v>
      </c>
      <c r="AZ44" s="198">
        <f>IFERROR(__xludf.DUMMYFUNCTION("""COMPUTED_VALUE"""),0.0)</f>
        <v>0</v>
      </c>
      <c r="BA44" s="34"/>
    </row>
    <row r="45" ht="15.75" customHeight="1">
      <c r="A45" s="29"/>
      <c r="B45" s="67" t="str">
        <f>IFERROR(__xludf.DUMMYFUNCTION("""COMPUTED_VALUE""")," + Nhóm tuổi (từ 6 đến 10 tuổi)")</f>
        <v> + Nhóm tuổi (từ 6 đến 10 tuổi)</v>
      </c>
      <c r="C45" s="31"/>
      <c r="D45" s="31" t="str">
        <f>IFERROR(__xludf.DUMMYFUNCTION("""COMPUTED_VALUE""")," Người")</f>
        <v> Người</v>
      </c>
      <c r="E45" s="41">
        <f>IFERROR(__xludf.DUMMYFUNCTION("""COMPUTED_VALUE"""),3925.0)</f>
        <v>3925</v>
      </c>
      <c r="F45" s="197">
        <f>IFERROR(__xludf.DUMMYFUNCTION("""COMPUTED_VALUE"""),3197.0)</f>
        <v>3197</v>
      </c>
      <c r="G45" s="197">
        <f>IFERROR(__xludf.DUMMYFUNCTION("""COMPUTED_VALUE"""),534.0)</f>
        <v>534</v>
      </c>
      <c r="H45" s="197">
        <f>IFERROR(__xludf.DUMMYFUNCTION("""COMPUTED_VALUE"""),194.0)</f>
        <v>194</v>
      </c>
      <c r="I45" s="41">
        <f>IFERROR(__xludf.DUMMYFUNCTION("""COMPUTED_VALUE"""),3929.0)</f>
        <v>3929</v>
      </c>
      <c r="J45" s="197">
        <f>IFERROR(__xludf.DUMMYFUNCTION("""COMPUTED_VALUE"""),3201.0)</f>
        <v>3201</v>
      </c>
      <c r="K45" s="197">
        <f>IFERROR(__xludf.DUMMYFUNCTION("""COMPUTED_VALUE"""),534.0)</f>
        <v>534</v>
      </c>
      <c r="L45" s="197">
        <f>IFERROR(__xludf.DUMMYFUNCTION("""COMPUTED_VALUE"""),194.0)</f>
        <v>194</v>
      </c>
      <c r="M45" s="41">
        <f>IFERROR(__xludf.DUMMYFUNCTION("""COMPUTED_VALUE"""),3653.0)</f>
        <v>3653</v>
      </c>
      <c r="N45" s="197">
        <f>IFERROR(__xludf.DUMMYFUNCTION("""COMPUTED_VALUE"""),2927.0)</f>
        <v>2927</v>
      </c>
      <c r="O45" s="197">
        <f>IFERROR(__xludf.DUMMYFUNCTION("""COMPUTED_VALUE"""),534.0)</f>
        <v>534</v>
      </c>
      <c r="P45" s="197">
        <f>IFERROR(__xludf.DUMMYFUNCTION("""COMPUTED_VALUE"""),192.0)</f>
        <v>192</v>
      </c>
      <c r="Q45" s="41">
        <f>IFERROR(__xludf.DUMMYFUNCTION("""COMPUTED_VALUE"""),3651.0)</f>
        <v>3651</v>
      </c>
      <c r="R45" s="197">
        <f>IFERROR(__xludf.DUMMYFUNCTION("""COMPUTED_VALUE"""),2925.0)</f>
        <v>2925</v>
      </c>
      <c r="S45" s="197">
        <f>IFERROR(__xludf.DUMMYFUNCTION("""COMPUTED_VALUE"""),534.0)</f>
        <v>534</v>
      </c>
      <c r="T45" s="197">
        <f>IFERROR(__xludf.DUMMYFUNCTION("""COMPUTED_VALUE"""),192.0)</f>
        <v>192</v>
      </c>
      <c r="U45" s="41">
        <f>IFERROR(__xludf.DUMMYFUNCTION("""COMPUTED_VALUE"""),3648.0)</f>
        <v>3648</v>
      </c>
      <c r="V45" s="197">
        <f>IFERROR(__xludf.DUMMYFUNCTION("""COMPUTED_VALUE"""),2923.0)</f>
        <v>2923</v>
      </c>
      <c r="W45" s="197">
        <f>IFERROR(__xludf.DUMMYFUNCTION("""COMPUTED_VALUE"""),534.0)</f>
        <v>534</v>
      </c>
      <c r="X45" s="197">
        <f>IFERROR(__xludf.DUMMYFUNCTION("""COMPUTED_VALUE"""),191.0)</f>
        <v>191</v>
      </c>
      <c r="Y45" s="41">
        <f>IFERROR(__xludf.DUMMYFUNCTION("""COMPUTED_VALUE"""),3637.0)</f>
        <v>3637</v>
      </c>
      <c r="Z45" s="197">
        <f>IFERROR(__xludf.DUMMYFUNCTION("""COMPUTED_VALUE"""),2914.0)</f>
        <v>2914</v>
      </c>
      <c r="AA45" s="197">
        <f>IFERROR(__xludf.DUMMYFUNCTION("""COMPUTED_VALUE"""),534.0)</f>
        <v>534</v>
      </c>
      <c r="AB45" s="197">
        <f>IFERROR(__xludf.DUMMYFUNCTION("""COMPUTED_VALUE"""),189.0)</f>
        <v>189</v>
      </c>
      <c r="AC45" s="41">
        <f>IFERROR(__xludf.DUMMYFUNCTION("""COMPUTED_VALUE"""),2419.0)</f>
        <v>2419</v>
      </c>
      <c r="AD45" s="197">
        <f>IFERROR(__xludf.DUMMYFUNCTION("""COMPUTED_VALUE"""),2230.0)</f>
        <v>2230</v>
      </c>
      <c r="AE45" s="197">
        <f>IFERROR(__xludf.DUMMYFUNCTION("""COMPUTED_VALUE"""),0.0)</f>
        <v>0</v>
      </c>
      <c r="AF45" s="197">
        <f>IFERROR(__xludf.DUMMYFUNCTION("""COMPUTED_VALUE"""),189.0)</f>
        <v>189</v>
      </c>
      <c r="AG45" s="41">
        <f>IFERROR(__xludf.DUMMYFUNCTION("""COMPUTED_VALUE"""),0.0)</f>
        <v>0</v>
      </c>
      <c r="AH45" s="197">
        <f>IFERROR(__xludf.DUMMYFUNCTION("""COMPUTED_VALUE"""),0.0)</f>
        <v>0</v>
      </c>
      <c r="AI45" s="197">
        <f>IFERROR(__xludf.DUMMYFUNCTION("""COMPUTED_VALUE"""),0.0)</f>
        <v>0</v>
      </c>
      <c r="AJ45" s="197">
        <f>IFERROR(__xludf.DUMMYFUNCTION("""COMPUTED_VALUE"""),0.0)</f>
        <v>0</v>
      </c>
      <c r="AK45" s="41">
        <f>IFERROR(__xludf.DUMMYFUNCTION("""COMPUTED_VALUE"""),0.0)</f>
        <v>0</v>
      </c>
      <c r="AL45" s="197">
        <f>IFERROR(__xludf.DUMMYFUNCTION("""COMPUTED_VALUE"""),0.0)</f>
        <v>0</v>
      </c>
      <c r="AM45" s="197">
        <f>IFERROR(__xludf.DUMMYFUNCTION("""COMPUTED_VALUE"""),0.0)</f>
        <v>0</v>
      </c>
      <c r="AN45" s="197">
        <f>IFERROR(__xludf.DUMMYFUNCTION("""COMPUTED_VALUE"""),0.0)</f>
        <v>0</v>
      </c>
      <c r="AO45" s="41">
        <f>IFERROR(__xludf.DUMMYFUNCTION("""COMPUTED_VALUE"""),0.0)</f>
        <v>0</v>
      </c>
      <c r="AP45" s="197">
        <f>IFERROR(__xludf.DUMMYFUNCTION("""COMPUTED_VALUE"""),0.0)</f>
        <v>0</v>
      </c>
      <c r="AQ45" s="197">
        <f>IFERROR(__xludf.DUMMYFUNCTION("""COMPUTED_VALUE"""),0.0)</f>
        <v>0</v>
      </c>
      <c r="AR45" s="197">
        <f>IFERROR(__xludf.DUMMYFUNCTION("""COMPUTED_VALUE"""),0.0)</f>
        <v>0</v>
      </c>
      <c r="AS45" s="41">
        <f>IFERROR(__xludf.DUMMYFUNCTION("""COMPUTED_VALUE"""),0.0)</f>
        <v>0</v>
      </c>
      <c r="AT45" s="197">
        <f>IFERROR(__xludf.DUMMYFUNCTION("""COMPUTED_VALUE"""),0.0)</f>
        <v>0</v>
      </c>
      <c r="AU45" s="197">
        <f>IFERROR(__xludf.DUMMYFUNCTION("""COMPUTED_VALUE"""),0.0)</f>
        <v>0</v>
      </c>
      <c r="AV45" s="197">
        <f>IFERROR(__xludf.DUMMYFUNCTION("""COMPUTED_VALUE"""),0.0)</f>
        <v>0</v>
      </c>
      <c r="AW45" s="41">
        <f>IFERROR(__xludf.DUMMYFUNCTION("""COMPUTED_VALUE"""),0.0)</f>
        <v>0</v>
      </c>
      <c r="AX45" s="197">
        <f>IFERROR(__xludf.DUMMYFUNCTION("""COMPUTED_VALUE"""),0.0)</f>
        <v>0</v>
      </c>
      <c r="AY45" s="197">
        <f>IFERROR(__xludf.DUMMYFUNCTION("""COMPUTED_VALUE"""),0.0)</f>
        <v>0</v>
      </c>
      <c r="AZ45" s="198">
        <f>IFERROR(__xludf.DUMMYFUNCTION("""COMPUTED_VALUE"""),0.0)</f>
        <v>0</v>
      </c>
      <c r="BA45" s="34"/>
    </row>
    <row r="46" ht="15.75" customHeight="1">
      <c r="A46" s="29"/>
      <c r="B46" s="67" t="str">
        <f>IFERROR(__xludf.DUMMYFUNCTION("""COMPUTED_VALUE""")," + Nhóm tuổi (từ 11 đến 14 tuổi)")</f>
        <v> + Nhóm tuổi (từ 11 đến 14 tuổi)</v>
      </c>
      <c r="C46" s="31"/>
      <c r="D46" s="31" t="str">
        <f>IFERROR(__xludf.DUMMYFUNCTION("""COMPUTED_VALUE""")," Người")</f>
        <v> Người</v>
      </c>
      <c r="E46" s="41">
        <f>IFERROR(__xludf.DUMMYFUNCTION("""COMPUTED_VALUE"""),8241.0)</f>
        <v>8241</v>
      </c>
      <c r="F46" s="197">
        <f>IFERROR(__xludf.DUMMYFUNCTION("""COMPUTED_VALUE"""),7714.0)</f>
        <v>7714</v>
      </c>
      <c r="G46" s="197">
        <f>IFERROR(__xludf.DUMMYFUNCTION("""COMPUTED_VALUE"""),437.0)</f>
        <v>437</v>
      </c>
      <c r="H46" s="197">
        <f>IFERROR(__xludf.DUMMYFUNCTION("""COMPUTED_VALUE"""),90.0)</f>
        <v>90</v>
      </c>
      <c r="I46" s="41">
        <f>IFERROR(__xludf.DUMMYFUNCTION("""COMPUTED_VALUE"""),8212.0)</f>
        <v>8212</v>
      </c>
      <c r="J46" s="197">
        <f>IFERROR(__xludf.DUMMYFUNCTION("""COMPUTED_VALUE"""),7685.0)</f>
        <v>7685</v>
      </c>
      <c r="K46" s="197">
        <f>IFERROR(__xludf.DUMMYFUNCTION("""COMPUTED_VALUE"""),437.0)</f>
        <v>437</v>
      </c>
      <c r="L46" s="197">
        <f>IFERROR(__xludf.DUMMYFUNCTION("""COMPUTED_VALUE"""),90.0)</f>
        <v>90</v>
      </c>
      <c r="M46" s="41">
        <f>IFERROR(__xludf.DUMMYFUNCTION("""COMPUTED_VALUE"""),4052.0)</f>
        <v>4052</v>
      </c>
      <c r="N46" s="197">
        <f>IFERROR(__xludf.DUMMYFUNCTION("""COMPUTED_VALUE"""),3528.0)</f>
        <v>3528</v>
      </c>
      <c r="O46" s="197">
        <f>IFERROR(__xludf.DUMMYFUNCTION("""COMPUTED_VALUE"""),437.0)</f>
        <v>437</v>
      </c>
      <c r="P46" s="197">
        <f>IFERROR(__xludf.DUMMYFUNCTION("""COMPUTED_VALUE"""),87.0)</f>
        <v>87</v>
      </c>
      <c r="Q46" s="41">
        <f>IFERROR(__xludf.DUMMYFUNCTION("""COMPUTED_VALUE"""),4080.0)</f>
        <v>4080</v>
      </c>
      <c r="R46" s="197">
        <f>IFERROR(__xludf.DUMMYFUNCTION("""COMPUTED_VALUE"""),3556.0)</f>
        <v>3556</v>
      </c>
      <c r="S46" s="197">
        <f>IFERROR(__xludf.DUMMYFUNCTION("""COMPUTED_VALUE"""),437.0)</f>
        <v>437</v>
      </c>
      <c r="T46" s="197">
        <f>IFERROR(__xludf.DUMMYFUNCTION("""COMPUTED_VALUE"""),87.0)</f>
        <v>87</v>
      </c>
      <c r="U46" s="41">
        <f>IFERROR(__xludf.DUMMYFUNCTION("""COMPUTED_VALUE"""),4074.0)</f>
        <v>4074</v>
      </c>
      <c r="V46" s="197">
        <f>IFERROR(__xludf.DUMMYFUNCTION("""COMPUTED_VALUE"""),3551.0)</f>
        <v>3551</v>
      </c>
      <c r="W46" s="197">
        <f>IFERROR(__xludf.DUMMYFUNCTION("""COMPUTED_VALUE"""),437.0)</f>
        <v>437</v>
      </c>
      <c r="X46" s="197">
        <f>IFERROR(__xludf.DUMMYFUNCTION("""COMPUTED_VALUE"""),86.0)</f>
        <v>86</v>
      </c>
      <c r="Y46" s="41">
        <f>IFERROR(__xludf.DUMMYFUNCTION("""COMPUTED_VALUE"""),4042.0)</f>
        <v>4042</v>
      </c>
      <c r="Z46" s="197">
        <f>IFERROR(__xludf.DUMMYFUNCTION("""COMPUTED_VALUE"""),3520.0)</f>
        <v>3520</v>
      </c>
      <c r="AA46" s="197">
        <f>IFERROR(__xludf.DUMMYFUNCTION("""COMPUTED_VALUE"""),437.0)</f>
        <v>437</v>
      </c>
      <c r="AB46" s="197">
        <f>IFERROR(__xludf.DUMMYFUNCTION("""COMPUTED_VALUE"""),85.0)</f>
        <v>85</v>
      </c>
      <c r="AC46" s="41">
        <f>IFERROR(__xludf.DUMMYFUNCTION("""COMPUTED_VALUE"""),3138.0)</f>
        <v>3138</v>
      </c>
      <c r="AD46" s="197">
        <f>IFERROR(__xludf.DUMMYFUNCTION("""COMPUTED_VALUE"""),3053.0)</f>
        <v>3053</v>
      </c>
      <c r="AE46" s="197">
        <f>IFERROR(__xludf.DUMMYFUNCTION("""COMPUTED_VALUE"""),0.0)</f>
        <v>0</v>
      </c>
      <c r="AF46" s="197">
        <f>IFERROR(__xludf.DUMMYFUNCTION("""COMPUTED_VALUE"""),85.0)</f>
        <v>85</v>
      </c>
      <c r="AG46" s="41">
        <f>IFERROR(__xludf.DUMMYFUNCTION("""COMPUTED_VALUE"""),0.0)</f>
        <v>0</v>
      </c>
      <c r="AH46" s="197">
        <f>IFERROR(__xludf.DUMMYFUNCTION("""COMPUTED_VALUE"""),0.0)</f>
        <v>0</v>
      </c>
      <c r="AI46" s="197">
        <f>IFERROR(__xludf.DUMMYFUNCTION("""COMPUTED_VALUE"""),0.0)</f>
        <v>0</v>
      </c>
      <c r="AJ46" s="197">
        <f>IFERROR(__xludf.DUMMYFUNCTION("""COMPUTED_VALUE"""),0.0)</f>
        <v>0</v>
      </c>
      <c r="AK46" s="41">
        <f>IFERROR(__xludf.DUMMYFUNCTION("""COMPUTED_VALUE"""),0.0)</f>
        <v>0</v>
      </c>
      <c r="AL46" s="197">
        <f>IFERROR(__xludf.DUMMYFUNCTION("""COMPUTED_VALUE"""),0.0)</f>
        <v>0</v>
      </c>
      <c r="AM46" s="197">
        <f>IFERROR(__xludf.DUMMYFUNCTION("""COMPUTED_VALUE"""),0.0)</f>
        <v>0</v>
      </c>
      <c r="AN46" s="197">
        <f>IFERROR(__xludf.DUMMYFUNCTION("""COMPUTED_VALUE"""),0.0)</f>
        <v>0</v>
      </c>
      <c r="AO46" s="41">
        <f>IFERROR(__xludf.DUMMYFUNCTION("""COMPUTED_VALUE"""),0.0)</f>
        <v>0</v>
      </c>
      <c r="AP46" s="197">
        <f>IFERROR(__xludf.DUMMYFUNCTION("""COMPUTED_VALUE"""),0.0)</f>
        <v>0</v>
      </c>
      <c r="AQ46" s="197">
        <f>IFERROR(__xludf.DUMMYFUNCTION("""COMPUTED_VALUE"""),0.0)</f>
        <v>0</v>
      </c>
      <c r="AR46" s="197">
        <f>IFERROR(__xludf.DUMMYFUNCTION("""COMPUTED_VALUE"""),0.0)</f>
        <v>0</v>
      </c>
      <c r="AS46" s="41">
        <f>IFERROR(__xludf.DUMMYFUNCTION("""COMPUTED_VALUE"""),0.0)</f>
        <v>0</v>
      </c>
      <c r="AT46" s="197">
        <f>IFERROR(__xludf.DUMMYFUNCTION("""COMPUTED_VALUE"""),0.0)</f>
        <v>0</v>
      </c>
      <c r="AU46" s="197">
        <f>IFERROR(__xludf.DUMMYFUNCTION("""COMPUTED_VALUE"""),0.0)</f>
        <v>0</v>
      </c>
      <c r="AV46" s="197">
        <f>IFERROR(__xludf.DUMMYFUNCTION("""COMPUTED_VALUE"""),0.0)</f>
        <v>0</v>
      </c>
      <c r="AW46" s="41">
        <f>IFERROR(__xludf.DUMMYFUNCTION("""COMPUTED_VALUE"""),0.0)</f>
        <v>0</v>
      </c>
      <c r="AX46" s="197">
        <f>IFERROR(__xludf.DUMMYFUNCTION("""COMPUTED_VALUE"""),0.0)</f>
        <v>0</v>
      </c>
      <c r="AY46" s="197">
        <f>IFERROR(__xludf.DUMMYFUNCTION("""COMPUTED_VALUE"""),0.0)</f>
        <v>0</v>
      </c>
      <c r="AZ46" s="198">
        <f>IFERROR(__xludf.DUMMYFUNCTION("""COMPUTED_VALUE"""),0.0)</f>
        <v>0</v>
      </c>
      <c r="BA46" s="34"/>
    </row>
    <row r="47" ht="15.75" customHeight="1">
      <c r="A47" s="214"/>
      <c r="B47" s="215" t="str">
        <f>IFERROR(__xludf.DUMMYFUNCTION("""COMPUTED_VALUE"""),"4. Tỷ lệ học sinh đi học")</f>
        <v>4. Tỷ lệ học sinh đi học</v>
      </c>
      <c r="C47" s="216" t="str">
        <f>IFERROR(__xludf.DUMMYFUNCTION("""COMPUTED_VALUE"""),"Tháng")</f>
        <v>Tháng</v>
      </c>
      <c r="D47" s="216"/>
      <c r="E47" s="239"/>
      <c r="F47" s="218" t="str">
        <f>IFERROR(__xludf.DUMMYFUNCTION("""COMPUTED_VALUE"""),"X")</f>
        <v>X</v>
      </c>
      <c r="G47" s="218" t="str">
        <f>IFERROR(__xludf.DUMMYFUNCTION("""COMPUTED_VALUE"""),"X")</f>
        <v>X</v>
      </c>
      <c r="H47" s="218" t="str">
        <f>IFERROR(__xludf.DUMMYFUNCTION("""COMPUTED_VALUE"""),"X")</f>
        <v>X</v>
      </c>
      <c r="I47" s="239"/>
      <c r="J47" s="218" t="str">
        <f>IFERROR(__xludf.DUMMYFUNCTION("""COMPUTED_VALUE"""),"X")</f>
        <v>X</v>
      </c>
      <c r="K47" s="218" t="str">
        <f>IFERROR(__xludf.DUMMYFUNCTION("""COMPUTED_VALUE"""),"X")</f>
        <v>X</v>
      </c>
      <c r="L47" s="218" t="str">
        <f>IFERROR(__xludf.DUMMYFUNCTION("""COMPUTED_VALUE"""),"X")</f>
        <v>X</v>
      </c>
      <c r="M47" s="239"/>
      <c r="N47" s="218" t="str">
        <f>IFERROR(__xludf.DUMMYFUNCTION("""COMPUTED_VALUE"""),"X")</f>
        <v>X</v>
      </c>
      <c r="O47" s="218" t="str">
        <f>IFERROR(__xludf.DUMMYFUNCTION("""COMPUTED_VALUE"""),"X")</f>
        <v>X</v>
      </c>
      <c r="P47" s="218" t="str">
        <f>IFERROR(__xludf.DUMMYFUNCTION("""COMPUTED_VALUE"""),"X")</f>
        <v>X</v>
      </c>
      <c r="Q47" s="239"/>
      <c r="R47" s="218" t="str">
        <f>IFERROR(__xludf.DUMMYFUNCTION("""COMPUTED_VALUE"""),"X")</f>
        <v>X</v>
      </c>
      <c r="S47" s="218" t="str">
        <f>IFERROR(__xludf.DUMMYFUNCTION("""COMPUTED_VALUE"""),"X")</f>
        <v>X</v>
      </c>
      <c r="T47" s="218" t="str">
        <f>IFERROR(__xludf.DUMMYFUNCTION("""COMPUTED_VALUE"""),"X")</f>
        <v>X</v>
      </c>
      <c r="U47" s="239"/>
      <c r="V47" s="218" t="str">
        <f>IFERROR(__xludf.DUMMYFUNCTION("""COMPUTED_VALUE"""),"X")</f>
        <v>X</v>
      </c>
      <c r="W47" s="218" t="str">
        <f>IFERROR(__xludf.DUMMYFUNCTION("""COMPUTED_VALUE"""),"X")</f>
        <v>X</v>
      </c>
      <c r="X47" s="218" t="str">
        <f>IFERROR(__xludf.DUMMYFUNCTION("""COMPUTED_VALUE"""),"X")</f>
        <v>X</v>
      </c>
      <c r="Y47" s="239"/>
      <c r="Z47" s="218" t="str">
        <f>IFERROR(__xludf.DUMMYFUNCTION("""COMPUTED_VALUE"""),"X")</f>
        <v>X</v>
      </c>
      <c r="AA47" s="218" t="str">
        <f>IFERROR(__xludf.DUMMYFUNCTION("""COMPUTED_VALUE"""),"X")</f>
        <v>X</v>
      </c>
      <c r="AB47" s="218" t="str">
        <f>IFERROR(__xludf.DUMMYFUNCTION("""COMPUTED_VALUE"""),"X")</f>
        <v>X</v>
      </c>
      <c r="AC47" s="239"/>
      <c r="AD47" s="218" t="str">
        <f>IFERROR(__xludf.DUMMYFUNCTION("""COMPUTED_VALUE"""),"X")</f>
        <v>X</v>
      </c>
      <c r="AE47" s="218" t="str">
        <f>IFERROR(__xludf.DUMMYFUNCTION("""COMPUTED_VALUE"""),"X")</f>
        <v>X</v>
      </c>
      <c r="AF47" s="218" t="str">
        <f>IFERROR(__xludf.DUMMYFUNCTION("""COMPUTED_VALUE"""),"X")</f>
        <v>X</v>
      </c>
      <c r="AG47" s="239"/>
      <c r="AH47" s="218" t="str">
        <f>IFERROR(__xludf.DUMMYFUNCTION("""COMPUTED_VALUE"""),"X")</f>
        <v>X</v>
      </c>
      <c r="AI47" s="218" t="str">
        <f>IFERROR(__xludf.DUMMYFUNCTION("""COMPUTED_VALUE"""),"X")</f>
        <v>X</v>
      </c>
      <c r="AJ47" s="218" t="str">
        <f>IFERROR(__xludf.DUMMYFUNCTION("""COMPUTED_VALUE"""),"X")</f>
        <v>X</v>
      </c>
      <c r="AK47" s="239"/>
      <c r="AL47" s="218" t="str">
        <f>IFERROR(__xludf.DUMMYFUNCTION("""COMPUTED_VALUE"""),"X")</f>
        <v>X</v>
      </c>
      <c r="AM47" s="218" t="str">
        <f>IFERROR(__xludf.DUMMYFUNCTION("""COMPUTED_VALUE"""),"X")</f>
        <v>X</v>
      </c>
      <c r="AN47" s="218" t="str">
        <f>IFERROR(__xludf.DUMMYFUNCTION("""COMPUTED_VALUE"""),"X")</f>
        <v>X</v>
      </c>
      <c r="AO47" s="239"/>
      <c r="AP47" s="218" t="str">
        <f>IFERROR(__xludf.DUMMYFUNCTION("""COMPUTED_VALUE"""),"X")</f>
        <v>X</v>
      </c>
      <c r="AQ47" s="218" t="str">
        <f>IFERROR(__xludf.DUMMYFUNCTION("""COMPUTED_VALUE"""),"X")</f>
        <v>X</v>
      </c>
      <c r="AR47" s="218" t="str">
        <f>IFERROR(__xludf.DUMMYFUNCTION("""COMPUTED_VALUE"""),"X")</f>
        <v>X</v>
      </c>
      <c r="AS47" s="239"/>
      <c r="AT47" s="218" t="str">
        <f>IFERROR(__xludf.DUMMYFUNCTION("""COMPUTED_VALUE"""),"X")</f>
        <v>X</v>
      </c>
      <c r="AU47" s="218" t="str">
        <f>IFERROR(__xludf.DUMMYFUNCTION("""COMPUTED_VALUE"""),"X")</f>
        <v>X</v>
      </c>
      <c r="AV47" s="218" t="str">
        <f>IFERROR(__xludf.DUMMYFUNCTION("""COMPUTED_VALUE"""),"X")</f>
        <v>X</v>
      </c>
      <c r="AW47" s="239"/>
      <c r="AX47" s="218" t="str">
        <f>IFERROR(__xludf.DUMMYFUNCTION("""COMPUTED_VALUE"""),"X")</f>
        <v>X</v>
      </c>
      <c r="AY47" s="218" t="str">
        <f>IFERROR(__xludf.DUMMYFUNCTION("""COMPUTED_VALUE"""),"X")</f>
        <v>X</v>
      </c>
      <c r="AZ47" s="219" t="str">
        <f>IFERROR(__xludf.DUMMYFUNCTION("""COMPUTED_VALUE"""),"X")</f>
        <v>X</v>
      </c>
      <c r="BA47" s="227"/>
    </row>
    <row r="48" ht="15.75" hidden="1" customHeight="1">
      <c r="A48" s="29"/>
      <c r="B48" s="67" t="str">
        <f>IFERROR(__xludf.DUMMYFUNCTION("""COMPUTED_VALUE"""),"4.1. Tỷ lệ đi học Tiểu học")</f>
        <v>4.1. Tỷ lệ đi học Tiểu học</v>
      </c>
      <c r="C48" s="31"/>
      <c r="D48" s="31" t="str">
        <f>IFERROR(__xludf.DUMMYFUNCTION("""COMPUTED_VALUE"""),"%")</f>
        <v>%</v>
      </c>
      <c r="E48" s="115">
        <f>IFERROR(__xludf.DUMMYFUNCTION("""COMPUTED_VALUE"""),0.0)</f>
        <v>0</v>
      </c>
      <c r="F48" s="116" t="str">
        <f>IFERROR(__xludf.DUMMYFUNCTION("""COMPUTED_VALUE"""),"X")</f>
        <v>X</v>
      </c>
      <c r="G48" s="116" t="str">
        <f>IFERROR(__xludf.DUMMYFUNCTION("""COMPUTED_VALUE"""),"X")</f>
        <v>X</v>
      </c>
      <c r="H48" s="116" t="str">
        <f>IFERROR(__xludf.DUMMYFUNCTION("""COMPUTED_VALUE"""),"X")</f>
        <v>X</v>
      </c>
      <c r="I48" s="115">
        <f>IFERROR(__xludf.DUMMYFUNCTION("""COMPUTED_VALUE"""),0.0)</f>
        <v>0</v>
      </c>
      <c r="J48" s="116" t="str">
        <f>IFERROR(__xludf.DUMMYFUNCTION("""COMPUTED_VALUE"""),"X")</f>
        <v>X</v>
      </c>
      <c r="K48" s="116" t="str">
        <f>IFERROR(__xludf.DUMMYFUNCTION("""COMPUTED_VALUE"""),"X")</f>
        <v>X</v>
      </c>
      <c r="L48" s="116" t="str">
        <f>IFERROR(__xludf.DUMMYFUNCTION("""COMPUTED_VALUE"""),"X")</f>
        <v>X</v>
      </c>
      <c r="M48" s="115">
        <f>IFERROR(__xludf.DUMMYFUNCTION("""COMPUTED_VALUE"""),0.0)</f>
        <v>0</v>
      </c>
      <c r="N48" s="116" t="str">
        <f>IFERROR(__xludf.DUMMYFUNCTION("""COMPUTED_VALUE"""),"X")</f>
        <v>X</v>
      </c>
      <c r="O48" s="116" t="str">
        <f>IFERROR(__xludf.DUMMYFUNCTION("""COMPUTED_VALUE"""),"X")</f>
        <v>X</v>
      </c>
      <c r="P48" s="116" t="str">
        <f>IFERROR(__xludf.DUMMYFUNCTION("""COMPUTED_VALUE"""),"X")</f>
        <v>X</v>
      </c>
      <c r="Q48" s="115">
        <f>IFERROR(__xludf.DUMMYFUNCTION("""COMPUTED_VALUE"""),0.0)</f>
        <v>0</v>
      </c>
      <c r="R48" s="116" t="str">
        <f>IFERROR(__xludf.DUMMYFUNCTION("""COMPUTED_VALUE"""),"X")</f>
        <v>X</v>
      </c>
      <c r="S48" s="116" t="str">
        <f>IFERROR(__xludf.DUMMYFUNCTION("""COMPUTED_VALUE"""),"X")</f>
        <v>X</v>
      </c>
      <c r="T48" s="116" t="str">
        <f>IFERROR(__xludf.DUMMYFUNCTION("""COMPUTED_VALUE"""),"X")</f>
        <v>X</v>
      </c>
      <c r="U48" s="115">
        <f>IFERROR(__xludf.DUMMYFUNCTION("""COMPUTED_VALUE"""),0.0)</f>
        <v>0</v>
      </c>
      <c r="V48" s="116" t="str">
        <f>IFERROR(__xludf.DUMMYFUNCTION("""COMPUTED_VALUE"""),"X")</f>
        <v>X</v>
      </c>
      <c r="W48" s="116" t="str">
        <f>IFERROR(__xludf.DUMMYFUNCTION("""COMPUTED_VALUE"""),"X")</f>
        <v>X</v>
      </c>
      <c r="X48" s="116" t="str">
        <f>IFERROR(__xludf.DUMMYFUNCTION("""COMPUTED_VALUE"""),"X")</f>
        <v>X</v>
      </c>
      <c r="Y48" s="115">
        <f>IFERROR(__xludf.DUMMYFUNCTION("""COMPUTED_VALUE"""),0.0)</f>
        <v>0</v>
      </c>
      <c r="Z48" s="116" t="str">
        <f>IFERROR(__xludf.DUMMYFUNCTION("""COMPUTED_VALUE"""),"X")</f>
        <v>X</v>
      </c>
      <c r="AA48" s="116" t="str">
        <f>IFERROR(__xludf.DUMMYFUNCTION("""COMPUTED_VALUE"""),"X")</f>
        <v>X</v>
      </c>
      <c r="AB48" s="116" t="str">
        <f>IFERROR(__xludf.DUMMYFUNCTION("""COMPUTED_VALUE"""),"X")</f>
        <v>X</v>
      </c>
      <c r="AC48" s="115">
        <f>IFERROR(__xludf.DUMMYFUNCTION("""COMPUTED_VALUE"""),0.0)</f>
        <v>0</v>
      </c>
      <c r="AD48" s="116" t="str">
        <f>IFERROR(__xludf.DUMMYFUNCTION("""COMPUTED_VALUE"""),"X")</f>
        <v>X</v>
      </c>
      <c r="AE48" s="116" t="str">
        <f>IFERROR(__xludf.DUMMYFUNCTION("""COMPUTED_VALUE"""),"X")</f>
        <v>X</v>
      </c>
      <c r="AF48" s="116" t="str">
        <f>IFERROR(__xludf.DUMMYFUNCTION("""COMPUTED_VALUE"""),"X")</f>
        <v>X</v>
      </c>
      <c r="AG48" s="115">
        <f>IFERROR(__xludf.DUMMYFUNCTION("""COMPUTED_VALUE"""),0.0)</f>
        <v>0</v>
      </c>
      <c r="AH48" s="116" t="str">
        <f>IFERROR(__xludf.DUMMYFUNCTION("""COMPUTED_VALUE"""),"X")</f>
        <v>X</v>
      </c>
      <c r="AI48" s="116" t="str">
        <f>IFERROR(__xludf.DUMMYFUNCTION("""COMPUTED_VALUE"""),"X")</f>
        <v>X</v>
      </c>
      <c r="AJ48" s="116" t="str">
        <f>IFERROR(__xludf.DUMMYFUNCTION("""COMPUTED_VALUE"""),"X")</f>
        <v>X</v>
      </c>
      <c r="AK48" s="115" t="str">
        <f>IFERROR(__xludf.DUMMYFUNCTION("""COMPUTED_VALUE"""),"#DIV/0!")</f>
        <v>#DIV/0!</v>
      </c>
      <c r="AL48" s="116" t="str">
        <f>IFERROR(__xludf.DUMMYFUNCTION("""COMPUTED_VALUE"""),"X")</f>
        <v>X</v>
      </c>
      <c r="AM48" s="116" t="str">
        <f>IFERROR(__xludf.DUMMYFUNCTION("""COMPUTED_VALUE"""),"X")</f>
        <v>X</v>
      </c>
      <c r="AN48" s="116" t="str">
        <f>IFERROR(__xludf.DUMMYFUNCTION("""COMPUTED_VALUE"""),"X")</f>
        <v>X</v>
      </c>
      <c r="AO48" s="115" t="str">
        <f>IFERROR(__xludf.DUMMYFUNCTION("""COMPUTED_VALUE"""),"#DIV/0!")</f>
        <v>#DIV/0!</v>
      </c>
      <c r="AP48" s="116" t="str">
        <f>IFERROR(__xludf.DUMMYFUNCTION("""COMPUTED_VALUE"""),"X")</f>
        <v>X</v>
      </c>
      <c r="AQ48" s="116" t="str">
        <f>IFERROR(__xludf.DUMMYFUNCTION("""COMPUTED_VALUE"""),"X")</f>
        <v>X</v>
      </c>
      <c r="AR48" s="116" t="str">
        <f>IFERROR(__xludf.DUMMYFUNCTION("""COMPUTED_VALUE"""),"X")</f>
        <v>X</v>
      </c>
      <c r="AS48" s="115" t="str">
        <f>IFERROR(__xludf.DUMMYFUNCTION("""COMPUTED_VALUE"""),"#DIV/0!")</f>
        <v>#DIV/0!</v>
      </c>
      <c r="AT48" s="116" t="str">
        <f>IFERROR(__xludf.DUMMYFUNCTION("""COMPUTED_VALUE"""),"X")</f>
        <v>X</v>
      </c>
      <c r="AU48" s="116" t="str">
        <f>IFERROR(__xludf.DUMMYFUNCTION("""COMPUTED_VALUE"""),"X")</f>
        <v>X</v>
      </c>
      <c r="AV48" s="116" t="str">
        <f>IFERROR(__xludf.DUMMYFUNCTION("""COMPUTED_VALUE"""),"X")</f>
        <v>X</v>
      </c>
      <c r="AW48" s="115" t="str">
        <f>IFERROR(__xludf.DUMMYFUNCTION("""COMPUTED_VALUE"""),"#DIV/0!")</f>
        <v>#DIV/0!</v>
      </c>
      <c r="AX48" s="116" t="str">
        <f>IFERROR(__xludf.DUMMYFUNCTION("""COMPUTED_VALUE"""),"X")</f>
        <v>X</v>
      </c>
      <c r="AY48" s="116" t="str">
        <f>IFERROR(__xludf.DUMMYFUNCTION("""COMPUTED_VALUE"""),"X")</f>
        <v>X</v>
      </c>
      <c r="AZ48" s="117" t="str">
        <f>IFERROR(__xludf.DUMMYFUNCTION("""COMPUTED_VALUE"""),"X")</f>
        <v>X</v>
      </c>
      <c r="BA48" s="34"/>
    </row>
    <row r="49" ht="15.75" hidden="1" customHeight="1">
      <c r="A49" s="29"/>
      <c r="B49" s="67" t="str">
        <f>IFERROR(__xludf.DUMMYFUNCTION("""COMPUTED_VALUE"""),"4.2. Tỷ lệ đi học THCS")</f>
        <v>4.2. Tỷ lệ đi học THCS</v>
      </c>
      <c r="C49" s="31"/>
      <c r="D49" s="31" t="str">
        <f>IFERROR(__xludf.DUMMYFUNCTION("""COMPUTED_VALUE"""),"%")</f>
        <v>%</v>
      </c>
      <c r="E49" s="115">
        <f>IFERROR(__xludf.DUMMYFUNCTION("""COMPUTED_VALUE"""),0.0)</f>
        <v>0</v>
      </c>
      <c r="F49" s="116" t="str">
        <f>IFERROR(__xludf.DUMMYFUNCTION("""COMPUTED_VALUE"""),"X")</f>
        <v>X</v>
      </c>
      <c r="G49" s="116" t="str">
        <f>IFERROR(__xludf.DUMMYFUNCTION("""COMPUTED_VALUE"""),"X")</f>
        <v>X</v>
      </c>
      <c r="H49" s="116" t="str">
        <f>IFERROR(__xludf.DUMMYFUNCTION("""COMPUTED_VALUE"""),"X")</f>
        <v>X</v>
      </c>
      <c r="I49" s="115">
        <f>IFERROR(__xludf.DUMMYFUNCTION("""COMPUTED_VALUE"""),0.0)</f>
        <v>0</v>
      </c>
      <c r="J49" s="116" t="str">
        <f>IFERROR(__xludf.DUMMYFUNCTION("""COMPUTED_VALUE"""),"X")</f>
        <v>X</v>
      </c>
      <c r="K49" s="116" t="str">
        <f>IFERROR(__xludf.DUMMYFUNCTION("""COMPUTED_VALUE"""),"X")</f>
        <v>X</v>
      </c>
      <c r="L49" s="116" t="str">
        <f>IFERROR(__xludf.DUMMYFUNCTION("""COMPUTED_VALUE"""),"X")</f>
        <v>X</v>
      </c>
      <c r="M49" s="115">
        <f>IFERROR(__xludf.DUMMYFUNCTION("""COMPUTED_VALUE"""),0.0)</f>
        <v>0</v>
      </c>
      <c r="N49" s="116" t="str">
        <f>IFERROR(__xludf.DUMMYFUNCTION("""COMPUTED_VALUE"""),"X")</f>
        <v>X</v>
      </c>
      <c r="O49" s="116" t="str">
        <f>IFERROR(__xludf.DUMMYFUNCTION("""COMPUTED_VALUE"""),"X")</f>
        <v>X</v>
      </c>
      <c r="P49" s="116" t="str">
        <f>IFERROR(__xludf.DUMMYFUNCTION("""COMPUTED_VALUE"""),"X")</f>
        <v>X</v>
      </c>
      <c r="Q49" s="115">
        <f>IFERROR(__xludf.DUMMYFUNCTION("""COMPUTED_VALUE"""),0.0)</f>
        <v>0</v>
      </c>
      <c r="R49" s="116" t="str">
        <f>IFERROR(__xludf.DUMMYFUNCTION("""COMPUTED_VALUE"""),"X")</f>
        <v>X</v>
      </c>
      <c r="S49" s="116" t="str">
        <f>IFERROR(__xludf.DUMMYFUNCTION("""COMPUTED_VALUE"""),"X")</f>
        <v>X</v>
      </c>
      <c r="T49" s="116" t="str">
        <f>IFERROR(__xludf.DUMMYFUNCTION("""COMPUTED_VALUE"""),"X")</f>
        <v>X</v>
      </c>
      <c r="U49" s="115">
        <f>IFERROR(__xludf.DUMMYFUNCTION("""COMPUTED_VALUE"""),0.0)</f>
        <v>0</v>
      </c>
      <c r="V49" s="116" t="str">
        <f>IFERROR(__xludf.DUMMYFUNCTION("""COMPUTED_VALUE"""),"X")</f>
        <v>X</v>
      </c>
      <c r="W49" s="116" t="str">
        <f>IFERROR(__xludf.DUMMYFUNCTION("""COMPUTED_VALUE"""),"X")</f>
        <v>X</v>
      </c>
      <c r="X49" s="116" t="str">
        <f>IFERROR(__xludf.DUMMYFUNCTION("""COMPUTED_VALUE"""),"X")</f>
        <v>X</v>
      </c>
      <c r="Y49" s="115">
        <f>IFERROR(__xludf.DUMMYFUNCTION("""COMPUTED_VALUE"""),0.0)</f>
        <v>0</v>
      </c>
      <c r="Z49" s="116" t="str">
        <f>IFERROR(__xludf.DUMMYFUNCTION("""COMPUTED_VALUE"""),"X")</f>
        <v>X</v>
      </c>
      <c r="AA49" s="116" t="str">
        <f>IFERROR(__xludf.DUMMYFUNCTION("""COMPUTED_VALUE"""),"X")</f>
        <v>X</v>
      </c>
      <c r="AB49" s="116" t="str">
        <f>IFERROR(__xludf.DUMMYFUNCTION("""COMPUTED_VALUE"""),"X")</f>
        <v>X</v>
      </c>
      <c r="AC49" s="115">
        <f>IFERROR(__xludf.DUMMYFUNCTION("""COMPUTED_VALUE"""),0.0)</f>
        <v>0</v>
      </c>
      <c r="AD49" s="116" t="str">
        <f>IFERROR(__xludf.DUMMYFUNCTION("""COMPUTED_VALUE"""),"X")</f>
        <v>X</v>
      </c>
      <c r="AE49" s="116" t="str">
        <f>IFERROR(__xludf.DUMMYFUNCTION("""COMPUTED_VALUE"""),"X")</f>
        <v>X</v>
      </c>
      <c r="AF49" s="116" t="str">
        <f>IFERROR(__xludf.DUMMYFUNCTION("""COMPUTED_VALUE"""),"X")</f>
        <v>X</v>
      </c>
      <c r="AG49" s="115">
        <f>IFERROR(__xludf.DUMMYFUNCTION("""COMPUTED_VALUE"""),0.0)</f>
        <v>0</v>
      </c>
      <c r="AH49" s="116" t="str">
        <f>IFERROR(__xludf.DUMMYFUNCTION("""COMPUTED_VALUE"""),"X")</f>
        <v>X</v>
      </c>
      <c r="AI49" s="116" t="str">
        <f>IFERROR(__xludf.DUMMYFUNCTION("""COMPUTED_VALUE"""),"X")</f>
        <v>X</v>
      </c>
      <c r="AJ49" s="116" t="str">
        <f>IFERROR(__xludf.DUMMYFUNCTION("""COMPUTED_VALUE"""),"X")</f>
        <v>X</v>
      </c>
      <c r="AK49" s="115" t="str">
        <f>IFERROR(__xludf.DUMMYFUNCTION("""COMPUTED_VALUE"""),"#DIV/0!")</f>
        <v>#DIV/0!</v>
      </c>
      <c r="AL49" s="116" t="str">
        <f>IFERROR(__xludf.DUMMYFUNCTION("""COMPUTED_VALUE"""),"X")</f>
        <v>X</v>
      </c>
      <c r="AM49" s="116" t="str">
        <f>IFERROR(__xludf.DUMMYFUNCTION("""COMPUTED_VALUE"""),"X")</f>
        <v>X</v>
      </c>
      <c r="AN49" s="116" t="str">
        <f>IFERROR(__xludf.DUMMYFUNCTION("""COMPUTED_VALUE"""),"X")</f>
        <v>X</v>
      </c>
      <c r="AO49" s="115" t="str">
        <f>IFERROR(__xludf.DUMMYFUNCTION("""COMPUTED_VALUE"""),"#DIV/0!")</f>
        <v>#DIV/0!</v>
      </c>
      <c r="AP49" s="116" t="str">
        <f>IFERROR(__xludf.DUMMYFUNCTION("""COMPUTED_VALUE"""),"X")</f>
        <v>X</v>
      </c>
      <c r="AQ49" s="116" t="str">
        <f>IFERROR(__xludf.DUMMYFUNCTION("""COMPUTED_VALUE"""),"X")</f>
        <v>X</v>
      </c>
      <c r="AR49" s="116" t="str">
        <f>IFERROR(__xludf.DUMMYFUNCTION("""COMPUTED_VALUE"""),"X")</f>
        <v>X</v>
      </c>
      <c r="AS49" s="115" t="str">
        <f>IFERROR(__xludf.DUMMYFUNCTION("""COMPUTED_VALUE"""),"#DIV/0!")</f>
        <v>#DIV/0!</v>
      </c>
      <c r="AT49" s="116" t="str">
        <f>IFERROR(__xludf.DUMMYFUNCTION("""COMPUTED_VALUE"""),"X")</f>
        <v>X</v>
      </c>
      <c r="AU49" s="116" t="str">
        <f>IFERROR(__xludf.DUMMYFUNCTION("""COMPUTED_VALUE"""),"X")</f>
        <v>X</v>
      </c>
      <c r="AV49" s="116" t="str">
        <f>IFERROR(__xludf.DUMMYFUNCTION("""COMPUTED_VALUE"""),"X")</f>
        <v>X</v>
      </c>
      <c r="AW49" s="115" t="str">
        <f>IFERROR(__xludf.DUMMYFUNCTION("""COMPUTED_VALUE"""),"#DIV/0!")</f>
        <v>#DIV/0!</v>
      </c>
      <c r="AX49" s="116" t="str">
        <f>IFERROR(__xludf.DUMMYFUNCTION("""COMPUTED_VALUE"""),"X")</f>
        <v>X</v>
      </c>
      <c r="AY49" s="116" t="str">
        <f>IFERROR(__xludf.DUMMYFUNCTION("""COMPUTED_VALUE"""),"X")</f>
        <v>X</v>
      </c>
      <c r="AZ49" s="117" t="str">
        <f>IFERROR(__xludf.DUMMYFUNCTION("""COMPUTED_VALUE"""),"X")</f>
        <v>X</v>
      </c>
      <c r="BA49" s="34"/>
    </row>
    <row r="50" ht="15.75" customHeight="1">
      <c r="A50" s="29"/>
      <c r="B50" s="30" t="str">
        <f>IFERROR(__xludf.DUMMYFUNCTION("""COMPUTED_VALUE"""),"5. ĐỘI NGŨ")</f>
        <v>5. ĐỘI NGŨ</v>
      </c>
      <c r="C50" s="31" t="str">
        <f>IFERROR(__xludf.DUMMYFUNCTION("""COMPUTED_VALUE"""),"Quí")</f>
        <v>Quí</v>
      </c>
      <c r="D50" s="31" t="str">
        <f>IFERROR(__xludf.DUMMYFUNCTION("""COMPUTED_VALUE"""),"Người")</f>
        <v>Người</v>
      </c>
      <c r="E50" s="32">
        <f>IFERROR(__xludf.DUMMYFUNCTION("""COMPUTED_VALUE"""),494.0)</f>
        <v>494</v>
      </c>
      <c r="F50" s="32">
        <f>IFERROR(__xludf.DUMMYFUNCTION("""COMPUTED_VALUE"""),444.0)</f>
        <v>444</v>
      </c>
      <c r="G50" s="32">
        <f>IFERROR(__xludf.DUMMYFUNCTION("""COMPUTED_VALUE"""),23.0)</f>
        <v>23</v>
      </c>
      <c r="H50" s="32">
        <f>IFERROR(__xludf.DUMMYFUNCTION("""COMPUTED_VALUE"""),27.0)</f>
        <v>27</v>
      </c>
      <c r="I50" s="32">
        <f>IFERROR(__xludf.DUMMYFUNCTION("""COMPUTED_VALUE"""),528.0)</f>
        <v>528</v>
      </c>
      <c r="J50" s="32">
        <f>IFERROR(__xludf.DUMMYFUNCTION("""COMPUTED_VALUE"""),478.0)</f>
        <v>478</v>
      </c>
      <c r="K50" s="32">
        <f>IFERROR(__xludf.DUMMYFUNCTION("""COMPUTED_VALUE"""),23.0)</f>
        <v>23</v>
      </c>
      <c r="L50" s="32">
        <f>IFERROR(__xludf.DUMMYFUNCTION("""COMPUTED_VALUE"""),27.0)</f>
        <v>27</v>
      </c>
      <c r="M50" s="32">
        <f>IFERROR(__xludf.DUMMYFUNCTION("""COMPUTED_VALUE"""),464.0)</f>
        <v>464</v>
      </c>
      <c r="N50" s="32">
        <f>IFERROR(__xludf.DUMMYFUNCTION("""COMPUTED_VALUE"""),413.0)</f>
        <v>413</v>
      </c>
      <c r="O50" s="32">
        <f>IFERROR(__xludf.DUMMYFUNCTION("""COMPUTED_VALUE"""),23.0)</f>
        <v>23</v>
      </c>
      <c r="P50" s="32">
        <f>IFERROR(__xludf.DUMMYFUNCTION("""COMPUTED_VALUE"""),28.0)</f>
        <v>28</v>
      </c>
      <c r="Q50" s="32">
        <f>IFERROR(__xludf.DUMMYFUNCTION("""COMPUTED_VALUE"""),468.0)</f>
        <v>468</v>
      </c>
      <c r="R50" s="32">
        <f>IFERROR(__xludf.DUMMYFUNCTION("""COMPUTED_VALUE"""),417.0)</f>
        <v>417</v>
      </c>
      <c r="S50" s="32">
        <f>IFERROR(__xludf.DUMMYFUNCTION("""COMPUTED_VALUE"""),23.0)</f>
        <v>23</v>
      </c>
      <c r="T50" s="32">
        <f>IFERROR(__xludf.DUMMYFUNCTION("""COMPUTED_VALUE"""),28.0)</f>
        <v>28</v>
      </c>
      <c r="U50" s="32">
        <f>IFERROR(__xludf.DUMMYFUNCTION("""COMPUTED_VALUE"""),466.0)</f>
        <v>466</v>
      </c>
      <c r="V50" s="32">
        <f>IFERROR(__xludf.DUMMYFUNCTION("""COMPUTED_VALUE"""),417.0)</f>
        <v>417</v>
      </c>
      <c r="W50" s="32">
        <f>IFERROR(__xludf.DUMMYFUNCTION("""COMPUTED_VALUE"""),23.0)</f>
        <v>23</v>
      </c>
      <c r="X50" s="32">
        <f>IFERROR(__xludf.DUMMYFUNCTION("""COMPUTED_VALUE"""),26.0)</f>
        <v>26</v>
      </c>
      <c r="Y50" s="32">
        <f>IFERROR(__xludf.DUMMYFUNCTION("""COMPUTED_VALUE"""),470.0)</f>
        <v>470</v>
      </c>
      <c r="Z50" s="32">
        <f>IFERROR(__xludf.DUMMYFUNCTION("""COMPUTED_VALUE"""),422.0)</f>
        <v>422</v>
      </c>
      <c r="AA50" s="32">
        <f>IFERROR(__xludf.DUMMYFUNCTION("""COMPUTED_VALUE"""),23.0)</f>
        <v>23</v>
      </c>
      <c r="AB50" s="32">
        <f>IFERROR(__xludf.DUMMYFUNCTION("""COMPUTED_VALUE"""),25.0)</f>
        <v>25</v>
      </c>
      <c r="AC50" s="32">
        <f>IFERROR(__xludf.DUMMYFUNCTION("""COMPUTED_VALUE"""),506.0)</f>
        <v>506</v>
      </c>
      <c r="AD50" s="32">
        <f>IFERROR(__xludf.DUMMYFUNCTION("""COMPUTED_VALUE"""),458.0)</f>
        <v>458</v>
      </c>
      <c r="AE50" s="32">
        <f>IFERROR(__xludf.DUMMYFUNCTION("""COMPUTED_VALUE"""),23.0)</f>
        <v>23</v>
      </c>
      <c r="AF50" s="32">
        <f>IFERROR(__xludf.DUMMYFUNCTION("""COMPUTED_VALUE"""),25.0)</f>
        <v>25</v>
      </c>
      <c r="AG50" s="32">
        <f>IFERROR(__xludf.DUMMYFUNCTION("""COMPUTED_VALUE"""),67.0)</f>
        <v>67</v>
      </c>
      <c r="AH50" s="32">
        <f>IFERROR(__xludf.DUMMYFUNCTION("""COMPUTED_VALUE"""),44.0)</f>
        <v>44</v>
      </c>
      <c r="AI50" s="32">
        <f>IFERROR(__xludf.DUMMYFUNCTION("""COMPUTED_VALUE"""),23.0)</f>
        <v>23</v>
      </c>
      <c r="AJ50" s="32">
        <f>IFERROR(__xludf.DUMMYFUNCTION("""COMPUTED_VALUE"""),0.0)</f>
        <v>0</v>
      </c>
      <c r="AK50" s="32">
        <f>IFERROR(__xludf.DUMMYFUNCTION("""COMPUTED_VALUE"""),0.0)</f>
        <v>0</v>
      </c>
      <c r="AL50" s="32">
        <f>IFERROR(__xludf.DUMMYFUNCTION("""COMPUTED_VALUE"""),0.0)</f>
        <v>0</v>
      </c>
      <c r="AM50" s="32">
        <f>IFERROR(__xludf.DUMMYFUNCTION("""COMPUTED_VALUE"""),0.0)</f>
        <v>0</v>
      </c>
      <c r="AN50" s="32">
        <f>IFERROR(__xludf.DUMMYFUNCTION("""COMPUTED_VALUE"""),0.0)</f>
        <v>0</v>
      </c>
      <c r="AO50" s="32">
        <f>IFERROR(__xludf.DUMMYFUNCTION("""COMPUTED_VALUE"""),0.0)</f>
        <v>0</v>
      </c>
      <c r="AP50" s="32">
        <f>IFERROR(__xludf.DUMMYFUNCTION("""COMPUTED_VALUE"""),0.0)</f>
        <v>0</v>
      </c>
      <c r="AQ50" s="32">
        <f>IFERROR(__xludf.DUMMYFUNCTION("""COMPUTED_VALUE"""),0.0)</f>
        <v>0</v>
      </c>
      <c r="AR50" s="32">
        <f>IFERROR(__xludf.DUMMYFUNCTION("""COMPUTED_VALUE"""),0.0)</f>
        <v>0</v>
      </c>
      <c r="AS50" s="32">
        <f>IFERROR(__xludf.DUMMYFUNCTION("""COMPUTED_VALUE"""),0.0)</f>
        <v>0</v>
      </c>
      <c r="AT50" s="32">
        <f>IFERROR(__xludf.DUMMYFUNCTION("""COMPUTED_VALUE"""),0.0)</f>
        <v>0</v>
      </c>
      <c r="AU50" s="32">
        <f>IFERROR(__xludf.DUMMYFUNCTION("""COMPUTED_VALUE"""),0.0)</f>
        <v>0</v>
      </c>
      <c r="AV50" s="32">
        <f>IFERROR(__xludf.DUMMYFUNCTION("""COMPUTED_VALUE"""),0.0)</f>
        <v>0</v>
      </c>
      <c r="AW50" s="32">
        <f>IFERROR(__xludf.DUMMYFUNCTION("""COMPUTED_VALUE"""),0.0)</f>
        <v>0</v>
      </c>
      <c r="AX50" s="32">
        <f>IFERROR(__xludf.DUMMYFUNCTION("""COMPUTED_VALUE"""),0.0)</f>
        <v>0</v>
      </c>
      <c r="AY50" s="32">
        <f>IFERROR(__xludf.DUMMYFUNCTION("""COMPUTED_VALUE"""),0.0)</f>
        <v>0</v>
      </c>
      <c r="AZ50" s="33">
        <f>IFERROR(__xludf.DUMMYFUNCTION("""COMPUTED_VALUE"""),0.0)</f>
        <v>0</v>
      </c>
      <c r="BA50" s="34"/>
    </row>
    <row r="51" ht="15.75" customHeight="1">
      <c r="A51" s="29"/>
      <c r="B51" s="196" t="str">
        <f>IFERROR(__xludf.DUMMYFUNCTION("""COMPUTED_VALUE"""),"5.1. Tổng số cán bộ quản lí (C.chức+V.chức)")</f>
        <v>5.1. Tổng số cán bộ quản lí (C.chức+V.chức)</v>
      </c>
      <c r="C51" s="57"/>
      <c r="D51" s="57" t="str">
        <f>IFERROR(__xludf.DUMMYFUNCTION("""COMPUTED_VALUE""")," Người")</f>
        <v> Người</v>
      </c>
      <c r="E51" s="125">
        <f>IFERROR(__xludf.DUMMYFUNCTION("""COMPUTED_VALUE"""),72.0)</f>
        <v>72</v>
      </c>
      <c r="F51" s="201">
        <f>IFERROR(__xludf.DUMMYFUNCTION("""COMPUTED_VALUE"""),70.0)</f>
        <v>70</v>
      </c>
      <c r="G51" s="201">
        <f>IFERROR(__xludf.DUMMYFUNCTION("""COMPUTED_VALUE"""),1.0)</f>
        <v>1</v>
      </c>
      <c r="H51" s="201">
        <f>IFERROR(__xludf.DUMMYFUNCTION("""COMPUTED_VALUE"""),1.0)</f>
        <v>1</v>
      </c>
      <c r="I51" s="125">
        <f>IFERROR(__xludf.DUMMYFUNCTION("""COMPUTED_VALUE"""),72.0)</f>
        <v>72</v>
      </c>
      <c r="J51" s="201">
        <f>IFERROR(__xludf.DUMMYFUNCTION("""COMPUTED_VALUE"""),70.0)</f>
        <v>70</v>
      </c>
      <c r="K51" s="201">
        <f>IFERROR(__xludf.DUMMYFUNCTION("""COMPUTED_VALUE"""),1.0)</f>
        <v>1</v>
      </c>
      <c r="L51" s="201">
        <f>IFERROR(__xludf.DUMMYFUNCTION("""COMPUTED_VALUE"""),1.0)</f>
        <v>1</v>
      </c>
      <c r="M51" s="125">
        <f>IFERROR(__xludf.DUMMYFUNCTION("""COMPUTED_VALUE"""),30.0)</f>
        <v>30</v>
      </c>
      <c r="N51" s="201">
        <f>IFERROR(__xludf.DUMMYFUNCTION("""COMPUTED_VALUE"""),28.0)</f>
        <v>28</v>
      </c>
      <c r="O51" s="201">
        <f>IFERROR(__xludf.DUMMYFUNCTION("""COMPUTED_VALUE"""),1.0)</f>
        <v>1</v>
      </c>
      <c r="P51" s="201">
        <f>IFERROR(__xludf.DUMMYFUNCTION("""COMPUTED_VALUE"""),1.0)</f>
        <v>1</v>
      </c>
      <c r="Q51" s="125">
        <f>IFERROR(__xludf.DUMMYFUNCTION("""COMPUTED_VALUE"""),30.0)</f>
        <v>30</v>
      </c>
      <c r="R51" s="201">
        <f>IFERROR(__xludf.DUMMYFUNCTION("""COMPUTED_VALUE"""),28.0)</f>
        <v>28</v>
      </c>
      <c r="S51" s="201">
        <f>IFERROR(__xludf.DUMMYFUNCTION("""COMPUTED_VALUE"""),1.0)</f>
        <v>1</v>
      </c>
      <c r="T51" s="201">
        <f>IFERROR(__xludf.DUMMYFUNCTION("""COMPUTED_VALUE"""),1.0)</f>
        <v>1</v>
      </c>
      <c r="U51" s="125">
        <f>IFERROR(__xludf.DUMMYFUNCTION("""COMPUTED_VALUE"""),30.0)</f>
        <v>30</v>
      </c>
      <c r="V51" s="201">
        <f>IFERROR(__xludf.DUMMYFUNCTION("""COMPUTED_VALUE"""),28.0)</f>
        <v>28</v>
      </c>
      <c r="W51" s="201">
        <f>IFERROR(__xludf.DUMMYFUNCTION("""COMPUTED_VALUE"""),1.0)</f>
        <v>1</v>
      </c>
      <c r="X51" s="201">
        <f>IFERROR(__xludf.DUMMYFUNCTION("""COMPUTED_VALUE"""),1.0)</f>
        <v>1</v>
      </c>
      <c r="Y51" s="125">
        <f>IFERROR(__xludf.DUMMYFUNCTION("""COMPUTED_VALUE"""),30.0)</f>
        <v>30</v>
      </c>
      <c r="Z51" s="201">
        <f>IFERROR(__xludf.DUMMYFUNCTION("""COMPUTED_VALUE"""),28.0)</f>
        <v>28</v>
      </c>
      <c r="AA51" s="201">
        <f>IFERROR(__xludf.DUMMYFUNCTION("""COMPUTED_VALUE"""),1.0)</f>
        <v>1</v>
      </c>
      <c r="AB51" s="201">
        <f>IFERROR(__xludf.DUMMYFUNCTION("""COMPUTED_VALUE"""),1.0)</f>
        <v>1</v>
      </c>
      <c r="AC51" s="125">
        <f>IFERROR(__xludf.DUMMYFUNCTION("""COMPUTED_VALUE"""),29.0)</f>
        <v>29</v>
      </c>
      <c r="AD51" s="201">
        <f>IFERROR(__xludf.DUMMYFUNCTION("""COMPUTED_VALUE"""),27.0)</f>
        <v>27</v>
      </c>
      <c r="AE51" s="201">
        <f>IFERROR(__xludf.DUMMYFUNCTION("""COMPUTED_VALUE"""),1.0)</f>
        <v>1</v>
      </c>
      <c r="AF51" s="201">
        <f>IFERROR(__xludf.DUMMYFUNCTION("""COMPUTED_VALUE"""),1.0)</f>
        <v>1</v>
      </c>
      <c r="AG51" s="125">
        <f>IFERROR(__xludf.DUMMYFUNCTION("""COMPUTED_VALUE"""),4.0)</f>
        <v>4</v>
      </c>
      <c r="AH51" s="201">
        <f>IFERROR(__xludf.DUMMYFUNCTION("""COMPUTED_VALUE"""),3.0)</f>
        <v>3</v>
      </c>
      <c r="AI51" s="201">
        <f>IFERROR(__xludf.DUMMYFUNCTION("""COMPUTED_VALUE"""),1.0)</f>
        <v>1</v>
      </c>
      <c r="AJ51" s="201">
        <f>IFERROR(__xludf.DUMMYFUNCTION("""COMPUTED_VALUE"""),0.0)</f>
        <v>0</v>
      </c>
      <c r="AK51" s="125">
        <f>IFERROR(__xludf.DUMMYFUNCTION("""COMPUTED_VALUE"""),0.0)</f>
        <v>0</v>
      </c>
      <c r="AL51" s="201">
        <f>IFERROR(__xludf.DUMMYFUNCTION("""COMPUTED_VALUE"""),0.0)</f>
        <v>0</v>
      </c>
      <c r="AM51" s="201">
        <f>IFERROR(__xludf.DUMMYFUNCTION("""COMPUTED_VALUE"""),0.0)</f>
        <v>0</v>
      </c>
      <c r="AN51" s="201">
        <f>IFERROR(__xludf.DUMMYFUNCTION("""COMPUTED_VALUE"""),0.0)</f>
        <v>0</v>
      </c>
      <c r="AO51" s="125">
        <f>IFERROR(__xludf.DUMMYFUNCTION("""COMPUTED_VALUE"""),0.0)</f>
        <v>0</v>
      </c>
      <c r="AP51" s="201">
        <f>IFERROR(__xludf.DUMMYFUNCTION("""COMPUTED_VALUE"""),0.0)</f>
        <v>0</v>
      </c>
      <c r="AQ51" s="201">
        <f>IFERROR(__xludf.DUMMYFUNCTION("""COMPUTED_VALUE"""),0.0)</f>
        <v>0</v>
      </c>
      <c r="AR51" s="201">
        <f>IFERROR(__xludf.DUMMYFUNCTION("""COMPUTED_VALUE"""),0.0)</f>
        <v>0</v>
      </c>
      <c r="AS51" s="125">
        <f>IFERROR(__xludf.DUMMYFUNCTION("""COMPUTED_VALUE"""),0.0)</f>
        <v>0</v>
      </c>
      <c r="AT51" s="201">
        <f>IFERROR(__xludf.DUMMYFUNCTION("""COMPUTED_VALUE"""),0.0)</f>
        <v>0</v>
      </c>
      <c r="AU51" s="201">
        <f>IFERROR(__xludf.DUMMYFUNCTION("""COMPUTED_VALUE"""),0.0)</f>
        <v>0</v>
      </c>
      <c r="AV51" s="201">
        <f>IFERROR(__xludf.DUMMYFUNCTION("""COMPUTED_VALUE"""),0.0)</f>
        <v>0</v>
      </c>
      <c r="AW51" s="125">
        <f>IFERROR(__xludf.DUMMYFUNCTION("""COMPUTED_VALUE"""),0.0)</f>
        <v>0</v>
      </c>
      <c r="AX51" s="201">
        <f>IFERROR(__xludf.DUMMYFUNCTION("""COMPUTED_VALUE"""),0.0)</f>
        <v>0</v>
      </c>
      <c r="AY51" s="201">
        <f>IFERROR(__xludf.DUMMYFUNCTION("""COMPUTED_VALUE"""),0.0)</f>
        <v>0</v>
      </c>
      <c r="AZ51" s="202">
        <f>IFERROR(__xludf.DUMMYFUNCTION("""COMPUTED_VALUE"""),0.0)</f>
        <v>0</v>
      </c>
      <c r="BA51" s="34"/>
    </row>
    <row r="52" ht="15.75" customHeight="1">
      <c r="A52" s="29"/>
      <c r="B52" s="52" t="str">
        <f>IFERROR(__xludf.DUMMYFUNCTION("""COMPUTED_VALUE"""),"Trong đó: CBQL cấp Tiểu học")</f>
        <v>Trong đó: CBQL cấp Tiểu học</v>
      </c>
      <c r="C52" s="31"/>
      <c r="D52" s="31" t="str">
        <f>IFERROR(__xludf.DUMMYFUNCTION("""COMPUTED_VALUE""")," Người")</f>
        <v> Người</v>
      </c>
      <c r="E52" s="41">
        <f>IFERROR(__xludf.DUMMYFUNCTION("""COMPUTED_VALUE"""),10.0)</f>
        <v>10</v>
      </c>
      <c r="F52" s="42">
        <f>IFERROR(__xludf.DUMMYFUNCTION("""COMPUTED_VALUE"""),10.0)</f>
        <v>10</v>
      </c>
      <c r="G52" s="42">
        <f>IFERROR(__xludf.DUMMYFUNCTION("""COMPUTED_VALUE"""),0.0)</f>
        <v>0</v>
      </c>
      <c r="H52" s="42">
        <f>IFERROR(__xludf.DUMMYFUNCTION("""COMPUTED_VALUE"""),0.0)</f>
        <v>0</v>
      </c>
      <c r="I52" s="41">
        <f>IFERROR(__xludf.DUMMYFUNCTION("""COMPUTED_VALUE"""),10.0)</f>
        <v>10</v>
      </c>
      <c r="J52" s="42">
        <f>IFERROR(__xludf.DUMMYFUNCTION("""COMPUTED_VALUE"""),10.0)</f>
        <v>10</v>
      </c>
      <c r="K52" s="42">
        <f>IFERROR(__xludf.DUMMYFUNCTION("""COMPUTED_VALUE"""),0.0)</f>
        <v>0</v>
      </c>
      <c r="L52" s="42">
        <f>IFERROR(__xludf.DUMMYFUNCTION("""COMPUTED_VALUE"""),0.0)</f>
        <v>0</v>
      </c>
      <c r="M52" s="41">
        <f>IFERROR(__xludf.DUMMYFUNCTION("""COMPUTED_VALUE"""),9.0)</f>
        <v>9</v>
      </c>
      <c r="N52" s="42">
        <f>IFERROR(__xludf.DUMMYFUNCTION("""COMPUTED_VALUE"""),9.0)</f>
        <v>9</v>
      </c>
      <c r="O52" s="42">
        <f>IFERROR(__xludf.DUMMYFUNCTION("""COMPUTED_VALUE"""),0.0)</f>
        <v>0</v>
      </c>
      <c r="P52" s="42">
        <f>IFERROR(__xludf.DUMMYFUNCTION("""COMPUTED_VALUE"""),0.0)</f>
        <v>0</v>
      </c>
      <c r="Q52" s="41">
        <f>IFERROR(__xludf.DUMMYFUNCTION("""COMPUTED_VALUE"""),9.0)</f>
        <v>9</v>
      </c>
      <c r="R52" s="42">
        <f>IFERROR(__xludf.DUMMYFUNCTION("""COMPUTED_VALUE"""),9.0)</f>
        <v>9</v>
      </c>
      <c r="S52" s="42">
        <f>IFERROR(__xludf.DUMMYFUNCTION("""COMPUTED_VALUE"""),0.0)</f>
        <v>0</v>
      </c>
      <c r="T52" s="42">
        <f>IFERROR(__xludf.DUMMYFUNCTION("""COMPUTED_VALUE"""),0.0)</f>
        <v>0</v>
      </c>
      <c r="U52" s="41">
        <f>IFERROR(__xludf.DUMMYFUNCTION("""COMPUTED_VALUE"""),9.0)</f>
        <v>9</v>
      </c>
      <c r="V52" s="42">
        <f>IFERROR(__xludf.DUMMYFUNCTION("""COMPUTED_VALUE"""),9.0)</f>
        <v>9</v>
      </c>
      <c r="W52" s="42">
        <f>IFERROR(__xludf.DUMMYFUNCTION("""COMPUTED_VALUE"""),0.0)</f>
        <v>0</v>
      </c>
      <c r="X52" s="42">
        <f>IFERROR(__xludf.DUMMYFUNCTION("""COMPUTED_VALUE"""),0.0)</f>
        <v>0</v>
      </c>
      <c r="Y52" s="41">
        <f>IFERROR(__xludf.DUMMYFUNCTION("""COMPUTED_VALUE"""),9.0)</f>
        <v>9</v>
      </c>
      <c r="Z52" s="42">
        <f>IFERROR(__xludf.DUMMYFUNCTION("""COMPUTED_VALUE"""),9.0)</f>
        <v>9</v>
      </c>
      <c r="AA52" s="42">
        <f>IFERROR(__xludf.DUMMYFUNCTION("""COMPUTED_VALUE"""),0.0)</f>
        <v>0</v>
      </c>
      <c r="AB52" s="42">
        <f>IFERROR(__xludf.DUMMYFUNCTION("""COMPUTED_VALUE"""),0.0)</f>
        <v>0</v>
      </c>
      <c r="AC52" s="41">
        <f>IFERROR(__xludf.DUMMYFUNCTION("""COMPUTED_VALUE"""),9.0)</f>
        <v>9</v>
      </c>
      <c r="AD52" s="42">
        <f>IFERROR(__xludf.DUMMYFUNCTION("""COMPUTED_VALUE"""),9.0)</f>
        <v>9</v>
      </c>
      <c r="AE52" s="42">
        <f>IFERROR(__xludf.DUMMYFUNCTION("""COMPUTED_VALUE"""),0.0)</f>
        <v>0</v>
      </c>
      <c r="AF52" s="42">
        <f>IFERROR(__xludf.DUMMYFUNCTION("""COMPUTED_VALUE"""),0.0)</f>
        <v>0</v>
      </c>
      <c r="AG52" s="41">
        <f>IFERROR(__xludf.DUMMYFUNCTION("""COMPUTED_VALUE"""),1.0)</f>
        <v>1</v>
      </c>
      <c r="AH52" s="42">
        <f>IFERROR(__xludf.DUMMYFUNCTION("""COMPUTED_VALUE"""),1.0)</f>
        <v>1</v>
      </c>
      <c r="AI52" s="42">
        <f>IFERROR(__xludf.DUMMYFUNCTION("""COMPUTED_VALUE"""),0.0)</f>
        <v>0</v>
      </c>
      <c r="AJ52" s="42">
        <f>IFERROR(__xludf.DUMMYFUNCTION("""COMPUTED_VALUE"""),0.0)</f>
        <v>0</v>
      </c>
      <c r="AK52" s="41">
        <f>IFERROR(__xludf.DUMMYFUNCTION("""COMPUTED_VALUE"""),0.0)</f>
        <v>0</v>
      </c>
      <c r="AL52" s="42">
        <f>IFERROR(__xludf.DUMMYFUNCTION("""COMPUTED_VALUE"""),0.0)</f>
        <v>0</v>
      </c>
      <c r="AM52" s="42">
        <f>IFERROR(__xludf.DUMMYFUNCTION("""COMPUTED_VALUE"""),0.0)</f>
        <v>0</v>
      </c>
      <c r="AN52" s="42">
        <f>IFERROR(__xludf.DUMMYFUNCTION("""COMPUTED_VALUE"""),0.0)</f>
        <v>0</v>
      </c>
      <c r="AO52" s="41">
        <f>IFERROR(__xludf.DUMMYFUNCTION("""COMPUTED_VALUE"""),0.0)</f>
        <v>0</v>
      </c>
      <c r="AP52" s="42">
        <f>IFERROR(__xludf.DUMMYFUNCTION("""COMPUTED_VALUE"""),0.0)</f>
        <v>0</v>
      </c>
      <c r="AQ52" s="42">
        <f>IFERROR(__xludf.DUMMYFUNCTION("""COMPUTED_VALUE"""),0.0)</f>
        <v>0</v>
      </c>
      <c r="AR52" s="42">
        <f>IFERROR(__xludf.DUMMYFUNCTION("""COMPUTED_VALUE"""),0.0)</f>
        <v>0</v>
      </c>
      <c r="AS52" s="41">
        <f>IFERROR(__xludf.DUMMYFUNCTION("""COMPUTED_VALUE"""),0.0)</f>
        <v>0</v>
      </c>
      <c r="AT52" s="42">
        <f>IFERROR(__xludf.DUMMYFUNCTION("""COMPUTED_VALUE"""),0.0)</f>
        <v>0</v>
      </c>
      <c r="AU52" s="42">
        <f>IFERROR(__xludf.DUMMYFUNCTION("""COMPUTED_VALUE"""),0.0)</f>
        <v>0</v>
      </c>
      <c r="AV52" s="42">
        <f>IFERROR(__xludf.DUMMYFUNCTION("""COMPUTED_VALUE"""),0.0)</f>
        <v>0</v>
      </c>
      <c r="AW52" s="41">
        <f>IFERROR(__xludf.DUMMYFUNCTION("""COMPUTED_VALUE"""),0.0)</f>
        <v>0</v>
      </c>
      <c r="AX52" s="42">
        <f>IFERROR(__xludf.DUMMYFUNCTION("""COMPUTED_VALUE"""),0.0)</f>
        <v>0</v>
      </c>
      <c r="AY52" s="42">
        <f>IFERROR(__xludf.DUMMYFUNCTION("""COMPUTED_VALUE"""),0.0)</f>
        <v>0</v>
      </c>
      <c r="AZ52" s="43">
        <f>IFERROR(__xludf.DUMMYFUNCTION("""COMPUTED_VALUE"""),0.0)</f>
        <v>0</v>
      </c>
      <c r="BA52" s="34"/>
    </row>
    <row r="53" ht="15.75" customHeight="1">
      <c r="A53" s="29"/>
      <c r="B53" s="196" t="str">
        <f>IFERROR(__xludf.DUMMYFUNCTION("""COMPUTED_VALUE"""),"5.2. Tổng số giáo viên biên chế")</f>
        <v>5.2. Tổng số giáo viên biên chế</v>
      </c>
      <c r="C53" s="57"/>
      <c r="D53" s="57" t="str">
        <f>IFERROR(__xludf.DUMMYFUNCTION("""COMPUTED_VALUE""")," Người")</f>
        <v> Người</v>
      </c>
      <c r="E53" s="125">
        <f>IFERROR(__xludf.DUMMYFUNCTION("""COMPUTED_VALUE"""),331.0)</f>
        <v>331</v>
      </c>
      <c r="F53" s="201">
        <f>IFERROR(__xludf.DUMMYFUNCTION("""COMPUTED_VALUE"""),324.0)</f>
        <v>324</v>
      </c>
      <c r="G53" s="201">
        <f>IFERROR(__xludf.DUMMYFUNCTION("""COMPUTED_VALUE"""),7.0)</f>
        <v>7</v>
      </c>
      <c r="H53" s="201">
        <f>IFERROR(__xludf.DUMMYFUNCTION("""COMPUTED_VALUE"""),0.0)</f>
        <v>0</v>
      </c>
      <c r="I53" s="125">
        <f>IFERROR(__xludf.DUMMYFUNCTION("""COMPUTED_VALUE"""),368.0)</f>
        <v>368</v>
      </c>
      <c r="J53" s="201">
        <f>IFERROR(__xludf.DUMMYFUNCTION("""COMPUTED_VALUE"""),361.0)</f>
        <v>361</v>
      </c>
      <c r="K53" s="201">
        <f>IFERROR(__xludf.DUMMYFUNCTION("""COMPUTED_VALUE"""),7.0)</f>
        <v>7</v>
      </c>
      <c r="L53" s="201">
        <f>IFERROR(__xludf.DUMMYFUNCTION("""COMPUTED_VALUE"""),0.0)</f>
        <v>0</v>
      </c>
      <c r="M53" s="125">
        <f>IFERROR(__xludf.DUMMYFUNCTION("""COMPUTED_VALUE"""),345.0)</f>
        <v>345</v>
      </c>
      <c r="N53" s="201">
        <f>IFERROR(__xludf.DUMMYFUNCTION("""COMPUTED_VALUE"""),338.0)</f>
        <v>338</v>
      </c>
      <c r="O53" s="201">
        <f>IFERROR(__xludf.DUMMYFUNCTION("""COMPUTED_VALUE"""),7.0)</f>
        <v>7</v>
      </c>
      <c r="P53" s="201">
        <f>IFERROR(__xludf.DUMMYFUNCTION("""COMPUTED_VALUE"""),0.0)</f>
        <v>0</v>
      </c>
      <c r="Q53" s="125">
        <f>IFERROR(__xludf.DUMMYFUNCTION("""COMPUTED_VALUE"""),345.0)</f>
        <v>345</v>
      </c>
      <c r="R53" s="201">
        <f>IFERROR(__xludf.DUMMYFUNCTION("""COMPUTED_VALUE"""),338.0)</f>
        <v>338</v>
      </c>
      <c r="S53" s="201">
        <f>IFERROR(__xludf.DUMMYFUNCTION("""COMPUTED_VALUE"""),7.0)</f>
        <v>7</v>
      </c>
      <c r="T53" s="201">
        <f>IFERROR(__xludf.DUMMYFUNCTION("""COMPUTED_VALUE"""),0.0)</f>
        <v>0</v>
      </c>
      <c r="U53" s="125">
        <f>IFERROR(__xludf.DUMMYFUNCTION("""COMPUTED_VALUE"""),345.0)</f>
        <v>345</v>
      </c>
      <c r="V53" s="201">
        <f>IFERROR(__xludf.DUMMYFUNCTION("""COMPUTED_VALUE"""),338.0)</f>
        <v>338</v>
      </c>
      <c r="W53" s="201">
        <f>IFERROR(__xludf.DUMMYFUNCTION("""COMPUTED_VALUE"""),7.0)</f>
        <v>7</v>
      </c>
      <c r="X53" s="201">
        <f>IFERROR(__xludf.DUMMYFUNCTION("""COMPUTED_VALUE"""),0.0)</f>
        <v>0</v>
      </c>
      <c r="Y53" s="125">
        <f>IFERROR(__xludf.DUMMYFUNCTION("""COMPUTED_VALUE"""),345.0)</f>
        <v>345</v>
      </c>
      <c r="Z53" s="201">
        <f>IFERROR(__xludf.DUMMYFUNCTION("""COMPUTED_VALUE"""),338.0)</f>
        <v>338</v>
      </c>
      <c r="AA53" s="201">
        <f>IFERROR(__xludf.DUMMYFUNCTION("""COMPUTED_VALUE"""),7.0)</f>
        <v>7</v>
      </c>
      <c r="AB53" s="201">
        <f>IFERROR(__xludf.DUMMYFUNCTION("""COMPUTED_VALUE"""),0.0)</f>
        <v>0</v>
      </c>
      <c r="AC53" s="125">
        <f>IFERROR(__xludf.DUMMYFUNCTION("""COMPUTED_VALUE"""),384.0)</f>
        <v>384</v>
      </c>
      <c r="AD53" s="201">
        <f>IFERROR(__xludf.DUMMYFUNCTION("""COMPUTED_VALUE"""),377.0)</f>
        <v>377</v>
      </c>
      <c r="AE53" s="201">
        <f>IFERROR(__xludf.DUMMYFUNCTION("""COMPUTED_VALUE"""),7.0)</f>
        <v>7</v>
      </c>
      <c r="AF53" s="201">
        <f>IFERROR(__xludf.DUMMYFUNCTION("""COMPUTED_VALUE"""),0.0)</f>
        <v>0</v>
      </c>
      <c r="AG53" s="125">
        <f>IFERROR(__xludf.DUMMYFUNCTION("""COMPUTED_VALUE"""),42.0)</f>
        <v>42</v>
      </c>
      <c r="AH53" s="201">
        <f>IFERROR(__xludf.DUMMYFUNCTION("""COMPUTED_VALUE"""),35.0)</f>
        <v>35</v>
      </c>
      <c r="AI53" s="201">
        <f>IFERROR(__xludf.DUMMYFUNCTION("""COMPUTED_VALUE"""),7.0)</f>
        <v>7</v>
      </c>
      <c r="AJ53" s="201">
        <f>IFERROR(__xludf.DUMMYFUNCTION("""COMPUTED_VALUE"""),0.0)</f>
        <v>0</v>
      </c>
      <c r="AK53" s="125">
        <f>IFERROR(__xludf.DUMMYFUNCTION("""COMPUTED_VALUE"""),0.0)</f>
        <v>0</v>
      </c>
      <c r="AL53" s="201">
        <f>IFERROR(__xludf.DUMMYFUNCTION("""COMPUTED_VALUE"""),0.0)</f>
        <v>0</v>
      </c>
      <c r="AM53" s="201">
        <f>IFERROR(__xludf.DUMMYFUNCTION("""COMPUTED_VALUE"""),0.0)</f>
        <v>0</v>
      </c>
      <c r="AN53" s="201">
        <f>IFERROR(__xludf.DUMMYFUNCTION("""COMPUTED_VALUE"""),0.0)</f>
        <v>0</v>
      </c>
      <c r="AO53" s="125">
        <f>IFERROR(__xludf.DUMMYFUNCTION("""COMPUTED_VALUE"""),0.0)</f>
        <v>0</v>
      </c>
      <c r="AP53" s="201">
        <f>IFERROR(__xludf.DUMMYFUNCTION("""COMPUTED_VALUE"""),0.0)</f>
        <v>0</v>
      </c>
      <c r="AQ53" s="201">
        <f>IFERROR(__xludf.DUMMYFUNCTION("""COMPUTED_VALUE"""),0.0)</f>
        <v>0</v>
      </c>
      <c r="AR53" s="201">
        <f>IFERROR(__xludf.DUMMYFUNCTION("""COMPUTED_VALUE"""),0.0)</f>
        <v>0</v>
      </c>
      <c r="AS53" s="125">
        <f>IFERROR(__xludf.DUMMYFUNCTION("""COMPUTED_VALUE"""),0.0)</f>
        <v>0</v>
      </c>
      <c r="AT53" s="201">
        <f>IFERROR(__xludf.DUMMYFUNCTION("""COMPUTED_VALUE"""),0.0)</f>
        <v>0</v>
      </c>
      <c r="AU53" s="201">
        <f>IFERROR(__xludf.DUMMYFUNCTION("""COMPUTED_VALUE"""),0.0)</f>
        <v>0</v>
      </c>
      <c r="AV53" s="201">
        <f>IFERROR(__xludf.DUMMYFUNCTION("""COMPUTED_VALUE"""),0.0)</f>
        <v>0</v>
      </c>
      <c r="AW53" s="125">
        <f>IFERROR(__xludf.DUMMYFUNCTION("""COMPUTED_VALUE"""),0.0)</f>
        <v>0</v>
      </c>
      <c r="AX53" s="201">
        <f>IFERROR(__xludf.DUMMYFUNCTION("""COMPUTED_VALUE"""),0.0)</f>
        <v>0</v>
      </c>
      <c r="AY53" s="201">
        <f>IFERROR(__xludf.DUMMYFUNCTION("""COMPUTED_VALUE"""),0.0)</f>
        <v>0</v>
      </c>
      <c r="AZ53" s="202">
        <f>IFERROR(__xludf.DUMMYFUNCTION("""COMPUTED_VALUE"""),0.0)</f>
        <v>0</v>
      </c>
      <c r="BA53" s="34"/>
    </row>
    <row r="54" ht="15.75" customHeight="1">
      <c r="A54" s="29"/>
      <c r="B54" s="52" t="str">
        <f>IFERROR(__xludf.DUMMYFUNCTION("""COMPUTED_VALUE"""),"Trong đó: - Tổng GV cấp Tiểu học")</f>
        <v>Trong đó: - Tổng GV cấp Tiểu học</v>
      </c>
      <c r="C54" s="31"/>
      <c r="D54" s="31" t="str">
        <f>IFERROR(__xludf.DUMMYFUNCTION("""COMPUTED_VALUE""")," Người")</f>
        <v> Người</v>
      </c>
      <c r="E54" s="41">
        <f>IFERROR(__xludf.DUMMYFUNCTION("""COMPUTED_VALUE"""),208.0)</f>
        <v>208</v>
      </c>
      <c r="F54" s="42">
        <f>IFERROR(__xludf.DUMMYFUNCTION("""COMPUTED_VALUE"""),201.0)</f>
        <v>201</v>
      </c>
      <c r="G54" s="42">
        <f>IFERROR(__xludf.DUMMYFUNCTION("""COMPUTED_VALUE"""),7.0)</f>
        <v>7</v>
      </c>
      <c r="H54" s="42">
        <f>IFERROR(__xludf.DUMMYFUNCTION("""COMPUTED_VALUE"""),0.0)</f>
        <v>0</v>
      </c>
      <c r="I54" s="41">
        <f>IFERROR(__xludf.DUMMYFUNCTION("""COMPUTED_VALUE"""),180.0)</f>
        <v>180</v>
      </c>
      <c r="J54" s="42">
        <f>IFERROR(__xludf.DUMMYFUNCTION("""COMPUTED_VALUE"""),173.0)</f>
        <v>173</v>
      </c>
      <c r="K54" s="42">
        <f>IFERROR(__xludf.DUMMYFUNCTION("""COMPUTED_VALUE"""),7.0)</f>
        <v>7</v>
      </c>
      <c r="L54" s="42">
        <f>IFERROR(__xludf.DUMMYFUNCTION("""COMPUTED_VALUE"""),0.0)</f>
        <v>0</v>
      </c>
      <c r="M54" s="41">
        <f>IFERROR(__xludf.DUMMYFUNCTION("""COMPUTED_VALUE"""),159.0)</f>
        <v>159</v>
      </c>
      <c r="N54" s="42">
        <f>IFERROR(__xludf.DUMMYFUNCTION("""COMPUTED_VALUE"""),152.0)</f>
        <v>152</v>
      </c>
      <c r="O54" s="42">
        <f>IFERROR(__xludf.DUMMYFUNCTION("""COMPUTED_VALUE"""),7.0)</f>
        <v>7</v>
      </c>
      <c r="P54" s="42">
        <f>IFERROR(__xludf.DUMMYFUNCTION("""COMPUTED_VALUE"""),0.0)</f>
        <v>0</v>
      </c>
      <c r="Q54" s="41">
        <f>IFERROR(__xludf.DUMMYFUNCTION("""COMPUTED_VALUE"""),159.0)</f>
        <v>159</v>
      </c>
      <c r="R54" s="42">
        <f>IFERROR(__xludf.DUMMYFUNCTION("""COMPUTED_VALUE"""),152.0)</f>
        <v>152</v>
      </c>
      <c r="S54" s="42">
        <f>IFERROR(__xludf.DUMMYFUNCTION("""COMPUTED_VALUE"""),7.0)</f>
        <v>7</v>
      </c>
      <c r="T54" s="42">
        <f>IFERROR(__xludf.DUMMYFUNCTION("""COMPUTED_VALUE"""),0.0)</f>
        <v>0</v>
      </c>
      <c r="U54" s="41">
        <f>IFERROR(__xludf.DUMMYFUNCTION("""COMPUTED_VALUE"""),159.0)</f>
        <v>159</v>
      </c>
      <c r="V54" s="42">
        <f>IFERROR(__xludf.DUMMYFUNCTION("""COMPUTED_VALUE"""),152.0)</f>
        <v>152</v>
      </c>
      <c r="W54" s="42">
        <f>IFERROR(__xludf.DUMMYFUNCTION("""COMPUTED_VALUE"""),7.0)</f>
        <v>7</v>
      </c>
      <c r="X54" s="42">
        <f>IFERROR(__xludf.DUMMYFUNCTION("""COMPUTED_VALUE"""),0.0)</f>
        <v>0</v>
      </c>
      <c r="Y54" s="41">
        <f>IFERROR(__xludf.DUMMYFUNCTION("""COMPUTED_VALUE"""),159.0)</f>
        <v>159</v>
      </c>
      <c r="Z54" s="42">
        <f>IFERROR(__xludf.DUMMYFUNCTION("""COMPUTED_VALUE"""),152.0)</f>
        <v>152</v>
      </c>
      <c r="AA54" s="42">
        <f>IFERROR(__xludf.DUMMYFUNCTION("""COMPUTED_VALUE"""),7.0)</f>
        <v>7</v>
      </c>
      <c r="AB54" s="42">
        <f>IFERROR(__xludf.DUMMYFUNCTION("""COMPUTED_VALUE"""),0.0)</f>
        <v>0</v>
      </c>
      <c r="AC54" s="41">
        <f>IFERROR(__xludf.DUMMYFUNCTION("""COMPUTED_VALUE"""),159.0)</f>
        <v>159</v>
      </c>
      <c r="AD54" s="42">
        <f>IFERROR(__xludf.DUMMYFUNCTION("""COMPUTED_VALUE"""),152.0)</f>
        <v>152</v>
      </c>
      <c r="AE54" s="42">
        <f>IFERROR(__xludf.DUMMYFUNCTION("""COMPUTED_VALUE"""),7.0)</f>
        <v>7</v>
      </c>
      <c r="AF54" s="42">
        <f>IFERROR(__xludf.DUMMYFUNCTION("""COMPUTED_VALUE"""),0.0)</f>
        <v>0</v>
      </c>
      <c r="AG54" s="41">
        <f>IFERROR(__xludf.DUMMYFUNCTION("""COMPUTED_VALUE"""),14.0)</f>
        <v>14</v>
      </c>
      <c r="AH54" s="42">
        <f>IFERROR(__xludf.DUMMYFUNCTION("""COMPUTED_VALUE"""),7.0)</f>
        <v>7</v>
      </c>
      <c r="AI54" s="42">
        <f>IFERROR(__xludf.DUMMYFUNCTION("""COMPUTED_VALUE"""),7.0)</f>
        <v>7</v>
      </c>
      <c r="AJ54" s="42">
        <f>IFERROR(__xludf.DUMMYFUNCTION("""COMPUTED_VALUE"""),0.0)</f>
        <v>0</v>
      </c>
      <c r="AK54" s="41">
        <f>IFERROR(__xludf.DUMMYFUNCTION("""COMPUTED_VALUE"""),0.0)</f>
        <v>0</v>
      </c>
      <c r="AL54" s="42">
        <f>IFERROR(__xludf.DUMMYFUNCTION("""COMPUTED_VALUE"""),0.0)</f>
        <v>0</v>
      </c>
      <c r="AM54" s="42">
        <f>IFERROR(__xludf.DUMMYFUNCTION("""COMPUTED_VALUE"""),0.0)</f>
        <v>0</v>
      </c>
      <c r="AN54" s="42">
        <f>IFERROR(__xludf.DUMMYFUNCTION("""COMPUTED_VALUE"""),0.0)</f>
        <v>0</v>
      </c>
      <c r="AO54" s="41">
        <f>IFERROR(__xludf.DUMMYFUNCTION("""COMPUTED_VALUE"""),0.0)</f>
        <v>0</v>
      </c>
      <c r="AP54" s="42">
        <f>IFERROR(__xludf.DUMMYFUNCTION("""COMPUTED_VALUE"""),0.0)</f>
        <v>0</v>
      </c>
      <c r="AQ54" s="42">
        <f>IFERROR(__xludf.DUMMYFUNCTION("""COMPUTED_VALUE"""),0.0)</f>
        <v>0</v>
      </c>
      <c r="AR54" s="42">
        <f>IFERROR(__xludf.DUMMYFUNCTION("""COMPUTED_VALUE"""),0.0)</f>
        <v>0</v>
      </c>
      <c r="AS54" s="41">
        <f>IFERROR(__xludf.DUMMYFUNCTION("""COMPUTED_VALUE"""),0.0)</f>
        <v>0</v>
      </c>
      <c r="AT54" s="42">
        <f>IFERROR(__xludf.DUMMYFUNCTION("""COMPUTED_VALUE"""),0.0)</f>
        <v>0</v>
      </c>
      <c r="AU54" s="42">
        <f>IFERROR(__xludf.DUMMYFUNCTION("""COMPUTED_VALUE"""),0.0)</f>
        <v>0</v>
      </c>
      <c r="AV54" s="42">
        <f>IFERROR(__xludf.DUMMYFUNCTION("""COMPUTED_VALUE"""),0.0)</f>
        <v>0</v>
      </c>
      <c r="AW54" s="41">
        <f>IFERROR(__xludf.DUMMYFUNCTION("""COMPUTED_VALUE"""),0.0)</f>
        <v>0</v>
      </c>
      <c r="AX54" s="42">
        <f>IFERROR(__xludf.DUMMYFUNCTION("""COMPUTED_VALUE"""),0.0)</f>
        <v>0</v>
      </c>
      <c r="AY54" s="42">
        <f>IFERROR(__xludf.DUMMYFUNCTION("""COMPUTED_VALUE"""),0.0)</f>
        <v>0</v>
      </c>
      <c r="AZ54" s="43">
        <f>IFERROR(__xludf.DUMMYFUNCTION("""COMPUTED_VALUE"""),0.0)</f>
        <v>0</v>
      </c>
      <c r="BA54" s="34"/>
    </row>
    <row r="55" ht="15.75" customHeight="1">
      <c r="A55" s="29"/>
      <c r="B55" s="52" t="str">
        <f>IFERROR(__xludf.DUMMYFUNCTION("""COMPUTED_VALUE"""),"Chia ra:                     ")</f>
        <v>Chia ra:                     </v>
      </c>
      <c r="C55" s="31"/>
      <c r="D55" s="3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50"/>
      <c r="BA55" s="34"/>
    </row>
    <row r="56" ht="15.75" customHeight="1">
      <c r="A56" s="29"/>
      <c r="B56" s="240" t="str">
        <f>IFERROR(__xludf.DUMMYFUNCTION("""COMPUTED_VALUE""")," + Chưa đạt chuẩn")</f>
        <v> + Chưa đạt chuẩn</v>
      </c>
      <c r="C56" s="31"/>
      <c r="D56" s="31" t="str">
        <f>IFERROR(__xludf.DUMMYFUNCTION("""COMPUTED_VALUE""")," Người")</f>
        <v> Người</v>
      </c>
      <c r="E56" s="41">
        <f>IFERROR(__xludf.DUMMYFUNCTION("""COMPUTED_VALUE"""),14.0)</f>
        <v>14</v>
      </c>
      <c r="F56" s="42">
        <f>IFERROR(__xludf.DUMMYFUNCTION("""COMPUTED_VALUE"""),14.0)</f>
        <v>14</v>
      </c>
      <c r="G56" s="42">
        <f>IFERROR(__xludf.DUMMYFUNCTION("""COMPUTED_VALUE"""),0.0)</f>
        <v>0</v>
      </c>
      <c r="H56" s="42">
        <f>IFERROR(__xludf.DUMMYFUNCTION("""COMPUTED_VALUE"""),0.0)</f>
        <v>0</v>
      </c>
      <c r="I56" s="41">
        <f>IFERROR(__xludf.DUMMYFUNCTION("""COMPUTED_VALUE"""),12.0)</f>
        <v>12</v>
      </c>
      <c r="J56" s="42">
        <f>IFERROR(__xludf.DUMMYFUNCTION("""COMPUTED_VALUE"""),12.0)</f>
        <v>12</v>
      </c>
      <c r="K56" s="42">
        <f>IFERROR(__xludf.DUMMYFUNCTION("""COMPUTED_VALUE"""),0.0)</f>
        <v>0</v>
      </c>
      <c r="L56" s="42">
        <f>IFERROR(__xludf.DUMMYFUNCTION("""COMPUTED_VALUE"""),0.0)</f>
        <v>0</v>
      </c>
      <c r="M56" s="41">
        <f>IFERROR(__xludf.DUMMYFUNCTION("""COMPUTED_VALUE"""),27.0)</f>
        <v>27</v>
      </c>
      <c r="N56" s="42">
        <f>IFERROR(__xludf.DUMMYFUNCTION("""COMPUTED_VALUE"""),13.0)</f>
        <v>13</v>
      </c>
      <c r="O56" s="42">
        <f>IFERROR(__xludf.DUMMYFUNCTION("""COMPUTED_VALUE"""),0.0)</f>
        <v>0</v>
      </c>
      <c r="P56" s="42">
        <f>IFERROR(__xludf.DUMMYFUNCTION("""COMPUTED_VALUE"""),14.0)</f>
        <v>14</v>
      </c>
      <c r="Q56" s="41">
        <f>IFERROR(__xludf.DUMMYFUNCTION("""COMPUTED_VALUE"""),27.0)</f>
        <v>27</v>
      </c>
      <c r="R56" s="42">
        <f>IFERROR(__xludf.DUMMYFUNCTION("""COMPUTED_VALUE"""),13.0)</f>
        <v>13</v>
      </c>
      <c r="S56" s="42">
        <f>IFERROR(__xludf.DUMMYFUNCTION("""COMPUTED_VALUE"""),0.0)</f>
        <v>0</v>
      </c>
      <c r="T56" s="42">
        <f>IFERROR(__xludf.DUMMYFUNCTION("""COMPUTED_VALUE"""),14.0)</f>
        <v>14</v>
      </c>
      <c r="U56" s="41">
        <f>IFERROR(__xludf.DUMMYFUNCTION("""COMPUTED_VALUE"""),11.0)</f>
        <v>11</v>
      </c>
      <c r="V56" s="42">
        <f>IFERROR(__xludf.DUMMYFUNCTION("""COMPUTED_VALUE"""),11.0)</f>
        <v>11</v>
      </c>
      <c r="W56" s="42">
        <f>IFERROR(__xludf.DUMMYFUNCTION("""COMPUTED_VALUE"""),0.0)</f>
        <v>0</v>
      </c>
      <c r="X56" s="42">
        <f>IFERROR(__xludf.DUMMYFUNCTION("""COMPUTED_VALUE"""),0.0)</f>
        <v>0</v>
      </c>
      <c r="Y56" s="41">
        <f>IFERROR(__xludf.DUMMYFUNCTION("""COMPUTED_VALUE"""),11.0)</f>
        <v>11</v>
      </c>
      <c r="Z56" s="42">
        <f>IFERROR(__xludf.DUMMYFUNCTION("""COMPUTED_VALUE"""),11.0)</f>
        <v>11</v>
      </c>
      <c r="AA56" s="42">
        <f>IFERROR(__xludf.DUMMYFUNCTION("""COMPUTED_VALUE"""),0.0)</f>
        <v>0</v>
      </c>
      <c r="AB56" s="42">
        <f>IFERROR(__xludf.DUMMYFUNCTION("""COMPUTED_VALUE"""),0.0)</f>
        <v>0</v>
      </c>
      <c r="AC56" s="41">
        <f>IFERROR(__xludf.DUMMYFUNCTION("""COMPUTED_VALUE"""),11.0)</f>
        <v>11</v>
      </c>
      <c r="AD56" s="42">
        <f>IFERROR(__xludf.DUMMYFUNCTION("""COMPUTED_VALUE"""),11.0)</f>
        <v>11</v>
      </c>
      <c r="AE56" s="42">
        <f>IFERROR(__xludf.DUMMYFUNCTION("""COMPUTED_VALUE"""),0.0)</f>
        <v>0</v>
      </c>
      <c r="AF56" s="42">
        <f>IFERROR(__xludf.DUMMYFUNCTION("""COMPUTED_VALUE"""),0.0)</f>
        <v>0</v>
      </c>
      <c r="AG56" s="41">
        <f>IFERROR(__xludf.DUMMYFUNCTION("""COMPUTED_VALUE"""),1.0)</f>
        <v>1</v>
      </c>
      <c r="AH56" s="42">
        <f>IFERROR(__xludf.DUMMYFUNCTION("""COMPUTED_VALUE"""),1.0)</f>
        <v>1</v>
      </c>
      <c r="AI56" s="42">
        <f>IFERROR(__xludf.DUMMYFUNCTION("""COMPUTED_VALUE"""),0.0)</f>
        <v>0</v>
      </c>
      <c r="AJ56" s="42">
        <f>IFERROR(__xludf.DUMMYFUNCTION("""COMPUTED_VALUE"""),0.0)</f>
        <v>0</v>
      </c>
      <c r="AK56" s="41">
        <f>IFERROR(__xludf.DUMMYFUNCTION("""COMPUTED_VALUE"""),0.0)</f>
        <v>0</v>
      </c>
      <c r="AL56" s="42">
        <f>IFERROR(__xludf.DUMMYFUNCTION("""COMPUTED_VALUE"""),0.0)</f>
        <v>0</v>
      </c>
      <c r="AM56" s="42">
        <f>IFERROR(__xludf.DUMMYFUNCTION("""COMPUTED_VALUE"""),0.0)</f>
        <v>0</v>
      </c>
      <c r="AN56" s="42">
        <f>IFERROR(__xludf.DUMMYFUNCTION("""COMPUTED_VALUE"""),0.0)</f>
        <v>0</v>
      </c>
      <c r="AO56" s="41">
        <f>IFERROR(__xludf.DUMMYFUNCTION("""COMPUTED_VALUE"""),0.0)</f>
        <v>0</v>
      </c>
      <c r="AP56" s="42">
        <f>IFERROR(__xludf.DUMMYFUNCTION("""COMPUTED_VALUE"""),0.0)</f>
        <v>0</v>
      </c>
      <c r="AQ56" s="42">
        <f>IFERROR(__xludf.DUMMYFUNCTION("""COMPUTED_VALUE"""),0.0)</f>
        <v>0</v>
      </c>
      <c r="AR56" s="42">
        <f>IFERROR(__xludf.DUMMYFUNCTION("""COMPUTED_VALUE"""),0.0)</f>
        <v>0</v>
      </c>
      <c r="AS56" s="41">
        <f>IFERROR(__xludf.DUMMYFUNCTION("""COMPUTED_VALUE"""),0.0)</f>
        <v>0</v>
      </c>
      <c r="AT56" s="42">
        <f>IFERROR(__xludf.DUMMYFUNCTION("""COMPUTED_VALUE"""),0.0)</f>
        <v>0</v>
      </c>
      <c r="AU56" s="42">
        <f>IFERROR(__xludf.DUMMYFUNCTION("""COMPUTED_VALUE"""),0.0)</f>
        <v>0</v>
      </c>
      <c r="AV56" s="42">
        <f>IFERROR(__xludf.DUMMYFUNCTION("""COMPUTED_VALUE"""),0.0)</f>
        <v>0</v>
      </c>
      <c r="AW56" s="41">
        <f>IFERROR(__xludf.DUMMYFUNCTION("""COMPUTED_VALUE"""),0.0)</f>
        <v>0</v>
      </c>
      <c r="AX56" s="42">
        <f>IFERROR(__xludf.DUMMYFUNCTION("""COMPUTED_VALUE"""),0.0)</f>
        <v>0</v>
      </c>
      <c r="AY56" s="42">
        <f>IFERROR(__xludf.DUMMYFUNCTION("""COMPUTED_VALUE"""),0.0)</f>
        <v>0</v>
      </c>
      <c r="AZ56" s="43">
        <f>IFERROR(__xludf.DUMMYFUNCTION("""COMPUTED_VALUE"""),0.0)</f>
        <v>0</v>
      </c>
      <c r="BA56" s="34"/>
    </row>
    <row r="57" ht="15.75" customHeight="1">
      <c r="A57" s="29"/>
      <c r="B57" s="240" t="str">
        <f>IFERROR(__xludf.DUMMYFUNCTION("""COMPUTED_VALUE""")," + Đạt chuẩn        ")</f>
        <v> + Đạt chuẩn        </v>
      </c>
      <c r="C57" s="31"/>
      <c r="D57" s="31" t="str">
        <f>IFERROR(__xludf.DUMMYFUNCTION("""COMPUTED_VALUE""")," Người")</f>
        <v> Người</v>
      </c>
      <c r="E57" s="41">
        <f>IFERROR(__xludf.DUMMYFUNCTION("""COMPUTED_VALUE"""),194.0)</f>
        <v>194</v>
      </c>
      <c r="F57" s="42">
        <f>IFERROR(__xludf.DUMMYFUNCTION("""COMPUTED_VALUE"""),187.0)</f>
        <v>187</v>
      </c>
      <c r="G57" s="42">
        <f>IFERROR(__xludf.DUMMYFUNCTION("""COMPUTED_VALUE"""),7.0)</f>
        <v>7</v>
      </c>
      <c r="H57" s="42">
        <f>IFERROR(__xludf.DUMMYFUNCTION("""COMPUTED_VALUE"""),0.0)</f>
        <v>0</v>
      </c>
      <c r="I57" s="41">
        <f>IFERROR(__xludf.DUMMYFUNCTION("""COMPUTED_VALUE"""),175.0)</f>
        <v>175</v>
      </c>
      <c r="J57" s="42">
        <f>IFERROR(__xludf.DUMMYFUNCTION("""COMPUTED_VALUE"""),168.0)</f>
        <v>168</v>
      </c>
      <c r="K57" s="42">
        <f>IFERROR(__xludf.DUMMYFUNCTION("""COMPUTED_VALUE"""),7.0)</f>
        <v>7</v>
      </c>
      <c r="L57" s="42">
        <f>IFERROR(__xludf.DUMMYFUNCTION("""COMPUTED_VALUE"""),0.0)</f>
        <v>0</v>
      </c>
      <c r="M57" s="41">
        <f>IFERROR(__xludf.DUMMYFUNCTION("""COMPUTED_VALUE"""),176.0)</f>
        <v>176</v>
      </c>
      <c r="N57" s="42">
        <f>IFERROR(__xludf.DUMMYFUNCTION("""COMPUTED_VALUE"""),167.0)</f>
        <v>167</v>
      </c>
      <c r="O57" s="42">
        <f>IFERROR(__xludf.DUMMYFUNCTION("""COMPUTED_VALUE"""),7.0)</f>
        <v>7</v>
      </c>
      <c r="P57" s="42">
        <f>IFERROR(__xludf.DUMMYFUNCTION("""COMPUTED_VALUE"""),2.0)</f>
        <v>2</v>
      </c>
      <c r="Q57" s="41">
        <f>IFERROR(__xludf.DUMMYFUNCTION("""COMPUTED_VALUE"""),176.0)</f>
        <v>176</v>
      </c>
      <c r="R57" s="42">
        <f>IFERROR(__xludf.DUMMYFUNCTION("""COMPUTED_VALUE"""),167.0)</f>
        <v>167</v>
      </c>
      <c r="S57" s="42">
        <f>IFERROR(__xludf.DUMMYFUNCTION("""COMPUTED_VALUE"""),7.0)</f>
        <v>7</v>
      </c>
      <c r="T57" s="42">
        <f>IFERROR(__xludf.DUMMYFUNCTION("""COMPUTED_VALUE"""),2.0)</f>
        <v>2</v>
      </c>
      <c r="U57" s="41">
        <f>IFERROR(__xludf.DUMMYFUNCTION("""COMPUTED_VALUE"""),176.0)</f>
        <v>176</v>
      </c>
      <c r="V57" s="42">
        <f>IFERROR(__xludf.DUMMYFUNCTION("""COMPUTED_VALUE"""),169.0)</f>
        <v>169</v>
      </c>
      <c r="W57" s="42">
        <f>IFERROR(__xludf.DUMMYFUNCTION("""COMPUTED_VALUE"""),7.0)</f>
        <v>7</v>
      </c>
      <c r="X57" s="42">
        <f>IFERROR(__xludf.DUMMYFUNCTION("""COMPUTED_VALUE"""),0.0)</f>
        <v>0</v>
      </c>
      <c r="Y57" s="41">
        <f>IFERROR(__xludf.DUMMYFUNCTION("""COMPUTED_VALUE"""),176.0)</f>
        <v>176</v>
      </c>
      <c r="Z57" s="42">
        <f>IFERROR(__xludf.DUMMYFUNCTION("""COMPUTED_VALUE"""),169.0)</f>
        <v>169</v>
      </c>
      <c r="AA57" s="42">
        <f>IFERROR(__xludf.DUMMYFUNCTION("""COMPUTED_VALUE"""),7.0)</f>
        <v>7</v>
      </c>
      <c r="AB57" s="42">
        <f>IFERROR(__xludf.DUMMYFUNCTION("""COMPUTED_VALUE"""),0.0)</f>
        <v>0</v>
      </c>
      <c r="AC57" s="41">
        <f>IFERROR(__xludf.DUMMYFUNCTION("""COMPUTED_VALUE"""),176.0)</f>
        <v>176</v>
      </c>
      <c r="AD57" s="42">
        <f>IFERROR(__xludf.DUMMYFUNCTION("""COMPUTED_VALUE"""),169.0)</f>
        <v>169</v>
      </c>
      <c r="AE57" s="42">
        <f>IFERROR(__xludf.DUMMYFUNCTION("""COMPUTED_VALUE"""),7.0)</f>
        <v>7</v>
      </c>
      <c r="AF57" s="42">
        <f>IFERROR(__xludf.DUMMYFUNCTION("""COMPUTED_VALUE"""),0.0)</f>
        <v>0</v>
      </c>
      <c r="AG57" s="41">
        <f>IFERROR(__xludf.DUMMYFUNCTION("""COMPUTED_VALUE"""),41.0)</f>
        <v>41</v>
      </c>
      <c r="AH57" s="42">
        <f>IFERROR(__xludf.DUMMYFUNCTION("""COMPUTED_VALUE"""),34.0)</f>
        <v>34</v>
      </c>
      <c r="AI57" s="42">
        <f>IFERROR(__xludf.DUMMYFUNCTION("""COMPUTED_VALUE"""),7.0)</f>
        <v>7</v>
      </c>
      <c r="AJ57" s="42">
        <f>IFERROR(__xludf.DUMMYFUNCTION("""COMPUTED_VALUE"""),0.0)</f>
        <v>0</v>
      </c>
      <c r="AK57" s="41">
        <f>IFERROR(__xludf.DUMMYFUNCTION("""COMPUTED_VALUE"""),0.0)</f>
        <v>0</v>
      </c>
      <c r="AL57" s="42">
        <f>IFERROR(__xludf.DUMMYFUNCTION("""COMPUTED_VALUE"""),0.0)</f>
        <v>0</v>
      </c>
      <c r="AM57" s="42">
        <f>IFERROR(__xludf.DUMMYFUNCTION("""COMPUTED_VALUE"""),0.0)</f>
        <v>0</v>
      </c>
      <c r="AN57" s="42">
        <f>IFERROR(__xludf.DUMMYFUNCTION("""COMPUTED_VALUE"""),0.0)</f>
        <v>0</v>
      </c>
      <c r="AO57" s="41">
        <f>IFERROR(__xludf.DUMMYFUNCTION("""COMPUTED_VALUE"""),0.0)</f>
        <v>0</v>
      </c>
      <c r="AP57" s="42">
        <f>IFERROR(__xludf.DUMMYFUNCTION("""COMPUTED_VALUE"""),0.0)</f>
        <v>0</v>
      </c>
      <c r="AQ57" s="42">
        <f>IFERROR(__xludf.DUMMYFUNCTION("""COMPUTED_VALUE"""),0.0)</f>
        <v>0</v>
      </c>
      <c r="AR57" s="42">
        <f>IFERROR(__xludf.DUMMYFUNCTION("""COMPUTED_VALUE"""),0.0)</f>
        <v>0</v>
      </c>
      <c r="AS57" s="41">
        <f>IFERROR(__xludf.DUMMYFUNCTION("""COMPUTED_VALUE"""),0.0)</f>
        <v>0</v>
      </c>
      <c r="AT57" s="42">
        <f>IFERROR(__xludf.DUMMYFUNCTION("""COMPUTED_VALUE"""),0.0)</f>
        <v>0</v>
      </c>
      <c r="AU57" s="42">
        <f>IFERROR(__xludf.DUMMYFUNCTION("""COMPUTED_VALUE"""),0.0)</f>
        <v>0</v>
      </c>
      <c r="AV57" s="42">
        <f>IFERROR(__xludf.DUMMYFUNCTION("""COMPUTED_VALUE"""),0.0)</f>
        <v>0</v>
      </c>
      <c r="AW57" s="41">
        <f>IFERROR(__xludf.DUMMYFUNCTION("""COMPUTED_VALUE"""),0.0)</f>
        <v>0</v>
      </c>
      <c r="AX57" s="42">
        <f>IFERROR(__xludf.DUMMYFUNCTION("""COMPUTED_VALUE"""),0.0)</f>
        <v>0</v>
      </c>
      <c r="AY57" s="42">
        <f>IFERROR(__xludf.DUMMYFUNCTION("""COMPUTED_VALUE"""),0.0)</f>
        <v>0</v>
      </c>
      <c r="AZ57" s="43">
        <f>IFERROR(__xludf.DUMMYFUNCTION("""COMPUTED_VALUE"""),0.0)</f>
        <v>0</v>
      </c>
      <c r="BA57" s="34"/>
    </row>
    <row r="58" ht="15.75" customHeight="1">
      <c r="A58" s="29"/>
      <c r="B58" s="240" t="str">
        <f>IFERROR(__xludf.DUMMYFUNCTION("""COMPUTED_VALUE""")," + Trên chuẩn      ")</f>
        <v> + Trên chuẩn      </v>
      </c>
      <c r="C58" s="31"/>
      <c r="D58" s="31" t="str">
        <f>IFERROR(__xludf.DUMMYFUNCTION("""COMPUTED_VALUE""")," Người")</f>
        <v> Người</v>
      </c>
      <c r="E58" s="41">
        <f>IFERROR(__xludf.DUMMYFUNCTION("""COMPUTED_VALUE"""),0.0)</f>
        <v>0</v>
      </c>
      <c r="F58" s="42">
        <f>IFERROR(__xludf.DUMMYFUNCTION("""COMPUTED_VALUE"""),0.0)</f>
        <v>0</v>
      </c>
      <c r="G58" s="42">
        <f>IFERROR(__xludf.DUMMYFUNCTION("""COMPUTED_VALUE"""),0.0)</f>
        <v>0</v>
      </c>
      <c r="H58" s="42">
        <f>IFERROR(__xludf.DUMMYFUNCTION("""COMPUTED_VALUE"""),0.0)</f>
        <v>0</v>
      </c>
      <c r="I58" s="41">
        <f>IFERROR(__xludf.DUMMYFUNCTION("""COMPUTED_VALUE"""),21.0)</f>
        <v>21</v>
      </c>
      <c r="J58" s="42">
        <f>IFERROR(__xludf.DUMMYFUNCTION("""COMPUTED_VALUE"""),21.0)</f>
        <v>21</v>
      </c>
      <c r="K58" s="42">
        <f>IFERROR(__xludf.DUMMYFUNCTION("""COMPUTED_VALUE"""),0.0)</f>
        <v>0</v>
      </c>
      <c r="L58" s="42">
        <f>IFERROR(__xludf.DUMMYFUNCTION("""COMPUTED_VALUE"""),0.0)</f>
        <v>0</v>
      </c>
      <c r="M58" s="41">
        <f>IFERROR(__xludf.DUMMYFUNCTION("""COMPUTED_VALUE"""),0.0)</f>
        <v>0</v>
      </c>
      <c r="N58" s="42">
        <f>IFERROR(__xludf.DUMMYFUNCTION("""COMPUTED_VALUE"""),0.0)</f>
        <v>0</v>
      </c>
      <c r="O58" s="42">
        <f>IFERROR(__xludf.DUMMYFUNCTION("""COMPUTED_VALUE"""),0.0)</f>
        <v>0</v>
      </c>
      <c r="P58" s="42">
        <f>IFERROR(__xludf.DUMMYFUNCTION("""COMPUTED_VALUE"""),0.0)</f>
        <v>0</v>
      </c>
      <c r="Q58" s="41">
        <f>IFERROR(__xludf.DUMMYFUNCTION("""COMPUTED_VALUE"""),0.0)</f>
        <v>0</v>
      </c>
      <c r="R58" s="42">
        <f>IFERROR(__xludf.DUMMYFUNCTION("""COMPUTED_VALUE"""),0.0)</f>
        <v>0</v>
      </c>
      <c r="S58" s="42">
        <f>IFERROR(__xludf.DUMMYFUNCTION("""COMPUTED_VALUE"""),0.0)</f>
        <v>0</v>
      </c>
      <c r="T58" s="42">
        <f>IFERROR(__xludf.DUMMYFUNCTION("""COMPUTED_VALUE"""),0.0)</f>
        <v>0</v>
      </c>
      <c r="U58" s="41">
        <f>IFERROR(__xludf.DUMMYFUNCTION("""COMPUTED_VALUE"""),0.0)</f>
        <v>0</v>
      </c>
      <c r="V58" s="42">
        <f>IFERROR(__xludf.DUMMYFUNCTION("""COMPUTED_VALUE"""),0.0)</f>
        <v>0</v>
      </c>
      <c r="W58" s="42">
        <f>IFERROR(__xludf.DUMMYFUNCTION("""COMPUTED_VALUE"""),0.0)</f>
        <v>0</v>
      </c>
      <c r="X58" s="42">
        <f>IFERROR(__xludf.DUMMYFUNCTION("""COMPUTED_VALUE"""),0.0)</f>
        <v>0</v>
      </c>
      <c r="Y58" s="41">
        <f>IFERROR(__xludf.DUMMYFUNCTION("""COMPUTED_VALUE"""),0.0)</f>
        <v>0</v>
      </c>
      <c r="Z58" s="42">
        <f>IFERROR(__xludf.DUMMYFUNCTION("""COMPUTED_VALUE"""),0.0)</f>
        <v>0</v>
      </c>
      <c r="AA58" s="42">
        <f>IFERROR(__xludf.DUMMYFUNCTION("""COMPUTED_VALUE"""),0.0)</f>
        <v>0</v>
      </c>
      <c r="AB58" s="42">
        <f>IFERROR(__xludf.DUMMYFUNCTION("""COMPUTED_VALUE"""),0.0)</f>
        <v>0</v>
      </c>
      <c r="AC58" s="41">
        <f>IFERROR(__xludf.DUMMYFUNCTION("""COMPUTED_VALUE"""),0.0)</f>
        <v>0</v>
      </c>
      <c r="AD58" s="42">
        <f>IFERROR(__xludf.DUMMYFUNCTION("""COMPUTED_VALUE"""),0.0)</f>
        <v>0</v>
      </c>
      <c r="AE58" s="42">
        <f>IFERROR(__xludf.DUMMYFUNCTION("""COMPUTED_VALUE"""),0.0)</f>
        <v>0</v>
      </c>
      <c r="AF58" s="42">
        <f>IFERROR(__xludf.DUMMYFUNCTION("""COMPUTED_VALUE"""),0.0)</f>
        <v>0</v>
      </c>
      <c r="AG58" s="41">
        <f>IFERROR(__xludf.DUMMYFUNCTION("""COMPUTED_VALUE"""),0.0)</f>
        <v>0</v>
      </c>
      <c r="AH58" s="42">
        <f>IFERROR(__xludf.DUMMYFUNCTION("""COMPUTED_VALUE"""),0.0)</f>
        <v>0</v>
      </c>
      <c r="AI58" s="42">
        <f>IFERROR(__xludf.DUMMYFUNCTION("""COMPUTED_VALUE"""),0.0)</f>
        <v>0</v>
      </c>
      <c r="AJ58" s="42">
        <f>IFERROR(__xludf.DUMMYFUNCTION("""COMPUTED_VALUE"""),0.0)</f>
        <v>0</v>
      </c>
      <c r="AK58" s="41">
        <f>IFERROR(__xludf.DUMMYFUNCTION("""COMPUTED_VALUE"""),0.0)</f>
        <v>0</v>
      </c>
      <c r="AL58" s="42">
        <f>IFERROR(__xludf.DUMMYFUNCTION("""COMPUTED_VALUE"""),0.0)</f>
        <v>0</v>
      </c>
      <c r="AM58" s="42">
        <f>IFERROR(__xludf.DUMMYFUNCTION("""COMPUTED_VALUE"""),0.0)</f>
        <v>0</v>
      </c>
      <c r="AN58" s="42">
        <f>IFERROR(__xludf.DUMMYFUNCTION("""COMPUTED_VALUE"""),0.0)</f>
        <v>0</v>
      </c>
      <c r="AO58" s="41">
        <f>IFERROR(__xludf.DUMMYFUNCTION("""COMPUTED_VALUE"""),0.0)</f>
        <v>0</v>
      </c>
      <c r="AP58" s="42">
        <f>IFERROR(__xludf.DUMMYFUNCTION("""COMPUTED_VALUE"""),0.0)</f>
        <v>0</v>
      </c>
      <c r="AQ58" s="42">
        <f>IFERROR(__xludf.DUMMYFUNCTION("""COMPUTED_VALUE"""),0.0)</f>
        <v>0</v>
      </c>
      <c r="AR58" s="42">
        <f>IFERROR(__xludf.DUMMYFUNCTION("""COMPUTED_VALUE"""),0.0)</f>
        <v>0</v>
      </c>
      <c r="AS58" s="41">
        <f>IFERROR(__xludf.DUMMYFUNCTION("""COMPUTED_VALUE"""),0.0)</f>
        <v>0</v>
      </c>
      <c r="AT58" s="42">
        <f>IFERROR(__xludf.DUMMYFUNCTION("""COMPUTED_VALUE"""),0.0)</f>
        <v>0</v>
      </c>
      <c r="AU58" s="42">
        <f>IFERROR(__xludf.DUMMYFUNCTION("""COMPUTED_VALUE"""),0.0)</f>
        <v>0</v>
      </c>
      <c r="AV58" s="42">
        <f>IFERROR(__xludf.DUMMYFUNCTION("""COMPUTED_VALUE"""),0.0)</f>
        <v>0</v>
      </c>
      <c r="AW58" s="41">
        <f>IFERROR(__xludf.DUMMYFUNCTION("""COMPUTED_VALUE"""),0.0)</f>
        <v>0</v>
      </c>
      <c r="AX58" s="42">
        <f>IFERROR(__xludf.DUMMYFUNCTION("""COMPUTED_VALUE"""),0.0)</f>
        <v>0</v>
      </c>
      <c r="AY58" s="42">
        <f>IFERROR(__xludf.DUMMYFUNCTION("""COMPUTED_VALUE"""),0.0)</f>
        <v>0</v>
      </c>
      <c r="AZ58" s="43">
        <f>IFERROR(__xludf.DUMMYFUNCTION("""COMPUTED_VALUE"""),0.0)</f>
        <v>0</v>
      </c>
      <c r="BA58" s="34"/>
    </row>
    <row r="59" ht="15.75" customHeight="1">
      <c r="A59" s="29"/>
      <c r="B59" s="52" t="str">
        <f>IFERROR(__xludf.DUMMYFUNCTION("""COMPUTED_VALUE""")," - Tổng số GV cấp THCS")</f>
        <v> - Tổng số GV cấp THCS</v>
      </c>
      <c r="C59" s="31"/>
      <c r="D59" s="31" t="str">
        <f>IFERROR(__xludf.DUMMYFUNCTION("""COMPUTED_VALUE""")," Người")</f>
        <v> Người</v>
      </c>
      <c r="E59" s="41">
        <f>IFERROR(__xludf.DUMMYFUNCTION("""COMPUTED_VALUE"""),255.0)</f>
        <v>255</v>
      </c>
      <c r="F59" s="42">
        <f>IFERROR(__xludf.DUMMYFUNCTION("""COMPUTED_VALUE"""),254.0)</f>
        <v>254</v>
      </c>
      <c r="G59" s="42">
        <f>IFERROR(__xludf.DUMMYFUNCTION("""COMPUTED_VALUE"""),1.0)</f>
        <v>1</v>
      </c>
      <c r="H59" s="42">
        <f>IFERROR(__xludf.DUMMYFUNCTION("""COMPUTED_VALUE"""),0.0)</f>
        <v>0</v>
      </c>
      <c r="I59" s="41">
        <f>IFERROR(__xludf.DUMMYFUNCTION("""COMPUTED_VALUE"""),235.0)</f>
        <v>235</v>
      </c>
      <c r="J59" s="42">
        <f>IFERROR(__xludf.DUMMYFUNCTION("""COMPUTED_VALUE"""),234.0)</f>
        <v>234</v>
      </c>
      <c r="K59" s="42">
        <f>IFERROR(__xludf.DUMMYFUNCTION("""COMPUTED_VALUE"""),1.0)</f>
        <v>1</v>
      </c>
      <c r="L59" s="42">
        <f>IFERROR(__xludf.DUMMYFUNCTION("""COMPUTED_VALUE"""),0.0)</f>
        <v>0</v>
      </c>
      <c r="M59" s="41">
        <f>IFERROR(__xludf.DUMMYFUNCTION("""COMPUTED_VALUE"""),219.0)</f>
        <v>219</v>
      </c>
      <c r="N59" s="42">
        <f>IFERROR(__xludf.DUMMYFUNCTION("""COMPUTED_VALUE"""),218.0)</f>
        <v>218</v>
      </c>
      <c r="O59" s="42">
        <f>IFERROR(__xludf.DUMMYFUNCTION("""COMPUTED_VALUE"""),1.0)</f>
        <v>1</v>
      </c>
      <c r="P59" s="42">
        <f>IFERROR(__xludf.DUMMYFUNCTION("""COMPUTED_VALUE"""),0.0)</f>
        <v>0</v>
      </c>
      <c r="Q59" s="41">
        <f>IFERROR(__xludf.DUMMYFUNCTION("""COMPUTED_VALUE"""),217.0)</f>
        <v>217</v>
      </c>
      <c r="R59" s="42">
        <f>IFERROR(__xludf.DUMMYFUNCTION("""COMPUTED_VALUE"""),216.0)</f>
        <v>216</v>
      </c>
      <c r="S59" s="42">
        <f>IFERROR(__xludf.DUMMYFUNCTION("""COMPUTED_VALUE"""),1.0)</f>
        <v>1</v>
      </c>
      <c r="T59" s="42">
        <f>IFERROR(__xludf.DUMMYFUNCTION("""COMPUTED_VALUE"""),0.0)</f>
        <v>0</v>
      </c>
      <c r="U59" s="41">
        <f>IFERROR(__xludf.DUMMYFUNCTION("""COMPUTED_VALUE"""),217.0)</f>
        <v>217</v>
      </c>
      <c r="V59" s="42">
        <f>IFERROR(__xludf.DUMMYFUNCTION("""COMPUTED_VALUE"""),216.0)</f>
        <v>216</v>
      </c>
      <c r="W59" s="42">
        <f>IFERROR(__xludf.DUMMYFUNCTION("""COMPUTED_VALUE"""),1.0)</f>
        <v>1</v>
      </c>
      <c r="X59" s="42">
        <f>IFERROR(__xludf.DUMMYFUNCTION("""COMPUTED_VALUE"""),0.0)</f>
        <v>0</v>
      </c>
      <c r="Y59" s="41">
        <f>IFERROR(__xludf.DUMMYFUNCTION("""COMPUTED_VALUE"""),217.0)</f>
        <v>217</v>
      </c>
      <c r="Z59" s="42">
        <f>IFERROR(__xludf.DUMMYFUNCTION("""COMPUTED_VALUE"""),216.0)</f>
        <v>216</v>
      </c>
      <c r="AA59" s="42">
        <f>IFERROR(__xludf.DUMMYFUNCTION("""COMPUTED_VALUE"""),1.0)</f>
        <v>1</v>
      </c>
      <c r="AB59" s="42">
        <f>IFERROR(__xludf.DUMMYFUNCTION("""COMPUTED_VALUE"""),0.0)</f>
        <v>0</v>
      </c>
      <c r="AC59" s="41">
        <f>IFERROR(__xludf.DUMMYFUNCTION("""COMPUTED_VALUE"""),217.0)</f>
        <v>217</v>
      </c>
      <c r="AD59" s="42">
        <f>IFERROR(__xludf.DUMMYFUNCTION("""COMPUTED_VALUE"""),216.0)</f>
        <v>216</v>
      </c>
      <c r="AE59" s="42">
        <f>IFERROR(__xludf.DUMMYFUNCTION("""COMPUTED_VALUE"""),1.0)</f>
        <v>1</v>
      </c>
      <c r="AF59" s="42">
        <f>IFERROR(__xludf.DUMMYFUNCTION("""COMPUTED_VALUE"""),0.0)</f>
        <v>0</v>
      </c>
      <c r="AG59" s="41">
        <f>IFERROR(__xludf.DUMMYFUNCTION("""COMPUTED_VALUE"""),22.0)</f>
        <v>22</v>
      </c>
      <c r="AH59" s="42">
        <f>IFERROR(__xludf.DUMMYFUNCTION("""COMPUTED_VALUE"""),21.0)</f>
        <v>21</v>
      </c>
      <c r="AI59" s="42">
        <f>IFERROR(__xludf.DUMMYFUNCTION("""COMPUTED_VALUE"""),1.0)</f>
        <v>1</v>
      </c>
      <c r="AJ59" s="42">
        <f>IFERROR(__xludf.DUMMYFUNCTION("""COMPUTED_VALUE"""),0.0)</f>
        <v>0</v>
      </c>
      <c r="AK59" s="41">
        <f>IFERROR(__xludf.DUMMYFUNCTION("""COMPUTED_VALUE"""),0.0)</f>
        <v>0</v>
      </c>
      <c r="AL59" s="42">
        <f>IFERROR(__xludf.DUMMYFUNCTION("""COMPUTED_VALUE"""),0.0)</f>
        <v>0</v>
      </c>
      <c r="AM59" s="42">
        <f>IFERROR(__xludf.DUMMYFUNCTION("""COMPUTED_VALUE"""),0.0)</f>
        <v>0</v>
      </c>
      <c r="AN59" s="42">
        <f>IFERROR(__xludf.DUMMYFUNCTION("""COMPUTED_VALUE"""),0.0)</f>
        <v>0</v>
      </c>
      <c r="AO59" s="41">
        <f>IFERROR(__xludf.DUMMYFUNCTION("""COMPUTED_VALUE"""),0.0)</f>
        <v>0</v>
      </c>
      <c r="AP59" s="42">
        <f>IFERROR(__xludf.DUMMYFUNCTION("""COMPUTED_VALUE"""),0.0)</f>
        <v>0</v>
      </c>
      <c r="AQ59" s="42">
        <f>IFERROR(__xludf.DUMMYFUNCTION("""COMPUTED_VALUE"""),0.0)</f>
        <v>0</v>
      </c>
      <c r="AR59" s="42">
        <f>IFERROR(__xludf.DUMMYFUNCTION("""COMPUTED_VALUE"""),0.0)</f>
        <v>0</v>
      </c>
      <c r="AS59" s="41">
        <f>IFERROR(__xludf.DUMMYFUNCTION("""COMPUTED_VALUE"""),0.0)</f>
        <v>0</v>
      </c>
      <c r="AT59" s="42">
        <f>IFERROR(__xludf.DUMMYFUNCTION("""COMPUTED_VALUE"""),0.0)</f>
        <v>0</v>
      </c>
      <c r="AU59" s="42">
        <f>IFERROR(__xludf.DUMMYFUNCTION("""COMPUTED_VALUE"""),0.0)</f>
        <v>0</v>
      </c>
      <c r="AV59" s="42">
        <f>IFERROR(__xludf.DUMMYFUNCTION("""COMPUTED_VALUE"""),0.0)</f>
        <v>0</v>
      </c>
      <c r="AW59" s="41">
        <f>IFERROR(__xludf.DUMMYFUNCTION("""COMPUTED_VALUE"""),0.0)</f>
        <v>0</v>
      </c>
      <c r="AX59" s="42">
        <f>IFERROR(__xludf.DUMMYFUNCTION("""COMPUTED_VALUE"""),0.0)</f>
        <v>0</v>
      </c>
      <c r="AY59" s="42">
        <f>IFERROR(__xludf.DUMMYFUNCTION("""COMPUTED_VALUE"""),0.0)</f>
        <v>0</v>
      </c>
      <c r="AZ59" s="43">
        <f>IFERROR(__xludf.DUMMYFUNCTION("""COMPUTED_VALUE"""),0.0)</f>
        <v>0</v>
      </c>
      <c r="BA59" s="34"/>
    </row>
    <row r="60" ht="15.75" customHeight="1">
      <c r="A60" s="29"/>
      <c r="B60" s="52" t="str">
        <f>IFERROR(__xludf.DUMMYFUNCTION("""COMPUTED_VALUE"""),"Chia ra:                     ")</f>
        <v>Chia ra:                     </v>
      </c>
      <c r="C60" s="31"/>
      <c r="D60" s="3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50"/>
      <c r="BA60" s="34"/>
    </row>
    <row r="61" ht="15.75" customHeight="1">
      <c r="A61" s="29"/>
      <c r="B61" s="240" t="str">
        <f>IFERROR(__xludf.DUMMYFUNCTION("""COMPUTED_VALUE""")," + Chưa đạt chuẩn")</f>
        <v> + Chưa đạt chuẩn</v>
      </c>
      <c r="C61" s="31"/>
      <c r="D61" s="31" t="str">
        <f>IFERROR(__xludf.DUMMYFUNCTION("""COMPUTED_VALUE""")," Người")</f>
        <v> Người</v>
      </c>
      <c r="E61" s="41">
        <f>IFERROR(__xludf.DUMMYFUNCTION("""COMPUTED_VALUE"""),7.0)</f>
        <v>7</v>
      </c>
      <c r="F61" s="42">
        <f>IFERROR(__xludf.DUMMYFUNCTION("""COMPUTED_VALUE"""),7.0)</f>
        <v>7</v>
      </c>
      <c r="G61" s="42">
        <f>IFERROR(__xludf.DUMMYFUNCTION("""COMPUTED_VALUE"""),0.0)</f>
        <v>0</v>
      </c>
      <c r="H61" s="42">
        <f>IFERROR(__xludf.DUMMYFUNCTION("""COMPUTED_VALUE"""),0.0)</f>
        <v>0</v>
      </c>
      <c r="I61" s="41">
        <f>IFERROR(__xludf.DUMMYFUNCTION("""COMPUTED_VALUE"""),7.0)</f>
        <v>7</v>
      </c>
      <c r="J61" s="42">
        <f>IFERROR(__xludf.DUMMYFUNCTION("""COMPUTED_VALUE"""),7.0)</f>
        <v>7</v>
      </c>
      <c r="K61" s="42">
        <f>IFERROR(__xludf.DUMMYFUNCTION("""COMPUTED_VALUE"""),0.0)</f>
        <v>0</v>
      </c>
      <c r="L61" s="42">
        <f>IFERROR(__xludf.DUMMYFUNCTION("""COMPUTED_VALUE"""),0.0)</f>
        <v>0</v>
      </c>
      <c r="M61" s="41">
        <f>IFERROR(__xludf.DUMMYFUNCTION("""COMPUTED_VALUE"""),10.0)</f>
        <v>10</v>
      </c>
      <c r="N61" s="42">
        <f>IFERROR(__xludf.DUMMYFUNCTION("""COMPUTED_VALUE"""),6.0)</f>
        <v>6</v>
      </c>
      <c r="O61" s="42">
        <f>IFERROR(__xludf.DUMMYFUNCTION("""COMPUTED_VALUE"""),0.0)</f>
        <v>0</v>
      </c>
      <c r="P61" s="42">
        <f>IFERROR(__xludf.DUMMYFUNCTION("""COMPUTED_VALUE"""),4.0)</f>
        <v>4</v>
      </c>
      <c r="Q61" s="41">
        <f>IFERROR(__xludf.DUMMYFUNCTION("""COMPUTED_VALUE"""),10.0)</f>
        <v>10</v>
      </c>
      <c r="R61" s="42">
        <f>IFERROR(__xludf.DUMMYFUNCTION("""COMPUTED_VALUE"""),6.0)</f>
        <v>6</v>
      </c>
      <c r="S61" s="42">
        <f>IFERROR(__xludf.DUMMYFUNCTION("""COMPUTED_VALUE"""),0.0)</f>
        <v>0</v>
      </c>
      <c r="T61" s="42">
        <f>IFERROR(__xludf.DUMMYFUNCTION("""COMPUTED_VALUE"""),4.0)</f>
        <v>4</v>
      </c>
      <c r="U61" s="41">
        <f>IFERROR(__xludf.DUMMYFUNCTION("""COMPUTED_VALUE"""),6.0)</f>
        <v>6</v>
      </c>
      <c r="V61" s="42">
        <f>IFERROR(__xludf.DUMMYFUNCTION("""COMPUTED_VALUE"""),6.0)</f>
        <v>6</v>
      </c>
      <c r="W61" s="42">
        <f>IFERROR(__xludf.DUMMYFUNCTION("""COMPUTED_VALUE"""),0.0)</f>
        <v>0</v>
      </c>
      <c r="X61" s="42">
        <f>IFERROR(__xludf.DUMMYFUNCTION("""COMPUTED_VALUE"""),0.0)</f>
        <v>0</v>
      </c>
      <c r="Y61" s="41">
        <f>IFERROR(__xludf.DUMMYFUNCTION("""COMPUTED_VALUE"""),6.0)</f>
        <v>6</v>
      </c>
      <c r="Z61" s="42">
        <f>IFERROR(__xludf.DUMMYFUNCTION("""COMPUTED_VALUE"""),6.0)</f>
        <v>6</v>
      </c>
      <c r="AA61" s="42">
        <f>IFERROR(__xludf.DUMMYFUNCTION("""COMPUTED_VALUE"""),0.0)</f>
        <v>0</v>
      </c>
      <c r="AB61" s="42">
        <f>IFERROR(__xludf.DUMMYFUNCTION("""COMPUTED_VALUE"""),0.0)</f>
        <v>0</v>
      </c>
      <c r="AC61" s="41">
        <f>IFERROR(__xludf.DUMMYFUNCTION("""COMPUTED_VALUE"""),6.0)</f>
        <v>6</v>
      </c>
      <c r="AD61" s="42">
        <f>IFERROR(__xludf.DUMMYFUNCTION("""COMPUTED_VALUE"""),6.0)</f>
        <v>6</v>
      </c>
      <c r="AE61" s="42">
        <f>IFERROR(__xludf.DUMMYFUNCTION("""COMPUTED_VALUE"""),0.0)</f>
        <v>0</v>
      </c>
      <c r="AF61" s="42">
        <f>IFERROR(__xludf.DUMMYFUNCTION("""COMPUTED_VALUE"""),0.0)</f>
        <v>0</v>
      </c>
      <c r="AG61" s="41">
        <f>IFERROR(__xludf.DUMMYFUNCTION("""COMPUTED_VALUE"""),1.0)</f>
        <v>1</v>
      </c>
      <c r="AH61" s="42">
        <f>IFERROR(__xludf.DUMMYFUNCTION("""COMPUTED_VALUE"""),1.0)</f>
        <v>1</v>
      </c>
      <c r="AI61" s="42">
        <f>IFERROR(__xludf.DUMMYFUNCTION("""COMPUTED_VALUE"""),0.0)</f>
        <v>0</v>
      </c>
      <c r="AJ61" s="42">
        <f>IFERROR(__xludf.DUMMYFUNCTION("""COMPUTED_VALUE"""),0.0)</f>
        <v>0</v>
      </c>
      <c r="AK61" s="41">
        <f>IFERROR(__xludf.DUMMYFUNCTION("""COMPUTED_VALUE"""),0.0)</f>
        <v>0</v>
      </c>
      <c r="AL61" s="42">
        <f>IFERROR(__xludf.DUMMYFUNCTION("""COMPUTED_VALUE"""),0.0)</f>
        <v>0</v>
      </c>
      <c r="AM61" s="42">
        <f>IFERROR(__xludf.DUMMYFUNCTION("""COMPUTED_VALUE"""),0.0)</f>
        <v>0</v>
      </c>
      <c r="AN61" s="42">
        <f>IFERROR(__xludf.DUMMYFUNCTION("""COMPUTED_VALUE"""),0.0)</f>
        <v>0</v>
      </c>
      <c r="AO61" s="41">
        <f>IFERROR(__xludf.DUMMYFUNCTION("""COMPUTED_VALUE"""),0.0)</f>
        <v>0</v>
      </c>
      <c r="AP61" s="42">
        <f>IFERROR(__xludf.DUMMYFUNCTION("""COMPUTED_VALUE"""),0.0)</f>
        <v>0</v>
      </c>
      <c r="AQ61" s="42">
        <f>IFERROR(__xludf.DUMMYFUNCTION("""COMPUTED_VALUE"""),0.0)</f>
        <v>0</v>
      </c>
      <c r="AR61" s="42">
        <f>IFERROR(__xludf.DUMMYFUNCTION("""COMPUTED_VALUE"""),0.0)</f>
        <v>0</v>
      </c>
      <c r="AS61" s="41">
        <f>IFERROR(__xludf.DUMMYFUNCTION("""COMPUTED_VALUE"""),0.0)</f>
        <v>0</v>
      </c>
      <c r="AT61" s="42">
        <f>IFERROR(__xludf.DUMMYFUNCTION("""COMPUTED_VALUE"""),0.0)</f>
        <v>0</v>
      </c>
      <c r="AU61" s="42">
        <f>IFERROR(__xludf.DUMMYFUNCTION("""COMPUTED_VALUE"""),0.0)</f>
        <v>0</v>
      </c>
      <c r="AV61" s="42">
        <f>IFERROR(__xludf.DUMMYFUNCTION("""COMPUTED_VALUE"""),0.0)</f>
        <v>0</v>
      </c>
      <c r="AW61" s="41">
        <f>IFERROR(__xludf.DUMMYFUNCTION("""COMPUTED_VALUE"""),0.0)</f>
        <v>0</v>
      </c>
      <c r="AX61" s="42">
        <f>IFERROR(__xludf.DUMMYFUNCTION("""COMPUTED_VALUE"""),0.0)</f>
        <v>0</v>
      </c>
      <c r="AY61" s="42">
        <f>IFERROR(__xludf.DUMMYFUNCTION("""COMPUTED_VALUE"""),0.0)</f>
        <v>0</v>
      </c>
      <c r="AZ61" s="43">
        <f>IFERROR(__xludf.DUMMYFUNCTION("""COMPUTED_VALUE"""),0.0)</f>
        <v>0</v>
      </c>
      <c r="BA61" s="34"/>
    </row>
    <row r="62" ht="15.75" customHeight="1">
      <c r="A62" s="29"/>
      <c r="B62" s="240" t="str">
        <f>IFERROR(__xludf.DUMMYFUNCTION("""COMPUTED_VALUE""")," + Đạt chuẩn        ")</f>
        <v> + Đạt chuẩn        </v>
      </c>
      <c r="C62" s="31"/>
      <c r="D62" s="31" t="str">
        <f>IFERROR(__xludf.DUMMYFUNCTION("""COMPUTED_VALUE""")," Người")</f>
        <v> Người</v>
      </c>
      <c r="E62" s="41">
        <f>IFERROR(__xludf.DUMMYFUNCTION("""COMPUTED_VALUE"""),246.0)</f>
        <v>246</v>
      </c>
      <c r="F62" s="42">
        <f>IFERROR(__xludf.DUMMYFUNCTION("""COMPUTED_VALUE"""),245.0)</f>
        <v>245</v>
      </c>
      <c r="G62" s="42">
        <f>IFERROR(__xludf.DUMMYFUNCTION("""COMPUTED_VALUE"""),1.0)</f>
        <v>1</v>
      </c>
      <c r="H62" s="42">
        <f>IFERROR(__xludf.DUMMYFUNCTION("""COMPUTED_VALUE"""),0.0)</f>
        <v>0</v>
      </c>
      <c r="I62" s="41">
        <f>IFERROR(__xludf.DUMMYFUNCTION("""COMPUTED_VALUE"""),246.0)</f>
        <v>246</v>
      </c>
      <c r="J62" s="42">
        <f>IFERROR(__xludf.DUMMYFUNCTION("""COMPUTED_VALUE"""),245.0)</f>
        <v>245</v>
      </c>
      <c r="K62" s="42">
        <f>IFERROR(__xludf.DUMMYFUNCTION("""COMPUTED_VALUE"""),1.0)</f>
        <v>1</v>
      </c>
      <c r="L62" s="42">
        <f>IFERROR(__xludf.DUMMYFUNCTION("""COMPUTED_VALUE"""),0.0)</f>
        <v>0</v>
      </c>
      <c r="M62" s="41">
        <f>IFERROR(__xludf.DUMMYFUNCTION("""COMPUTED_VALUE"""),217.0)</f>
        <v>217</v>
      </c>
      <c r="N62" s="42">
        <f>IFERROR(__xludf.DUMMYFUNCTION("""COMPUTED_VALUE"""),211.0)</f>
        <v>211</v>
      </c>
      <c r="O62" s="42">
        <f>IFERROR(__xludf.DUMMYFUNCTION("""COMPUTED_VALUE"""),1.0)</f>
        <v>1</v>
      </c>
      <c r="P62" s="42">
        <f>IFERROR(__xludf.DUMMYFUNCTION("""COMPUTED_VALUE"""),5.0)</f>
        <v>5</v>
      </c>
      <c r="Q62" s="41">
        <f>IFERROR(__xludf.DUMMYFUNCTION("""COMPUTED_VALUE"""),215.0)</f>
        <v>215</v>
      </c>
      <c r="R62" s="42">
        <f>IFERROR(__xludf.DUMMYFUNCTION("""COMPUTED_VALUE"""),209.0)</f>
        <v>209</v>
      </c>
      <c r="S62" s="42">
        <f>IFERROR(__xludf.DUMMYFUNCTION("""COMPUTED_VALUE"""),1.0)</f>
        <v>1</v>
      </c>
      <c r="T62" s="42">
        <f>IFERROR(__xludf.DUMMYFUNCTION("""COMPUTED_VALUE"""),5.0)</f>
        <v>5</v>
      </c>
      <c r="U62" s="41">
        <f>IFERROR(__xludf.DUMMYFUNCTION("""COMPUTED_VALUE"""),210.0)</f>
        <v>210</v>
      </c>
      <c r="V62" s="42">
        <f>IFERROR(__xludf.DUMMYFUNCTION("""COMPUTED_VALUE"""),209.0)</f>
        <v>209</v>
      </c>
      <c r="W62" s="42">
        <f>IFERROR(__xludf.DUMMYFUNCTION("""COMPUTED_VALUE"""),1.0)</f>
        <v>1</v>
      </c>
      <c r="X62" s="42">
        <f>IFERROR(__xludf.DUMMYFUNCTION("""COMPUTED_VALUE"""),0.0)</f>
        <v>0</v>
      </c>
      <c r="Y62" s="41">
        <f>IFERROR(__xludf.DUMMYFUNCTION("""COMPUTED_VALUE"""),210.0)</f>
        <v>210</v>
      </c>
      <c r="Z62" s="42">
        <f>IFERROR(__xludf.DUMMYFUNCTION("""COMPUTED_VALUE"""),209.0)</f>
        <v>209</v>
      </c>
      <c r="AA62" s="42">
        <f>IFERROR(__xludf.DUMMYFUNCTION("""COMPUTED_VALUE"""),1.0)</f>
        <v>1</v>
      </c>
      <c r="AB62" s="42">
        <f>IFERROR(__xludf.DUMMYFUNCTION("""COMPUTED_VALUE"""),0.0)</f>
        <v>0</v>
      </c>
      <c r="AC62" s="41">
        <f>IFERROR(__xludf.DUMMYFUNCTION("""COMPUTED_VALUE"""),210.0)</f>
        <v>210</v>
      </c>
      <c r="AD62" s="42">
        <f>IFERROR(__xludf.DUMMYFUNCTION("""COMPUTED_VALUE"""),209.0)</f>
        <v>209</v>
      </c>
      <c r="AE62" s="42">
        <f>IFERROR(__xludf.DUMMYFUNCTION("""COMPUTED_VALUE"""),1.0)</f>
        <v>1</v>
      </c>
      <c r="AF62" s="42">
        <f>IFERROR(__xludf.DUMMYFUNCTION("""COMPUTED_VALUE"""),0.0)</f>
        <v>0</v>
      </c>
      <c r="AG62" s="41">
        <f>IFERROR(__xludf.DUMMYFUNCTION("""COMPUTED_VALUE"""),21.0)</f>
        <v>21</v>
      </c>
      <c r="AH62" s="42">
        <f>IFERROR(__xludf.DUMMYFUNCTION("""COMPUTED_VALUE"""),20.0)</f>
        <v>20</v>
      </c>
      <c r="AI62" s="42">
        <f>IFERROR(__xludf.DUMMYFUNCTION("""COMPUTED_VALUE"""),1.0)</f>
        <v>1</v>
      </c>
      <c r="AJ62" s="42">
        <f>IFERROR(__xludf.DUMMYFUNCTION("""COMPUTED_VALUE"""),0.0)</f>
        <v>0</v>
      </c>
      <c r="AK62" s="41">
        <f>IFERROR(__xludf.DUMMYFUNCTION("""COMPUTED_VALUE"""),0.0)</f>
        <v>0</v>
      </c>
      <c r="AL62" s="42">
        <f>IFERROR(__xludf.DUMMYFUNCTION("""COMPUTED_VALUE"""),0.0)</f>
        <v>0</v>
      </c>
      <c r="AM62" s="42">
        <f>IFERROR(__xludf.DUMMYFUNCTION("""COMPUTED_VALUE"""),0.0)</f>
        <v>0</v>
      </c>
      <c r="AN62" s="42">
        <f>IFERROR(__xludf.DUMMYFUNCTION("""COMPUTED_VALUE"""),0.0)</f>
        <v>0</v>
      </c>
      <c r="AO62" s="41">
        <f>IFERROR(__xludf.DUMMYFUNCTION("""COMPUTED_VALUE"""),0.0)</f>
        <v>0</v>
      </c>
      <c r="AP62" s="42">
        <f>IFERROR(__xludf.DUMMYFUNCTION("""COMPUTED_VALUE"""),0.0)</f>
        <v>0</v>
      </c>
      <c r="AQ62" s="42">
        <f>IFERROR(__xludf.DUMMYFUNCTION("""COMPUTED_VALUE"""),0.0)</f>
        <v>0</v>
      </c>
      <c r="AR62" s="42">
        <f>IFERROR(__xludf.DUMMYFUNCTION("""COMPUTED_VALUE"""),0.0)</f>
        <v>0</v>
      </c>
      <c r="AS62" s="41">
        <f>IFERROR(__xludf.DUMMYFUNCTION("""COMPUTED_VALUE"""),0.0)</f>
        <v>0</v>
      </c>
      <c r="AT62" s="42">
        <f>IFERROR(__xludf.DUMMYFUNCTION("""COMPUTED_VALUE"""),0.0)</f>
        <v>0</v>
      </c>
      <c r="AU62" s="42">
        <f>IFERROR(__xludf.DUMMYFUNCTION("""COMPUTED_VALUE"""),0.0)</f>
        <v>0</v>
      </c>
      <c r="AV62" s="42">
        <f>IFERROR(__xludf.DUMMYFUNCTION("""COMPUTED_VALUE"""),0.0)</f>
        <v>0</v>
      </c>
      <c r="AW62" s="41">
        <f>IFERROR(__xludf.DUMMYFUNCTION("""COMPUTED_VALUE"""),0.0)</f>
        <v>0</v>
      </c>
      <c r="AX62" s="42">
        <f>IFERROR(__xludf.DUMMYFUNCTION("""COMPUTED_VALUE"""),0.0)</f>
        <v>0</v>
      </c>
      <c r="AY62" s="42">
        <f>IFERROR(__xludf.DUMMYFUNCTION("""COMPUTED_VALUE"""),0.0)</f>
        <v>0</v>
      </c>
      <c r="AZ62" s="43">
        <f>IFERROR(__xludf.DUMMYFUNCTION("""COMPUTED_VALUE"""),0.0)</f>
        <v>0</v>
      </c>
      <c r="BA62" s="34"/>
    </row>
    <row r="63" ht="15.75" customHeight="1">
      <c r="A63" s="29"/>
      <c r="B63" s="240" t="str">
        <f>IFERROR(__xludf.DUMMYFUNCTION("""COMPUTED_VALUE""")," + Trên chuẩn      ")</f>
        <v> + Trên chuẩn      </v>
      </c>
      <c r="C63" s="31"/>
      <c r="D63" s="31" t="str">
        <f>IFERROR(__xludf.DUMMYFUNCTION("""COMPUTED_VALUE""")," Người")</f>
        <v> Người</v>
      </c>
      <c r="E63" s="41">
        <f>IFERROR(__xludf.DUMMYFUNCTION("""COMPUTED_VALUE"""),2.0)</f>
        <v>2</v>
      </c>
      <c r="F63" s="42">
        <f>IFERROR(__xludf.DUMMYFUNCTION("""COMPUTED_VALUE"""),2.0)</f>
        <v>2</v>
      </c>
      <c r="G63" s="42">
        <f>IFERROR(__xludf.DUMMYFUNCTION("""COMPUTED_VALUE"""),0.0)</f>
        <v>0</v>
      </c>
      <c r="H63" s="42">
        <f>IFERROR(__xludf.DUMMYFUNCTION("""COMPUTED_VALUE"""),0.0)</f>
        <v>0</v>
      </c>
      <c r="I63" s="41">
        <f>IFERROR(__xludf.DUMMYFUNCTION("""COMPUTED_VALUE"""),2.0)</f>
        <v>2</v>
      </c>
      <c r="J63" s="42">
        <f>IFERROR(__xludf.DUMMYFUNCTION("""COMPUTED_VALUE"""),2.0)</f>
        <v>2</v>
      </c>
      <c r="K63" s="42">
        <f>IFERROR(__xludf.DUMMYFUNCTION("""COMPUTED_VALUE"""),0.0)</f>
        <v>0</v>
      </c>
      <c r="L63" s="42">
        <f>IFERROR(__xludf.DUMMYFUNCTION("""COMPUTED_VALUE"""),0.0)</f>
        <v>0</v>
      </c>
      <c r="M63" s="41">
        <f>IFERROR(__xludf.DUMMYFUNCTION("""COMPUTED_VALUE"""),1.0)</f>
        <v>1</v>
      </c>
      <c r="N63" s="42">
        <f>IFERROR(__xludf.DUMMYFUNCTION("""COMPUTED_VALUE"""),1.0)</f>
        <v>1</v>
      </c>
      <c r="O63" s="42">
        <f>IFERROR(__xludf.DUMMYFUNCTION("""COMPUTED_VALUE"""),0.0)</f>
        <v>0</v>
      </c>
      <c r="P63" s="42">
        <f>IFERROR(__xludf.DUMMYFUNCTION("""COMPUTED_VALUE"""),0.0)</f>
        <v>0</v>
      </c>
      <c r="Q63" s="41">
        <f>IFERROR(__xludf.DUMMYFUNCTION("""COMPUTED_VALUE"""),1.0)</f>
        <v>1</v>
      </c>
      <c r="R63" s="42">
        <f>IFERROR(__xludf.DUMMYFUNCTION("""COMPUTED_VALUE"""),1.0)</f>
        <v>1</v>
      </c>
      <c r="S63" s="42">
        <f>IFERROR(__xludf.DUMMYFUNCTION("""COMPUTED_VALUE"""),0.0)</f>
        <v>0</v>
      </c>
      <c r="T63" s="42">
        <f>IFERROR(__xludf.DUMMYFUNCTION("""COMPUTED_VALUE"""),0.0)</f>
        <v>0</v>
      </c>
      <c r="U63" s="41">
        <f>IFERROR(__xludf.DUMMYFUNCTION("""COMPUTED_VALUE"""),1.0)</f>
        <v>1</v>
      </c>
      <c r="V63" s="42">
        <f>IFERROR(__xludf.DUMMYFUNCTION("""COMPUTED_VALUE"""),1.0)</f>
        <v>1</v>
      </c>
      <c r="W63" s="42">
        <f>IFERROR(__xludf.DUMMYFUNCTION("""COMPUTED_VALUE"""),0.0)</f>
        <v>0</v>
      </c>
      <c r="X63" s="42">
        <f>IFERROR(__xludf.DUMMYFUNCTION("""COMPUTED_VALUE"""),0.0)</f>
        <v>0</v>
      </c>
      <c r="Y63" s="41">
        <f>IFERROR(__xludf.DUMMYFUNCTION("""COMPUTED_VALUE"""),1.0)</f>
        <v>1</v>
      </c>
      <c r="Z63" s="42">
        <f>IFERROR(__xludf.DUMMYFUNCTION("""COMPUTED_VALUE"""),1.0)</f>
        <v>1</v>
      </c>
      <c r="AA63" s="42">
        <f>IFERROR(__xludf.DUMMYFUNCTION("""COMPUTED_VALUE"""),0.0)</f>
        <v>0</v>
      </c>
      <c r="AB63" s="42">
        <f>IFERROR(__xludf.DUMMYFUNCTION("""COMPUTED_VALUE"""),0.0)</f>
        <v>0</v>
      </c>
      <c r="AC63" s="41">
        <f>IFERROR(__xludf.DUMMYFUNCTION("""COMPUTED_VALUE"""),1.0)</f>
        <v>1</v>
      </c>
      <c r="AD63" s="42">
        <f>IFERROR(__xludf.DUMMYFUNCTION("""COMPUTED_VALUE"""),1.0)</f>
        <v>1</v>
      </c>
      <c r="AE63" s="42">
        <f>IFERROR(__xludf.DUMMYFUNCTION("""COMPUTED_VALUE"""),0.0)</f>
        <v>0</v>
      </c>
      <c r="AF63" s="42">
        <f>IFERROR(__xludf.DUMMYFUNCTION("""COMPUTED_VALUE"""),0.0)</f>
        <v>0</v>
      </c>
      <c r="AG63" s="41">
        <f>IFERROR(__xludf.DUMMYFUNCTION("""COMPUTED_VALUE"""),0.0)</f>
        <v>0</v>
      </c>
      <c r="AH63" s="42">
        <f>IFERROR(__xludf.DUMMYFUNCTION("""COMPUTED_VALUE"""),0.0)</f>
        <v>0</v>
      </c>
      <c r="AI63" s="42">
        <f>IFERROR(__xludf.DUMMYFUNCTION("""COMPUTED_VALUE"""),0.0)</f>
        <v>0</v>
      </c>
      <c r="AJ63" s="42">
        <f>IFERROR(__xludf.DUMMYFUNCTION("""COMPUTED_VALUE"""),0.0)</f>
        <v>0</v>
      </c>
      <c r="AK63" s="41">
        <f>IFERROR(__xludf.DUMMYFUNCTION("""COMPUTED_VALUE"""),0.0)</f>
        <v>0</v>
      </c>
      <c r="AL63" s="42">
        <f>IFERROR(__xludf.DUMMYFUNCTION("""COMPUTED_VALUE"""),0.0)</f>
        <v>0</v>
      </c>
      <c r="AM63" s="42">
        <f>IFERROR(__xludf.DUMMYFUNCTION("""COMPUTED_VALUE"""),0.0)</f>
        <v>0</v>
      </c>
      <c r="AN63" s="42">
        <f>IFERROR(__xludf.DUMMYFUNCTION("""COMPUTED_VALUE"""),0.0)</f>
        <v>0</v>
      </c>
      <c r="AO63" s="41">
        <f>IFERROR(__xludf.DUMMYFUNCTION("""COMPUTED_VALUE"""),0.0)</f>
        <v>0</v>
      </c>
      <c r="AP63" s="42">
        <f>IFERROR(__xludf.DUMMYFUNCTION("""COMPUTED_VALUE"""),0.0)</f>
        <v>0</v>
      </c>
      <c r="AQ63" s="42">
        <f>IFERROR(__xludf.DUMMYFUNCTION("""COMPUTED_VALUE"""),0.0)</f>
        <v>0</v>
      </c>
      <c r="AR63" s="42">
        <f>IFERROR(__xludf.DUMMYFUNCTION("""COMPUTED_VALUE"""),0.0)</f>
        <v>0</v>
      </c>
      <c r="AS63" s="41">
        <f>IFERROR(__xludf.DUMMYFUNCTION("""COMPUTED_VALUE"""),0.0)</f>
        <v>0</v>
      </c>
      <c r="AT63" s="42">
        <f>IFERROR(__xludf.DUMMYFUNCTION("""COMPUTED_VALUE"""),0.0)</f>
        <v>0</v>
      </c>
      <c r="AU63" s="42">
        <f>IFERROR(__xludf.DUMMYFUNCTION("""COMPUTED_VALUE"""),0.0)</f>
        <v>0</v>
      </c>
      <c r="AV63" s="42">
        <f>IFERROR(__xludf.DUMMYFUNCTION("""COMPUTED_VALUE"""),0.0)</f>
        <v>0</v>
      </c>
      <c r="AW63" s="41">
        <f>IFERROR(__xludf.DUMMYFUNCTION("""COMPUTED_VALUE"""),0.0)</f>
        <v>0</v>
      </c>
      <c r="AX63" s="42">
        <f>IFERROR(__xludf.DUMMYFUNCTION("""COMPUTED_VALUE"""),0.0)</f>
        <v>0</v>
      </c>
      <c r="AY63" s="42">
        <f>IFERROR(__xludf.DUMMYFUNCTION("""COMPUTED_VALUE"""),0.0)</f>
        <v>0</v>
      </c>
      <c r="AZ63" s="43">
        <f>IFERROR(__xludf.DUMMYFUNCTION("""COMPUTED_VALUE"""),0.0)</f>
        <v>0</v>
      </c>
      <c r="BA63" s="34"/>
    </row>
    <row r="64" ht="15.75" customHeight="1">
      <c r="A64" s="29"/>
      <c r="B64" s="196" t="str">
        <f>IFERROR(__xludf.DUMMYFUNCTION("""COMPUTED_VALUE"""),"5.3. Tổng số giáo viên hợp đồng")</f>
        <v>5.3. Tổng số giáo viên hợp đồng</v>
      </c>
      <c r="C64" s="57"/>
      <c r="D64" s="57" t="str">
        <f>IFERROR(__xludf.DUMMYFUNCTION("""COMPUTED_VALUE""")," Người")</f>
        <v> Người</v>
      </c>
      <c r="E64" s="125">
        <f>IFERROR(__xludf.DUMMYFUNCTION("""COMPUTED_VALUE"""),39.0)</f>
        <v>39</v>
      </c>
      <c r="F64" s="201">
        <f>IFERROR(__xludf.DUMMYFUNCTION("""COMPUTED_VALUE"""),3.0)</f>
        <v>3</v>
      </c>
      <c r="G64" s="201">
        <f>IFERROR(__xludf.DUMMYFUNCTION("""COMPUTED_VALUE"""),12.0)</f>
        <v>12</v>
      </c>
      <c r="H64" s="201">
        <f>IFERROR(__xludf.DUMMYFUNCTION("""COMPUTED_VALUE"""),24.0)</f>
        <v>24</v>
      </c>
      <c r="I64" s="125">
        <f>IFERROR(__xludf.DUMMYFUNCTION("""COMPUTED_VALUE"""),39.0)</f>
        <v>39</v>
      </c>
      <c r="J64" s="201">
        <f>IFERROR(__xludf.DUMMYFUNCTION("""COMPUTED_VALUE"""),3.0)</f>
        <v>3</v>
      </c>
      <c r="K64" s="201">
        <f>IFERROR(__xludf.DUMMYFUNCTION("""COMPUTED_VALUE"""),12.0)</f>
        <v>12</v>
      </c>
      <c r="L64" s="201">
        <f>IFERROR(__xludf.DUMMYFUNCTION("""COMPUTED_VALUE"""),24.0)</f>
        <v>24</v>
      </c>
      <c r="M64" s="125">
        <f>IFERROR(__xludf.DUMMYFUNCTION("""COMPUTED_VALUE"""),40.0)</f>
        <v>40</v>
      </c>
      <c r="N64" s="201">
        <f>IFERROR(__xludf.DUMMYFUNCTION("""COMPUTED_VALUE"""),3.0)</f>
        <v>3</v>
      </c>
      <c r="O64" s="201">
        <f>IFERROR(__xludf.DUMMYFUNCTION("""COMPUTED_VALUE"""),12.0)</f>
        <v>12</v>
      </c>
      <c r="P64" s="201">
        <f>IFERROR(__xludf.DUMMYFUNCTION("""COMPUTED_VALUE"""),25.0)</f>
        <v>25</v>
      </c>
      <c r="Q64" s="125">
        <f>IFERROR(__xludf.DUMMYFUNCTION("""COMPUTED_VALUE"""),44.0)</f>
        <v>44</v>
      </c>
      <c r="R64" s="201">
        <f>IFERROR(__xludf.DUMMYFUNCTION("""COMPUTED_VALUE"""),7.0)</f>
        <v>7</v>
      </c>
      <c r="S64" s="201">
        <f>IFERROR(__xludf.DUMMYFUNCTION("""COMPUTED_VALUE"""),12.0)</f>
        <v>12</v>
      </c>
      <c r="T64" s="201">
        <f>IFERROR(__xludf.DUMMYFUNCTION("""COMPUTED_VALUE"""),25.0)</f>
        <v>25</v>
      </c>
      <c r="U64" s="125">
        <f>IFERROR(__xludf.DUMMYFUNCTION("""COMPUTED_VALUE"""),42.0)</f>
        <v>42</v>
      </c>
      <c r="V64" s="201">
        <f>IFERROR(__xludf.DUMMYFUNCTION("""COMPUTED_VALUE"""),7.0)</f>
        <v>7</v>
      </c>
      <c r="W64" s="201">
        <f>IFERROR(__xludf.DUMMYFUNCTION("""COMPUTED_VALUE"""),12.0)</f>
        <v>12</v>
      </c>
      <c r="X64" s="201">
        <f>IFERROR(__xludf.DUMMYFUNCTION("""COMPUTED_VALUE"""),23.0)</f>
        <v>23</v>
      </c>
      <c r="Y64" s="125">
        <f>IFERROR(__xludf.DUMMYFUNCTION("""COMPUTED_VALUE"""),41.0)</f>
        <v>41</v>
      </c>
      <c r="Z64" s="201">
        <f>IFERROR(__xludf.DUMMYFUNCTION("""COMPUTED_VALUE"""),7.0)</f>
        <v>7</v>
      </c>
      <c r="AA64" s="201">
        <f>IFERROR(__xludf.DUMMYFUNCTION("""COMPUTED_VALUE"""),12.0)</f>
        <v>12</v>
      </c>
      <c r="AB64" s="201">
        <f>IFERROR(__xludf.DUMMYFUNCTION("""COMPUTED_VALUE"""),22.0)</f>
        <v>22</v>
      </c>
      <c r="AC64" s="125">
        <f>IFERROR(__xludf.DUMMYFUNCTION("""COMPUTED_VALUE"""),41.0)</f>
        <v>41</v>
      </c>
      <c r="AD64" s="201">
        <f>IFERROR(__xludf.DUMMYFUNCTION("""COMPUTED_VALUE"""),7.0)</f>
        <v>7</v>
      </c>
      <c r="AE64" s="201">
        <f>IFERROR(__xludf.DUMMYFUNCTION("""COMPUTED_VALUE"""),12.0)</f>
        <v>12</v>
      </c>
      <c r="AF64" s="201">
        <f>IFERROR(__xludf.DUMMYFUNCTION("""COMPUTED_VALUE"""),22.0)</f>
        <v>22</v>
      </c>
      <c r="AG64" s="125">
        <f>IFERROR(__xludf.DUMMYFUNCTION("""COMPUTED_VALUE"""),13.0)</f>
        <v>13</v>
      </c>
      <c r="AH64" s="201">
        <f>IFERROR(__xludf.DUMMYFUNCTION("""COMPUTED_VALUE"""),1.0)</f>
        <v>1</v>
      </c>
      <c r="AI64" s="201">
        <f>IFERROR(__xludf.DUMMYFUNCTION("""COMPUTED_VALUE"""),12.0)</f>
        <v>12</v>
      </c>
      <c r="AJ64" s="201">
        <f>IFERROR(__xludf.DUMMYFUNCTION("""COMPUTED_VALUE"""),0.0)</f>
        <v>0</v>
      </c>
      <c r="AK64" s="125">
        <f>IFERROR(__xludf.DUMMYFUNCTION("""COMPUTED_VALUE"""),0.0)</f>
        <v>0</v>
      </c>
      <c r="AL64" s="201">
        <f>IFERROR(__xludf.DUMMYFUNCTION("""COMPUTED_VALUE"""),0.0)</f>
        <v>0</v>
      </c>
      <c r="AM64" s="201">
        <f>IFERROR(__xludf.DUMMYFUNCTION("""COMPUTED_VALUE"""),0.0)</f>
        <v>0</v>
      </c>
      <c r="AN64" s="201">
        <f>IFERROR(__xludf.DUMMYFUNCTION("""COMPUTED_VALUE"""),0.0)</f>
        <v>0</v>
      </c>
      <c r="AO64" s="125">
        <f>IFERROR(__xludf.DUMMYFUNCTION("""COMPUTED_VALUE"""),0.0)</f>
        <v>0</v>
      </c>
      <c r="AP64" s="201">
        <f>IFERROR(__xludf.DUMMYFUNCTION("""COMPUTED_VALUE"""),0.0)</f>
        <v>0</v>
      </c>
      <c r="AQ64" s="201">
        <f>IFERROR(__xludf.DUMMYFUNCTION("""COMPUTED_VALUE"""),0.0)</f>
        <v>0</v>
      </c>
      <c r="AR64" s="201">
        <f>IFERROR(__xludf.DUMMYFUNCTION("""COMPUTED_VALUE"""),0.0)</f>
        <v>0</v>
      </c>
      <c r="AS64" s="125">
        <f>IFERROR(__xludf.DUMMYFUNCTION("""COMPUTED_VALUE"""),0.0)</f>
        <v>0</v>
      </c>
      <c r="AT64" s="201">
        <f>IFERROR(__xludf.DUMMYFUNCTION("""COMPUTED_VALUE"""),0.0)</f>
        <v>0</v>
      </c>
      <c r="AU64" s="201">
        <f>IFERROR(__xludf.DUMMYFUNCTION("""COMPUTED_VALUE"""),0.0)</f>
        <v>0</v>
      </c>
      <c r="AV64" s="201">
        <f>IFERROR(__xludf.DUMMYFUNCTION("""COMPUTED_VALUE"""),0.0)</f>
        <v>0</v>
      </c>
      <c r="AW64" s="125">
        <f>IFERROR(__xludf.DUMMYFUNCTION("""COMPUTED_VALUE"""),0.0)</f>
        <v>0</v>
      </c>
      <c r="AX64" s="201">
        <f>IFERROR(__xludf.DUMMYFUNCTION("""COMPUTED_VALUE"""),0.0)</f>
        <v>0</v>
      </c>
      <c r="AY64" s="201">
        <f>IFERROR(__xludf.DUMMYFUNCTION("""COMPUTED_VALUE"""),0.0)</f>
        <v>0</v>
      </c>
      <c r="AZ64" s="202">
        <f>IFERROR(__xludf.DUMMYFUNCTION("""COMPUTED_VALUE"""),0.0)</f>
        <v>0</v>
      </c>
      <c r="BA64" s="34"/>
    </row>
    <row r="65" ht="15.75" customHeight="1">
      <c r="A65" s="29"/>
      <c r="B65" s="241" t="str">
        <f>IFERROR(__xludf.DUMMYFUNCTION("""COMPUTED_VALUE"""),"Trong đó: GV hợp đồng cấp Tiểu học")</f>
        <v>Trong đó: GV hợp đồng cấp Tiểu học</v>
      </c>
      <c r="C65" s="31"/>
      <c r="D65" s="31" t="str">
        <f>IFERROR(__xludf.DUMMYFUNCTION("""COMPUTED_VALUE""")," Người")</f>
        <v> Người</v>
      </c>
      <c r="E65" s="41">
        <f>IFERROR(__xludf.DUMMYFUNCTION("""COMPUTED_VALUE"""),29.0)</f>
        <v>29</v>
      </c>
      <c r="F65" s="42">
        <f>IFERROR(__xludf.DUMMYFUNCTION("""COMPUTED_VALUE"""),2.0)</f>
        <v>2</v>
      </c>
      <c r="G65" s="42">
        <f>IFERROR(__xludf.DUMMYFUNCTION("""COMPUTED_VALUE"""),12.0)</f>
        <v>12</v>
      </c>
      <c r="H65" s="42">
        <f>IFERROR(__xludf.DUMMYFUNCTION("""COMPUTED_VALUE"""),15.0)</f>
        <v>15</v>
      </c>
      <c r="I65" s="41">
        <f>IFERROR(__xludf.DUMMYFUNCTION("""COMPUTED_VALUE"""),30.0)</f>
        <v>30</v>
      </c>
      <c r="J65" s="42">
        <f>IFERROR(__xludf.DUMMYFUNCTION("""COMPUTED_VALUE"""),3.0)</f>
        <v>3</v>
      </c>
      <c r="K65" s="42">
        <f>IFERROR(__xludf.DUMMYFUNCTION("""COMPUTED_VALUE"""),12.0)</f>
        <v>12</v>
      </c>
      <c r="L65" s="42">
        <f>IFERROR(__xludf.DUMMYFUNCTION("""COMPUTED_VALUE"""),15.0)</f>
        <v>15</v>
      </c>
      <c r="M65" s="41">
        <f>IFERROR(__xludf.DUMMYFUNCTION("""COMPUTED_VALUE"""),31.0)</f>
        <v>31</v>
      </c>
      <c r="N65" s="42">
        <f>IFERROR(__xludf.DUMMYFUNCTION("""COMPUTED_VALUE"""),3.0)</f>
        <v>3</v>
      </c>
      <c r="O65" s="42">
        <f>IFERROR(__xludf.DUMMYFUNCTION("""COMPUTED_VALUE"""),12.0)</f>
        <v>12</v>
      </c>
      <c r="P65" s="42">
        <f>IFERROR(__xludf.DUMMYFUNCTION("""COMPUTED_VALUE"""),16.0)</f>
        <v>16</v>
      </c>
      <c r="Q65" s="41">
        <f>IFERROR(__xludf.DUMMYFUNCTION("""COMPUTED_VALUE"""),31.0)</f>
        <v>31</v>
      </c>
      <c r="R65" s="42">
        <f>IFERROR(__xludf.DUMMYFUNCTION("""COMPUTED_VALUE"""),3.0)</f>
        <v>3</v>
      </c>
      <c r="S65" s="42">
        <f>IFERROR(__xludf.DUMMYFUNCTION("""COMPUTED_VALUE"""),12.0)</f>
        <v>12</v>
      </c>
      <c r="T65" s="42">
        <f>IFERROR(__xludf.DUMMYFUNCTION("""COMPUTED_VALUE"""),16.0)</f>
        <v>16</v>
      </c>
      <c r="U65" s="41">
        <f>IFERROR(__xludf.DUMMYFUNCTION("""COMPUTED_VALUE"""),30.0)</f>
        <v>30</v>
      </c>
      <c r="V65" s="42">
        <f>IFERROR(__xludf.DUMMYFUNCTION("""COMPUTED_VALUE"""),3.0)</f>
        <v>3</v>
      </c>
      <c r="W65" s="42">
        <f>IFERROR(__xludf.DUMMYFUNCTION("""COMPUTED_VALUE"""),12.0)</f>
        <v>12</v>
      </c>
      <c r="X65" s="42">
        <f>IFERROR(__xludf.DUMMYFUNCTION("""COMPUTED_VALUE"""),15.0)</f>
        <v>15</v>
      </c>
      <c r="Y65" s="41">
        <f>IFERROR(__xludf.DUMMYFUNCTION("""COMPUTED_VALUE"""),30.0)</f>
        <v>30</v>
      </c>
      <c r="Z65" s="42">
        <f>IFERROR(__xludf.DUMMYFUNCTION("""COMPUTED_VALUE"""),3.0)</f>
        <v>3</v>
      </c>
      <c r="AA65" s="42">
        <f>IFERROR(__xludf.DUMMYFUNCTION("""COMPUTED_VALUE"""),12.0)</f>
        <v>12</v>
      </c>
      <c r="AB65" s="42">
        <f>IFERROR(__xludf.DUMMYFUNCTION("""COMPUTED_VALUE"""),15.0)</f>
        <v>15</v>
      </c>
      <c r="AC65" s="41">
        <f>IFERROR(__xludf.DUMMYFUNCTION("""COMPUTED_VALUE"""),30.0)</f>
        <v>30</v>
      </c>
      <c r="AD65" s="42">
        <f>IFERROR(__xludf.DUMMYFUNCTION("""COMPUTED_VALUE"""),3.0)</f>
        <v>3</v>
      </c>
      <c r="AE65" s="42">
        <f>IFERROR(__xludf.DUMMYFUNCTION("""COMPUTED_VALUE"""),12.0)</f>
        <v>12</v>
      </c>
      <c r="AF65" s="42">
        <f>IFERROR(__xludf.DUMMYFUNCTION("""COMPUTED_VALUE"""),15.0)</f>
        <v>15</v>
      </c>
      <c r="AG65" s="41">
        <f>IFERROR(__xludf.DUMMYFUNCTION("""COMPUTED_VALUE"""),13.0)</f>
        <v>13</v>
      </c>
      <c r="AH65" s="42">
        <f>IFERROR(__xludf.DUMMYFUNCTION("""COMPUTED_VALUE"""),1.0)</f>
        <v>1</v>
      </c>
      <c r="AI65" s="42">
        <f>IFERROR(__xludf.DUMMYFUNCTION("""COMPUTED_VALUE"""),12.0)</f>
        <v>12</v>
      </c>
      <c r="AJ65" s="42">
        <f>IFERROR(__xludf.DUMMYFUNCTION("""COMPUTED_VALUE"""),0.0)</f>
        <v>0</v>
      </c>
      <c r="AK65" s="41">
        <f>IFERROR(__xludf.DUMMYFUNCTION("""COMPUTED_VALUE"""),0.0)</f>
        <v>0</v>
      </c>
      <c r="AL65" s="42">
        <f>IFERROR(__xludf.DUMMYFUNCTION("""COMPUTED_VALUE"""),0.0)</f>
        <v>0</v>
      </c>
      <c r="AM65" s="42">
        <f>IFERROR(__xludf.DUMMYFUNCTION("""COMPUTED_VALUE"""),0.0)</f>
        <v>0</v>
      </c>
      <c r="AN65" s="42">
        <f>IFERROR(__xludf.DUMMYFUNCTION("""COMPUTED_VALUE"""),0.0)</f>
        <v>0</v>
      </c>
      <c r="AO65" s="41">
        <f>IFERROR(__xludf.DUMMYFUNCTION("""COMPUTED_VALUE"""),0.0)</f>
        <v>0</v>
      </c>
      <c r="AP65" s="42">
        <f>IFERROR(__xludf.DUMMYFUNCTION("""COMPUTED_VALUE"""),0.0)</f>
        <v>0</v>
      </c>
      <c r="AQ65" s="42">
        <f>IFERROR(__xludf.DUMMYFUNCTION("""COMPUTED_VALUE"""),0.0)</f>
        <v>0</v>
      </c>
      <c r="AR65" s="42">
        <f>IFERROR(__xludf.DUMMYFUNCTION("""COMPUTED_VALUE"""),0.0)</f>
        <v>0</v>
      </c>
      <c r="AS65" s="41">
        <f>IFERROR(__xludf.DUMMYFUNCTION("""COMPUTED_VALUE"""),0.0)</f>
        <v>0</v>
      </c>
      <c r="AT65" s="42">
        <f>IFERROR(__xludf.DUMMYFUNCTION("""COMPUTED_VALUE"""),0.0)</f>
        <v>0</v>
      </c>
      <c r="AU65" s="42">
        <f>IFERROR(__xludf.DUMMYFUNCTION("""COMPUTED_VALUE"""),0.0)</f>
        <v>0</v>
      </c>
      <c r="AV65" s="42">
        <f>IFERROR(__xludf.DUMMYFUNCTION("""COMPUTED_VALUE"""),0.0)</f>
        <v>0</v>
      </c>
      <c r="AW65" s="41">
        <f>IFERROR(__xludf.DUMMYFUNCTION("""COMPUTED_VALUE"""),0.0)</f>
        <v>0</v>
      </c>
      <c r="AX65" s="42">
        <f>IFERROR(__xludf.DUMMYFUNCTION("""COMPUTED_VALUE"""),0.0)</f>
        <v>0</v>
      </c>
      <c r="AY65" s="42">
        <f>IFERROR(__xludf.DUMMYFUNCTION("""COMPUTED_VALUE"""),0.0)</f>
        <v>0</v>
      </c>
      <c r="AZ65" s="43">
        <f>IFERROR(__xludf.DUMMYFUNCTION("""COMPUTED_VALUE"""),0.0)</f>
        <v>0</v>
      </c>
      <c r="BA65" s="34"/>
    </row>
    <row r="66" ht="15.75" customHeight="1">
      <c r="A66" s="29"/>
      <c r="B66" s="196" t="str">
        <f>IFERROR(__xludf.DUMMYFUNCTION("""COMPUTED_VALUE"""),"5.4. Tổng số nhân viên")</f>
        <v>5.4. Tổng số nhân viên</v>
      </c>
      <c r="C66" s="57"/>
      <c r="D66" s="57" t="str">
        <f>IFERROR(__xludf.DUMMYFUNCTION("""COMPUTED_VALUE""")," Người")</f>
        <v> Người</v>
      </c>
      <c r="E66" s="125">
        <f>IFERROR(__xludf.DUMMYFUNCTION("""COMPUTED_VALUE"""),52.0)</f>
        <v>52</v>
      </c>
      <c r="F66" s="201">
        <f>IFERROR(__xludf.DUMMYFUNCTION("""COMPUTED_VALUE"""),47.0)</f>
        <v>47</v>
      </c>
      <c r="G66" s="201">
        <f>IFERROR(__xludf.DUMMYFUNCTION("""COMPUTED_VALUE"""),3.0)</f>
        <v>3</v>
      </c>
      <c r="H66" s="201">
        <f>IFERROR(__xludf.DUMMYFUNCTION("""COMPUTED_VALUE"""),2.0)</f>
        <v>2</v>
      </c>
      <c r="I66" s="125">
        <f>IFERROR(__xludf.DUMMYFUNCTION("""COMPUTED_VALUE"""),49.0)</f>
        <v>49</v>
      </c>
      <c r="J66" s="201">
        <f>IFERROR(__xludf.DUMMYFUNCTION("""COMPUTED_VALUE"""),44.0)</f>
        <v>44</v>
      </c>
      <c r="K66" s="201">
        <f>IFERROR(__xludf.DUMMYFUNCTION("""COMPUTED_VALUE"""),3.0)</f>
        <v>3</v>
      </c>
      <c r="L66" s="201">
        <f>IFERROR(__xludf.DUMMYFUNCTION("""COMPUTED_VALUE"""),2.0)</f>
        <v>2</v>
      </c>
      <c r="M66" s="125">
        <f>IFERROR(__xludf.DUMMYFUNCTION("""COMPUTED_VALUE"""),49.0)</f>
        <v>49</v>
      </c>
      <c r="N66" s="201">
        <f>IFERROR(__xludf.DUMMYFUNCTION("""COMPUTED_VALUE"""),44.0)</f>
        <v>44</v>
      </c>
      <c r="O66" s="201">
        <f>IFERROR(__xludf.DUMMYFUNCTION("""COMPUTED_VALUE"""),3.0)</f>
        <v>3</v>
      </c>
      <c r="P66" s="201">
        <f>IFERROR(__xludf.DUMMYFUNCTION("""COMPUTED_VALUE"""),2.0)</f>
        <v>2</v>
      </c>
      <c r="Q66" s="125">
        <f>IFERROR(__xludf.DUMMYFUNCTION("""COMPUTED_VALUE"""),49.0)</f>
        <v>49</v>
      </c>
      <c r="R66" s="201">
        <f>IFERROR(__xludf.DUMMYFUNCTION("""COMPUTED_VALUE"""),44.0)</f>
        <v>44</v>
      </c>
      <c r="S66" s="201">
        <f>IFERROR(__xludf.DUMMYFUNCTION("""COMPUTED_VALUE"""),3.0)</f>
        <v>3</v>
      </c>
      <c r="T66" s="201">
        <f>IFERROR(__xludf.DUMMYFUNCTION("""COMPUTED_VALUE"""),2.0)</f>
        <v>2</v>
      </c>
      <c r="U66" s="125">
        <f>IFERROR(__xludf.DUMMYFUNCTION("""COMPUTED_VALUE"""),49.0)</f>
        <v>49</v>
      </c>
      <c r="V66" s="201">
        <f>IFERROR(__xludf.DUMMYFUNCTION("""COMPUTED_VALUE"""),44.0)</f>
        <v>44</v>
      </c>
      <c r="W66" s="201">
        <f>IFERROR(__xludf.DUMMYFUNCTION("""COMPUTED_VALUE"""),3.0)</f>
        <v>3</v>
      </c>
      <c r="X66" s="201">
        <f>IFERROR(__xludf.DUMMYFUNCTION("""COMPUTED_VALUE"""),2.0)</f>
        <v>2</v>
      </c>
      <c r="Y66" s="125">
        <f>IFERROR(__xludf.DUMMYFUNCTION("""COMPUTED_VALUE"""),54.0)</f>
        <v>54</v>
      </c>
      <c r="Z66" s="201">
        <f>IFERROR(__xludf.DUMMYFUNCTION("""COMPUTED_VALUE"""),49.0)</f>
        <v>49</v>
      </c>
      <c r="AA66" s="201">
        <f>IFERROR(__xludf.DUMMYFUNCTION("""COMPUTED_VALUE"""),3.0)</f>
        <v>3</v>
      </c>
      <c r="AB66" s="201">
        <f>IFERROR(__xludf.DUMMYFUNCTION("""COMPUTED_VALUE"""),2.0)</f>
        <v>2</v>
      </c>
      <c r="AC66" s="125">
        <f>IFERROR(__xludf.DUMMYFUNCTION("""COMPUTED_VALUE"""),52.0)</f>
        <v>52</v>
      </c>
      <c r="AD66" s="201">
        <f>IFERROR(__xludf.DUMMYFUNCTION("""COMPUTED_VALUE"""),47.0)</f>
        <v>47</v>
      </c>
      <c r="AE66" s="201">
        <f>IFERROR(__xludf.DUMMYFUNCTION("""COMPUTED_VALUE"""),3.0)</f>
        <v>3</v>
      </c>
      <c r="AF66" s="201">
        <f>IFERROR(__xludf.DUMMYFUNCTION("""COMPUTED_VALUE"""),2.0)</f>
        <v>2</v>
      </c>
      <c r="AG66" s="125">
        <f>IFERROR(__xludf.DUMMYFUNCTION("""COMPUTED_VALUE"""),8.0)</f>
        <v>8</v>
      </c>
      <c r="AH66" s="201">
        <f>IFERROR(__xludf.DUMMYFUNCTION("""COMPUTED_VALUE"""),5.0)</f>
        <v>5</v>
      </c>
      <c r="AI66" s="201">
        <f>IFERROR(__xludf.DUMMYFUNCTION("""COMPUTED_VALUE"""),3.0)</f>
        <v>3</v>
      </c>
      <c r="AJ66" s="201">
        <f>IFERROR(__xludf.DUMMYFUNCTION("""COMPUTED_VALUE"""),0.0)</f>
        <v>0</v>
      </c>
      <c r="AK66" s="125">
        <f>IFERROR(__xludf.DUMMYFUNCTION("""COMPUTED_VALUE"""),0.0)</f>
        <v>0</v>
      </c>
      <c r="AL66" s="201">
        <f>IFERROR(__xludf.DUMMYFUNCTION("""COMPUTED_VALUE"""),0.0)</f>
        <v>0</v>
      </c>
      <c r="AM66" s="201">
        <f>IFERROR(__xludf.DUMMYFUNCTION("""COMPUTED_VALUE"""),0.0)</f>
        <v>0</v>
      </c>
      <c r="AN66" s="201">
        <f>IFERROR(__xludf.DUMMYFUNCTION("""COMPUTED_VALUE"""),0.0)</f>
        <v>0</v>
      </c>
      <c r="AO66" s="125">
        <f>IFERROR(__xludf.DUMMYFUNCTION("""COMPUTED_VALUE"""),0.0)</f>
        <v>0</v>
      </c>
      <c r="AP66" s="201">
        <f>IFERROR(__xludf.DUMMYFUNCTION("""COMPUTED_VALUE"""),0.0)</f>
        <v>0</v>
      </c>
      <c r="AQ66" s="201">
        <f>IFERROR(__xludf.DUMMYFUNCTION("""COMPUTED_VALUE"""),0.0)</f>
        <v>0</v>
      </c>
      <c r="AR66" s="201">
        <f>IFERROR(__xludf.DUMMYFUNCTION("""COMPUTED_VALUE"""),0.0)</f>
        <v>0</v>
      </c>
      <c r="AS66" s="125">
        <f>IFERROR(__xludf.DUMMYFUNCTION("""COMPUTED_VALUE"""),0.0)</f>
        <v>0</v>
      </c>
      <c r="AT66" s="201">
        <f>IFERROR(__xludf.DUMMYFUNCTION("""COMPUTED_VALUE"""),0.0)</f>
        <v>0</v>
      </c>
      <c r="AU66" s="201">
        <f>IFERROR(__xludf.DUMMYFUNCTION("""COMPUTED_VALUE"""),0.0)</f>
        <v>0</v>
      </c>
      <c r="AV66" s="201">
        <f>IFERROR(__xludf.DUMMYFUNCTION("""COMPUTED_VALUE"""),0.0)</f>
        <v>0</v>
      </c>
      <c r="AW66" s="125">
        <f>IFERROR(__xludf.DUMMYFUNCTION("""COMPUTED_VALUE"""),0.0)</f>
        <v>0</v>
      </c>
      <c r="AX66" s="201">
        <f>IFERROR(__xludf.DUMMYFUNCTION("""COMPUTED_VALUE"""),0.0)</f>
        <v>0</v>
      </c>
      <c r="AY66" s="201">
        <f>IFERROR(__xludf.DUMMYFUNCTION("""COMPUTED_VALUE"""),0.0)</f>
        <v>0</v>
      </c>
      <c r="AZ66" s="202">
        <f>IFERROR(__xludf.DUMMYFUNCTION("""COMPUTED_VALUE"""),0.0)</f>
        <v>0</v>
      </c>
      <c r="BA66" s="34"/>
    </row>
    <row r="67" ht="15.75" customHeight="1">
      <c r="A67" s="29"/>
      <c r="B67" s="30" t="str">
        <f>IFERROR(__xludf.DUMMYFUNCTION("""COMPUTED_VALUE"""),"6. KHỐI PHÒNG HỌC TẬP")</f>
        <v>6. KHỐI PHÒNG HỌC TẬP</v>
      </c>
      <c r="C67" s="31" t="str">
        <f>IFERROR(__xludf.DUMMYFUNCTION("""COMPUTED_VALUE"""),"Quí")</f>
        <v>Quí</v>
      </c>
      <c r="D67" s="31" t="str">
        <f>IFERROR(__xludf.DUMMYFUNCTION("""COMPUTED_VALUE"""),"Phòng")</f>
        <v>Phòng</v>
      </c>
      <c r="E67" s="32">
        <f>IFERROR(__xludf.DUMMYFUNCTION("""COMPUTED_VALUE"""),272.0)</f>
        <v>272</v>
      </c>
      <c r="F67" s="32">
        <f>IFERROR(__xludf.DUMMYFUNCTION("""COMPUTED_VALUE"""),242.0)</f>
        <v>242</v>
      </c>
      <c r="G67" s="32">
        <f>IFERROR(__xludf.DUMMYFUNCTION("""COMPUTED_VALUE"""),17.0)</f>
        <v>17</v>
      </c>
      <c r="H67" s="32">
        <f>IFERROR(__xludf.DUMMYFUNCTION("""COMPUTED_VALUE"""),13.0)</f>
        <v>13</v>
      </c>
      <c r="I67" s="32">
        <f>IFERROR(__xludf.DUMMYFUNCTION("""COMPUTED_VALUE"""),272.0)</f>
        <v>272</v>
      </c>
      <c r="J67" s="32">
        <f>IFERROR(__xludf.DUMMYFUNCTION("""COMPUTED_VALUE"""),242.0)</f>
        <v>242</v>
      </c>
      <c r="K67" s="32">
        <f>IFERROR(__xludf.DUMMYFUNCTION("""COMPUTED_VALUE"""),17.0)</f>
        <v>17</v>
      </c>
      <c r="L67" s="32">
        <f>IFERROR(__xludf.DUMMYFUNCTION("""COMPUTED_VALUE"""),13.0)</f>
        <v>13</v>
      </c>
      <c r="M67" s="32">
        <f>IFERROR(__xludf.DUMMYFUNCTION("""COMPUTED_VALUE"""),271.0)</f>
        <v>271</v>
      </c>
      <c r="N67" s="32">
        <f>IFERROR(__xludf.DUMMYFUNCTION("""COMPUTED_VALUE"""),241.0)</f>
        <v>241</v>
      </c>
      <c r="O67" s="32">
        <f>IFERROR(__xludf.DUMMYFUNCTION("""COMPUTED_VALUE"""),17.0)</f>
        <v>17</v>
      </c>
      <c r="P67" s="32">
        <f>IFERROR(__xludf.DUMMYFUNCTION("""COMPUTED_VALUE"""),13.0)</f>
        <v>13</v>
      </c>
      <c r="Q67" s="32">
        <f>IFERROR(__xludf.DUMMYFUNCTION("""COMPUTED_VALUE"""),273.0)</f>
        <v>273</v>
      </c>
      <c r="R67" s="32">
        <f>IFERROR(__xludf.DUMMYFUNCTION("""COMPUTED_VALUE"""),249.0)</f>
        <v>249</v>
      </c>
      <c r="S67" s="32">
        <f>IFERROR(__xludf.DUMMYFUNCTION("""COMPUTED_VALUE"""),11.0)</f>
        <v>11</v>
      </c>
      <c r="T67" s="32">
        <f>IFERROR(__xludf.DUMMYFUNCTION("""COMPUTED_VALUE"""),13.0)</f>
        <v>13</v>
      </c>
      <c r="U67" s="32">
        <f>IFERROR(__xludf.DUMMYFUNCTION("""COMPUTED_VALUE"""),271.0)</f>
        <v>271</v>
      </c>
      <c r="V67" s="32">
        <f>IFERROR(__xludf.DUMMYFUNCTION("""COMPUTED_VALUE"""),247.0)</f>
        <v>247</v>
      </c>
      <c r="W67" s="32">
        <f>IFERROR(__xludf.DUMMYFUNCTION("""COMPUTED_VALUE"""),11.0)</f>
        <v>11</v>
      </c>
      <c r="X67" s="32">
        <f>IFERROR(__xludf.DUMMYFUNCTION("""COMPUTED_VALUE"""),13.0)</f>
        <v>13</v>
      </c>
      <c r="Y67" s="32">
        <f>IFERROR(__xludf.DUMMYFUNCTION("""COMPUTED_VALUE"""),271.0)</f>
        <v>271</v>
      </c>
      <c r="Z67" s="32">
        <f>IFERROR(__xludf.DUMMYFUNCTION("""COMPUTED_VALUE"""),247.0)</f>
        <v>247</v>
      </c>
      <c r="AA67" s="32">
        <f>IFERROR(__xludf.DUMMYFUNCTION("""COMPUTED_VALUE"""),11.0)</f>
        <v>11</v>
      </c>
      <c r="AB67" s="32">
        <f>IFERROR(__xludf.DUMMYFUNCTION("""COMPUTED_VALUE"""),13.0)</f>
        <v>13</v>
      </c>
      <c r="AC67" s="32">
        <f>IFERROR(__xludf.DUMMYFUNCTION("""COMPUTED_VALUE"""),271.0)</f>
        <v>271</v>
      </c>
      <c r="AD67" s="32">
        <f>IFERROR(__xludf.DUMMYFUNCTION("""COMPUTED_VALUE"""),247.0)</f>
        <v>247</v>
      </c>
      <c r="AE67" s="32">
        <f>IFERROR(__xludf.DUMMYFUNCTION("""COMPUTED_VALUE"""),11.0)</f>
        <v>11</v>
      </c>
      <c r="AF67" s="32">
        <f>IFERROR(__xludf.DUMMYFUNCTION("""COMPUTED_VALUE"""),13.0)</f>
        <v>13</v>
      </c>
      <c r="AG67" s="32">
        <f>IFERROR(__xludf.DUMMYFUNCTION("""COMPUTED_VALUE"""),29.0)</f>
        <v>29</v>
      </c>
      <c r="AH67" s="32">
        <f>IFERROR(__xludf.DUMMYFUNCTION("""COMPUTED_VALUE"""),18.0)</f>
        <v>18</v>
      </c>
      <c r="AI67" s="32">
        <f>IFERROR(__xludf.DUMMYFUNCTION("""COMPUTED_VALUE"""),11.0)</f>
        <v>11</v>
      </c>
      <c r="AJ67" s="32">
        <f>IFERROR(__xludf.DUMMYFUNCTION("""COMPUTED_VALUE"""),0.0)</f>
        <v>0</v>
      </c>
      <c r="AK67" s="32">
        <f>IFERROR(__xludf.DUMMYFUNCTION("""COMPUTED_VALUE"""),0.0)</f>
        <v>0</v>
      </c>
      <c r="AL67" s="32">
        <f>IFERROR(__xludf.DUMMYFUNCTION("""COMPUTED_VALUE"""),0.0)</f>
        <v>0</v>
      </c>
      <c r="AM67" s="32">
        <f>IFERROR(__xludf.DUMMYFUNCTION("""COMPUTED_VALUE"""),0.0)</f>
        <v>0</v>
      </c>
      <c r="AN67" s="32">
        <f>IFERROR(__xludf.DUMMYFUNCTION("""COMPUTED_VALUE"""),0.0)</f>
        <v>0</v>
      </c>
      <c r="AO67" s="32">
        <f>IFERROR(__xludf.DUMMYFUNCTION("""COMPUTED_VALUE"""),0.0)</f>
        <v>0</v>
      </c>
      <c r="AP67" s="32">
        <f>IFERROR(__xludf.DUMMYFUNCTION("""COMPUTED_VALUE"""),0.0)</f>
        <v>0</v>
      </c>
      <c r="AQ67" s="32">
        <f>IFERROR(__xludf.DUMMYFUNCTION("""COMPUTED_VALUE"""),0.0)</f>
        <v>0</v>
      </c>
      <c r="AR67" s="32">
        <f>IFERROR(__xludf.DUMMYFUNCTION("""COMPUTED_VALUE"""),0.0)</f>
        <v>0</v>
      </c>
      <c r="AS67" s="32">
        <f>IFERROR(__xludf.DUMMYFUNCTION("""COMPUTED_VALUE"""),0.0)</f>
        <v>0</v>
      </c>
      <c r="AT67" s="32">
        <f>IFERROR(__xludf.DUMMYFUNCTION("""COMPUTED_VALUE"""),0.0)</f>
        <v>0</v>
      </c>
      <c r="AU67" s="32">
        <f>IFERROR(__xludf.DUMMYFUNCTION("""COMPUTED_VALUE"""),0.0)</f>
        <v>0</v>
      </c>
      <c r="AV67" s="32">
        <f>IFERROR(__xludf.DUMMYFUNCTION("""COMPUTED_VALUE"""),0.0)</f>
        <v>0</v>
      </c>
      <c r="AW67" s="32">
        <f>IFERROR(__xludf.DUMMYFUNCTION("""COMPUTED_VALUE"""),0.0)</f>
        <v>0</v>
      </c>
      <c r="AX67" s="32">
        <f>IFERROR(__xludf.DUMMYFUNCTION("""COMPUTED_VALUE"""),0.0)</f>
        <v>0</v>
      </c>
      <c r="AY67" s="32">
        <f>IFERROR(__xludf.DUMMYFUNCTION("""COMPUTED_VALUE"""),0.0)</f>
        <v>0</v>
      </c>
      <c r="AZ67" s="33">
        <f>IFERROR(__xludf.DUMMYFUNCTION("""COMPUTED_VALUE"""),0.0)</f>
        <v>0</v>
      </c>
      <c r="BA67" s="34"/>
    </row>
    <row r="68" ht="15.75" customHeight="1">
      <c r="A68" s="29"/>
      <c r="B68" s="196" t="str">
        <f>IFERROR(__xludf.DUMMYFUNCTION("""COMPUTED_VALUE"""),"6.1. Tổng số phòng học")</f>
        <v>6.1. Tổng số phòng học</v>
      </c>
      <c r="C68" s="57"/>
      <c r="D68" s="57" t="str">
        <f>IFERROR(__xludf.DUMMYFUNCTION("""COMPUTED_VALUE"""),"Phòng")</f>
        <v>Phòng</v>
      </c>
      <c r="E68" s="125">
        <f>IFERROR(__xludf.DUMMYFUNCTION("""COMPUTED_VALUE"""),234.0)</f>
        <v>234</v>
      </c>
      <c r="F68" s="125">
        <f>IFERROR(__xludf.DUMMYFUNCTION("""COMPUTED_VALUE"""),212.0)</f>
        <v>212</v>
      </c>
      <c r="G68" s="125">
        <f>IFERROR(__xludf.DUMMYFUNCTION("""COMPUTED_VALUE"""),11.0)</f>
        <v>11</v>
      </c>
      <c r="H68" s="125">
        <f>IFERROR(__xludf.DUMMYFUNCTION("""COMPUTED_VALUE"""),11.0)</f>
        <v>11</v>
      </c>
      <c r="I68" s="125">
        <f>IFERROR(__xludf.DUMMYFUNCTION("""COMPUTED_VALUE"""),232.0)</f>
        <v>232</v>
      </c>
      <c r="J68" s="125">
        <f>IFERROR(__xludf.DUMMYFUNCTION("""COMPUTED_VALUE"""),210.0)</f>
        <v>210</v>
      </c>
      <c r="K68" s="125">
        <f>IFERROR(__xludf.DUMMYFUNCTION("""COMPUTED_VALUE"""),11.0)</f>
        <v>11</v>
      </c>
      <c r="L68" s="125">
        <f>IFERROR(__xludf.DUMMYFUNCTION("""COMPUTED_VALUE"""),11.0)</f>
        <v>11</v>
      </c>
      <c r="M68" s="125">
        <f>IFERROR(__xludf.DUMMYFUNCTION("""COMPUTED_VALUE"""),232.0)</f>
        <v>232</v>
      </c>
      <c r="N68" s="125">
        <f>IFERROR(__xludf.DUMMYFUNCTION("""COMPUTED_VALUE"""),210.0)</f>
        <v>210</v>
      </c>
      <c r="O68" s="125">
        <f>IFERROR(__xludf.DUMMYFUNCTION("""COMPUTED_VALUE"""),11.0)</f>
        <v>11</v>
      </c>
      <c r="P68" s="125">
        <f>IFERROR(__xludf.DUMMYFUNCTION("""COMPUTED_VALUE"""),11.0)</f>
        <v>11</v>
      </c>
      <c r="Q68" s="125">
        <f>IFERROR(__xludf.DUMMYFUNCTION("""COMPUTED_VALUE"""),234.0)</f>
        <v>234</v>
      </c>
      <c r="R68" s="125">
        <f>IFERROR(__xludf.DUMMYFUNCTION("""COMPUTED_VALUE"""),212.0)</f>
        <v>212</v>
      </c>
      <c r="S68" s="125">
        <f>IFERROR(__xludf.DUMMYFUNCTION("""COMPUTED_VALUE"""),11.0)</f>
        <v>11</v>
      </c>
      <c r="T68" s="125">
        <f>IFERROR(__xludf.DUMMYFUNCTION("""COMPUTED_VALUE"""),11.0)</f>
        <v>11</v>
      </c>
      <c r="U68" s="125">
        <f>IFERROR(__xludf.DUMMYFUNCTION("""COMPUTED_VALUE"""),234.0)</f>
        <v>234</v>
      </c>
      <c r="V68" s="125">
        <f>IFERROR(__xludf.DUMMYFUNCTION("""COMPUTED_VALUE"""),212.0)</f>
        <v>212</v>
      </c>
      <c r="W68" s="125">
        <f>IFERROR(__xludf.DUMMYFUNCTION("""COMPUTED_VALUE"""),11.0)</f>
        <v>11</v>
      </c>
      <c r="X68" s="125">
        <f>IFERROR(__xludf.DUMMYFUNCTION("""COMPUTED_VALUE"""),11.0)</f>
        <v>11</v>
      </c>
      <c r="Y68" s="125">
        <f>IFERROR(__xludf.DUMMYFUNCTION("""COMPUTED_VALUE"""),234.0)</f>
        <v>234</v>
      </c>
      <c r="Z68" s="125">
        <f>IFERROR(__xludf.DUMMYFUNCTION("""COMPUTED_VALUE"""),212.0)</f>
        <v>212</v>
      </c>
      <c r="AA68" s="125">
        <f>IFERROR(__xludf.DUMMYFUNCTION("""COMPUTED_VALUE"""),11.0)</f>
        <v>11</v>
      </c>
      <c r="AB68" s="125">
        <f>IFERROR(__xludf.DUMMYFUNCTION("""COMPUTED_VALUE"""),11.0)</f>
        <v>11</v>
      </c>
      <c r="AC68" s="125">
        <f>IFERROR(__xludf.DUMMYFUNCTION("""COMPUTED_VALUE"""),234.0)</f>
        <v>234</v>
      </c>
      <c r="AD68" s="125">
        <f>IFERROR(__xludf.DUMMYFUNCTION("""COMPUTED_VALUE"""),212.0)</f>
        <v>212</v>
      </c>
      <c r="AE68" s="125">
        <f>IFERROR(__xludf.DUMMYFUNCTION("""COMPUTED_VALUE"""),11.0)</f>
        <v>11</v>
      </c>
      <c r="AF68" s="125">
        <f>IFERROR(__xludf.DUMMYFUNCTION("""COMPUTED_VALUE"""),11.0)</f>
        <v>11</v>
      </c>
      <c r="AG68" s="125">
        <f>IFERROR(__xludf.DUMMYFUNCTION("""COMPUTED_VALUE"""),20.0)</f>
        <v>20</v>
      </c>
      <c r="AH68" s="125">
        <f>IFERROR(__xludf.DUMMYFUNCTION("""COMPUTED_VALUE"""),9.0)</f>
        <v>9</v>
      </c>
      <c r="AI68" s="125">
        <f>IFERROR(__xludf.DUMMYFUNCTION("""COMPUTED_VALUE"""),11.0)</f>
        <v>11</v>
      </c>
      <c r="AJ68" s="125">
        <f>IFERROR(__xludf.DUMMYFUNCTION("""COMPUTED_VALUE"""),0.0)</f>
        <v>0</v>
      </c>
      <c r="AK68" s="125">
        <f>IFERROR(__xludf.DUMMYFUNCTION("""COMPUTED_VALUE"""),0.0)</f>
        <v>0</v>
      </c>
      <c r="AL68" s="125">
        <f>IFERROR(__xludf.DUMMYFUNCTION("""COMPUTED_VALUE"""),0.0)</f>
        <v>0</v>
      </c>
      <c r="AM68" s="125">
        <f>IFERROR(__xludf.DUMMYFUNCTION("""COMPUTED_VALUE"""),0.0)</f>
        <v>0</v>
      </c>
      <c r="AN68" s="125">
        <f>IFERROR(__xludf.DUMMYFUNCTION("""COMPUTED_VALUE"""),0.0)</f>
        <v>0</v>
      </c>
      <c r="AO68" s="125">
        <f>IFERROR(__xludf.DUMMYFUNCTION("""COMPUTED_VALUE"""),0.0)</f>
        <v>0</v>
      </c>
      <c r="AP68" s="125">
        <f>IFERROR(__xludf.DUMMYFUNCTION("""COMPUTED_VALUE"""),0.0)</f>
        <v>0</v>
      </c>
      <c r="AQ68" s="125">
        <f>IFERROR(__xludf.DUMMYFUNCTION("""COMPUTED_VALUE"""),0.0)</f>
        <v>0</v>
      </c>
      <c r="AR68" s="125">
        <f>IFERROR(__xludf.DUMMYFUNCTION("""COMPUTED_VALUE"""),0.0)</f>
        <v>0</v>
      </c>
      <c r="AS68" s="125">
        <f>IFERROR(__xludf.DUMMYFUNCTION("""COMPUTED_VALUE"""),0.0)</f>
        <v>0</v>
      </c>
      <c r="AT68" s="125">
        <f>IFERROR(__xludf.DUMMYFUNCTION("""COMPUTED_VALUE"""),0.0)</f>
        <v>0</v>
      </c>
      <c r="AU68" s="125">
        <f>IFERROR(__xludf.DUMMYFUNCTION("""COMPUTED_VALUE"""),0.0)</f>
        <v>0</v>
      </c>
      <c r="AV68" s="125">
        <f>IFERROR(__xludf.DUMMYFUNCTION("""COMPUTED_VALUE"""),0.0)</f>
        <v>0</v>
      </c>
      <c r="AW68" s="125">
        <f>IFERROR(__xludf.DUMMYFUNCTION("""COMPUTED_VALUE"""),0.0)</f>
        <v>0</v>
      </c>
      <c r="AX68" s="125">
        <f>IFERROR(__xludf.DUMMYFUNCTION("""COMPUTED_VALUE"""),0.0)</f>
        <v>0</v>
      </c>
      <c r="AY68" s="125">
        <f>IFERROR(__xludf.DUMMYFUNCTION("""COMPUTED_VALUE"""),0.0)</f>
        <v>0</v>
      </c>
      <c r="AZ68" s="127">
        <f>IFERROR(__xludf.DUMMYFUNCTION("""COMPUTED_VALUE"""),0.0)</f>
        <v>0</v>
      </c>
      <c r="BA68" s="34"/>
    </row>
    <row r="69" ht="15.75" customHeight="1">
      <c r="A69" s="29"/>
      <c r="B69" s="48" t="str">
        <f>IFERROR(__xludf.DUMMYFUNCTION("""COMPUTED_VALUE"""),"Chia ra:")</f>
        <v>Chia ra:</v>
      </c>
      <c r="C69" s="49"/>
      <c r="D69" s="3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50"/>
      <c r="BA69" s="34"/>
    </row>
    <row r="70" ht="15.75" customHeight="1">
      <c r="A70" s="29"/>
      <c r="B70" s="67" t="str">
        <f>IFERROR(__xludf.DUMMYFUNCTION("""COMPUTED_VALUE""")," + Kiên cố")</f>
        <v> + Kiên cố</v>
      </c>
      <c r="C70" s="31"/>
      <c r="D70" s="31" t="str">
        <f>IFERROR(__xludf.DUMMYFUNCTION("""COMPUTED_VALUE"""),"""")</f>
        <v>"</v>
      </c>
      <c r="E70" s="41">
        <f>IFERROR(__xludf.DUMMYFUNCTION("""COMPUTED_VALUE"""),179.0)</f>
        <v>179</v>
      </c>
      <c r="F70" s="197">
        <f>IFERROR(__xludf.DUMMYFUNCTION("""COMPUTED_VALUE"""),157.0)</f>
        <v>157</v>
      </c>
      <c r="G70" s="197">
        <f>IFERROR(__xludf.DUMMYFUNCTION("""COMPUTED_VALUE"""),11.0)</f>
        <v>11</v>
      </c>
      <c r="H70" s="197">
        <f>IFERROR(__xludf.DUMMYFUNCTION("""COMPUTED_VALUE"""),11.0)</f>
        <v>11</v>
      </c>
      <c r="I70" s="41">
        <f>IFERROR(__xludf.DUMMYFUNCTION("""COMPUTED_VALUE"""),175.0)</f>
        <v>175</v>
      </c>
      <c r="J70" s="197">
        <f>IFERROR(__xludf.DUMMYFUNCTION("""COMPUTED_VALUE"""),153.0)</f>
        <v>153</v>
      </c>
      <c r="K70" s="197">
        <f>IFERROR(__xludf.DUMMYFUNCTION("""COMPUTED_VALUE"""),11.0)</f>
        <v>11</v>
      </c>
      <c r="L70" s="197">
        <f>IFERROR(__xludf.DUMMYFUNCTION("""COMPUTED_VALUE"""),11.0)</f>
        <v>11</v>
      </c>
      <c r="M70" s="41">
        <f>IFERROR(__xludf.DUMMYFUNCTION("""COMPUTED_VALUE"""),175.0)</f>
        <v>175</v>
      </c>
      <c r="N70" s="197">
        <f>IFERROR(__xludf.DUMMYFUNCTION("""COMPUTED_VALUE"""),153.0)</f>
        <v>153</v>
      </c>
      <c r="O70" s="197">
        <f>IFERROR(__xludf.DUMMYFUNCTION("""COMPUTED_VALUE"""),11.0)</f>
        <v>11</v>
      </c>
      <c r="P70" s="197">
        <f>IFERROR(__xludf.DUMMYFUNCTION("""COMPUTED_VALUE"""),11.0)</f>
        <v>11</v>
      </c>
      <c r="Q70" s="41">
        <f>IFERROR(__xludf.DUMMYFUNCTION("""COMPUTED_VALUE"""),177.0)</f>
        <v>177</v>
      </c>
      <c r="R70" s="197">
        <f>IFERROR(__xludf.DUMMYFUNCTION("""COMPUTED_VALUE"""),155.0)</f>
        <v>155</v>
      </c>
      <c r="S70" s="197">
        <f>IFERROR(__xludf.DUMMYFUNCTION("""COMPUTED_VALUE"""),11.0)</f>
        <v>11</v>
      </c>
      <c r="T70" s="197">
        <f>IFERROR(__xludf.DUMMYFUNCTION("""COMPUTED_VALUE"""),11.0)</f>
        <v>11</v>
      </c>
      <c r="U70" s="41">
        <f>IFERROR(__xludf.DUMMYFUNCTION("""COMPUTED_VALUE"""),177.0)</f>
        <v>177</v>
      </c>
      <c r="V70" s="197">
        <f>IFERROR(__xludf.DUMMYFUNCTION("""COMPUTED_VALUE"""),155.0)</f>
        <v>155</v>
      </c>
      <c r="W70" s="197">
        <f>IFERROR(__xludf.DUMMYFUNCTION("""COMPUTED_VALUE"""),11.0)</f>
        <v>11</v>
      </c>
      <c r="X70" s="197">
        <f>IFERROR(__xludf.DUMMYFUNCTION("""COMPUTED_VALUE"""),11.0)</f>
        <v>11</v>
      </c>
      <c r="Y70" s="41">
        <f>IFERROR(__xludf.DUMMYFUNCTION("""COMPUTED_VALUE"""),177.0)</f>
        <v>177</v>
      </c>
      <c r="Z70" s="197">
        <f>IFERROR(__xludf.DUMMYFUNCTION("""COMPUTED_VALUE"""),155.0)</f>
        <v>155</v>
      </c>
      <c r="AA70" s="197">
        <f>IFERROR(__xludf.DUMMYFUNCTION("""COMPUTED_VALUE"""),11.0)</f>
        <v>11</v>
      </c>
      <c r="AB70" s="197">
        <f>IFERROR(__xludf.DUMMYFUNCTION("""COMPUTED_VALUE"""),11.0)</f>
        <v>11</v>
      </c>
      <c r="AC70" s="41">
        <f>IFERROR(__xludf.DUMMYFUNCTION("""COMPUTED_VALUE"""),177.0)</f>
        <v>177</v>
      </c>
      <c r="AD70" s="197">
        <f>IFERROR(__xludf.DUMMYFUNCTION("""COMPUTED_VALUE"""),155.0)</f>
        <v>155</v>
      </c>
      <c r="AE70" s="197">
        <f>IFERROR(__xludf.DUMMYFUNCTION("""COMPUTED_VALUE"""),11.0)</f>
        <v>11</v>
      </c>
      <c r="AF70" s="197">
        <f>IFERROR(__xludf.DUMMYFUNCTION("""COMPUTED_VALUE"""),11.0)</f>
        <v>11</v>
      </c>
      <c r="AG70" s="41">
        <f>IFERROR(__xludf.DUMMYFUNCTION("""COMPUTED_VALUE"""),20.0)</f>
        <v>20</v>
      </c>
      <c r="AH70" s="197">
        <f>IFERROR(__xludf.DUMMYFUNCTION("""COMPUTED_VALUE"""),9.0)</f>
        <v>9</v>
      </c>
      <c r="AI70" s="197">
        <f>IFERROR(__xludf.DUMMYFUNCTION("""COMPUTED_VALUE"""),11.0)</f>
        <v>11</v>
      </c>
      <c r="AJ70" s="197">
        <f>IFERROR(__xludf.DUMMYFUNCTION("""COMPUTED_VALUE"""),0.0)</f>
        <v>0</v>
      </c>
      <c r="AK70" s="41">
        <f>IFERROR(__xludf.DUMMYFUNCTION("""COMPUTED_VALUE"""),0.0)</f>
        <v>0</v>
      </c>
      <c r="AL70" s="197">
        <f>IFERROR(__xludf.DUMMYFUNCTION("""COMPUTED_VALUE"""),0.0)</f>
        <v>0</v>
      </c>
      <c r="AM70" s="197">
        <f>IFERROR(__xludf.DUMMYFUNCTION("""COMPUTED_VALUE"""),0.0)</f>
        <v>0</v>
      </c>
      <c r="AN70" s="197">
        <f>IFERROR(__xludf.DUMMYFUNCTION("""COMPUTED_VALUE"""),0.0)</f>
        <v>0</v>
      </c>
      <c r="AO70" s="41">
        <f>IFERROR(__xludf.DUMMYFUNCTION("""COMPUTED_VALUE"""),0.0)</f>
        <v>0</v>
      </c>
      <c r="AP70" s="197">
        <f>IFERROR(__xludf.DUMMYFUNCTION("""COMPUTED_VALUE"""),0.0)</f>
        <v>0</v>
      </c>
      <c r="AQ70" s="197">
        <f>IFERROR(__xludf.DUMMYFUNCTION("""COMPUTED_VALUE"""),0.0)</f>
        <v>0</v>
      </c>
      <c r="AR70" s="197">
        <f>IFERROR(__xludf.DUMMYFUNCTION("""COMPUTED_VALUE"""),0.0)</f>
        <v>0</v>
      </c>
      <c r="AS70" s="41">
        <f>IFERROR(__xludf.DUMMYFUNCTION("""COMPUTED_VALUE"""),0.0)</f>
        <v>0</v>
      </c>
      <c r="AT70" s="197">
        <f>IFERROR(__xludf.DUMMYFUNCTION("""COMPUTED_VALUE"""),0.0)</f>
        <v>0</v>
      </c>
      <c r="AU70" s="197">
        <f>IFERROR(__xludf.DUMMYFUNCTION("""COMPUTED_VALUE"""),0.0)</f>
        <v>0</v>
      </c>
      <c r="AV70" s="197">
        <f>IFERROR(__xludf.DUMMYFUNCTION("""COMPUTED_VALUE"""),0.0)</f>
        <v>0</v>
      </c>
      <c r="AW70" s="41">
        <f>IFERROR(__xludf.DUMMYFUNCTION("""COMPUTED_VALUE"""),0.0)</f>
        <v>0</v>
      </c>
      <c r="AX70" s="197">
        <f>IFERROR(__xludf.DUMMYFUNCTION("""COMPUTED_VALUE"""),0.0)</f>
        <v>0</v>
      </c>
      <c r="AY70" s="197">
        <f>IFERROR(__xludf.DUMMYFUNCTION("""COMPUTED_VALUE"""),0.0)</f>
        <v>0</v>
      </c>
      <c r="AZ70" s="198">
        <f>IFERROR(__xludf.DUMMYFUNCTION("""COMPUTED_VALUE"""),0.0)</f>
        <v>0</v>
      </c>
      <c r="BA70" s="34"/>
    </row>
    <row r="71" ht="15.75" customHeight="1">
      <c r="A71" s="29"/>
      <c r="B71" s="67" t="str">
        <f>IFERROR(__xludf.DUMMYFUNCTION("""COMPUTED_VALUE""")," + Bán kiên cố")</f>
        <v> + Bán kiên cố</v>
      </c>
      <c r="C71" s="31"/>
      <c r="D71" s="31" t="str">
        <f>IFERROR(__xludf.DUMMYFUNCTION("""COMPUTED_VALUE"""),"""")</f>
        <v>"</v>
      </c>
      <c r="E71" s="41">
        <f>IFERROR(__xludf.DUMMYFUNCTION("""COMPUTED_VALUE"""),55.0)</f>
        <v>55</v>
      </c>
      <c r="F71" s="197">
        <f>IFERROR(__xludf.DUMMYFUNCTION("""COMPUTED_VALUE"""),55.0)</f>
        <v>55</v>
      </c>
      <c r="G71" s="197">
        <f>IFERROR(__xludf.DUMMYFUNCTION("""COMPUTED_VALUE"""),0.0)</f>
        <v>0</v>
      </c>
      <c r="H71" s="197">
        <f>IFERROR(__xludf.DUMMYFUNCTION("""COMPUTED_VALUE"""),0.0)</f>
        <v>0</v>
      </c>
      <c r="I71" s="41">
        <f>IFERROR(__xludf.DUMMYFUNCTION("""COMPUTED_VALUE"""),57.0)</f>
        <v>57</v>
      </c>
      <c r="J71" s="197">
        <f>IFERROR(__xludf.DUMMYFUNCTION("""COMPUTED_VALUE"""),57.0)</f>
        <v>57</v>
      </c>
      <c r="K71" s="197">
        <f>IFERROR(__xludf.DUMMYFUNCTION("""COMPUTED_VALUE"""),0.0)</f>
        <v>0</v>
      </c>
      <c r="L71" s="197">
        <f>IFERROR(__xludf.DUMMYFUNCTION("""COMPUTED_VALUE"""),0.0)</f>
        <v>0</v>
      </c>
      <c r="M71" s="41">
        <f>IFERROR(__xludf.DUMMYFUNCTION("""COMPUTED_VALUE"""),57.0)</f>
        <v>57</v>
      </c>
      <c r="N71" s="197">
        <f>IFERROR(__xludf.DUMMYFUNCTION("""COMPUTED_VALUE"""),57.0)</f>
        <v>57</v>
      </c>
      <c r="O71" s="197">
        <f>IFERROR(__xludf.DUMMYFUNCTION("""COMPUTED_VALUE"""),0.0)</f>
        <v>0</v>
      </c>
      <c r="P71" s="197">
        <f>IFERROR(__xludf.DUMMYFUNCTION("""COMPUTED_VALUE"""),0.0)</f>
        <v>0</v>
      </c>
      <c r="Q71" s="41">
        <f>IFERROR(__xludf.DUMMYFUNCTION("""COMPUTED_VALUE"""),57.0)</f>
        <v>57</v>
      </c>
      <c r="R71" s="197">
        <f>IFERROR(__xludf.DUMMYFUNCTION("""COMPUTED_VALUE"""),57.0)</f>
        <v>57</v>
      </c>
      <c r="S71" s="197">
        <f>IFERROR(__xludf.DUMMYFUNCTION("""COMPUTED_VALUE"""),0.0)</f>
        <v>0</v>
      </c>
      <c r="T71" s="197">
        <f>IFERROR(__xludf.DUMMYFUNCTION("""COMPUTED_VALUE"""),0.0)</f>
        <v>0</v>
      </c>
      <c r="U71" s="41">
        <f>IFERROR(__xludf.DUMMYFUNCTION("""COMPUTED_VALUE"""),57.0)</f>
        <v>57</v>
      </c>
      <c r="V71" s="197">
        <f>IFERROR(__xludf.DUMMYFUNCTION("""COMPUTED_VALUE"""),57.0)</f>
        <v>57</v>
      </c>
      <c r="W71" s="197">
        <f>IFERROR(__xludf.DUMMYFUNCTION("""COMPUTED_VALUE"""),0.0)</f>
        <v>0</v>
      </c>
      <c r="X71" s="197">
        <f>IFERROR(__xludf.DUMMYFUNCTION("""COMPUTED_VALUE"""),0.0)</f>
        <v>0</v>
      </c>
      <c r="Y71" s="41">
        <f>IFERROR(__xludf.DUMMYFUNCTION("""COMPUTED_VALUE"""),57.0)</f>
        <v>57</v>
      </c>
      <c r="Z71" s="197">
        <f>IFERROR(__xludf.DUMMYFUNCTION("""COMPUTED_VALUE"""),57.0)</f>
        <v>57</v>
      </c>
      <c r="AA71" s="197">
        <f>IFERROR(__xludf.DUMMYFUNCTION("""COMPUTED_VALUE"""),0.0)</f>
        <v>0</v>
      </c>
      <c r="AB71" s="197">
        <f>IFERROR(__xludf.DUMMYFUNCTION("""COMPUTED_VALUE"""),0.0)</f>
        <v>0</v>
      </c>
      <c r="AC71" s="41">
        <f>IFERROR(__xludf.DUMMYFUNCTION("""COMPUTED_VALUE"""),57.0)</f>
        <v>57</v>
      </c>
      <c r="AD71" s="197">
        <f>IFERROR(__xludf.DUMMYFUNCTION("""COMPUTED_VALUE"""),57.0)</f>
        <v>57</v>
      </c>
      <c r="AE71" s="197">
        <f>IFERROR(__xludf.DUMMYFUNCTION("""COMPUTED_VALUE"""),0.0)</f>
        <v>0</v>
      </c>
      <c r="AF71" s="197">
        <f>IFERROR(__xludf.DUMMYFUNCTION("""COMPUTED_VALUE"""),0.0)</f>
        <v>0</v>
      </c>
      <c r="AG71" s="41">
        <f>IFERROR(__xludf.DUMMYFUNCTION("""COMPUTED_VALUE"""),0.0)</f>
        <v>0</v>
      </c>
      <c r="AH71" s="197">
        <f>IFERROR(__xludf.DUMMYFUNCTION("""COMPUTED_VALUE"""),0.0)</f>
        <v>0</v>
      </c>
      <c r="AI71" s="197">
        <f>IFERROR(__xludf.DUMMYFUNCTION("""COMPUTED_VALUE"""),0.0)</f>
        <v>0</v>
      </c>
      <c r="AJ71" s="197">
        <f>IFERROR(__xludf.DUMMYFUNCTION("""COMPUTED_VALUE"""),0.0)</f>
        <v>0</v>
      </c>
      <c r="AK71" s="41">
        <f>IFERROR(__xludf.DUMMYFUNCTION("""COMPUTED_VALUE"""),0.0)</f>
        <v>0</v>
      </c>
      <c r="AL71" s="197">
        <f>IFERROR(__xludf.DUMMYFUNCTION("""COMPUTED_VALUE"""),0.0)</f>
        <v>0</v>
      </c>
      <c r="AM71" s="197">
        <f>IFERROR(__xludf.DUMMYFUNCTION("""COMPUTED_VALUE"""),0.0)</f>
        <v>0</v>
      </c>
      <c r="AN71" s="197">
        <f>IFERROR(__xludf.DUMMYFUNCTION("""COMPUTED_VALUE"""),0.0)</f>
        <v>0</v>
      </c>
      <c r="AO71" s="41">
        <f>IFERROR(__xludf.DUMMYFUNCTION("""COMPUTED_VALUE"""),0.0)</f>
        <v>0</v>
      </c>
      <c r="AP71" s="197">
        <f>IFERROR(__xludf.DUMMYFUNCTION("""COMPUTED_VALUE"""),0.0)</f>
        <v>0</v>
      </c>
      <c r="AQ71" s="197">
        <f>IFERROR(__xludf.DUMMYFUNCTION("""COMPUTED_VALUE"""),0.0)</f>
        <v>0</v>
      </c>
      <c r="AR71" s="197">
        <f>IFERROR(__xludf.DUMMYFUNCTION("""COMPUTED_VALUE"""),0.0)</f>
        <v>0</v>
      </c>
      <c r="AS71" s="41">
        <f>IFERROR(__xludf.DUMMYFUNCTION("""COMPUTED_VALUE"""),0.0)</f>
        <v>0</v>
      </c>
      <c r="AT71" s="197">
        <f>IFERROR(__xludf.DUMMYFUNCTION("""COMPUTED_VALUE"""),0.0)</f>
        <v>0</v>
      </c>
      <c r="AU71" s="197">
        <f>IFERROR(__xludf.DUMMYFUNCTION("""COMPUTED_VALUE"""),0.0)</f>
        <v>0</v>
      </c>
      <c r="AV71" s="197">
        <f>IFERROR(__xludf.DUMMYFUNCTION("""COMPUTED_VALUE"""),0.0)</f>
        <v>0</v>
      </c>
      <c r="AW71" s="41">
        <f>IFERROR(__xludf.DUMMYFUNCTION("""COMPUTED_VALUE"""),0.0)</f>
        <v>0</v>
      </c>
      <c r="AX71" s="197">
        <f>IFERROR(__xludf.DUMMYFUNCTION("""COMPUTED_VALUE"""),0.0)</f>
        <v>0</v>
      </c>
      <c r="AY71" s="197">
        <f>IFERROR(__xludf.DUMMYFUNCTION("""COMPUTED_VALUE"""),0.0)</f>
        <v>0</v>
      </c>
      <c r="AZ71" s="198">
        <f>IFERROR(__xludf.DUMMYFUNCTION("""COMPUTED_VALUE"""),0.0)</f>
        <v>0</v>
      </c>
      <c r="BA71" s="34"/>
    </row>
    <row r="72" ht="15.75" customHeight="1">
      <c r="A72" s="29"/>
      <c r="B72" s="67" t="str">
        <f>IFERROR(__xludf.DUMMYFUNCTION("""COMPUTED_VALUE""")," + Tạm")</f>
        <v> + Tạm</v>
      </c>
      <c r="C72" s="31"/>
      <c r="D72" s="31" t="str">
        <f>IFERROR(__xludf.DUMMYFUNCTION("""COMPUTED_VALUE"""),"""")</f>
        <v>"</v>
      </c>
      <c r="E72" s="41">
        <f>IFERROR(__xludf.DUMMYFUNCTION("""COMPUTED_VALUE"""),0.0)</f>
        <v>0</v>
      </c>
      <c r="F72" s="197">
        <f>IFERROR(__xludf.DUMMYFUNCTION("""COMPUTED_VALUE"""),0.0)</f>
        <v>0</v>
      </c>
      <c r="G72" s="197">
        <f>IFERROR(__xludf.DUMMYFUNCTION("""COMPUTED_VALUE"""),0.0)</f>
        <v>0</v>
      </c>
      <c r="H72" s="197">
        <f>IFERROR(__xludf.DUMMYFUNCTION("""COMPUTED_VALUE"""),0.0)</f>
        <v>0</v>
      </c>
      <c r="I72" s="41">
        <f>IFERROR(__xludf.DUMMYFUNCTION("""COMPUTED_VALUE"""),0.0)</f>
        <v>0</v>
      </c>
      <c r="J72" s="197">
        <f>IFERROR(__xludf.DUMMYFUNCTION("""COMPUTED_VALUE"""),0.0)</f>
        <v>0</v>
      </c>
      <c r="K72" s="197">
        <f>IFERROR(__xludf.DUMMYFUNCTION("""COMPUTED_VALUE"""),0.0)</f>
        <v>0</v>
      </c>
      <c r="L72" s="197">
        <f>IFERROR(__xludf.DUMMYFUNCTION("""COMPUTED_VALUE"""),0.0)</f>
        <v>0</v>
      </c>
      <c r="M72" s="41">
        <f>IFERROR(__xludf.DUMMYFUNCTION("""COMPUTED_VALUE"""),0.0)</f>
        <v>0</v>
      </c>
      <c r="N72" s="197">
        <f>IFERROR(__xludf.DUMMYFUNCTION("""COMPUTED_VALUE"""),0.0)</f>
        <v>0</v>
      </c>
      <c r="O72" s="197">
        <f>IFERROR(__xludf.DUMMYFUNCTION("""COMPUTED_VALUE"""),0.0)</f>
        <v>0</v>
      </c>
      <c r="P72" s="197">
        <f>IFERROR(__xludf.DUMMYFUNCTION("""COMPUTED_VALUE"""),0.0)</f>
        <v>0</v>
      </c>
      <c r="Q72" s="41">
        <f>IFERROR(__xludf.DUMMYFUNCTION("""COMPUTED_VALUE"""),0.0)</f>
        <v>0</v>
      </c>
      <c r="R72" s="197">
        <f>IFERROR(__xludf.DUMMYFUNCTION("""COMPUTED_VALUE"""),0.0)</f>
        <v>0</v>
      </c>
      <c r="S72" s="197">
        <f>IFERROR(__xludf.DUMMYFUNCTION("""COMPUTED_VALUE"""),0.0)</f>
        <v>0</v>
      </c>
      <c r="T72" s="197">
        <f>IFERROR(__xludf.DUMMYFUNCTION("""COMPUTED_VALUE"""),0.0)</f>
        <v>0</v>
      </c>
      <c r="U72" s="41">
        <f>IFERROR(__xludf.DUMMYFUNCTION("""COMPUTED_VALUE"""),0.0)</f>
        <v>0</v>
      </c>
      <c r="V72" s="197">
        <f>IFERROR(__xludf.DUMMYFUNCTION("""COMPUTED_VALUE"""),0.0)</f>
        <v>0</v>
      </c>
      <c r="W72" s="197">
        <f>IFERROR(__xludf.DUMMYFUNCTION("""COMPUTED_VALUE"""),0.0)</f>
        <v>0</v>
      </c>
      <c r="X72" s="197">
        <f>IFERROR(__xludf.DUMMYFUNCTION("""COMPUTED_VALUE"""),0.0)</f>
        <v>0</v>
      </c>
      <c r="Y72" s="41">
        <f>IFERROR(__xludf.DUMMYFUNCTION("""COMPUTED_VALUE"""),0.0)</f>
        <v>0</v>
      </c>
      <c r="Z72" s="197">
        <f>IFERROR(__xludf.DUMMYFUNCTION("""COMPUTED_VALUE"""),0.0)</f>
        <v>0</v>
      </c>
      <c r="AA72" s="197">
        <f>IFERROR(__xludf.DUMMYFUNCTION("""COMPUTED_VALUE"""),0.0)</f>
        <v>0</v>
      </c>
      <c r="AB72" s="197">
        <f>IFERROR(__xludf.DUMMYFUNCTION("""COMPUTED_VALUE"""),0.0)</f>
        <v>0</v>
      </c>
      <c r="AC72" s="41">
        <f>IFERROR(__xludf.DUMMYFUNCTION("""COMPUTED_VALUE"""),0.0)</f>
        <v>0</v>
      </c>
      <c r="AD72" s="197">
        <f>IFERROR(__xludf.DUMMYFUNCTION("""COMPUTED_VALUE"""),0.0)</f>
        <v>0</v>
      </c>
      <c r="AE72" s="197">
        <f>IFERROR(__xludf.DUMMYFUNCTION("""COMPUTED_VALUE"""),0.0)</f>
        <v>0</v>
      </c>
      <c r="AF72" s="197">
        <f>IFERROR(__xludf.DUMMYFUNCTION("""COMPUTED_VALUE"""),0.0)</f>
        <v>0</v>
      </c>
      <c r="AG72" s="41">
        <f>IFERROR(__xludf.DUMMYFUNCTION("""COMPUTED_VALUE"""),0.0)</f>
        <v>0</v>
      </c>
      <c r="AH72" s="197">
        <f>IFERROR(__xludf.DUMMYFUNCTION("""COMPUTED_VALUE"""),0.0)</f>
        <v>0</v>
      </c>
      <c r="AI72" s="197">
        <f>IFERROR(__xludf.DUMMYFUNCTION("""COMPUTED_VALUE"""),0.0)</f>
        <v>0</v>
      </c>
      <c r="AJ72" s="197">
        <f>IFERROR(__xludf.DUMMYFUNCTION("""COMPUTED_VALUE"""),0.0)</f>
        <v>0</v>
      </c>
      <c r="AK72" s="41">
        <f>IFERROR(__xludf.DUMMYFUNCTION("""COMPUTED_VALUE"""),0.0)</f>
        <v>0</v>
      </c>
      <c r="AL72" s="197">
        <f>IFERROR(__xludf.DUMMYFUNCTION("""COMPUTED_VALUE"""),0.0)</f>
        <v>0</v>
      </c>
      <c r="AM72" s="197">
        <f>IFERROR(__xludf.DUMMYFUNCTION("""COMPUTED_VALUE"""),0.0)</f>
        <v>0</v>
      </c>
      <c r="AN72" s="197">
        <f>IFERROR(__xludf.DUMMYFUNCTION("""COMPUTED_VALUE"""),0.0)</f>
        <v>0</v>
      </c>
      <c r="AO72" s="41">
        <f>IFERROR(__xludf.DUMMYFUNCTION("""COMPUTED_VALUE"""),0.0)</f>
        <v>0</v>
      </c>
      <c r="AP72" s="197">
        <f>IFERROR(__xludf.DUMMYFUNCTION("""COMPUTED_VALUE"""),0.0)</f>
        <v>0</v>
      </c>
      <c r="AQ72" s="197">
        <f>IFERROR(__xludf.DUMMYFUNCTION("""COMPUTED_VALUE"""),0.0)</f>
        <v>0</v>
      </c>
      <c r="AR72" s="197">
        <f>IFERROR(__xludf.DUMMYFUNCTION("""COMPUTED_VALUE"""),0.0)</f>
        <v>0</v>
      </c>
      <c r="AS72" s="41">
        <f>IFERROR(__xludf.DUMMYFUNCTION("""COMPUTED_VALUE"""),0.0)</f>
        <v>0</v>
      </c>
      <c r="AT72" s="197">
        <f>IFERROR(__xludf.DUMMYFUNCTION("""COMPUTED_VALUE"""),0.0)</f>
        <v>0</v>
      </c>
      <c r="AU72" s="197">
        <f>IFERROR(__xludf.DUMMYFUNCTION("""COMPUTED_VALUE"""),0.0)</f>
        <v>0</v>
      </c>
      <c r="AV72" s="197">
        <f>IFERROR(__xludf.DUMMYFUNCTION("""COMPUTED_VALUE"""),0.0)</f>
        <v>0</v>
      </c>
      <c r="AW72" s="41">
        <f>IFERROR(__xludf.DUMMYFUNCTION("""COMPUTED_VALUE"""),0.0)</f>
        <v>0</v>
      </c>
      <c r="AX72" s="197">
        <f>IFERROR(__xludf.DUMMYFUNCTION("""COMPUTED_VALUE"""),0.0)</f>
        <v>0</v>
      </c>
      <c r="AY72" s="197">
        <f>IFERROR(__xludf.DUMMYFUNCTION("""COMPUTED_VALUE"""),0.0)</f>
        <v>0</v>
      </c>
      <c r="AZ72" s="198">
        <f>IFERROR(__xludf.DUMMYFUNCTION("""COMPUTED_VALUE"""),0.0)</f>
        <v>0</v>
      </c>
      <c r="BA72" s="34"/>
    </row>
    <row r="73" ht="15.75" customHeight="1">
      <c r="A73" s="29"/>
      <c r="B73" s="196" t="str">
        <f>IFERROR(__xludf.DUMMYFUNCTION("""COMPUTED_VALUE"""),"6.2. Tổng số phòng học bộ môn")</f>
        <v>6.2. Tổng số phòng học bộ môn</v>
      </c>
      <c r="C73" s="57"/>
      <c r="D73" s="57" t="str">
        <f>IFERROR(__xludf.DUMMYFUNCTION("""COMPUTED_VALUE"""),"Phòng")</f>
        <v>Phòng</v>
      </c>
      <c r="E73" s="125">
        <f>IFERROR(__xludf.DUMMYFUNCTION("""COMPUTED_VALUE"""),30.0)</f>
        <v>30</v>
      </c>
      <c r="F73" s="125">
        <f>IFERROR(__xludf.DUMMYFUNCTION("""COMPUTED_VALUE"""),28.0)</f>
        <v>28</v>
      </c>
      <c r="G73" s="125">
        <f>IFERROR(__xludf.DUMMYFUNCTION("""COMPUTED_VALUE"""),0.0)</f>
        <v>0</v>
      </c>
      <c r="H73" s="125">
        <f>IFERROR(__xludf.DUMMYFUNCTION("""COMPUTED_VALUE"""),2.0)</f>
        <v>2</v>
      </c>
      <c r="I73" s="125">
        <f>IFERROR(__xludf.DUMMYFUNCTION("""COMPUTED_VALUE"""),33.0)</f>
        <v>33</v>
      </c>
      <c r="J73" s="125">
        <f>IFERROR(__xludf.DUMMYFUNCTION("""COMPUTED_VALUE"""),31.0)</f>
        <v>31</v>
      </c>
      <c r="K73" s="125">
        <f>IFERROR(__xludf.DUMMYFUNCTION("""COMPUTED_VALUE"""),0.0)</f>
        <v>0</v>
      </c>
      <c r="L73" s="125">
        <f>IFERROR(__xludf.DUMMYFUNCTION("""COMPUTED_VALUE"""),2.0)</f>
        <v>2</v>
      </c>
      <c r="M73" s="125">
        <f>IFERROR(__xludf.DUMMYFUNCTION("""COMPUTED_VALUE"""),32.0)</f>
        <v>32</v>
      </c>
      <c r="N73" s="125">
        <f>IFERROR(__xludf.DUMMYFUNCTION("""COMPUTED_VALUE"""),30.0)</f>
        <v>30</v>
      </c>
      <c r="O73" s="125">
        <f>IFERROR(__xludf.DUMMYFUNCTION("""COMPUTED_VALUE"""),0.0)</f>
        <v>0</v>
      </c>
      <c r="P73" s="125">
        <f>IFERROR(__xludf.DUMMYFUNCTION("""COMPUTED_VALUE"""),2.0)</f>
        <v>2</v>
      </c>
      <c r="Q73" s="125">
        <f>IFERROR(__xludf.DUMMYFUNCTION("""COMPUTED_VALUE"""),32.0)</f>
        <v>32</v>
      </c>
      <c r="R73" s="125">
        <f>IFERROR(__xludf.DUMMYFUNCTION("""COMPUTED_VALUE"""),30.0)</f>
        <v>30</v>
      </c>
      <c r="S73" s="125">
        <f>IFERROR(__xludf.DUMMYFUNCTION("""COMPUTED_VALUE"""),0.0)</f>
        <v>0</v>
      </c>
      <c r="T73" s="125">
        <f>IFERROR(__xludf.DUMMYFUNCTION("""COMPUTED_VALUE"""),2.0)</f>
        <v>2</v>
      </c>
      <c r="U73" s="125">
        <f>IFERROR(__xludf.DUMMYFUNCTION("""COMPUTED_VALUE"""),30.0)</f>
        <v>30</v>
      </c>
      <c r="V73" s="125">
        <f>IFERROR(__xludf.DUMMYFUNCTION("""COMPUTED_VALUE"""),28.0)</f>
        <v>28</v>
      </c>
      <c r="W73" s="125">
        <f>IFERROR(__xludf.DUMMYFUNCTION("""COMPUTED_VALUE"""),0.0)</f>
        <v>0</v>
      </c>
      <c r="X73" s="125">
        <f>IFERROR(__xludf.DUMMYFUNCTION("""COMPUTED_VALUE"""),2.0)</f>
        <v>2</v>
      </c>
      <c r="Y73" s="125">
        <f>IFERROR(__xludf.DUMMYFUNCTION("""COMPUTED_VALUE"""),30.0)</f>
        <v>30</v>
      </c>
      <c r="Z73" s="125">
        <f>IFERROR(__xludf.DUMMYFUNCTION("""COMPUTED_VALUE"""),28.0)</f>
        <v>28</v>
      </c>
      <c r="AA73" s="125">
        <f>IFERROR(__xludf.DUMMYFUNCTION("""COMPUTED_VALUE"""),0.0)</f>
        <v>0</v>
      </c>
      <c r="AB73" s="125">
        <f>IFERROR(__xludf.DUMMYFUNCTION("""COMPUTED_VALUE"""),2.0)</f>
        <v>2</v>
      </c>
      <c r="AC73" s="125">
        <f>IFERROR(__xludf.DUMMYFUNCTION("""COMPUTED_VALUE"""),30.0)</f>
        <v>30</v>
      </c>
      <c r="AD73" s="125">
        <f>IFERROR(__xludf.DUMMYFUNCTION("""COMPUTED_VALUE"""),28.0)</f>
        <v>28</v>
      </c>
      <c r="AE73" s="125">
        <f>IFERROR(__xludf.DUMMYFUNCTION("""COMPUTED_VALUE"""),0.0)</f>
        <v>0</v>
      </c>
      <c r="AF73" s="125">
        <f>IFERROR(__xludf.DUMMYFUNCTION("""COMPUTED_VALUE"""),2.0)</f>
        <v>2</v>
      </c>
      <c r="AG73" s="125">
        <f>IFERROR(__xludf.DUMMYFUNCTION("""COMPUTED_VALUE"""),3.0)</f>
        <v>3</v>
      </c>
      <c r="AH73" s="125">
        <f>IFERROR(__xludf.DUMMYFUNCTION("""COMPUTED_VALUE"""),3.0)</f>
        <v>3</v>
      </c>
      <c r="AI73" s="125">
        <f>IFERROR(__xludf.DUMMYFUNCTION("""COMPUTED_VALUE"""),0.0)</f>
        <v>0</v>
      </c>
      <c r="AJ73" s="125">
        <f>IFERROR(__xludf.DUMMYFUNCTION("""COMPUTED_VALUE"""),0.0)</f>
        <v>0</v>
      </c>
      <c r="AK73" s="125">
        <f>IFERROR(__xludf.DUMMYFUNCTION("""COMPUTED_VALUE"""),0.0)</f>
        <v>0</v>
      </c>
      <c r="AL73" s="125">
        <f>IFERROR(__xludf.DUMMYFUNCTION("""COMPUTED_VALUE"""),0.0)</f>
        <v>0</v>
      </c>
      <c r="AM73" s="125">
        <f>IFERROR(__xludf.DUMMYFUNCTION("""COMPUTED_VALUE"""),0.0)</f>
        <v>0</v>
      </c>
      <c r="AN73" s="125">
        <f>IFERROR(__xludf.DUMMYFUNCTION("""COMPUTED_VALUE"""),0.0)</f>
        <v>0</v>
      </c>
      <c r="AO73" s="125">
        <f>IFERROR(__xludf.DUMMYFUNCTION("""COMPUTED_VALUE"""),0.0)</f>
        <v>0</v>
      </c>
      <c r="AP73" s="125">
        <f>IFERROR(__xludf.DUMMYFUNCTION("""COMPUTED_VALUE"""),0.0)</f>
        <v>0</v>
      </c>
      <c r="AQ73" s="125">
        <f>IFERROR(__xludf.DUMMYFUNCTION("""COMPUTED_VALUE"""),0.0)</f>
        <v>0</v>
      </c>
      <c r="AR73" s="125">
        <f>IFERROR(__xludf.DUMMYFUNCTION("""COMPUTED_VALUE"""),0.0)</f>
        <v>0</v>
      </c>
      <c r="AS73" s="125">
        <f>IFERROR(__xludf.DUMMYFUNCTION("""COMPUTED_VALUE"""),0.0)</f>
        <v>0</v>
      </c>
      <c r="AT73" s="125">
        <f>IFERROR(__xludf.DUMMYFUNCTION("""COMPUTED_VALUE"""),0.0)</f>
        <v>0</v>
      </c>
      <c r="AU73" s="125">
        <f>IFERROR(__xludf.DUMMYFUNCTION("""COMPUTED_VALUE"""),0.0)</f>
        <v>0</v>
      </c>
      <c r="AV73" s="125">
        <f>IFERROR(__xludf.DUMMYFUNCTION("""COMPUTED_VALUE"""),0.0)</f>
        <v>0</v>
      </c>
      <c r="AW73" s="125">
        <f>IFERROR(__xludf.DUMMYFUNCTION("""COMPUTED_VALUE"""),0.0)</f>
        <v>0</v>
      </c>
      <c r="AX73" s="125">
        <f>IFERROR(__xludf.DUMMYFUNCTION("""COMPUTED_VALUE"""),0.0)</f>
        <v>0</v>
      </c>
      <c r="AY73" s="125">
        <f>IFERROR(__xludf.DUMMYFUNCTION("""COMPUTED_VALUE"""),0.0)</f>
        <v>0</v>
      </c>
      <c r="AZ73" s="127">
        <f>IFERROR(__xludf.DUMMYFUNCTION("""COMPUTED_VALUE"""),0.0)</f>
        <v>0</v>
      </c>
      <c r="BA73" s="34"/>
    </row>
    <row r="74" ht="15.75" customHeight="1">
      <c r="A74" s="29"/>
      <c r="B74" s="48" t="str">
        <f>IFERROR(__xludf.DUMMYFUNCTION("""COMPUTED_VALUE"""),"Chia ra:")</f>
        <v>Chia ra:</v>
      </c>
      <c r="C74" s="49"/>
      <c r="D74" s="3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50"/>
      <c r="BA74" s="34"/>
    </row>
    <row r="75" ht="15.75" customHeight="1">
      <c r="A75" s="29"/>
      <c r="B75" s="67" t="str">
        <f>IFERROR(__xludf.DUMMYFUNCTION("""COMPUTED_VALUE""")," + Kiên cố")</f>
        <v> + Kiên cố</v>
      </c>
      <c r="C75" s="31"/>
      <c r="D75" s="31" t="str">
        <f>IFERROR(__xludf.DUMMYFUNCTION("""COMPUTED_VALUE"""),"""")</f>
        <v>"</v>
      </c>
      <c r="E75" s="41">
        <f>IFERROR(__xludf.DUMMYFUNCTION("""COMPUTED_VALUE"""),24.0)</f>
        <v>24</v>
      </c>
      <c r="F75" s="197">
        <f>IFERROR(__xludf.DUMMYFUNCTION("""COMPUTED_VALUE"""),22.0)</f>
        <v>22</v>
      </c>
      <c r="G75" s="197">
        <f>IFERROR(__xludf.DUMMYFUNCTION("""COMPUTED_VALUE"""),0.0)</f>
        <v>0</v>
      </c>
      <c r="H75" s="197">
        <f>IFERROR(__xludf.DUMMYFUNCTION("""COMPUTED_VALUE"""),2.0)</f>
        <v>2</v>
      </c>
      <c r="I75" s="41">
        <f>IFERROR(__xludf.DUMMYFUNCTION("""COMPUTED_VALUE"""),25.0)</f>
        <v>25</v>
      </c>
      <c r="J75" s="197">
        <f>IFERROR(__xludf.DUMMYFUNCTION("""COMPUTED_VALUE"""),23.0)</f>
        <v>23</v>
      </c>
      <c r="K75" s="197">
        <f>IFERROR(__xludf.DUMMYFUNCTION("""COMPUTED_VALUE"""),0.0)</f>
        <v>0</v>
      </c>
      <c r="L75" s="197">
        <f>IFERROR(__xludf.DUMMYFUNCTION("""COMPUTED_VALUE"""),2.0)</f>
        <v>2</v>
      </c>
      <c r="M75" s="41">
        <f>IFERROR(__xludf.DUMMYFUNCTION("""COMPUTED_VALUE"""),25.0)</f>
        <v>25</v>
      </c>
      <c r="N75" s="197">
        <f>IFERROR(__xludf.DUMMYFUNCTION("""COMPUTED_VALUE"""),23.0)</f>
        <v>23</v>
      </c>
      <c r="O75" s="197">
        <f>IFERROR(__xludf.DUMMYFUNCTION("""COMPUTED_VALUE"""),0.0)</f>
        <v>0</v>
      </c>
      <c r="P75" s="197">
        <f>IFERROR(__xludf.DUMMYFUNCTION("""COMPUTED_VALUE"""),2.0)</f>
        <v>2</v>
      </c>
      <c r="Q75" s="41">
        <f>IFERROR(__xludf.DUMMYFUNCTION("""COMPUTED_VALUE"""),25.0)</f>
        <v>25</v>
      </c>
      <c r="R75" s="197">
        <f>IFERROR(__xludf.DUMMYFUNCTION("""COMPUTED_VALUE"""),23.0)</f>
        <v>23</v>
      </c>
      <c r="S75" s="197">
        <f>IFERROR(__xludf.DUMMYFUNCTION("""COMPUTED_VALUE"""),0.0)</f>
        <v>0</v>
      </c>
      <c r="T75" s="197">
        <f>IFERROR(__xludf.DUMMYFUNCTION("""COMPUTED_VALUE"""),2.0)</f>
        <v>2</v>
      </c>
      <c r="U75" s="41">
        <f>IFERROR(__xludf.DUMMYFUNCTION("""COMPUTED_VALUE"""),24.0)</f>
        <v>24</v>
      </c>
      <c r="V75" s="197">
        <f>IFERROR(__xludf.DUMMYFUNCTION("""COMPUTED_VALUE"""),22.0)</f>
        <v>22</v>
      </c>
      <c r="W75" s="197">
        <f>IFERROR(__xludf.DUMMYFUNCTION("""COMPUTED_VALUE"""),0.0)</f>
        <v>0</v>
      </c>
      <c r="X75" s="197">
        <f>IFERROR(__xludf.DUMMYFUNCTION("""COMPUTED_VALUE"""),2.0)</f>
        <v>2</v>
      </c>
      <c r="Y75" s="41">
        <f>IFERROR(__xludf.DUMMYFUNCTION("""COMPUTED_VALUE"""),24.0)</f>
        <v>24</v>
      </c>
      <c r="Z75" s="197">
        <f>IFERROR(__xludf.DUMMYFUNCTION("""COMPUTED_VALUE"""),22.0)</f>
        <v>22</v>
      </c>
      <c r="AA75" s="197">
        <f>IFERROR(__xludf.DUMMYFUNCTION("""COMPUTED_VALUE"""),0.0)</f>
        <v>0</v>
      </c>
      <c r="AB75" s="197">
        <f>IFERROR(__xludf.DUMMYFUNCTION("""COMPUTED_VALUE"""),2.0)</f>
        <v>2</v>
      </c>
      <c r="AC75" s="41">
        <f>IFERROR(__xludf.DUMMYFUNCTION("""COMPUTED_VALUE"""),24.0)</f>
        <v>24</v>
      </c>
      <c r="AD75" s="197">
        <f>IFERROR(__xludf.DUMMYFUNCTION("""COMPUTED_VALUE"""),22.0)</f>
        <v>22</v>
      </c>
      <c r="AE75" s="197">
        <f>IFERROR(__xludf.DUMMYFUNCTION("""COMPUTED_VALUE"""),0.0)</f>
        <v>0</v>
      </c>
      <c r="AF75" s="197">
        <f>IFERROR(__xludf.DUMMYFUNCTION("""COMPUTED_VALUE"""),2.0)</f>
        <v>2</v>
      </c>
      <c r="AG75" s="41">
        <f>IFERROR(__xludf.DUMMYFUNCTION("""COMPUTED_VALUE"""),3.0)</f>
        <v>3</v>
      </c>
      <c r="AH75" s="197">
        <f>IFERROR(__xludf.DUMMYFUNCTION("""COMPUTED_VALUE"""),3.0)</f>
        <v>3</v>
      </c>
      <c r="AI75" s="197">
        <f>IFERROR(__xludf.DUMMYFUNCTION("""COMPUTED_VALUE"""),0.0)</f>
        <v>0</v>
      </c>
      <c r="AJ75" s="197">
        <f>IFERROR(__xludf.DUMMYFUNCTION("""COMPUTED_VALUE"""),0.0)</f>
        <v>0</v>
      </c>
      <c r="AK75" s="41">
        <f>IFERROR(__xludf.DUMMYFUNCTION("""COMPUTED_VALUE"""),0.0)</f>
        <v>0</v>
      </c>
      <c r="AL75" s="197">
        <f>IFERROR(__xludf.DUMMYFUNCTION("""COMPUTED_VALUE"""),0.0)</f>
        <v>0</v>
      </c>
      <c r="AM75" s="197">
        <f>IFERROR(__xludf.DUMMYFUNCTION("""COMPUTED_VALUE"""),0.0)</f>
        <v>0</v>
      </c>
      <c r="AN75" s="197">
        <f>IFERROR(__xludf.DUMMYFUNCTION("""COMPUTED_VALUE"""),0.0)</f>
        <v>0</v>
      </c>
      <c r="AO75" s="41">
        <f>IFERROR(__xludf.DUMMYFUNCTION("""COMPUTED_VALUE"""),0.0)</f>
        <v>0</v>
      </c>
      <c r="AP75" s="197">
        <f>IFERROR(__xludf.DUMMYFUNCTION("""COMPUTED_VALUE"""),0.0)</f>
        <v>0</v>
      </c>
      <c r="AQ75" s="197">
        <f>IFERROR(__xludf.DUMMYFUNCTION("""COMPUTED_VALUE"""),0.0)</f>
        <v>0</v>
      </c>
      <c r="AR75" s="197">
        <f>IFERROR(__xludf.DUMMYFUNCTION("""COMPUTED_VALUE"""),0.0)</f>
        <v>0</v>
      </c>
      <c r="AS75" s="41">
        <f>IFERROR(__xludf.DUMMYFUNCTION("""COMPUTED_VALUE"""),0.0)</f>
        <v>0</v>
      </c>
      <c r="AT75" s="197">
        <f>IFERROR(__xludf.DUMMYFUNCTION("""COMPUTED_VALUE"""),0.0)</f>
        <v>0</v>
      </c>
      <c r="AU75" s="197">
        <f>IFERROR(__xludf.DUMMYFUNCTION("""COMPUTED_VALUE"""),0.0)</f>
        <v>0</v>
      </c>
      <c r="AV75" s="197">
        <f>IFERROR(__xludf.DUMMYFUNCTION("""COMPUTED_VALUE"""),0.0)</f>
        <v>0</v>
      </c>
      <c r="AW75" s="41">
        <f>IFERROR(__xludf.DUMMYFUNCTION("""COMPUTED_VALUE"""),0.0)</f>
        <v>0</v>
      </c>
      <c r="AX75" s="197">
        <f>IFERROR(__xludf.DUMMYFUNCTION("""COMPUTED_VALUE"""),0.0)</f>
        <v>0</v>
      </c>
      <c r="AY75" s="197">
        <f>IFERROR(__xludf.DUMMYFUNCTION("""COMPUTED_VALUE"""),0.0)</f>
        <v>0</v>
      </c>
      <c r="AZ75" s="198">
        <f>IFERROR(__xludf.DUMMYFUNCTION("""COMPUTED_VALUE"""),0.0)</f>
        <v>0</v>
      </c>
      <c r="BA75" s="34"/>
    </row>
    <row r="76" ht="15.75" customHeight="1">
      <c r="A76" s="29"/>
      <c r="B76" s="67" t="str">
        <f>IFERROR(__xludf.DUMMYFUNCTION("""COMPUTED_VALUE""")," + Bán kiên cố")</f>
        <v> + Bán kiên cố</v>
      </c>
      <c r="C76" s="31"/>
      <c r="D76" s="31" t="str">
        <f>IFERROR(__xludf.DUMMYFUNCTION("""COMPUTED_VALUE"""),"""")</f>
        <v>"</v>
      </c>
      <c r="E76" s="41">
        <f>IFERROR(__xludf.DUMMYFUNCTION("""COMPUTED_VALUE"""),5.0)</f>
        <v>5</v>
      </c>
      <c r="F76" s="197">
        <f>IFERROR(__xludf.DUMMYFUNCTION("""COMPUTED_VALUE"""),5.0)</f>
        <v>5</v>
      </c>
      <c r="G76" s="197">
        <f>IFERROR(__xludf.DUMMYFUNCTION("""COMPUTED_VALUE"""),0.0)</f>
        <v>0</v>
      </c>
      <c r="H76" s="197">
        <f>IFERROR(__xludf.DUMMYFUNCTION("""COMPUTED_VALUE"""),0.0)</f>
        <v>0</v>
      </c>
      <c r="I76" s="41">
        <f>IFERROR(__xludf.DUMMYFUNCTION("""COMPUTED_VALUE"""),7.0)</f>
        <v>7</v>
      </c>
      <c r="J76" s="197">
        <f>IFERROR(__xludf.DUMMYFUNCTION("""COMPUTED_VALUE"""),7.0)</f>
        <v>7</v>
      </c>
      <c r="K76" s="197">
        <f>IFERROR(__xludf.DUMMYFUNCTION("""COMPUTED_VALUE"""),0.0)</f>
        <v>0</v>
      </c>
      <c r="L76" s="197">
        <f>IFERROR(__xludf.DUMMYFUNCTION("""COMPUTED_VALUE"""),0.0)</f>
        <v>0</v>
      </c>
      <c r="M76" s="41">
        <f>IFERROR(__xludf.DUMMYFUNCTION("""COMPUTED_VALUE"""),7.0)</f>
        <v>7</v>
      </c>
      <c r="N76" s="197">
        <f>IFERROR(__xludf.DUMMYFUNCTION("""COMPUTED_VALUE"""),7.0)</f>
        <v>7</v>
      </c>
      <c r="O76" s="197">
        <f>IFERROR(__xludf.DUMMYFUNCTION("""COMPUTED_VALUE"""),0.0)</f>
        <v>0</v>
      </c>
      <c r="P76" s="197">
        <f>IFERROR(__xludf.DUMMYFUNCTION("""COMPUTED_VALUE"""),0.0)</f>
        <v>0</v>
      </c>
      <c r="Q76" s="41">
        <f>IFERROR(__xludf.DUMMYFUNCTION("""COMPUTED_VALUE"""),7.0)</f>
        <v>7</v>
      </c>
      <c r="R76" s="197">
        <f>IFERROR(__xludf.DUMMYFUNCTION("""COMPUTED_VALUE"""),7.0)</f>
        <v>7</v>
      </c>
      <c r="S76" s="197">
        <f>IFERROR(__xludf.DUMMYFUNCTION("""COMPUTED_VALUE"""),0.0)</f>
        <v>0</v>
      </c>
      <c r="T76" s="197">
        <f>IFERROR(__xludf.DUMMYFUNCTION("""COMPUTED_VALUE"""),0.0)</f>
        <v>0</v>
      </c>
      <c r="U76" s="41">
        <f>IFERROR(__xludf.DUMMYFUNCTION("""COMPUTED_VALUE"""),5.0)</f>
        <v>5</v>
      </c>
      <c r="V76" s="197">
        <f>IFERROR(__xludf.DUMMYFUNCTION("""COMPUTED_VALUE"""),5.0)</f>
        <v>5</v>
      </c>
      <c r="W76" s="197">
        <f>IFERROR(__xludf.DUMMYFUNCTION("""COMPUTED_VALUE"""),0.0)</f>
        <v>0</v>
      </c>
      <c r="X76" s="197">
        <f>IFERROR(__xludf.DUMMYFUNCTION("""COMPUTED_VALUE"""),0.0)</f>
        <v>0</v>
      </c>
      <c r="Y76" s="41">
        <f>IFERROR(__xludf.DUMMYFUNCTION("""COMPUTED_VALUE"""),5.0)</f>
        <v>5</v>
      </c>
      <c r="Z76" s="197">
        <f>IFERROR(__xludf.DUMMYFUNCTION("""COMPUTED_VALUE"""),5.0)</f>
        <v>5</v>
      </c>
      <c r="AA76" s="197">
        <f>IFERROR(__xludf.DUMMYFUNCTION("""COMPUTED_VALUE"""),0.0)</f>
        <v>0</v>
      </c>
      <c r="AB76" s="197">
        <f>IFERROR(__xludf.DUMMYFUNCTION("""COMPUTED_VALUE"""),0.0)</f>
        <v>0</v>
      </c>
      <c r="AC76" s="41">
        <f>IFERROR(__xludf.DUMMYFUNCTION("""COMPUTED_VALUE"""),5.0)</f>
        <v>5</v>
      </c>
      <c r="AD76" s="197">
        <f>IFERROR(__xludf.DUMMYFUNCTION("""COMPUTED_VALUE"""),5.0)</f>
        <v>5</v>
      </c>
      <c r="AE76" s="197">
        <f>IFERROR(__xludf.DUMMYFUNCTION("""COMPUTED_VALUE"""),0.0)</f>
        <v>0</v>
      </c>
      <c r="AF76" s="197">
        <f>IFERROR(__xludf.DUMMYFUNCTION("""COMPUTED_VALUE"""),0.0)</f>
        <v>0</v>
      </c>
      <c r="AG76" s="41">
        <f>IFERROR(__xludf.DUMMYFUNCTION("""COMPUTED_VALUE"""),0.0)</f>
        <v>0</v>
      </c>
      <c r="AH76" s="197">
        <f>IFERROR(__xludf.DUMMYFUNCTION("""COMPUTED_VALUE"""),0.0)</f>
        <v>0</v>
      </c>
      <c r="AI76" s="197">
        <f>IFERROR(__xludf.DUMMYFUNCTION("""COMPUTED_VALUE"""),0.0)</f>
        <v>0</v>
      </c>
      <c r="AJ76" s="197">
        <f>IFERROR(__xludf.DUMMYFUNCTION("""COMPUTED_VALUE"""),0.0)</f>
        <v>0</v>
      </c>
      <c r="AK76" s="41">
        <f>IFERROR(__xludf.DUMMYFUNCTION("""COMPUTED_VALUE"""),0.0)</f>
        <v>0</v>
      </c>
      <c r="AL76" s="197">
        <f>IFERROR(__xludf.DUMMYFUNCTION("""COMPUTED_VALUE"""),0.0)</f>
        <v>0</v>
      </c>
      <c r="AM76" s="197">
        <f>IFERROR(__xludf.DUMMYFUNCTION("""COMPUTED_VALUE"""),0.0)</f>
        <v>0</v>
      </c>
      <c r="AN76" s="197">
        <f>IFERROR(__xludf.DUMMYFUNCTION("""COMPUTED_VALUE"""),0.0)</f>
        <v>0</v>
      </c>
      <c r="AO76" s="41">
        <f>IFERROR(__xludf.DUMMYFUNCTION("""COMPUTED_VALUE"""),0.0)</f>
        <v>0</v>
      </c>
      <c r="AP76" s="197">
        <f>IFERROR(__xludf.DUMMYFUNCTION("""COMPUTED_VALUE"""),0.0)</f>
        <v>0</v>
      </c>
      <c r="AQ76" s="197">
        <f>IFERROR(__xludf.DUMMYFUNCTION("""COMPUTED_VALUE"""),0.0)</f>
        <v>0</v>
      </c>
      <c r="AR76" s="197">
        <f>IFERROR(__xludf.DUMMYFUNCTION("""COMPUTED_VALUE"""),0.0)</f>
        <v>0</v>
      </c>
      <c r="AS76" s="41">
        <f>IFERROR(__xludf.DUMMYFUNCTION("""COMPUTED_VALUE"""),0.0)</f>
        <v>0</v>
      </c>
      <c r="AT76" s="197">
        <f>IFERROR(__xludf.DUMMYFUNCTION("""COMPUTED_VALUE"""),0.0)</f>
        <v>0</v>
      </c>
      <c r="AU76" s="197">
        <f>IFERROR(__xludf.DUMMYFUNCTION("""COMPUTED_VALUE"""),0.0)</f>
        <v>0</v>
      </c>
      <c r="AV76" s="197">
        <f>IFERROR(__xludf.DUMMYFUNCTION("""COMPUTED_VALUE"""),0.0)</f>
        <v>0</v>
      </c>
      <c r="AW76" s="41">
        <f>IFERROR(__xludf.DUMMYFUNCTION("""COMPUTED_VALUE"""),0.0)</f>
        <v>0</v>
      </c>
      <c r="AX76" s="197">
        <f>IFERROR(__xludf.DUMMYFUNCTION("""COMPUTED_VALUE"""),0.0)</f>
        <v>0</v>
      </c>
      <c r="AY76" s="197">
        <f>IFERROR(__xludf.DUMMYFUNCTION("""COMPUTED_VALUE"""),0.0)</f>
        <v>0</v>
      </c>
      <c r="AZ76" s="198">
        <f>IFERROR(__xludf.DUMMYFUNCTION("""COMPUTED_VALUE"""),0.0)</f>
        <v>0</v>
      </c>
      <c r="BA76" s="34"/>
    </row>
    <row r="77" ht="15.75" customHeight="1">
      <c r="A77" s="29"/>
      <c r="B77" s="67" t="str">
        <f>IFERROR(__xludf.DUMMYFUNCTION("""COMPUTED_VALUE""")," + Tạm")</f>
        <v> + Tạm</v>
      </c>
      <c r="C77" s="31"/>
      <c r="D77" s="31" t="str">
        <f>IFERROR(__xludf.DUMMYFUNCTION("""COMPUTED_VALUE"""),"""")</f>
        <v>"</v>
      </c>
      <c r="E77" s="41">
        <f>IFERROR(__xludf.DUMMYFUNCTION("""COMPUTED_VALUE"""),1.0)</f>
        <v>1</v>
      </c>
      <c r="F77" s="197">
        <f>IFERROR(__xludf.DUMMYFUNCTION("""COMPUTED_VALUE"""),1.0)</f>
        <v>1</v>
      </c>
      <c r="G77" s="197">
        <f>IFERROR(__xludf.DUMMYFUNCTION("""COMPUTED_VALUE"""),0.0)</f>
        <v>0</v>
      </c>
      <c r="H77" s="197">
        <f>IFERROR(__xludf.DUMMYFUNCTION("""COMPUTED_VALUE"""),0.0)</f>
        <v>0</v>
      </c>
      <c r="I77" s="41">
        <f>IFERROR(__xludf.DUMMYFUNCTION("""COMPUTED_VALUE"""),1.0)</f>
        <v>1</v>
      </c>
      <c r="J77" s="197">
        <f>IFERROR(__xludf.DUMMYFUNCTION("""COMPUTED_VALUE"""),1.0)</f>
        <v>1</v>
      </c>
      <c r="K77" s="197">
        <f>IFERROR(__xludf.DUMMYFUNCTION("""COMPUTED_VALUE"""),0.0)</f>
        <v>0</v>
      </c>
      <c r="L77" s="197">
        <f>IFERROR(__xludf.DUMMYFUNCTION("""COMPUTED_VALUE"""),0.0)</f>
        <v>0</v>
      </c>
      <c r="M77" s="41">
        <f>IFERROR(__xludf.DUMMYFUNCTION("""COMPUTED_VALUE"""),0.0)</f>
        <v>0</v>
      </c>
      <c r="N77" s="197">
        <f>IFERROR(__xludf.DUMMYFUNCTION("""COMPUTED_VALUE"""),0.0)</f>
        <v>0</v>
      </c>
      <c r="O77" s="197">
        <f>IFERROR(__xludf.DUMMYFUNCTION("""COMPUTED_VALUE"""),0.0)</f>
        <v>0</v>
      </c>
      <c r="P77" s="197">
        <f>IFERROR(__xludf.DUMMYFUNCTION("""COMPUTED_VALUE"""),0.0)</f>
        <v>0</v>
      </c>
      <c r="Q77" s="41">
        <f>IFERROR(__xludf.DUMMYFUNCTION("""COMPUTED_VALUE"""),0.0)</f>
        <v>0</v>
      </c>
      <c r="R77" s="197">
        <f>IFERROR(__xludf.DUMMYFUNCTION("""COMPUTED_VALUE"""),0.0)</f>
        <v>0</v>
      </c>
      <c r="S77" s="197">
        <f>IFERROR(__xludf.DUMMYFUNCTION("""COMPUTED_VALUE"""),0.0)</f>
        <v>0</v>
      </c>
      <c r="T77" s="197">
        <f>IFERROR(__xludf.DUMMYFUNCTION("""COMPUTED_VALUE"""),0.0)</f>
        <v>0</v>
      </c>
      <c r="U77" s="41">
        <f>IFERROR(__xludf.DUMMYFUNCTION("""COMPUTED_VALUE"""),1.0)</f>
        <v>1</v>
      </c>
      <c r="V77" s="197">
        <f>IFERROR(__xludf.DUMMYFUNCTION("""COMPUTED_VALUE"""),1.0)</f>
        <v>1</v>
      </c>
      <c r="W77" s="197">
        <f>IFERROR(__xludf.DUMMYFUNCTION("""COMPUTED_VALUE"""),0.0)</f>
        <v>0</v>
      </c>
      <c r="X77" s="197">
        <f>IFERROR(__xludf.DUMMYFUNCTION("""COMPUTED_VALUE"""),0.0)</f>
        <v>0</v>
      </c>
      <c r="Y77" s="41">
        <f>IFERROR(__xludf.DUMMYFUNCTION("""COMPUTED_VALUE"""),1.0)</f>
        <v>1</v>
      </c>
      <c r="Z77" s="197">
        <f>IFERROR(__xludf.DUMMYFUNCTION("""COMPUTED_VALUE"""),1.0)</f>
        <v>1</v>
      </c>
      <c r="AA77" s="197">
        <f>IFERROR(__xludf.DUMMYFUNCTION("""COMPUTED_VALUE"""),0.0)</f>
        <v>0</v>
      </c>
      <c r="AB77" s="197">
        <f>IFERROR(__xludf.DUMMYFUNCTION("""COMPUTED_VALUE"""),0.0)</f>
        <v>0</v>
      </c>
      <c r="AC77" s="41">
        <f>IFERROR(__xludf.DUMMYFUNCTION("""COMPUTED_VALUE"""),1.0)</f>
        <v>1</v>
      </c>
      <c r="AD77" s="197">
        <f>IFERROR(__xludf.DUMMYFUNCTION("""COMPUTED_VALUE"""),1.0)</f>
        <v>1</v>
      </c>
      <c r="AE77" s="197">
        <f>IFERROR(__xludf.DUMMYFUNCTION("""COMPUTED_VALUE"""),0.0)</f>
        <v>0</v>
      </c>
      <c r="AF77" s="197">
        <f>IFERROR(__xludf.DUMMYFUNCTION("""COMPUTED_VALUE"""),0.0)</f>
        <v>0</v>
      </c>
      <c r="AG77" s="41">
        <f>IFERROR(__xludf.DUMMYFUNCTION("""COMPUTED_VALUE"""),0.0)</f>
        <v>0</v>
      </c>
      <c r="AH77" s="197">
        <f>IFERROR(__xludf.DUMMYFUNCTION("""COMPUTED_VALUE"""),0.0)</f>
        <v>0</v>
      </c>
      <c r="AI77" s="197">
        <f>IFERROR(__xludf.DUMMYFUNCTION("""COMPUTED_VALUE"""),0.0)</f>
        <v>0</v>
      </c>
      <c r="AJ77" s="197">
        <f>IFERROR(__xludf.DUMMYFUNCTION("""COMPUTED_VALUE"""),0.0)</f>
        <v>0</v>
      </c>
      <c r="AK77" s="41">
        <f>IFERROR(__xludf.DUMMYFUNCTION("""COMPUTED_VALUE"""),0.0)</f>
        <v>0</v>
      </c>
      <c r="AL77" s="197">
        <f>IFERROR(__xludf.DUMMYFUNCTION("""COMPUTED_VALUE"""),0.0)</f>
        <v>0</v>
      </c>
      <c r="AM77" s="197">
        <f>IFERROR(__xludf.DUMMYFUNCTION("""COMPUTED_VALUE"""),0.0)</f>
        <v>0</v>
      </c>
      <c r="AN77" s="197">
        <f>IFERROR(__xludf.DUMMYFUNCTION("""COMPUTED_VALUE"""),0.0)</f>
        <v>0</v>
      </c>
      <c r="AO77" s="41">
        <f>IFERROR(__xludf.DUMMYFUNCTION("""COMPUTED_VALUE"""),0.0)</f>
        <v>0</v>
      </c>
      <c r="AP77" s="197">
        <f>IFERROR(__xludf.DUMMYFUNCTION("""COMPUTED_VALUE"""),0.0)</f>
        <v>0</v>
      </c>
      <c r="AQ77" s="197">
        <f>IFERROR(__xludf.DUMMYFUNCTION("""COMPUTED_VALUE"""),0.0)</f>
        <v>0</v>
      </c>
      <c r="AR77" s="197">
        <f>IFERROR(__xludf.DUMMYFUNCTION("""COMPUTED_VALUE"""),0.0)</f>
        <v>0</v>
      </c>
      <c r="AS77" s="41">
        <f>IFERROR(__xludf.DUMMYFUNCTION("""COMPUTED_VALUE"""),0.0)</f>
        <v>0</v>
      </c>
      <c r="AT77" s="197">
        <f>IFERROR(__xludf.DUMMYFUNCTION("""COMPUTED_VALUE"""),0.0)</f>
        <v>0</v>
      </c>
      <c r="AU77" s="197">
        <f>IFERROR(__xludf.DUMMYFUNCTION("""COMPUTED_VALUE"""),0.0)</f>
        <v>0</v>
      </c>
      <c r="AV77" s="197">
        <f>IFERROR(__xludf.DUMMYFUNCTION("""COMPUTED_VALUE"""),0.0)</f>
        <v>0</v>
      </c>
      <c r="AW77" s="41">
        <f>IFERROR(__xludf.DUMMYFUNCTION("""COMPUTED_VALUE"""),0.0)</f>
        <v>0</v>
      </c>
      <c r="AX77" s="197">
        <f>IFERROR(__xludf.DUMMYFUNCTION("""COMPUTED_VALUE"""),0.0)</f>
        <v>0</v>
      </c>
      <c r="AY77" s="197">
        <f>IFERROR(__xludf.DUMMYFUNCTION("""COMPUTED_VALUE"""),0.0)</f>
        <v>0</v>
      </c>
      <c r="AZ77" s="198">
        <f>IFERROR(__xludf.DUMMYFUNCTION("""COMPUTED_VALUE"""),0.0)</f>
        <v>0</v>
      </c>
      <c r="BA77" s="34"/>
    </row>
    <row r="78" ht="15.75" customHeight="1">
      <c r="A78" s="29"/>
      <c r="B78" s="196" t="str">
        <f>IFERROR(__xludf.DUMMYFUNCTION("""COMPUTED_VALUE"""),"6.3. Tổng số phòng đa chức năng")</f>
        <v>6.3. Tổng số phòng đa chức năng</v>
      </c>
      <c r="C78" s="57"/>
      <c r="D78" s="57" t="str">
        <f>IFERROR(__xludf.DUMMYFUNCTION("""COMPUTED_VALUE"""),"Phòng")</f>
        <v>Phòng</v>
      </c>
      <c r="E78" s="125">
        <f>IFERROR(__xludf.DUMMYFUNCTION("""COMPUTED_VALUE"""),8.0)</f>
        <v>8</v>
      </c>
      <c r="F78" s="125">
        <f>IFERROR(__xludf.DUMMYFUNCTION("""COMPUTED_VALUE"""),2.0)</f>
        <v>2</v>
      </c>
      <c r="G78" s="125">
        <f>IFERROR(__xludf.DUMMYFUNCTION("""COMPUTED_VALUE"""),6.0)</f>
        <v>6</v>
      </c>
      <c r="H78" s="125">
        <f>IFERROR(__xludf.DUMMYFUNCTION("""COMPUTED_VALUE"""),0.0)</f>
        <v>0</v>
      </c>
      <c r="I78" s="125">
        <f>IFERROR(__xludf.DUMMYFUNCTION("""COMPUTED_VALUE"""),7.0)</f>
        <v>7</v>
      </c>
      <c r="J78" s="125">
        <f>IFERROR(__xludf.DUMMYFUNCTION("""COMPUTED_VALUE"""),1.0)</f>
        <v>1</v>
      </c>
      <c r="K78" s="125">
        <f>IFERROR(__xludf.DUMMYFUNCTION("""COMPUTED_VALUE"""),6.0)</f>
        <v>6</v>
      </c>
      <c r="L78" s="125">
        <f>IFERROR(__xludf.DUMMYFUNCTION("""COMPUTED_VALUE"""),0.0)</f>
        <v>0</v>
      </c>
      <c r="M78" s="125">
        <f>IFERROR(__xludf.DUMMYFUNCTION("""COMPUTED_VALUE"""),7.0)</f>
        <v>7</v>
      </c>
      <c r="N78" s="125">
        <f>IFERROR(__xludf.DUMMYFUNCTION("""COMPUTED_VALUE"""),1.0)</f>
        <v>1</v>
      </c>
      <c r="O78" s="125">
        <f>IFERROR(__xludf.DUMMYFUNCTION("""COMPUTED_VALUE"""),6.0)</f>
        <v>6</v>
      </c>
      <c r="P78" s="125">
        <f>IFERROR(__xludf.DUMMYFUNCTION("""COMPUTED_VALUE"""),0.0)</f>
        <v>0</v>
      </c>
      <c r="Q78" s="125">
        <f>IFERROR(__xludf.DUMMYFUNCTION("""COMPUTED_VALUE"""),7.0)</f>
        <v>7</v>
      </c>
      <c r="R78" s="125">
        <f>IFERROR(__xludf.DUMMYFUNCTION("""COMPUTED_VALUE"""),7.0)</f>
        <v>7</v>
      </c>
      <c r="S78" s="125">
        <f>IFERROR(__xludf.DUMMYFUNCTION("""COMPUTED_VALUE"""),0.0)</f>
        <v>0</v>
      </c>
      <c r="T78" s="125">
        <f>IFERROR(__xludf.DUMMYFUNCTION("""COMPUTED_VALUE"""),0.0)</f>
        <v>0</v>
      </c>
      <c r="U78" s="125">
        <f>IFERROR(__xludf.DUMMYFUNCTION("""COMPUTED_VALUE"""),7.0)</f>
        <v>7</v>
      </c>
      <c r="V78" s="125">
        <f>IFERROR(__xludf.DUMMYFUNCTION("""COMPUTED_VALUE"""),7.0)</f>
        <v>7</v>
      </c>
      <c r="W78" s="125">
        <f>IFERROR(__xludf.DUMMYFUNCTION("""COMPUTED_VALUE"""),0.0)</f>
        <v>0</v>
      </c>
      <c r="X78" s="125">
        <f>IFERROR(__xludf.DUMMYFUNCTION("""COMPUTED_VALUE"""),0.0)</f>
        <v>0</v>
      </c>
      <c r="Y78" s="125">
        <f>IFERROR(__xludf.DUMMYFUNCTION("""COMPUTED_VALUE"""),7.0)</f>
        <v>7</v>
      </c>
      <c r="Z78" s="125">
        <f>IFERROR(__xludf.DUMMYFUNCTION("""COMPUTED_VALUE"""),7.0)</f>
        <v>7</v>
      </c>
      <c r="AA78" s="125">
        <f>IFERROR(__xludf.DUMMYFUNCTION("""COMPUTED_VALUE"""),0.0)</f>
        <v>0</v>
      </c>
      <c r="AB78" s="125">
        <f>IFERROR(__xludf.DUMMYFUNCTION("""COMPUTED_VALUE"""),0.0)</f>
        <v>0</v>
      </c>
      <c r="AC78" s="125">
        <f>IFERROR(__xludf.DUMMYFUNCTION("""COMPUTED_VALUE"""),7.0)</f>
        <v>7</v>
      </c>
      <c r="AD78" s="125">
        <f>IFERROR(__xludf.DUMMYFUNCTION("""COMPUTED_VALUE"""),7.0)</f>
        <v>7</v>
      </c>
      <c r="AE78" s="125">
        <f>IFERROR(__xludf.DUMMYFUNCTION("""COMPUTED_VALUE"""),0.0)</f>
        <v>0</v>
      </c>
      <c r="AF78" s="125">
        <f>IFERROR(__xludf.DUMMYFUNCTION("""COMPUTED_VALUE"""),0.0)</f>
        <v>0</v>
      </c>
      <c r="AG78" s="125">
        <f>IFERROR(__xludf.DUMMYFUNCTION("""COMPUTED_VALUE"""),6.0)</f>
        <v>6</v>
      </c>
      <c r="AH78" s="125">
        <f>IFERROR(__xludf.DUMMYFUNCTION("""COMPUTED_VALUE"""),6.0)</f>
        <v>6</v>
      </c>
      <c r="AI78" s="125">
        <f>IFERROR(__xludf.DUMMYFUNCTION("""COMPUTED_VALUE"""),0.0)</f>
        <v>0</v>
      </c>
      <c r="AJ78" s="125">
        <f>IFERROR(__xludf.DUMMYFUNCTION("""COMPUTED_VALUE"""),0.0)</f>
        <v>0</v>
      </c>
      <c r="AK78" s="125">
        <f>IFERROR(__xludf.DUMMYFUNCTION("""COMPUTED_VALUE"""),0.0)</f>
        <v>0</v>
      </c>
      <c r="AL78" s="125">
        <f>IFERROR(__xludf.DUMMYFUNCTION("""COMPUTED_VALUE"""),0.0)</f>
        <v>0</v>
      </c>
      <c r="AM78" s="125">
        <f>IFERROR(__xludf.DUMMYFUNCTION("""COMPUTED_VALUE"""),0.0)</f>
        <v>0</v>
      </c>
      <c r="AN78" s="125">
        <f>IFERROR(__xludf.DUMMYFUNCTION("""COMPUTED_VALUE"""),0.0)</f>
        <v>0</v>
      </c>
      <c r="AO78" s="125">
        <f>IFERROR(__xludf.DUMMYFUNCTION("""COMPUTED_VALUE"""),0.0)</f>
        <v>0</v>
      </c>
      <c r="AP78" s="125">
        <f>IFERROR(__xludf.DUMMYFUNCTION("""COMPUTED_VALUE"""),0.0)</f>
        <v>0</v>
      </c>
      <c r="AQ78" s="125">
        <f>IFERROR(__xludf.DUMMYFUNCTION("""COMPUTED_VALUE"""),0.0)</f>
        <v>0</v>
      </c>
      <c r="AR78" s="125">
        <f>IFERROR(__xludf.DUMMYFUNCTION("""COMPUTED_VALUE"""),0.0)</f>
        <v>0</v>
      </c>
      <c r="AS78" s="125">
        <f>IFERROR(__xludf.DUMMYFUNCTION("""COMPUTED_VALUE"""),0.0)</f>
        <v>0</v>
      </c>
      <c r="AT78" s="125">
        <f>IFERROR(__xludf.DUMMYFUNCTION("""COMPUTED_VALUE"""),0.0)</f>
        <v>0</v>
      </c>
      <c r="AU78" s="125">
        <f>IFERROR(__xludf.DUMMYFUNCTION("""COMPUTED_VALUE"""),0.0)</f>
        <v>0</v>
      </c>
      <c r="AV78" s="125">
        <f>IFERROR(__xludf.DUMMYFUNCTION("""COMPUTED_VALUE"""),0.0)</f>
        <v>0</v>
      </c>
      <c r="AW78" s="125">
        <f>IFERROR(__xludf.DUMMYFUNCTION("""COMPUTED_VALUE"""),0.0)</f>
        <v>0</v>
      </c>
      <c r="AX78" s="125">
        <f>IFERROR(__xludf.DUMMYFUNCTION("""COMPUTED_VALUE"""),0.0)</f>
        <v>0</v>
      </c>
      <c r="AY78" s="125">
        <f>IFERROR(__xludf.DUMMYFUNCTION("""COMPUTED_VALUE"""),0.0)</f>
        <v>0</v>
      </c>
      <c r="AZ78" s="127">
        <f>IFERROR(__xludf.DUMMYFUNCTION("""COMPUTED_VALUE"""),0.0)</f>
        <v>0</v>
      </c>
      <c r="BA78" s="34"/>
    </row>
    <row r="79" ht="15.75" customHeight="1">
      <c r="A79" s="29"/>
      <c r="B79" s="48" t="str">
        <f>IFERROR(__xludf.DUMMYFUNCTION("""COMPUTED_VALUE"""),"Chia ra:")</f>
        <v>Chia ra:</v>
      </c>
      <c r="C79" s="49"/>
      <c r="D79" s="3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50"/>
      <c r="BA79" s="34"/>
    </row>
    <row r="80" ht="15.75" customHeight="1">
      <c r="A80" s="29"/>
      <c r="B80" s="67" t="str">
        <f>IFERROR(__xludf.DUMMYFUNCTION("""COMPUTED_VALUE""")," + Kiên cố")</f>
        <v> + Kiên cố</v>
      </c>
      <c r="C80" s="31"/>
      <c r="D80" s="31" t="str">
        <f>IFERROR(__xludf.DUMMYFUNCTION("""COMPUTED_VALUE"""),"""")</f>
        <v>"</v>
      </c>
      <c r="E80" s="41">
        <f>IFERROR(__xludf.DUMMYFUNCTION("""COMPUTED_VALUE"""),7.0)</f>
        <v>7</v>
      </c>
      <c r="F80" s="197">
        <f>IFERROR(__xludf.DUMMYFUNCTION("""COMPUTED_VALUE"""),1.0)</f>
        <v>1</v>
      </c>
      <c r="G80" s="197">
        <f>IFERROR(__xludf.DUMMYFUNCTION("""COMPUTED_VALUE"""),6.0)</f>
        <v>6</v>
      </c>
      <c r="H80" s="197">
        <f>IFERROR(__xludf.DUMMYFUNCTION("""COMPUTED_VALUE"""),0.0)</f>
        <v>0</v>
      </c>
      <c r="I80" s="41">
        <f>IFERROR(__xludf.DUMMYFUNCTION("""COMPUTED_VALUE"""),6.0)</f>
        <v>6</v>
      </c>
      <c r="J80" s="197">
        <f>IFERROR(__xludf.DUMMYFUNCTION("""COMPUTED_VALUE"""),0.0)</f>
        <v>0</v>
      </c>
      <c r="K80" s="197">
        <f>IFERROR(__xludf.DUMMYFUNCTION("""COMPUTED_VALUE"""),6.0)</f>
        <v>6</v>
      </c>
      <c r="L80" s="197">
        <f>IFERROR(__xludf.DUMMYFUNCTION("""COMPUTED_VALUE"""),0.0)</f>
        <v>0</v>
      </c>
      <c r="M80" s="41">
        <f>IFERROR(__xludf.DUMMYFUNCTION("""COMPUTED_VALUE"""),6.0)</f>
        <v>6</v>
      </c>
      <c r="N80" s="197">
        <f>IFERROR(__xludf.DUMMYFUNCTION("""COMPUTED_VALUE"""),0.0)</f>
        <v>0</v>
      </c>
      <c r="O80" s="197">
        <f>IFERROR(__xludf.DUMMYFUNCTION("""COMPUTED_VALUE"""),6.0)</f>
        <v>6</v>
      </c>
      <c r="P80" s="197">
        <f>IFERROR(__xludf.DUMMYFUNCTION("""COMPUTED_VALUE"""),0.0)</f>
        <v>0</v>
      </c>
      <c r="Q80" s="41">
        <f>IFERROR(__xludf.DUMMYFUNCTION("""COMPUTED_VALUE"""),6.0)</f>
        <v>6</v>
      </c>
      <c r="R80" s="197">
        <f>IFERROR(__xludf.DUMMYFUNCTION("""COMPUTED_VALUE"""),6.0)</f>
        <v>6</v>
      </c>
      <c r="S80" s="197">
        <f>IFERROR(__xludf.DUMMYFUNCTION("""COMPUTED_VALUE"""),0.0)</f>
        <v>0</v>
      </c>
      <c r="T80" s="197">
        <f>IFERROR(__xludf.DUMMYFUNCTION("""COMPUTED_VALUE"""),0.0)</f>
        <v>0</v>
      </c>
      <c r="U80" s="41">
        <f>IFERROR(__xludf.DUMMYFUNCTION("""COMPUTED_VALUE"""),6.0)</f>
        <v>6</v>
      </c>
      <c r="V80" s="197">
        <f>IFERROR(__xludf.DUMMYFUNCTION("""COMPUTED_VALUE"""),6.0)</f>
        <v>6</v>
      </c>
      <c r="W80" s="197">
        <f>IFERROR(__xludf.DUMMYFUNCTION("""COMPUTED_VALUE"""),0.0)</f>
        <v>0</v>
      </c>
      <c r="X80" s="197">
        <f>IFERROR(__xludf.DUMMYFUNCTION("""COMPUTED_VALUE"""),0.0)</f>
        <v>0</v>
      </c>
      <c r="Y80" s="41">
        <f>IFERROR(__xludf.DUMMYFUNCTION("""COMPUTED_VALUE"""),6.0)</f>
        <v>6</v>
      </c>
      <c r="Z80" s="197">
        <f>IFERROR(__xludf.DUMMYFUNCTION("""COMPUTED_VALUE"""),6.0)</f>
        <v>6</v>
      </c>
      <c r="AA80" s="197">
        <f>IFERROR(__xludf.DUMMYFUNCTION("""COMPUTED_VALUE"""),0.0)</f>
        <v>0</v>
      </c>
      <c r="AB80" s="197">
        <f>IFERROR(__xludf.DUMMYFUNCTION("""COMPUTED_VALUE"""),0.0)</f>
        <v>0</v>
      </c>
      <c r="AC80" s="41">
        <f>IFERROR(__xludf.DUMMYFUNCTION("""COMPUTED_VALUE"""),6.0)</f>
        <v>6</v>
      </c>
      <c r="AD80" s="197">
        <f>IFERROR(__xludf.DUMMYFUNCTION("""COMPUTED_VALUE"""),6.0)</f>
        <v>6</v>
      </c>
      <c r="AE80" s="197">
        <f>IFERROR(__xludf.DUMMYFUNCTION("""COMPUTED_VALUE"""),0.0)</f>
        <v>0</v>
      </c>
      <c r="AF80" s="197">
        <f>IFERROR(__xludf.DUMMYFUNCTION("""COMPUTED_VALUE"""),0.0)</f>
        <v>0</v>
      </c>
      <c r="AG80" s="41">
        <f>IFERROR(__xludf.DUMMYFUNCTION("""COMPUTED_VALUE"""),6.0)</f>
        <v>6</v>
      </c>
      <c r="AH80" s="197">
        <f>IFERROR(__xludf.DUMMYFUNCTION("""COMPUTED_VALUE"""),6.0)</f>
        <v>6</v>
      </c>
      <c r="AI80" s="197">
        <f>IFERROR(__xludf.DUMMYFUNCTION("""COMPUTED_VALUE"""),0.0)</f>
        <v>0</v>
      </c>
      <c r="AJ80" s="197">
        <f>IFERROR(__xludf.DUMMYFUNCTION("""COMPUTED_VALUE"""),0.0)</f>
        <v>0</v>
      </c>
      <c r="AK80" s="41">
        <f>IFERROR(__xludf.DUMMYFUNCTION("""COMPUTED_VALUE"""),0.0)</f>
        <v>0</v>
      </c>
      <c r="AL80" s="197">
        <f>IFERROR(__xludf.DUMMYFUNCTION("""COMPUTED_VALUE"""),0.0)</f>
        <v>0</v>
      </c>
      <c r="AM80" s="197">
        <f>IFERROR(__xludf.DUMMYFUNCTION("""COMPUTED_VALUE"""),0.0)</f>
        <v>0</v>
      </c>
      <c r="AN80" s="197">
        <f>IFERROR(__xludf.DUMMYFUNCTION("""COMPUTED_VALUE"""),0.0)</f>
        <v>0</v>
      </c>
      <c r="AO80" s="41">
        <f>IFERROR(__xludf.DUMMYFUNCTION("""COMPUTED_VALUE"""),0.0)</f>
        <v>0</v>
      </c>
      <c r="AP80" s="197">
        <f>IFERROR(__xludf.DUMMYFUNCTION("""COMPUTED_VALUE"""),0.0)</f>
        <v>0</v>
      </c>
      <c r="AQ80" s="197">
        <f>IFERROR(__xludf.DUMMYFUNCTION("""COMPUTED_VALUE"""),0.0)</f>
        <v>0</v>
      </c>
      <c r="AR80" s="197">
        <f>IFERROR(__xludf.DUMMYFUNCTION("""COMPUTED_VALUE"""),0.0)</f>
        <v>0</v>
      </c>
      <c r="AS80" s="41">
        <f>IFERROR(__xludf.DUMMYFUNCTION("""COMPUTED_VALUE"""),0.0)</f>
        <v>0</v>
      </c>
      <c r="AT80" s="197">
        <f>IFERROR(__xludf.DUMMYFUNCTION("""COMPUTED_VALUE"""),0.0)</f>
        <v>0</v>
      </c>
      <c r="AU80" s="197">
        <f>IFERROR(__xludf.DUMMYFUNCTION("""COMPUTED_VALUE"""),0.0)</f>
        <v>0</v>
      </c>
      <c r="AV80" s="197">
        <f>IFERROR(__xludf.DUMMYFUNCTION("""COMPUTED_VALUE"""),0.0)</f>
        <v>0</v>
      </c>
      <c r="AW80" s="41">
        <f>IFERROR(__xludf.DUMMYFUNCTION("""COMPUTED_VALUE"""),0.0)</f>
        <v>0</v>
      </c>
      <c r="AX80" s="197">
        <f>IFERROR(__xludf.DUMMYFUNCTION("""COMPUTED_VALUE"""),0.0)</f>
        <v>0</v>
      </c>
      <c r="AY80" s="197">
        <f>IFERROR(__xludf.DUMMYFUNCTION("""COMPUTED_VALUE"""),0.0)</f>
        <v>0</v>
      </c>
      <c r="AZ80" s="198">
        <f>IFERROR(__xludf.DUMMYFUNCTION("""COMPUTED_VALUE"""),0.0)</f>
        <v>0</v>
      </c>
      <c r="BA80" s="34"/>
    </row>
    <row r="81" ht="15.75" customHeight="1">
      <c r="A81" s="29"/>
      <c r="B81" s="67" t="str">
        <f>IFERROR(__xludf.DUMMYFUNCTION("""COMPUTED_VALUE""")," + Bán kiên cố")</f>
        <v> + Bán kiên cố</v>
      </c>
      <c r="C81" s="31"/>
      <c r="D81" s="31" t="str">
        <f>IFERROR(__xludf.DUMMYFUNCTION("""COMPUTED_VALUE"""),"""")</f>
        <v>"</v>
      </c>
      <c r="E81" s="41">
        <f>IFERROR(__xludf.DUMMYFUNCTION("""COMPUTED_VALUE"""),1.0)</f>
        <v>1</v>
      </c>
      <c r="F81" s="197">
        <f>IFERROR(__xludf.DUMMYFUNCTION("""COMPUTED_VALUE"""),1.0)</f>
        <v>1</v>
      </c>
      <c r="G81" s="197">
        <f>IFERROR(__xludf.DUMMYFUNCTION("""COMPUTED_VALUE"""),0.0)</f>
        <v>0</v>
      </c>
      <c r="H81" s="197">
        <f>IFERROR(__xludf.DUMMYFUNCTION("""COMPUTED_VALUE"""),0.0)</f>
        <v>0</v>
      </c>
      <c r="I81" s="41">
        <f>IFERROR(__xludf.DUMMYFUNCTION("""COMPUTED_VALUE"""),1.0)</f>
        <v>1</v>
      </c>
      <c r="J81" s="197">
        <f>IFERROR(__xludf.DUMMYFUNCTION("""COMPUTED_VALUE"""),1.0)</f>
        <v>1</v>
      </c>
      <c r="K81" s="197">
        <f>IFERROR(__xludf.DUMMYFUNCTION("""COMPUTED_VALUE"""),0.0)</f>
        <v>0</v>
      </c>
      <c r="L81" s="197">
        <f>IFERROR(__xludf.DUMMYFUNCTION("""COMPUTED_VALUE"""),0.0)</f>
        <v>0</v>
      </c>
      <c r="M81" s="41">
        <f>IFERROR(__xludf.DUMMYFUNCTION("""COMPUTED_VALUE"""),1.0)</f>
        <v>1</v>
      </c>
      <c r="N81" s="197">
        <f>IFERROR(__xludf.DUMMYFUNCTION("""COMPUTED_VALUE"""),1.0)</f>
        <v>1</v>
      </c>
      <c r="O81" s="197">
        <f>IFERROR(__xludf.DUMMYFUNCTION("""COMPUTED_VALUE"""),0.0)</f>
        <v>0</v>
      </c>
      <c r="P81" s="197">
        <f>IFERROR(__xludf.DUMMYFUNCTION("""COMPUTED_VALUE"""),0.0)</f>
        <v>0</v>
      </c>
      <c r="Q81" s="41">
        <f>IFERROR(__xludf.DUMMYFUNCTION("""COMPUTED_VALUE"""),1.0)</f>
        <v>1</v>
      </c>
      <c r="R81" s="197">
        <f>IFERROR(__xludf.DUMMYFUNCTION("""COMPUTED_VALUE"""),1.0)</f>
        <v>1</v>
      </c>
      <c r="S81" s="197">
        <f>IFERROR(__xludf.DUMMYFUNCTION("""COMPUTED_VALUE"""),0.0)</f>
        <v>0</v>
      </c>
      <c r="T81" s="197">
        <f>IFERROR(__xludf.DUMMYFUNCTION("""COMPUTED_VALUE"""),0.0)</f>
        <v>0</v>
      </c>
      <c r="U81" s="41">
        <f>IFERROR(__xludf.DUMMYFUNCTION("""COMPUTED_VALUE"""),1.0)</f>
        <v>1</v>
      </c>
      <c r="V81" s="197">
        <f>IFERROR(__xludf.DUMMYFUNCTION("""COMPUTED_VALUE"""),1.0)</f>
        <v>1</v>
      </c>
      <c r="W81" s="197">
        <f>IFERROR(__xludf.DUMMYFUNCTION("""COMPUTED_VALUE"""),0.0)</f>
        <v>0</v>
      </c>
      <c r="X81" s="197">
        <f>IFERROR(__xludf.DUMMYFUNCTION("""COMPUTED_VALUE"""),0.0)</f>
        <v>0</v>
      </c>
      <c r="Y81" s="41">
        <f>IFERROR(__xludf.DUMMYFUNCTION("""COMPUTED_VALUE"""),1.0)</f>
        <v>1</v>
      </c>
      <c r="Z81" s="197">
        <f>IFERROR(__xludf.DUMMYFUNCTION("""COMPUTED_VALUE"""),1.0)</f>
        <v>1</v>
      </c>
      <c r="AA81" s="197">
        <f>IFERROR(__xludf.DUMMYFUNCTION("""COMPUTED_VALUE"""),0.0)</f>
        <v>0</v>
      </c>
      <c r="AB81" s="197">
        <f>IFERROR(__xludf.DUMMYFUNCTION("""COMPUTED_VALUE"""),0.0)</f>
        <v>0</v>
      </c>
      <c r="AC81" s="41">
        <f>IFERROR(__xludf.DUMMYFUNCTION("""COMPUTED_VALUE"""),1.0)</f>
        <v>1</v>
      </c>
      <c r="AD81" s="197">
        <f>IFERROR(__xludf.DUMMYFUNCTION("""COMPUTED_VALUE"""),1.0)</f>
        <v>1</v>
      </c>
      <c r="AE81" s="197">
        <f>IFERROR(__xludf.DUMMYFUNCTION("""COMPUTED_VALUE"""),0.0)</f>
        <v>0</v>
      </c>
      <c r="AF81" s="197">
        <f>IFERROR(__xludf.DUMMYFUNCTION("""COMPUTED_VALUE"""),0.0)</f>
        <v>0</v>
      </c>
      <c r="AG81" s="41">
        <f>IFERROR(__xludf.DUMMYFUNCTION("""COMPUTED_VALUE"""),0.0)</f>
        <v>0</v>
      </c>
      <c r="AH81" s="197">
        <f>IFERROR(__xludf.DUMMYFUNCTION("""COMPUTED_VALUE"""),0.0)</f>
        <v>0</v>
      </c>
      <c r="AI81" s="197">
        <f>IFERROR(__xludf.DUMMYFUNCTION("""COMPUTED_VALUE"""),0.0)</f>
        <v>0</v>
      </c>
      <c r="AJ81" s="197">
        <f>IFERROR(__xludf.DUMMYFUNCTION("""COMPUTED_VALUE"""),0.0)</f>
        <v>0</v>
      </c>
      <c r="AK81" s="41">
        <f>IFERROR(__xludf.DUMMYFUNCTION("""COMPUTED_VALUE"""),0.0)</f>
        <v>0</v>
      </c>
      <c r="AL81" s="197">
        <f>IFERROR(__xludf.DUMMYFUNCTION("""COMPUTED_VALUE"""),0.0)</f>
        <v>0</v>
      </c>
      <c r="AM81" s="197">
        <f>IFERROR(__xludf.DUMMYFUNCTION("""COMPUTED_VALUE"""),0.0)</f>
        <v>0</v>
      </c>
      <c r="AN81" s="197">
        <f>IFERROR(__xludf.DUMMYFUNCTION("""COMPUTED_VALUE"""),0.0)</f>
        <v>0</v>
      </c>
      <c r="AO81" s="41">
        <f>IFERROR(__xludf.DUMMYFUNCTION("""COMPUTED_VALUE"""),0.0)</f>
        <v>0</v>
      </c>
      <c r="AP81" s="197">
        <f>IFERROR(__xludf.DUMMYFUNCTION("""COMPUTED_VALUE"""),0.0)</f>
        <v>0</v>
      </c>
      <c r="AQ81" s="197">
        <f>IFERROR(__xludf.DUMMYFUNCTION("""COMPUTED_VALUE"""),0.0)</f>
        <v>0</v>
      </c>
      <c r="AR81" s="197">
        <f>IFERROR(__xludf.DUMMYFUNCTION("""COMPUTED_VALUE"""),0.0)</f>
        <v>0</v>
      </c>
      <c r="AS81" s="41">
        <f>IFERROR(__xludf.DUMMYFUNCTION("""COMPUTED_VALUE"""),0.0)</f>
        <v>0</v>
      </c>
      <c r="AT81" s="197">
        <f>IFERROR(__xludf.DUMMYFUNCTION("""COMPUTED_VALUE"""),0.0)</f>
        <v>0</v>
      </c>
      <c r="AU81" s="197">
        <f>IFERROR(__xludf.DUMMYFUNCTION("""COMPUTED_VALUE"""),0.0)</f>
        <v>0</v>
      </c>
      <c r="AV81" s="197">
        <f>IFERROR(__xludf.DUMMYFUNCTION("""COMPUTED_VALUE"""),0.0)</f>
        <v>0</v>
      </c>
      <c r="AW81" s="41">
        <f>IFERROR(__xludf.DUMMYFUNCTION("""COMPUTED_VALUE"""),0.0)</f>
        <v>0</v>
      </c>
      <c r="AX81" s="197">
        <f>IFERROR(__xludf.DUMMYFUNCTION("""COMPUTED_VALUE"""),0.0)</f>
        <v>0</v>
      </c>
      <c r="AY81" s="197">
        <f>IFERROR(__xludf.DUMMYFUNCTION("""COMPUTED_VALUE"""),0.0)</f>
        <v>0</v>
      </c>
      <c r="AZ81" s="198">
        <f>IFERROR(__xludf.DUMMYFUNCTION("""COMPUTED_VALUE"""),0.0)</f>
        <v>0</v>
      </c>
      <c r="BA81" s="34"/>
    </row>
    <row r="82" ht="15.75" customHeight="1">
      <c r="A82" s="29"/>
      <c r="B82" s="67" t="str">
        <f>IFERROR(__xludf.DUMMYFUNCTION("""COMPUTED_VALUE""")," + Tạm")</f>
        <v> + Tạm</v>
      </c>
      <c r="C82" s="31"/>
      <c r="D82" s="31" t="str">
        <f>IFERROR(__xludf.DUMMYFUNCTION("""COMPUTED_VALUE"""),"""")</f>
        <v>"</v>
      </c>
      <c r="E82" s="41">
        <f>IFERROR(__xludf.DUMMYFUNCTION("""COMPUTED_VALUE"""),0.0)</f>
        <v>0</v>
      </c>
      <c r="F82" s="197">
        <f>IFERROR(__xludf.DUMMYFUNCTION("""COMPUTED_VALUE"""),0.0)</f>
        <v>0</v>
      </c>
      <c r="G82" s="197">
        <f>IFERROR(__xludf.DUMMYFUNCTION("""COMPUTED_VALUE"""),0.0)</f>
        <v>0</v>
      </c>
      <c r="H82" s="197">
        <f>IFERROR(__xludf.DUMMYFUNCTION("""COMPUTED_VALUE"""),0.0)</f>
        <v>0</v>
      </c>
      <c r="I82" s="41">
        <f>IFERROR(__xludf.DUMMYFUNCTION("""COMPUTED_VALUE"""),0.0)</f>
        <v>0</v>
      </c>
      <c r="J82" s="197">
        <f>IFERROR(__xludf.DUMMYFUNCTION("""COMPUTED_VALUE"""),0.0)</f>
        <v>0</v>
      </c>
      <c r="K82" s="197">
        <f>IFERROR(__xludf.DUMMYFUNCTION("""COMPUTED_VALUE"""),0.0)</f>
        <v>0</v>
      </c>
      <c r="L82" s="197">
        <f>IFERROR(__xludf.DUMMYFUNCTION("""COMPUTED_VALUE"""),0.0)</f>
        <v>0</v>
      </c>
      <c r="M82" s="41">
        <f>IFERROR(__xludf.DUMMYFUNCTION("""COMPUTED_VALUE"""),0.0)</f>
        <v>0</v>
      </c>
      <c r="N82" s="197">
        <f>IFERROR(__xludf.DUMMYFUNCTION("""COMPUTED_VALUE"""),0.0)</f>
        <v>0</v>
      </c>
      <c r="O82" s="197">
        <f>IFERROR(__xludf.DUMMYFUNCTION("""COMPUTED_VALUE"""),0.0)</f>
        <v>0</v>
      </c>
      <c r="P82" s="197">
        <f>IFERROR(__xludf.DUMMYFUNCTION("""COMPUTED_VALUE"""),0.0)</f>
        <v>0</v>
      </c>
      <c r="Q82" s="41">
        <f>IFERROR(__xludf.DUMMYFUNCTION("""COMPUTED_VALUE"""),0.0)</f>
        <v>0</v>
      </c>
      <c r="R82" s="197">
        <f>IFERROR(__xludf.DUMMYFUNCTION("""COMPUTED_VALUE"""),0.0)</f>
        <v>0</v>
      </c>
      <c r="S82" s="197">
        <f>IFERROR(__xludf.DUMMYFUNCTION("""COMPUTED_VALUE"""),0.0)</f>
        <v>0</v>
      </c>
      <c r="T82" s="197">
        <f>IFERROR(__xludf.DUMMYFUNCTION("""COMPUTED_VALUE"""),0.0)</f>
        <v>0</v>
      </c>
      <c r="U82" s="41">
        <f>IFERROR(__xludf.DUMMYFUNCTION("""COMPUTED_VALUE"""),0.0)</f>
        <v>0</v>
      </c>
      <c r="V82" s="197">
        <f>IFERROR(__xludf.DUMMYFUNCTION("""COMPUTED_VALUE"""),0.0)</f>
        <v>0</v>
      </c>
      <c r="W82" s="197">
        <f>IFERROR(__xludf.DUMMYFUNCTION("""COMPUTED_VALUE"""),0.0)</f>
        <v>0</v>
      </c>
      <c r="X82" s="197">
        <f>IFERROR(__xludf.DUMMYFUNCTION("""COMPUTED_VALUE"""),0.0)</f>
        <v>0</v>
      </c>
      <c r="Y82" s="41">
        <f>IFERROR(__xludf.DUMMYFUNCTION("""COMPUTED_VALUE"""),0.0)</f>
        <v>0</v>
      </c>
      <c r="Z82" s="197">
        <f>IFERROR(__xludf.DUMMYFUNCTION("""COMPUTED_VALUE"""),0.0)</f>
        <v>0</v>
      </c>
      <c r="AA82" s="197">
        <f>IFERROR(__xludf.DUMMYFUNCTION("""COMPUTED_VALUE"""),0.0)</f>
        <v>0</v>
      </c>
      <c r="AB82" s="197">
        <f>IFERROR(__xludf.DUMMYFUNCTION("""COMPUTED_VALUE"""),0.0)</f>
        <v>0</v>
      </c>
      <c r="AC82" s="41">
        <f>IFERROR(__xludf.DUMMYFUNCTION("""COMPUTED_VALUE"""),0.0)</f>
        <v>0</v>
      </c>
      <c r="AD82" s="197">
        <f>IFERROR(__xludf.DUMMYFUNCTION("""COMPUTED_VALUE"""),0.0)</f>
        <v>0</v>
      </c>
      <c r="AE82" s="197">
        <f>IFERROR(__xludf.DUMMYFUNCTION("""COMPUTED_VALUE"""),0.0)</f>
        <v>0</v>
      </c>
      <c r="AF82" s="197">
        <f>IFERROR(__xludf.DUMMYFUNCTION("""COMPUTED_VALUE"""),0.0)</f>
        <v>0</v>
      </c>
      <c r="AG82" s="41">
        <f>IFERROR(__xludf.DUMMYFUNCTION("""COMPUTED_VALUE"""),0.0)</f>
        <v>0</v>
      </c>
      <c r="AH82" s="197">
        <f>IFERROR(__xludf.DUMMYFUNCTION("""COMPUTED_VALUE"""),0.0)</f>
        <v>0</v>
      </c>
      <c r="AI82" s="197">
        <f>IFERROR(__xludf.DUMMYFUNCTION("""COMPUTED_VALUE"""),0.0)</f>
        <v>0</v>
      </c>
      <c r="AJ82" s="197">
        <f>IFERROR(__xludf.DUMMYFUNCTION("""COMPUTED_VALUE"""),0.0)</f>
        <v>0</v>
      </c>
      <c r="AK82" s="41">
        <f>IFERROR(__xludf.DUMMYFUNCTION("""COMPUTED_VALUE"""),0.0)</f>
        <v>0</v>
      </c>
      <c r="AL82" s="197">
        <f>IFERROR(__xludf.DUMMYFUNCTION("""COMPUTED_VALUE"""),0.0)</f>
        <v>0</v>
      </c>
      <c r="AM82" s="197">
        <f>IFERROR(__xludf.DUMMYFUNCTION("""COMPUTED_VALUE"""),0.0)</f>
        <v>0</v>
      </c>
      <c r="AN82" s="197">
        <f>IFERROR(__xludf.DUMMYFUNCTION("""COMPUTED_VALUE"""),0.0)</f>
        <v>0</v>
      </c>
      <c r="AO82" s="41">
        <f>IFERROR(__xludf.DUMMYFUNCTION("""COMPUTED_VALUE"""),0.0)</f>
        <v>0</v>
      </c>
      <c r="AP82" s="197">
        <f>IFERROR(__xludf.DUMMYFUNCTION("""COMPUTED_VALUE"""),0.0)</f>
        <v>0</v>
      </c>
      <c r="AQ82" s="197">
        <f>IFERROR(__xludf.DUMMYFUNCTION("""COMPUTED_VALUE"""),0.0)</f>
        <v>0</v>
      </c>
      <c r="AR82" s="197">
        <f>IFERROR(__xludf.DUMMYFUNCTION("""COMPUTED_VALUE"""),0.0)</f>
        <v>0</v>
      </c>
      <c r="AS82" s="41">
        <f>IFERROR(__xludf.DUMMYFUNCTION("""COMPUTED_VALUE"""),0.0)</f>
        <v>0</v>
      </c>
      <c r="AT82" s="197">
        <f>IFERROR(__xludf.DUMMYFUNCTION("""COMPUTED_VALUE"""),0.0)</f>
        <v>0</v>
      </c>
      <c r="AU82" s="197">
        <f>IFERROR(__xludf.DUMMYFUNCTION("""COMPUTED_VALUE"""),0.0)</f>
        <v>0</v>
      </c>
      <c r="AV82" s="197">
        <f>IFERROR(__xludf.DUMMYFUNCTION("""COMPUTED_VALUE"""),0.0)</f>
        <v>0</v>
      </c>
      <c r="AW82" s="41">
        <f>IFERROR(__xludf.DUMMYFUNCTION("""COMPUTED_VALUE"""),0.0)</f>
        <v>0</v>
      </c>
      <c r="AX82" s="197">
        <f>IFERROR(__xludf.DUMMYFUNCTION("""COMPUTED_VALUE"""),0.0)</f>
        <v>0</v>
      </c>
      <c r="AY82" s="197">
        <f>IFERROR(__xludf.DUMMYFUNCTION("""COMPUTED_VALUE"""),0.0)</f>
        <v>0</v>
      </c>
      <c r="AZ82" s="198">
        <f>IFERROR(__xludf.DUMMYFUNCTION("""COMPUTED_VALUE"""),0.0)</f>
        <v>0</v>
      </c>
      <c r="BA82" s="34"/>
    </row>
    <row r="83" ht="15.75" customHeight="1">
      <c r="A83" s="29"/>
      <c r="B83" s="30" t="str">
        <f>IFERROR(__xludf.DUMMYFUNCTION("""COMPUTED_VALUE"""),"7. KHỐI PHÒNG HỖ TRỢ HỌC TẬP")</f>
        <v>7. KHỐI PHÒNG HỖ TRỢ HỌC TẬP</v>
      </c>
      <c r="C83" s="31" t="str">
        <f>IFERROR(__xludf.DUMMYFUNCTION("""COMPUTED_VALUE"""),"Quí")</f>
        <v>Quí</v>
      </c>
      <c r="D83" s="31" t="str">
        <f>IFERROR(__xludf.DUMMYFUNCTION("""COMPUTED_VALUE"""),"Phòng")</f>
        <v>Phòng</v>
      </c>
      <c r="E83" s="32">
        <f>IFERROR(__xludf.DUMMYFUNCTION("""COMPUTED_VALUE"""),44.0)</f>
        <v>44</v>
      </c>
      <c r="F83" s="32">
        <f>IFERROR(__xludf.DUMMYFUNCTION("""COMPUTED_VALUE"""),38.0)</f>
        <v>38</v>
      </c>
      <c r="G83" s="32">
        <f>IFERROR(__xludf.DUMMYFUNCTION("""COMPUTED_VALUE"""),4.0)</f>
        <v>4</v>
      </c>
      <c r="H83" s="32">
        <f>IFERROR(__xludf.DUMMYFUNCTION("""COMPUTED_VALUE"""),2.0)</f>
        <v>2</v>
      </c>
      <c r="I83" s="32">
        <f>IFERROR(__xludf.DUMMYFUNCTION("""COMPUTED_VALUE"""),44.0)</f>
        <v>44</v>
      </c>
      <c r="J83" s="32">
        <f>IFERROR(__xludf.DUMMYFUNCTION("""COMPUTED_VALUE"""),38.0)</f>
        <v>38</v>
      </c>
      <c r="K83" s="32">
        <f>IFERROR(__xludf.DUMMYFUNCTION("""COMPUTED_VALUE"""),4.0)</f>
        <v>4</v>
      </c>
      <c r="L83" s="32">
        <f>IFERROR(__xludf.DUMMYFUNCTION("""COMPUTED_VALUE"""),2.0)</f>
        <v>2</v>
      </c>
      <c r="M83" s="32">
        <f>IFERROR(__xludf.DUMMYFUNCTION("""COMPUTED_VALUE"""),44.0)</f>
        <v>44</v>
      </c>
      <c r="N83" s="32">
        <f>IFERROR(__xludf.DUMMYFUNCTION("""COMPUTED_VALUE"""),38.0)</f>
        <v>38</v>
      </c>
      <c r="O83" s="32">
        <f>IFERROR(__xludf.DUMMYFUNCTION("""COMPUTED_VALUE"""),4.0)</f>
        <v>4</v>
      </c>
      <c r="P83" s="32">
        <f>IFERROR(__xludf.DUMMYFUNCTION("""COMPUTED_VALUE"""),2.0)</f>
        <v>2</v>
      </c>
      <c r="Q83" s="32">
        <f>IFERROR(__xludf.DUMMYFUNCTION("""COMPUTED_VALUE"""),44.0)</f>
        <v>44</v>
      </c>
      <c r="R83" s="32">
        <f>IFERROR(__xludf.DUMMYFUNCTION("""COMPUTED_VALUE"""),38.0)</f>
        <v>38</v>
      </c>
      <c r="S83" s="32">
        <f>IFERROR(__xludf.DUMMYFUNCTION("""COMPUTED_VALUE"""),4.0)</f>
        <v>4</v>
      </c>
      <c r="T83" s="32">
        <f>IFERROR(__xludf.DUMMYFUNCTION("""COMPUTED_VALUE"""),2.0)</f>
        <v>2</v>
      </c>
      <c r="U83" s="32">
        <f>IFERROR(__xludf.DUMMYFUNCTION("""COMPUTED_VALUE"""),44.0)</f>
        <v>44</v>
      </c>
      <c r="V83" s="32">
        <f>IFERROR(__xludf.DUMMYFUNCTION("""COMPUTED_VALUE"""),38.0)</f>
        <v>38</v>
      </c>
      <c r="W83" s="32">
        <f>IFERROR(__xludf.DUMMYFUNCTION("""COMPUTED_VALUE"""),4.0)</f>
        <v>4</v>
      </c>
      <c r="X83" s="32">
        <f>IFERROR(__xludf.DUMMYFUNCTION("""COMPUTED_VALUE"""),2.0)</f>
        <v>2</v>
      </c>
      <c r="Y83" s="32">
        <f>IFERROR(__xludf.DUMMYFUNCTION("""COMPUTED_VALUE"""),43.0)</f>
        <v>43</v>
      </c>
      <c r="Z83" s="32">
        <f>IFERROR(__xludf.DUMMYFUNCTION("""COMPUTED_VALUE"""),37.0)</f>
        <v>37</v>
      </c>
      <c r="AA83" s="32">
        <f>IFERROR(__xludf.DUMMYFUNCTION("""COMPUTED_VALUE"""),4.0)</f>
        <v>4</v>
      </c>
      <c r="AB83" s="32">
        <f>IFERROR(__xludf.DUMMYFUNCTION("""COMPUTED_VALUE"""),2.0)</f>
        <v>2</v>
      </c>
      <c r="AC83" s="32">
        <f>IFERROR(__xludf.DUMMYFUNCTION("""COMPUTED_VALUE"""),43.0)</f>
        <v>43</v>
      </c>
      <c r="AD83" s="32">
        <f>IFERROR(__xludf.DUMMYFUNCTION("""COMPUTED_VALUE"""),37.0)</f>
        <v>37</v>
      </c>
      <c r="AE83" s="32">
        <f>IFERROR(__xludf.DUMMYFUNCTION("""COMPUTED_VALUE"""),4.0)</f>
        <v>4</v>
      </c>
      <c r="AF83" s="32">
        <f>IFERROR(__xludf.DUMMYFUNCTION("""COMPUTED_VALUE"""),2.0)</f>
        <v>2</v>
      </c>
      <c r="AG83" s="32">
        <f>IFERROR(__xludf.DUMMYFUNCTION("""COMPUTED_VALUE"""),7.0)</f>
        <v>7</v>
      </c>
      <c r="AH83" s="32">
        <f>IFERROR(__xludf.DUMMYFUNCTION("""COMPUTED_VALUE"""),3.0)</f>
        <v>3</v>
      </c>
      <c r="AI83" s="32">
        <f>IFERROR(__xludf.DUMMYFUNCTION("""COMPUTED_VALUE"""),4.0)</f>
        <v>4</v>
      </c>
      <c r="AJ83" s="32">
        <f>IFERROR(__xludf.DUMMYFUNCTION("""COMPUTED_VALUE"""),0.0)</f>
        <v>0</v>
      </c>
      <c r="AK83" s="32">
        <f>IFERROR(__xludf.DUMMYFUNCTION("""COMPUTED_VALUE"""),0.0)</f>
        <v>0</v>
      </c>
      <c r="AL83" s="32">
        <f>IFERROR(__xludf.DUMMYFUNCTION("""COMPUTED_VALUE"""),0.0)</f>
        <v>0</v>
      </c>
      <c r="AM83" s="32">
        <f>IFERROR(__xludf.DUMMYFUNCTION("""COMPUTED_VALUE"""),0.0)</f>
        <v>0</v>
      </c>
      <c r="AN83" s="32">
        <f>IFERROR(__xludf.DUMMYFUNCTION("""COMPUTED_VALUE"""),0.0)</f>
        <v>0</v>
      </c>
      <c r="AO83" s="32">
        <f>IFERROR(__xludf.DUMMYFUNCTION("""COMPUTED_VALUE"""),0.0)</f>
        <v>0</v>
      </c>
      <c r="AP83" s="32">
        <f>IFERROR(__xludf.DUMMYFUNCTION("""COMPUTED_VALUE"""),0.0)</f>
        <v>0</v>
      </c>
      <c r="AQ83" s="32">
        <f>IFERROR(__xludf.DUMMYFUNCTION("""COMPUTED_VALUE"""),0.0)</f>
        <v>0</v>
      </c>
      <c r="AR83" s="32">
        <f>IFERROR(__xludf.DUMMYFUNCTION("""COMPUTED_VALUE"""),0.0)</f>
        <v>0</v>
      </c>
      <c r="AS83" s="32">
        <f>IFERROR(__xludf.DUMMYFUNCTION("""COMPUTED_VALUE"""),0.0)</f>
        <v>0</v>
      </c>
      <c r="AT83" s="32">
        <f>IFERROR(__xludf.DUMMYFUNCTION("""COMPUTED_VALUE"""),0.0)</f>
        <v>0</v>
      </c>
      <c r="AU83" s="32">
        <f>IFERROR(__xludf.DUMMYFUNCTION("""COMPUTED_VALUE"""),0.0)</f>
        <v>0</v>
      </c>
      <c r="AV83" s="32">
        <f>IFERROR(__xludf.DUMMYFUNCTION("""COMPUTED_VALUE"""),0.0)</f>
        <v>0</v>
      </c>
      <c r="AW83" s="32">
        <f>IFERROR(__xludf.DUMMYFUNCTION("""COMPUTED_VALUE"""),0.0)</f>
        <v>0</v>
      </c>
      <c r="AX83" s="32">
        <f>IFERROR(__xludf.DUMMYFUNCTION("""COMPUTED_VALUE"""),0.0)</f>
        <v>0</v>
      </c>
      <c r="AY83" s="32">
        <f>IFERROR(__xludf.DUMMYFUNCTION("""COMPUTED_VALUE"""),0.0)</f>
        <v>0</v>
      </c>
      <c r="AZ83" s="33">
        <f>IFERROR(__xludf.DUMMYFUNCTION("""COMPUTED_VALUE"""),0.0)</f>
        <v>0</v>
      </c>
      <c r="BA83" s="34"/>
    </row>
    <row r="84" ht="15.75" customHeight="1">
      <c r="A84" s="29"/>
      <c r="B84" s="196" t="str">
        <f>IFERROR(__xludf.DUMMYFUNCTION("""COMPUTED_VALUE"""),"7.1. Tổng số thư viện")</f>
        <v>7.1. Tổng số thư viện</v>
      </c>
      <c r="C84" s="57"/>
      <c r="D84" s="57" t="str">
        <f>IFERROR(__xludf.DUMMYFUNCTION("""COMPUTED_VALUE"""),"Phòng")</f>
        <v>Phòng</v>
      </c>
      <c r="E84" s="125">
        <f>IFERROR(__xludf.DUMMYFUNCTION("""COMPUTED_VALUE"""),16.0)</f>
        <v>16</v>
      </c>
      <c r="F84" s="125">
        <f>IFERROR(__xludf.DUMMYFUNCTION("""COMPUTED_VALUE"""),13.0)</f>
        <v>13</v>
      </c>
      <c r="G84" s="125">
        <f>IFERROR(__xludf.DUMMYFUNCTION("""COMPUTED_VALUE"""),2.0)</f>
        <v>2</v>
      </c>
      <c r="H84" s="125">
        <f>IFERROR(__xludf.DUMMYFUNCTION("""COMPUTED_VALUE"""),1.0)</f>
        <v>1</v>
      </c>
      <c r="I84" s="125">
        <f>IFERROR(__xludf.DUMMYFUNCTION("""COMPUTED_VALUE"""),16.0)</f>
        <v>16</v>
      </c>
      <c r="J84" s="125">
        <f>IFERROR(__xludf.DUMMYFUNCTION("""COMPUTED_VALUE"""),13.0)</f>
        <v>13</v>
      </c>
      <c r="K84" s="125">
        <f>IFERROR(__xludf.DUMMYFUNCTION("""COMPUTED_VALUE"""),2.0)</f>
        <v>2</v>
      </c>
      <c r="L84" s="125">
        <f>IFERROR(__xludf.DUMMYFUNCTION("""COMPUTED_VALUE"""),1.0)</f>
        <v>1</v>
      </c>
      <c r="M84" s="125">
        <f>IFERROR(__xludf.DUMMYFUNCTION("""COMPUTED_VALUE"""),16.0)</f>
        <v>16</v>
      </c>
      <c r="N84" s="125">
        <f>IFERROR(__xludf.DUMMYFUNCTION("""COMPUTED_VALUE"""),13.0)</f>
        <v>13</v>
      </c>
      <c r="O84" s="125">
        <f>IFERROR(__xludf.DUMMYFUNCTION("""COMPUTED_VALUE"""),2.0)</f>
        <v>2</v>
      </c>
      <c r="P84" s="125">
        <f>IFERROR(__xludf.DUMMYFUNCTION("""COMPUTED_VALUE"""),1.0)</f>
        <v>1</v>
      </c>
      <c r="Q84" s="125">
        <f>IFERROR(__xludf.DUMMYFUNCTION("""COMPUTED_VALUE"""),16.0)</f>
        <v>16</v>
      </c>
      <c r="R84" s="125">
        <f>IFERROR(__xludf.DUMMYFUNCTION("""COMPUTED_VALUE"""),13.0)</f>
        <v>13</v>
      </c>
      <c r="S84" s="125">
        <f>IFERROR(__xludf.DUMMYFUNCTION("""COMPUTED_VALUE"""),2.0)</f>
        <v>2</v>
      </c>
      <c r="T84" s="125">
        <f>IFERROR(__xludf.DUMMYFUNCTION("""COMPUTED_VALUE"""),1.0)</f>
        <v>1</v>
      </c>
      <c r="U84" s="125">
        <f>IFERROR(__xludf.DUMMYFUNCTION("""COMPUTED_VALUE"""),16.0)</f>
        <v>16</v>
      </c>
      <c r="V84" s="125">
        <f>IFERROR(__xludf.DUMMYFUNCTION("""COMPUTED_VALUE"""),13.0)</f>
        <v>13</v>
      </c>
      <c r="W84" s="125">
        <f>IFERROR(__xludf.DUMMYFUNCTION("""COMPUTED_VALUE"""),2.0)</f>
        <v>2</v>
      </c>
      <c r="X84" s="125">
        <f>IFERROR(__xludf.DUMMYFUNCTION("""COMPUTED_VALUE"""),1.0)</f>
        <v>1</v>
      </c>
      <c r="Y84" s="125">
        <f>IFERROR(__xludf.DUMMYFUNCTION("""COMPUTED_VALUE"""),16.0)</f>
        <v>16</v>
      </c>
      <c r="Z84" s="125">
        <f>IFERROR(__xludf.DUMMYFUNCTION("""COMPUTED_VALUE"""),13.0)</f>
        <v>13</v>
      </c>
      <c r="AA84" s="125">
        <f>IFERROR(__xludf.DUMMYFUNCTION("""COMPUTED_VALUE"""),2.0)</f>
        <v>2</v>
      </c>
      <c r="AB84" s="125">
        <f>IFERROR(__xludf.DUMMYFUNCTION("""COMPUTED_VALUE"""),1.0)</f>
        <v>1</v>
      </c>
      <c r="AC84" s="125">
        <f>IFERROR(__xludf.DUMMYFUNCTION("""COMPUTED_VALUE"""),16.0)</f>
        <v>16</v>
      </c>
      <c r="AD84" s="125">
        <f>IFERROR(__xludf.DUMMYFUNCTION("""COMPUTED_VALUE"""),13.0)</f>
        <v>13</v>
      </c>
      <c r="AE84" s="125">
        <f>IFERROR(__xludf.DUMMYFUNCTION("""COMPUTED_VALUE"""),2.0)</f>
        <v>2</v>
      </c>
      <c r="AF84" s="125">
        <f>IFERROR(__xludf.DUMMYFUNCTION("""COMPUTED_VALUE"""),1.0)</f>
        <v>1</v>
      </c>
      <c r="AG84" s="125">
        <f>IFERROR(__xludf.DUMMYFUNCTION("""COMPUTED_VALUE"""),3.0)</f>
        <v>3</v>
      </c>
      <c r="AH84" s="125">
        <f>IFERROR(__xludf.DUMMYFUNCTION("""COMPUTED_VALUE"""),1.0)</f>
        <v>1</v>
      </c>
      <c r="AI84" s="125">
        <f>IFERROR(__xludf.DUMMYFUNCTION("""COMPUTED_VALUE"""),2.0)</f>
        <v>2</v>
      </c>
      <c r="AJ84" s="125">
        <f>IFERROR(__xludf.DUMMYFUNCTION("""COMPUTED_VALUE"""),0.0)</f>
        <v>0</v>
      </c>
      <c r="AK84" s="125">
        <f>IFERROR(__xludf.DUMMYFUNCTION("""COMPUTED_VALUE"""),0.0)</f>
        <v>0</v>
      </c>
      <c r="AL84" s="125">
        <f>IFERROR(__xludf.DUMMYFUNCTION("""COMPUTED_VALUE"""),0.0)</f>
        <v>0</v>
      </c>
      <c r="AM84" s="125">
        <f>IFERROR(__xludf.DUMMYFUNCTION("""COMPUTED_VALUE"""),0.0)</f>
        <v>0</v>
      </c>
      <c r="AN84" s="125">
        <f>IFERROR(__xludf.DUMMYFUNCTION("""COMPUTED_VALUE"""),0.0)</f>
        <v>0</v>
      </c>
      <c r="AO84" s="125">
        <f>IFERROR(__xludf.DUMMYFUNCTION("""COMPUTED_VALUE"""),0.0)</f>
        <v>0</v>
      </c>
      <c r="AP84" s="125">
        <f>IFERROR(__xludf.DUMMYFUNCTION("""COMPUTED_VALUE"""),0.0)</f>
        <v>0</v>
      </c>
      <c r="AQ84" s="125">
        <f>IFERROR(__xludf.DUMMYFUNCTION("""COMPUTED_VALUE"""),0.0)</f>
        <v>0</v>
      </c>
      <c r="AR84" s="125">
        <f>IFERROR(__xludf.DUMMYFUNCTION("""COMPUTED_VALUE"""),0.0)</f>
        <v>0</v>
      </c>
      <c r="AS84" s="125">
        <f>IFERROR(__xludf.DUMMYFUNCTION("""COMPUTED_VALUE"""),0.0)</f>
        <v>0</v>
      </c>
      <c r="AT84" s="125">
        <f>IFERROR(__xludf.DUMMYFUNCTION("""COMPUTED_VALUE"""),0.0)</f>
        <v>0</v>
      </c>
      <c r="AU84" s="125">
        <f>IFERROR(__xludf.DUMMYFUNCTION("""COMPUTED_VALUE"""),0.0)</f>
        <v>0</v>
      </c>
      <c r="AV84" s="125">
        <f>IFERROR(__xludf.DUMMYFUNCTION("""COMPUTED_VALUE"""),0.0)</f>
        <v>0</v>
      </c>
      <c r="AW84" s="125">
        <f>IFERROR(__xludf.DUMMYFUNCTION("""COMPUTED_VALUE"""),0.0)</f>
        <v>0</v>
      </c>
      <c r="AX84" s="125">
        <f>IFERROR(__xludf.DUMMYFUNCTION("""COMPUTED_VALUE"""),0.0)</f>
        <v>0</v>
      </c>
      <c r="AY84" s="125">
        <f>IFERROR(__xludf.DUMMYFUNCTION("""COMPUTED_VALUE"""),0.0)</f>
        <v>0</v>
      </c>
      <c r="AZ84" s="127">
        <f>IFERROR(__xludf.DUMMYFUNCTION("""COMPUTED_VALUE"""),0.0)</f>
        <v>0</v>
      </c>
      <c r="BA84" s="34"/>
    </row>
    <row r="85" ht="15.75" customHeight="1">
      <c r="A85" s="29"/>
      <c r="B85" s="48" t="str">
        <f>IFERROR(__xludf.DUMMYFUNCTION("""COMPUTED_VALUE"""),"Chia ra:")</f>
        <v>Chia ra:</v>
      </c>
      <c r="C85" s="49"/>
      <c r="D85" s="3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50"/>
      <c r="BA85" s="34"/>
    </row>
    <row r="86" ht="15.75" customHeight="1">
      <c r="A86" s="29"/>
      <c r="B86" s="67" t="str">
        <f>IFERROR(__xludf.DUMMYFUNCTION("""COMPUTED_VALUE""")," + Kiên cố")</f>
        <v> + Kiên cố</v>
      </c>
      <c r="C86" s="31"/>
      <c r="D86" s="31" t="str">
        <f>IFERROR(__xludf.DUMMYFUNCTION("""COMPUTED_VALUE"""),"""")</f>
        <v>"</v>
      </c>
      <c r="E86" s="41">
        <f>IFERROR(__xludf.DUMMYFUNCTION("""COMPUTED_VALUE"""),9.0)</f>
        <v>9</v>
      </c>
      <c r="F86" s="197">
        <f>IFERROR(__xludf.DUMMYFUNCTION("""COMPUTED_VALUE"""),6.0)</f>
        <v>6</v>
      </c>
      <c r="G86" s="197">
        <f>IFERROR(__xludf.DUMMYFUNCTION("""COMPUTED_VALUE"""),2.0)</f>
        <v>2</v>
      </c>
      <c r="H86" s="197">
        <f>IFERROR(__xludf.DUMMYFUNCTION("""COMPUTED_VALUE"""),1.0)</f>
        <v>1</v>
      </c>
      <c r="I86" s="41">
        <f>IFERROR(__xludf.DUMMYFUNCTION("""COMPUTED_VALUE"""),8.0)</f>
        <v>8</v>
      </c>
      <c r="J86" s="197">
        <f>IFERROR(__xludf.DUMMYFUNCTION("""COMPUTED_VALUE"""),5.0)</f>
        <v>5</v>
      </c>
      <c r="K86" s="197">
        <f>IFERROR(__xludf.DUMMYFUNCTION("""COMPUTED_VALUE"""),2.0)</f>
        <v>2</v>
      </c>
      <c r="L86" s="197">
        <f>IFERROR(__xludf.DUMMYFUNCTION("""COMPUTED_VALUE"""),1.0)</f>
        <v>1</v>
      </c>
      <c r="M86" s="41">
        <f>IFERROR(__xludf.DUMMYFUNCTION("""COMPUTED_VALUE"""),8.0)</f>
        <v>8</v>
      </c>
      <c r="N86" s="197">
        <f>IFERROR(__xludf.DUMMYFUNCTION("""COMPUTED_VALUE"""),5.0)</f>
        <v>5</v>
      </c>
      <c r="O86" s="197">
        <f>IFERROR(__xludf.DUMMYFUNCTION("""COMPUTED_VALUE"""),2.0)</f>
        <v>2</v>
      </c>
      <c r="P86" s="197">
        <f>IFERROR(__xludf.DUMMYFUNCTION("""COMPUTED_VALUE"""),1.0)</f>
        <v>1</v>
      </c>
      <c r="Q86" s="41">
        <f>IFERROR(__xludf.DUMMYFUNCTION("""COMPUTED_VALUE"""),8.0)</f>
        <v>8</v>
      </c>
      <c r="R86" s="197">
        <f>IFERROR(__xludf.DUMMYFUNCTION("""COMPUTED_VALUE"""),5.0)</f>
        <v>5</v>
      </c>
      <c r="S86" s="197">
        <f>IFERROR(__xludf.DUMMYFUNCTION("""COMPUTED_VALUE"""),2.0)</f>
        <v>2</v>
      </c>
      <c r="T86" s="197">
        <f>IFERROR(__xludf.DUMMYFUNCTION("""COMPUTED_VALUE"""),1.0)</f>
        <v>1</v>
      </c>
      <c r="U86" s="41">
        <f>IFERROR(__xludf.DUMMYFUNCTION("""COMPUTED_VALUE"""),8.0)</f>
        <v>8</v>
      </c>
      <c r="V86" s="197">
        <f>IFERROR(__xludf.DUMMYFUNCTION("""COMPUTED_VALUE"""),5.0)</f>
        <v>5</v>
      </c>
      <c r="W86" s="197">
        <f>IFERROR(__xludf.DUMMYFUNCTION("""COMPUTED_VALUE"""),2.0)</f>
        <v>2</v>
      </c>
      <c r="X86" s="197">
        <f>IFERROR(__xludf.DUMMYFUNCTION("""COMPUTED_VALUE"""),1.0)</f>
        <v>1</v>
      </c>
      <c r="Y86" s="41">
        <f>IFERROR(__xludf.DUMMYFUNCTION("""COMPUTED_VALUE"""),8.0)</f>
        <v>8</v>
      </c>
      <c r="Z86" s="197">
        <f>IFERROR(__xludf.DUMMYFUNCTION("""COMPUTED_VALUE"""),5.0)</f>
        <v>5</v>
      </c>
      <c r="AA86" s="197">
        <f>IFERROR(__xludf.DUMMYFUNCTION("""COMPUTED_VALUE"""),2.0)</f>
        <v>2</v>
      </c>
      <c r="AB86" s="197">
        <f>IFERROR(__xludf.DUMMYFUNCTION("""COMPUTED_VALUE"""),1.0)</f>
        <v>1</v>
      </c>
      <c r="AC86" s="41">
        <f>IFERROR(__xludf.DUMMYFUNCTION("""COMPUTED_VALUE"""),8.0)</f>
        <v>8</v>
      </c>
      <c r="AD86" s="197">
        <f>IFERROR(__xludf.DUMMYFUNCTION("""COMPUTED_VALUE"""),5.0)</f>
        <v>5</v>
      </c>
      <c r="AE86" s="197">
        <f>IFERROR(__xludf.DUMMYFUNCTION("""COMPUTED_VALUE"""),2.0)</f>
        <v>2</v>
      </c>
      <c r="AF86" s="197">
        <f>IFERROR(__xludf.DUMMYFUNCTION("""COMPUTED_VALUE"""),1.0)</f>
        <v>1</v>
      </c>
      <c r="AG86" s="41">
        <f>IFERROR(__xludf.DUMMYFUNCTION("""COMPUTED_VALUE"""),3.0)</f>
        <v>3</v>
      </c>
      <c r="AH86" s="197">
        <f>IFERROR(__xludf.DUMMYFUNCTION("""COMPUTED_VALUE"""),1.0)</f>
        <v>1</v>
      </c>
      <c r="AI86" s="197">
        <f>IFERROR(__xludf.DUMMYFUNCTION("""COMPUTED_VALUE"""),2.0)</f>
        <v>2</v>
      </c>
      <c r="AJ86" s="197">
        <f>IFERROR(__xludf.DUMMYFUNCTION("""COMPUTED_VALUE"""),0.0)</f>
        <v>0</v>
      </c>
      <c r="AK86" s="41">
        <f>IFERROR(__xludf.DUMMYFUNCTION("""COMPUTED_VALUE"""),0.0)</f>
        <v>0</v>
      </c>
      <c r="AL86" s="197">
        <f>IFERROR(__xludf.DUMMYFUNCTION("""COMPUTED_VALUE"""),0.0)</f>
        <v>0</v>
      </c>
      <c r="AM86" s="197">
        <f>IFERROR(__xludf.DUMMYFUNCTION("""COMPUTED_VALUE"""),0.0)</f>
        <v>0</v>
      </c>
      <c r="AN86" s="197">
        <f>IFERROR(__xludf.DUMMYFUNCTION("""COMPUTED_VALUE"""),0.0)</f>
        <v>0</v>
      </c>
      <c r="AO86" s="41">
        <f>IFERROR(__xludf.DUMMYFUNCTION("""COMPUTED_VALUE"""),0.0)</f>
        <v>0</v>
      </c>
      <c r="AP86" s="197">
        <f>IFERROR(__xludf.DUMMYFUNCTION("""COMPUTED_VALUE"""),0.0)</f>
        <v>0</v>
      </c>
      <c r="AQ86" s="197">
        <f>IFERROR(__xludf.DUMMYFUNCTION("""COMPUTED_VALUE"""),0.0)</f>
        <v>0</v>
      </c>
      <c r="AR86" s="197">
        <f>IFERROR(__xludf.DUMMYFUNCTION("""COMPUTED_VALUE"""),0.0)</f>
        <v>0</v>
      </c>
      <c r="AS86" s="41">
        <f>IFERROR(__xludf.DUMMYFUNCTION("""COMPUTED_VALUE"""),0.0)</f>
        <v>0</v>
      </c>
      <c r="AT86" s="197">
        <f>IFERROR(__xludf.DUMMYFUNCTION("""COMPUTED_VALUE"""),0.0)</f>
        <v>0</v>
      </c>
      <c r="AU86" s="197">
        <f>IFERROR(__xludf.DUMMYFUNCTION("""COMPUTED_VALUE"""),0.0)</f>
        <v>0</v>
      </c>
      <c r="AV86" s="197">
        <f>IFERROR(__xludf.DUMMYFUNCTION("""COMPUTED_VALUE"""),0.0)</f>
        <v>0</v>
      </c>
      <c r="AW86" s="41">
        <f>IFERROR(__xludf.DUMMYFUNCTION("""COMPUTED_VALUE"""),0.0)</f>
        <v>0</v>
      </c>
      <c r="AX86" s="197">
        <f>IFERROR(__xludf.DUMMYFUNCTION("""COMPUTED_VALUE"""),0.0)</f>
        <v>0</v>
      </c>
      <c r="AY86" s="197">
        <f>IFERROR(__xludf.DUMMYFUNCTION("""COMPUTED_VALUE"""),0.0)</f>
        <v>0</v>
      </c>
      <c r="AZ86" s="198">
        <f>IFERROR(__xludf.DUMMYFUNCTION("""COMPUTED_VALUE"""),0.0)</f>
        <v>0</v>
      </c>
      <c r="BA86" s="34"/>
    </row>
    <row r="87" ht="15.75" customHeight="1">
      <c r="A87" s="29"/>
      <c r="B87" s="67" t="str">
        <f>IFERROR(__xludf.DUMMYFUNCTION("""COMPUTED_VALUE""")," + Bán kiên cố")</f>
        <v> + Bán kiên cố</v>
      </c>
      <c r="C87" s="31"/>
      <c r="D87" s="31" t="str">
        <f>IFERROR(__xludf.DUMMYFUNCTION("""COMPUTED_VALUE"""),"""")</f>
        <v>"</v>
      </c>
      <c r="E87" s="41">
        <f>IFERROR(__xludf.DUMMYFUNCTION("""COMPUTED_VALUE"""),4.0)</f>
        <v>4</v>
      </c>
      <c r="F87" s="197">
        <f>IFERROR(__xludf.DUMMYFUNCTION("""COMPUTED_VALUE"""),4.0)</f>
        <v>4</v>
      </c>
      <c r="G87" s="197">
        <f>IFERROR(__xludf.DUMMYFUNCTION("""COMPUTED_VALUE"""),0.0)</f>
        <v>0</v>
      </c>
      <c r="H87" s="197">
        <f>IFERROR(__xludf.DUMMYFUNCTION("""COMPUTED_VALUE"""),0.0)</f>
        <v>0</v>
      </c>
      <c r="I87" s="41">
        <f>IFERROR(__xludf.DUMMYFUNCTION("""COMPUTED_VALUE"""),5.0)</f>
        <v>5</v>
      </c>
      <c r="J87" s="197">
        <f>IFERROR(__xludf.DUMMYFUNCTION("""COMPUTED_VALUE"""),5.0)</f>
        <v>5</v>
      </c>
      <c r="K87" s="197">
        <f>IFERROR(__xludf.DUMMYFUNCTION("""COMPUTED_VALUE"""),0.0)</f>
        <v>0</v>
      </c>
      <c r="L87" s="197">
        <f>IFERROR(__xludf.DUMMYFUNCTION("""COMPUTED_VALUE"""),0.0)</f>
        <v>0</v>
      </c>
      <c r="M87" s="41">
        <f>IFERROR(__xludf.DUMMYFUNCTION("""COMPUTED_VALUE"""),5.0)</f>
        <v>5</v>
      </c>
      <c r="N87" s="197">
        <f>IFERROR(__xludf.DUMMYFUNCTION("""COMPUTED_VALUE"""),5.0)</f>
        <v>5</v>
      </c>
      <c r="O87" s="197">
        <f>IFERROR(__xludf.DUMMYFUNCTION("""COMPUTED_VALUE"""),0.0)</f>
        <v>0</v>
      </c>
      <c r="P87" s="197">
        <f>IFERROR(__xludf.DUMMYFUNCTION("""COMPUTED_VALUE"""),0.0)</f>
        <v>0</v>
      </c>
      <c r="Q87" s="41">
        <f>IFERROR(__xludf.DUMMYFUNCTION("""COMPUTED_VALUE"""),5.0)</f>
        <v>5</v>
      </c>
      <c r="R87" s="197">
        <f>IFERROR(__xludf.DUMMYFUNCTION("""COMPUTED_VALUE"""),5.0)</f>
        <v>5</v>
      </c>
      <c r="S87" s="197">
        <f>IFERROR(__xludf.DUMMYFUNCTION("""COMPUTED_VALUE"""),0.0)</f>
        <v>0</v>
      </c>
      <c r="T87" s="197">
        <f>IFERROR(__xludf.DUMMYFUNCTION("""COMPUTED_VALUE"""),0.0)</f>
        <v>0</v>
      </c>
      <c r="U87" s="41">
        <f>IFERROR(__xludf.DUMMYFUNCTION("""COMPUTED_VALUE"""),5.0)</f>
        <v>5</v>
      </c>
      <c r="V87" s="197">
        <f>IFERROR(__xludf.DUMMYFUNCTION("""COMPUTED_VALUE"""),5.0)</f>
        <v>5</v>
      </c>
      <c r="W87" s="197">
        <f>IFERROR(__xludf.DUMMYFUNCTION("""COMPUTED_VALUE"""),0.0)</f>
        <v>0</v>
      </c>
      <c r="X87" s="197">
        <f>IFERROR(__xludf.DUMMYFUNCTION("""COMPUTED_VALUE"""),0.0)</f>
        <v>0</v>
      </c>
      <c r="Y87" s="41">
        <f>IFERROR(__xludf.DUMMYFUNCTION("""COMPUTED_VALUE"""),5.0)</f>
        <v>5</v>
      </c>
      <c r="Z87" s="197">
        <f>IFERROR(__xludf.DUMMYFUNCTION("""COMPUTED_VALUE"""),5.0)</f>
        <v>5</v>
      </c>
      <c r="AA87" s="197">
        <f>IFERROR(__xludf.DUMMYFUNCTION("""COMPUTED_VALUE"""),0.0)</f>
        <v>0</v>
      </c>
      <c r="AB87" s="197">
        <f>IFERROR(__xludf.DUMMYFUNCTION("""COMPUTED_VALUE"""),0.0)</f>
        <v>0</v>
      </c>
      <c r="AC87" s="41">
        <f>IFERROR(__xludf.DUMMYFUNCTION("""COMPUTED_VALUE"""),5.0)</f>
        <v>5</v>
      </c>
      <c r="AD87" s="197">
        <f>IFERROR(__xludf.DUMMYFUNCTION("""COMPUTED_VALUE"""),5.0)</f>
        <v>5</v>
      </c>
      <c r="AE87" s="197">
        <f>IFERROR(__xludf.DUMMYFUNCTION("""COMPUTED_VALUE"""),0.0)</f>
        <v>0</v>
      </c>
      <c r="AF87" s="197">
        <f>IFERROR(__xludf.DUMMYFUNCTION("""COMPUTED_VALUE"""),0.0)</f>
        <v>0</v>
      </c>
      <c r="AG87" s="41">
        <f>IFERROR(__xludf.DUMMYFUNCTION("""COMPUTED_VALUE"""),0.0)</f>
        <v>0</v>
      </c>
      <c r="AH87" s="197">
        <f>IFERROR(__xludf.DUMMYFUNCTION("""COMPUTED_VALUE"""),0.0)</f>
        <v>0</v>
      </c>
      <c r="AI87" s="197">
        <f>IFERROR(__xludf.DUMMYFUNCTION("""COMPUTED_VALUE"""),0.0)</f>
        <v>0</v>
      </c>
      <c r="AJ87" s="197">
        <f>IFERROR(__xludf.DUMMYFUNCTION("""COMPUTED_VALUE"""),0.0)</f>
        <v>0</v>
      </c>
      <c r="AK87" s="41">
        <f>IFERROR(__xludf.DUMMYFUNCTION("""COMPUTED_VALUE"""),0.0)</f>
        <v>0</v>
      </c>
      <c r="AL87" s="197">
        <f>IFERROR(__xludf.DUMMYFUNCTION("""COMPUTED_VALUE"""),0.0)</f>
        <v>0</v>
      </c>
      <c r="AM87" s="197">
        <f>IFERROR(__xludf.DUMMYFUNCTION("""COMPUTED_VALUE"""),0.0)</f>
        <v>0</v>
      </c>
      <c r="AN87" s="197">
        <f>IFERROR(__xludf.DUMMYFUNCTION("""COMPUTED_VALUE"""),0.0)</f>
        <v>0</v>
      </c>
      <c r="AO87" s="41">
        <f>IFERROR(__xludf.DUMMYFUNCTION("""COMPUTED_VALUE"""),0.0)</f>
        <v>0</v>
      </c>
      <c r="AP87" s="197">
        <f>IFERROR(__xludf.DUMMYFUNCTION("""COMPUTED_VALUE"""),0.0)</f>
        <v>0</v>
      </c>
      <c r="AQ87" s="197">
        <f>IFERROR(__xludf.DUMMYFUNCTION("""COMPUTED_VALUE"""),0.0)</f>
        <v>0</v>
      </c>
      <c r="AR87" s="197">
        <f>IFERROR(__xludf.DUMMYFUNCTION("""COMPUTED_VALUE"""),0.0)</f>
        <v>0</v>
      </c>
      <c r="AS87" s="41">
        <f>IFERROR(__xludf.DUMMYFUNCTION("""COMPUTED_VALUE"""),0.0)</f>
        <v>0</v>
      </c>
      <c r="AT87" s="197">
        <f>IFERROR(__xludf.DUMMYFUNCTION("""COMPUTED_VALUE"""),0.0)</f>
        <v>0</v>
      </c>
      <c r="AU87" s="197">
        <f>IFERROR(__xludf.DUMMYFUNCTION("""COMPUTED_VALUE"""),0.0)</f>
        <v>0</v>
      </c>
      <c r="AV87" s="197">
        <f>IFERROR(__xludf.DUMMYFUNCTION("""COMPUTED_VALUE"""),0.0)</f>
        <v>0</v>
      </c>
      <c r="AW87" s="41">
        <f>IFERROR(__xludf.DUMMYFUNCTION("""COMPUTED_VALUE"""),0.0)</f>
        <v>0</v>
      </c>
      <c r="AX87" s="197">
        <f>IFERROR(__xludf.DUMMYFUNCTION("""COMPUTED_VALUE"""),0.0)</f>
        <v>0</v>
      </c>
      <c r="AY87" s="197">
        <f>IFERROR(__xludf.DUMMYFUNCTION("""COMPUTED_VALUE"""),0.0)</f>
        <v>0</v>
      </c>
      <c r="AZ87" s="198">
        <f>IFERROR(__xludf.DUMMYFUNCTION("""COMPUTED_VALUE"""),0.0)</f>
        <v>0</v>
      </c>
      <c r="BA87" s="34"/>
    </row>
    <row r="88" ht="15.75" customHeight="1">
      <c r="A88" s="29"/>
      <c r="B88" s="67" t="str">
        <f>IFERROR(__xludf.DUMMYFUNCTION("""COMPUTED_VALUE""")," + Tạm")</f>
        <v> + Tạm</v>
      </c>
      <c r="C88" s="31"/>
      <c r="D88" s="31" t="str">
        <f>IFERROR(__xludf.DUMMYFUNCTION("""COMPUTED_VALUE"""),"""")</f>
        <v>"</v>
      </c>
      <c r="E88" s="41">
        <f>IFERROR(__xludf.DUMMYFUNCTION("""COMPUTED_VALUE"""),3.0)</f>
        <v>3</v>
      </c>
      <c r="F88" s="197">
        <f>IFERROR(__xludf.DUMMYFUNCTION("""COMPUTED_VALUE"""),3.0)</f>
        <v>3</v>
      </c>
      <c r="G88" s="197">
        <f>IFERROR(__xludf.DUMMYFUNCTION("""COMPUTED_VALUE"""),0.0)</f>
        <v>0</v>
      </c>
      <c r="H88" s="197">
        <f>IFERROR(__xludf.DUMMYFUNCTION("""COMPUTED_VALUE"""),0.0)</f>
        <v>0</v>
      </c>
      <c r="I88" s="41">
        <f>IFERROR(__xludf.DUMMYFUNCTION("""COMPUTED_VALUE"""),3.0)</f>
        <v>3</v>
      </c>
      <c r="J88" s="197">
        <f>IFERROR(__xludf.DUMMYFUNCTION("""COMPUTED_VALUE"""),3.0)</f>
        <v>3</v>
      </c>
      <c r="K88" s="197">
        <f>IFERROR(__xludf.DUMMYFUNCTION("""COMPUTED_VALUE"""),0.0)</f>
        <v>0</v>
      </c>
      <c r="L88" s="197">
        <f>IFERROR(__xludf.DUMMYFUNCTION("""COMPUTED_VALUE"""),0.0)</f>
        <v>0</v>
      </c>
      <c r="M88" s="41">
        <f>IFERROR(__xludf.DUMMYFUNCTION("""COMPUTED_VALUE"""),3.0)</f>
        <v>3</v>
      </c>
      <c r="N88" s="197">
        <f>IFERROR(__xludf.DUMMYFUNCTION("""COMPUTED_VALUE"""),3.0)</f>
        <v>3</v>
      </c>
      <c r="O88" s="197">
        <f>IFERROR(__xludf.DUMMYFUNCTION("""COMPUTED_VALUE"""),0.0)</f>
        <v>0</v>
      </c>
      <c r="P88" s="197">
        <f>IFERROR(__xludf.DUMMYFUNCTION("""COMPUTED_VALUE"""),0.0)</f>
        <v>0</v>
      </c>
      <c r="Q88" s="41">
        <f>IFERROR(__xludf.DUMMYFUNCTION("""COMPUTED_VALUE"""),3.0)</f>
        <v>3</v>
      </c>
      <c r="R88" s="197">
        <f>IFERROR(__xludf.DUMMYFUNCTION("""COMPUTED_VALUE"""),3.0)</f>
        <v>3</v>
      </c>
      <c r="S88" s="197">
        <f>IFERROR(__xludf.DUMMYFUNCTION("""COMPUTED_VALUE"""),0.0)</f>
        <v>0</v>
      </c>
      <c r="T88" s="197">
        <f>IFERROR(__xludf.DUMMYFUNCTION("""COMPUTED_VALUE"""),0.0)</f>
        <v>0</v>
      </c>
      <c r="U88" s="41">
        <f>IFERROR(__xludf.DUMMYFUNCTION("""COMPUTED_VALUE"""),3.0)</f>
        <v>3</v>
      </c>
      <c r="V88" s="197">
        <f>IFERROR(__xludf.DUMMYFUNCTION("""COMPUTED_VALUE"""),3.0)</f>
        <v>3</v>
      </c>
      <c r="W88" s="197">
        <f>IFERROR(__xludf.DUMMYFUNCTION("""COMPUTED_VALUE"""),0.0)</f>
        <v>0</v>
      </c>
      <c r="X88" s="197">
        <f>IFERROR(__xludf.DUMMYFUNCTION("""COMPUTED_VALUE"""),0.0)</f>
        <v>0</v>
      </c>
      <c r="Y88" s="41">
        <f>IFERROR(__xludf.DUMMYFUNCTION("""COMPUTED_VALUE"""),3.0)</f>
        <v>3</v>
      </c>
      <c r="Z88" s="197">
        <f>IFERROR(__xludf.DUMMYFUNCTION("""COMPUTED_VALUE"""),3.0)</f>
        <v>3</v>
      </c>
      <c r="AA88" s="197">
        <f>IFERROR(__xludf.DUMMYFUNCTION("""COMPUTED_VALUE"""),0.0)</f>
        <v>0</v>
      </c>
      <c r="AB88" s="197">
        <f>IFERROR(__xludf.DUMMYFUNCTION("""COMPUTED_VALUE"""),0.0)</f>
        <v>0</v>
      </c>
      <c r="AC88" s="41">
        <f>IFERROR(__xludf.DUMMYFUNCTION("""COMPUTED_VALUE"""),3.0)</f>
        <v>3</v>
      </c>
      <c r="AD88" s="197">
        <f>IFERROR(__xludf.DUMMYFUNCTION("""COMPUTED_VALUE"""),3.0)</f>
        <v>3</v>
      </c>
      <c r="AE88" s="197">
        <f>IFERROR(__xludf.DUMMYFUNCTION("""COMPUTED_VALUE"""),0.0)</f>
        <v>0</v>
      </c>
      <c r="AF88" s="197">
        <f>IFERROR(__xludf.DUMMYFUNCTION("""COMPUTED_VALUE"""),0.0)</f>
        <v>0</v>
      </c>
      <c r="AG88" s="41">
        <f>IFERROR(__xludf.DUMMYFUNCTION("""COMPUTED_VALUE"""),0.0)</f>
        <v>0</v>
      </c>
      <c r="AH88" s="197">
        <f>IFERROR(__xludf.DUMMYFUNCTION("""COMPUTED_VALUE"""),0.0)</f>
        <v>0</v>
      </c>
      <c r="AI88" s="197">
        <f>IFERROR(__xludf.DUMMYFUNCTION("""COMPUTED_VALUE"""),0.0)</f>
        <v>0</v>
      </c>
      <c r="AJ88" s="197">
        <f>IFERROR(__xludf.DUMMYFUNCTION("""COMPUTED_VALUE"""),0.0)</f>
        <v>0</v>
      </c>
      <c r="AK88" s="41">
        <f>IFERROR(__xludf.DUMMYFUNCTION("""COMPUTED_VALUE"""),0.0)</f>
        <v>0</v>
      </c>
      <c r="AL88" s="197">
        <f>IFERROR(__xludf.DUMMYFUNCTION("""COMPUTED_VALUE"""),0.0)</f>
        <v>0</v>
      </c>
      <c r="AM88" s="197">
        <f>IFERROR(__xludf.DUMMYFUNCTION("""COMPUTED_VALUE"""),0.0)</f>
        <v>0</v>
      </c>
      <c r="AN88" s="197">
        <f>IFERROR(__xludf.DUMMYFUNCTION("""COMPUTED_VALUE"""),0.0)</f>
        <v>0</v>
      </c>
      <c r="AO88" s="41">
        <f>IFERROR(__xludf.DUMMYFUNCTION("""COMPUTED_VALUE"""),0.0)</f>
        <v>0</v>
      </c>
      <c r="AP88" s="197">
        <f>IFERROR(__xludf.DUMMYFUNCTION("""COMPUTED_VALUE"""),0.0)</f>
        <v>0</v>
      </c>
      <c r="AQ88" s="197">
        <f>IFERROR(__xludf.DUMMYFUNCTION("""COMPUTED_VALUE"""),0.0)</f>
        <v>0</v>
      </c>
      <c r="AR88" s="197">
        <f>IFERROR(__xludf.DUMMYFUNCTION("""COMPUTED_VALUE"""),0.0)</f>
        <v>0</v>
      </c>
      <c r="AS88" s="41">
        <f>IFERROR(__xludf.DUMMYFUNCTION("""COMPUTED_VALUE"""),0.0)</f>
        <v>0</v>
      </c>
      <c r="AT88" s="197">
        <f>IFERROR(__xludf.DUMMYFUNCTION("""COMPUTED_VALUE"""),0.0)</f>
        <v>0</v>
      </c>
      <c r="AU88" s="197">
        <f>IFERROR(__xludf.DUMMYFUNCTION("""COMPUTED_VALUE"""),0.0)</f>
        <v>0</v>
      </c>
      <c r="AV88" s="197">
        <f>IFERROR(__xludf.DUMMYFUNCTION("""COMPUTED_VALUE"""),0.0)</f>
        <v>0</v>
      </c>
      <c r="AW88" s="41">
        <f>IFERROR(__xludf.DUMMYFUNCTION("""COMPUTED_VALUE"""),0.0)</f>
        <v>0</v>
      </c>
      <c r="AX88" s="197">
        <f>IFERROR(__xludf.DUMMYFUNCTION("""COMPUTED_VALUE"""),0.0)</f>
        <v>0</v>
      </c>
      <c r="AY88" s="197">
        <f>IFERROR(__xludf.DUMMYFUNCTION("""COMPUTED_VALUE"""),0.0)</f>
        <v>0</v>
      </c>
      <c r="AZ88" s="198">
        <f>IFERROR(__xludf.DUMMYFUNCTION("""COMPUTED_VALUE"""),0.0)</f>
        <v>0</v>
      </c>
      <c r="BA88" s="34"/>
    </row>
    <row r="89" ht="15.75" customHeight="1">
      <c r="A89" s="29"/>
      <c r="B89" s="196" t="str">
        <f>IFERROR(__xludf.DUMMYFUNCTION("""COMPUTED_VALUE"""),"7.2. Tổng số phòng thiết bị")</f>
        <v>7.2. Tổng số phòng thiết bị</v>
      </c>
      <c r="C89" s="57"/>
      <c r="D89" s="57" t="str">
        <f>IFERROR(__xludf.DUMMYFUNCTION("""COMPUTED_VALUE"""),"Phòng")</f>
        <v>Phòng</v>
      </c>
      <c r="E89" s="125">
        <f>IFERROR(__xludf.DUMMYFUNCTION("""COMPUTED_VALUE"""),13.0)</f>
        <v>13</v>
      </c>
      <c r="F89" s="125">
        <f>IFERROR(__xludf.DUMMYFUNCTION("""COMPUTED_VALUE"""),12.0)</f>
        <v>12</v>
      </c>
      <c r="G89" s="125">
        <f>IFERROR(__xludf.DUMMYFUNCTION("""COMPUTED_VALUE"""),1.0)</f>
        <v>1</v>
      </c>
      <c r="H89" s="125">
        <f>IFERROR(__xludf.DUMMYFUNCTION("""COMPUTED_VALUE"""),0.0)</f>
        <v>0</v>
      </c>
      <c r="I89" s="125">
        <f>IFERROR(__xludf.DUMMYFUNCTION("""COMPUTED_VALUE"""),13.0)</f>
        <v>13</v>
      </c>
      <c r="J89" s="125">
        <f>IFERROR(__xludf.DUMMYFUNCTION("""COMPUTED_VALUE"""),12.0)</f>
        <v>12</v>
      </c>
      <c r="K89" s="125">
        <f>IFERROR(__xludf.DUMMYFUNCTION("""COMPUTED_VALUE"""),1.0)</f>
        <v>1</v>
      </c>
      <c r="L89" s="125">
        <f>IFERROR(__xludf.DUMMYFUNCTION("""COMPUTED_VALUE"""),0.0)</f>
        <v>0</v>
      </c>
      <c r="M89" s="125">
        <f>IFERROR(__xludf.DUMMYFUNCTION("""COMPUTED_VALUE"""),13.0)</f>
        <v>13</v>
      </c>
      <c r="N89" s="125">
        <f>IFERROR(__xludf.DUMMYFUNCTION("""COMPUTED_VALUE"""),12.0)</f>
        <v>12</v>
      </c>
      <c r="O89" s="125">
        <f>IFERROR(__xludf.DUMMYFUNCTION("""COMPUTED_VALUE"""),1.0)</f>
        <v>1</v>
      </c>
      <c r="P89" s="125">
        <f>IFERROR(__xludf.DUMMYFUNCTION("""COMPUTED_VALUE"""),0.0)</f>
        <v>0</v>
      </c>
      <c r="Q89" s="125">
        <f>IFERROR(__xludf.DUMMYFUNCTION("""COMPUTED_VALUE"""),13.0)</f>
        <v>13</v>
      </c>
      <c r="R89" s="125">
        <f>IFERROR(__xludf.DUMMYFUNCTION("""COMPUTED_VALUE"""),12.0)</f>
        <v>12</v>
      </c>
      <c r="S89" s="125">
        <f>IFERROR(__xludf.DUMMYFUNCTION("""COMPUTED_VALUE"""),1.0)</f>
        <v>1</v>
      </c>
      <c r="T89" s="125">
        <f>IFERROR(__xludf.DUMMYFUNCTION("""COMPUTED_VALUE"""),0.0)</f>
        <v>0</v>
      </c>
      <c r="U89" s="125">
        <f>IFERROR(__xludf.DUMMYFUNCTION("""COMPUTED_VALUE"""),13.0)</f>
        <v>13</v>
      </c>
      <c r="V89" s="125">
        <f>IFERROR(__xludf.DUMMYFUNCTION("""COMPUTED_VALUE"""),12.0)</f>
        <v>12</v>
      </c>
      <c r="W89" s="125">
        <f>IFERROR(__xludf.DUMMYFUNCTION("""COMPUTED_VALUE"""),1.0)</f>
        <v>1</v>
      </c>
      <c r="X89" s="125">
        <f>IFERROR(__xludf.DUMMYFUNCTION("""COMPUTED_VALUE"""),0.0)</f>
        <v>0</v>
      </c>
      <c r="Y89" s="125">
        <f>IFERROR(__xludf.DUMMYFUNCTION("""COMPUTED_VALUE"""),13.0)</f>
        <v>13</v>
      </c>
      <c r="Z89" s="125">
        <f>IFERROR(__xludf.DUMMYFUNCTION("""COMPUTED_VALUE"""),12.0)</f>
        <v>12</v>
      </c>
      <c r="AA89" s="125">
        <f>IFERROR(__xludf.DUMMYFUNCTION("""COMPUTED_VALUE"""),1.0)</f>
        <v>1</v>
      </c>
      <c r="AB89" s="125">
        <f>IFERROR(__xludf.DUMMYFUNCTION("""COMPUTED_VALUE"""),0.0)</f>
        <v>0</v>
      </c>
      <c r="AC89" s="125">
        <f>IFERROR(__xludf.DUMMYFUNCTION("""COMPUTED_VALUE"""),13.0)</f>
        <v>13</v>
      </c>
      <c r="AD89" s="125">
        <f>IFERROR(__xludf.DUMMYFUNCTION("""COMPUTED_VALUE"""),12.0)</f>
        <v>12</v>
      </c>
      <c r="AE89" s="125">
        <f>IFERROR(__xludf.DUMMYFUNCTION("""COMPUTED_VALUE"""),1.0)</f>
        <v>1</v>
      </c>
      <c r="AF89" s="125">
        <f>IFERROR(__xludf.DUMMYFUNCTION("""COMPUTED_VALUE"""),0.0)</f>
        <v>0</v>
      </c>
      <c r="AG89" s="125">
        <f>IFERROR(__xludf.DUMMYFUNCTION("""COMPUTED_VALUE"""),2.0)</f>
        <v>2</v>
      </c>
      <c r="AH89" s="125">
        <f>IFERROR(__xludf.DUMMYFUNCTION("""COMPUTED_VALUE"""),1.0)</f>
        <v>1</v>
      </c>
      <c r="AI89" s="125">
        <f>IFERROR(__xludf.DUMMYFUNCTION("""COMPUTED_VALUE"""),1.0)</f>
        <v>1</v>
      </c>
      <c r="AJ89" s="125">
        <f>IFERROR(__xludf.DUMMYFUNCTION("""COMPUTED_VALUE"""),0.0)</f>
        <v>0</v>
      </c>
      <c r="AK89" s="125">
        <f>IFERROR(__xludf.DUMMYFUNCTION("""COMPUTED_VALUE"""),0.0)</f>
        <v>0</v>
      </c>
      <c r="AL89" s="125">
        <f>IFERROR(__xludf.DUMMYFUNCTION("""COMPUTED_VALUE"""),0.0)</f>
        <v>0</v>
      </c>
      <c r="AM89" s="125">
        <f>IFERROR(__xludf.DUMMYFUNCTION("""COMPUTED_VALUE"""),0.0)</f>
        <v>0</v>
      </c>
      <c r="AN89" s="125">
        <f>IFERROR(__xludf.DUMMYFUNCTION("""COMPUTED_VALUE"""),0.0)</f>
        <v>0</v>
      </c>
      <c r="AO89" s="125">
        <f>IFERROR(__xludf.DUMMYFUNCTION("""COMPUTED_VALUE"""),0.0)</f>
        <v>0</v>
      </c>
      <c r="AP89" s="125">
        <f>IFERROR(__xludf.DUMMYFUNCTION("""COMPUTED_VALUE"""),0.0)</f>
        <v>0</v>
      </c>
      <c r="AQ89" s="125">
        <f>IFERROR(__xludf.DUMMYFUNCTION("""COMPUTED_VALUE"""),0.0)</f>
        <v>0</v>
      </c>
      <c r="AR89" s="125">
        <f>IFERROR(__xludf.DUMMYFUNCTION("""COMPUTED_VALUE"""),0.0)</f>
        <v>0</v>
      </c>
      <c r="AS89" s="125">
        <f>IFERROR(__xludf.DUMMYFUNCTION("""COMPUTED_VALUE"""),0.0)</f>
        <v>0</v>
      </c>
      <c r="AT89" s="125">
        <f>IFERROR(__xludf.DUMMYFUNCTION("""COMPUTED_VALUE"""),0.0)</f>
        <v>0</v>
      </c>
      <c r="AU89" s="125">
        <f>IFERROR(__xludf.DUMMYFUNCTION("""COMPUTED_VALUE"""),0.0)</f>
        <v>0</v>
      </c>
      <c r="AV89" s="125">
        <f>IFERROR(__xludf.DUMMYFUNCTION("""COMPUTED_VALUE"""),0.0)</f>
        <v>0</v>
      </c>
      <c r="AW89" s="125">
        <f>IFERROR(__xludf.DUMMYFUNCTION("""COMPUTED_VALUE"""),0.0)</f>
        <v>0</v>
      </c>
      <c r="AX89" s="125">
        <f>IFERROR(__xludf.DUMMYFUNCTION("""COMPUTED_VALUE"""),0.0)</f>
        <v>0</v>
      </c>
      <c r="AY89" s="125">
        <f>IFERROR(__xludf.DUMMYFUNCTION("""COMPUTED_VALUE"""),0.0)</f>
        <v>0</v>
      </c>
      <c r="AZ89" s="127">
        <f>IFERROR(__xludf.DUMMYFUNCTION("""COMPUTED_VALUE"""),0.0)</f>
        <v>0</v>
      </c>
      <c r="BA89" s="34"/>
    </row>
    <row r="90" ht="15.75" customHeight="1">
      <c r="A90" s="29"/>
      <c r="B90" s="48" t="str">
        <f>IFERROR(__xludf.DUMMYFUNCTION("""COMPUTED_VALUE"""),"Chia ra:")</f>
        <v>Chia ra:</v>
      </c>
      <c r="C90" s="49"/>
      <c r="D90" s="3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50"/>
      <c r="BA90" s="34"/>
    </row>
    <row r="91" ht="15.75" customHeight="1">
      <c r="A91" s="29"/>
      <c r="B91" s="67" t="str">
        <f>IFERROR(__xludf.DUMMYFUNCTION("""COMPUTED_VALUE""")," + Kiên cố")</f>
        <v> + Kiên cố</v>
      </c>
      <c r="C91" s="31"/>
      <c r="D91" s="31" t="str">
        <f>IFERROR(__xludf.DUMMYFUNCTION("""COMPUTED_VALUE"""),"""")</f>
        <v>"</v>
      </c>
      <c r="E91" s="41">
        <f>IFERROR(__xludf.DUMMYFUNCTION("""COMPUTED_VALUE"""),6.0)</f>
        <v>6</v>
      </c>
      <c r="F91" s="197">
        <f>IFERROR(__xludf.DUMMYFUNCTION("""COMPUTED_VALUE"""),5.0)</f>
        <v>5</v>
      </c>
      <c r="G91" s="197">
        <f>IFERROR(__xludf.DUMMYFUNCTION("""COMPUTED_VALUE"""),1.0)</f>
        <v>1</v>
      </c>
      <c r="H91" s="197">
        <f>IFERROR(__xludf.DUMMYFUNCTION("""COMPUTED_VALUE"""),0.0)</f>
        <v>0</v>
      </c>
      <c r="I91" s="41">
        <f>IFERROR(__xludf.DUMMYFUNCTION("""COMPUTED_VALUE"""),6.0)</f>
        <v>6</v>
      </c>
      <c r="J91" s="197">
        <f>IFERROR(__xludf.DUMMYFUNCTION("""COMPUTED_VALUE"""),5.0)</f>
        <v>5</v>
      </c>
      <c r="K91" s="197">
        <f>IFERROR(__xludf.DUMMYFUNCTION("""COMPUTED_VALUE"""),1.0)</f>
        <v>1</v>
      </c>
      <c r="L91" s="197">
        <f>IFERROR(__xludf.DUMMYFUNCTION("""COMPUTED_VALUE"""),0.0)</f>
        <v>0</v>
      </c>
      <c r="M91" s="41">
        <f>IFERROR(__xludf.DUMMYFUNCTION("""COMPUTED_VALUE"""),6.0)</f>
        <v>6</v>
      </c>
      <c r="N91" s="197">
        <f>IFERROR(__xludf.DUMMYFUNCTION("""COMPUTED_VALUE"""),5.0)</f>
        <v>5</v>
      </c>
      <c r="O91" s="197">
        <f>IFERROR(__xludf.DUMMYFUNCTION("""COMPUTED_VALUE"""),1.0)</f>
        <v>1</v>
      </c>
      <c r="P91" s="197">
        <f>IFERROR(__xludf.DUMMYFUNCTION("""COMPUTED_VALUE"""),0.0)</f>
        <v>0</v>
      </c>
      <c r="Q91" s="41">
        <f>IFERROR(__xludf.DUMMYFUNCTION("""COMPUTED_VALUE"""),6.0)</f>
        <v>6</v>
      </c>
      <c r="R91" s="197">
        <f>IFERROR(__xludf.DUMMYFUNCTION("""COMPUTED_VALUE"""),5.0)</f>
        <v>5</v>
      </c>
      <c r="S91" s="197">
        <f>IFERROR(__xludf.DUMMYFUNCTION("""COMPUTED_VALUE"""),1.0)</f>
        <v>1</v>
      </c>
      <c r="T91" s="197">
        <f>IFERROR(__xludf.DUMMYFUNCTION("""COMPUTED_VALUE"""),0.0)</f>
        <v>0</v>
      </c>
      <c r="U91" s="41">
        <f>IFERROR(__xludf.DUMMYFUNCTION("""COMPUTED_VALUE"""),6.0)</f>
        <v>6</v>
      </c>
      <c r="V91" s="197">
        <f>IFERROR(__xludf.DUMMYFUNCTION("""COMPUTED_VALUE"""),5.0)</f>
        <v>5</v>
      </c>
      <c r="W91" s="197">
        <f>IFERROR(__xludf.DUMMYFUNCTION("""COMPUTED_VALUE"""),1.0)</f>
        <v>1</v>
      </c>
      <c r="X91" s="197">
        <f>IFERROR(__xludf.DUMMYFUNCTION("""COMPUTED_VALUE"""),0.0)</f>
        <v>0</v>
      </c>
      <c r="Y91" s="41">
        <f>IFERROR(__xludf.DUMMYFUNCTION("""COMPUTED_VALUE"""),6.0)</f>
        <v>6</v>
      </c>
      <c r="Z91" s="197">
        <f>IFERROR(__xludf.DUMMYFUNCTION("""COMPUTED_VALUE"""),5.0)</f>
        <v>5</v>
      </c>
      <c r="AA91" s="197">
        <f>IFERROR(__xludf.DUMMYFUNCTION("""COMPUTED_VALUE"""),1.0)</f>
        <v>1</v>
      </c>
      <c r="AB91" s="197">
        <f>IFERROR(__xludf.DUMMYFUNCTION("""COMPUTED_VALUE"""),0.0)</f>
        <v>0</v>
      </c>
      <c r="AC91" s="41">
        <f>IFERROR(__xludf.DUMMYFUNCTION("""COMPUTED_VALUE"""),6.0)</f>
        <v>6</v>
      </c>
      <c r="AD91" s="197">
        <f>IFERROR(__xludf.DUMMYFUNCTION("""COMPUTED_VALUE"""),5.0)</f>
        <v>5</v>
      </c>
      <c r="AE91" s="197">
        <f>IFERROR(__xludf.DUMMYFUNCTION("""COMPUTED_VALUE"""),1.0)</f>
        <v>1</v>
      </c>
      <c r="AF91" s="197">
        <f>IFERROR(__xludf.DUMMYFUNCTION("""COMPUTED_VALUE"""),0.0)</f>
        <v>0</v>
      </c>
      <c r="AG91" s="41">
        <f>IFERROR(__xludf.DUMMYFUNCTION("""COMPUTED_VALUE"""),2.0)</f>
        <v>2</v>
      </c>
      <c r="AH91" s="197">
        <f>IFERROR(__xludf.DUMMYFUNCTION("""COMPUTED_VALUE"""),1.0)</f>
        <v>1</v>
      </c>
      <c r="AI91" s="197">
        <f>IFERROR(__xludf.DUMMYFUNCTION("""COMPUTED_VALUE"""),1.0)</f>
        <v>1</v>
      </c>
      <c r="AJ91" s="197">
        <f>IFERROR(__xludf.DUMMYFUNCTION("""COMPUTED_VALUE"""),0.0)</f>
        <v>0</v>
      </c>
      <c r="AK91" s="41">
        <f>IFERROR(__xludf.DUMMYFUNCTION("""COMPUTED_VALUE"""),0.0)</f>
        <v>0</v>
      </c>
      <c r="AL91" s="197">
        <f>IFERROR(__xludf.DUMMYFUNCTION("""COMPUTED_VALUE"""),0.0)</f>
        <v>0</v>
      </c>
      <c r="AM91" s="197">
        <f>IFERROR(__xludf.DUMMYFUNCTION("""COMPUTED_VALUE"""),0.0)</f>
        <v>0</v>
      </c>
      <c r="AN91" s="197">
        <f>IFERROR(__xludf.DUMMYFUNCTION("""COMPUTED_VALUE"""),0.0)</f>
        <v>0</v>
      </c>
      <c r="AO91" s="41">
        <f>IFERROR(__xludf.DUMMYFUNCTION("""COMPUTED_VALUE"""),0.0)</f>
        <v>0</v>
      </c>
      <c r="AP91" s="197">
        <f>IFERROR(__xludf.DUMMYFUNCTION("""COMPUTED_VALUE"""),0.0)</f>
        <v>0</v>
      </c>
      <c r="AQ91" s="197">
        <f>IFERROR(__xludf.DUMMYFUNCTION("""COMPUTED_VALUE"""),0.0)</f>
        <v>0</v>
      </c>
      <c r="AR91" s="197">
        <f>IFERROR(__xludf.DUMMYFUNCTION("""COMPUTED_VALUE"""),0.0)</f>
        <v>0</v>
      </c>
      <c r="AS91" s="41">
        <f>IFERROR(__xludf.DUMMYFUNCTION("""COMPUTED_VALUE"""),0.0)</f>
        <v>0</v>
      </c>
      <c r="AT91" s="197">
        <f>IFERROR(__xludf.DUMMYFUNCTION("""COMPUTED_VALUE"""),0.0)</f>
        <v>0</v>
      </c>
      <c r="AU91" s="197">
        <f>IFERROR(__xludf.DUMMYFUNCTION("""COMPUTED_VALUE"""),0.0)</f>
        <v>0</v>
      </c>
      <c r="AV91" s="197">
        <f>IFERROR(__xludf.DUMMYFUNCTION("""COMPUTED_VALUE"""),0.0)</f>
        <v>0</v>
      </c>
      <c r="AW91" s="41">
        <f>IFERROR(__xludf.DUMMYFUNCTION("""COMPUTED_VALUE"""),0.0)</f>
        <v>0</v>
      </c>
      <c r="AX91" s="197">
        <f>IFERROR(__xludf.DUMMYFUNCTION("""COMPUTED_VALUE"""),0.0)</f>
        <v>0</v>
      </c>
      <c r="AY91" s="197">
        <f>IFERROR(__xludf.DUMMYFUNCTION("""COMPUTED_VALUE"""),0.0)</f>
        <v>0</v>
      </c>
      <c r="AZ91" s="198">
        <f>IFERROR(__xludf.DUMMYFUNCTION("""COMPUTED_VALUE"""),0.0)</f>
        <v>0</v>
      </c>
      <c r="BA91" s="34"/>
    </row>
    <row r="92" ht="15.75" customHeight="1">
      <c r="A92" s="29"/>
      <c r="B92" s="67" t="str">
        <f>IFERROR(__xludf.DUMMYFUNCTION("""COMPUTED_VALUE""")," + Bán kiên cố")</f>
        <v> + Bán kiên cố</v>
      </c>
      <c r="C92" s="31"/>
      <c r="D92" s="31" t="str">
        <f>IFERROR(__xludf.DUMMYFUNCTION("""COMPUTED_VALUE"""),"""")</f>
        <v>"</v>
      </c>
      <c r="E92" s="41">
        <f>IFERROR(__xludf.DUMMYFUNCTION("""COMPUTED_VALUE"""),4.0)</f>
        <v>4</v>
      </c>
      <c r="F92" s="197">
        <f>IFERROR(__xludf.DUMMYFUNCTION("""COMPUTED_VALUE"""),4.0)</f>
        <v>4</v>
      </c>
      <c r="G92" s="197">
        <f>IFERROR(__xludf.DUMMYFUNCTION("""COMPUTED_VALUE"""),0.0)</f>
        <v>0</v>
      </c>
      <c r="H92" s="197">
        <f>IFERROR(__xludf.DUMMYFUNCTION("""COMPUTED_VALUE"""),0.0)</f>
        <v>0</v>
      </c>
      <c r="I92" s="41">
        <f>IFERROR(__xludf.DUMMYFUNCTION("""COMPUTED_VALUE"""),4.0)</f>
        <v>4</v>
      </c>
      <c r="J92" s="197">
        <f>IFERROR(__xludf.DUMMYFUNCTION("""COMPUTED_VALUE"""),4.0)</f>
        <v>4</v>
      </c>
      <c r="K92" s="197">
        <f>IFERROR(__xludf.DUMMYFUNCTION("""COMPUTED_VALUE"""),0.0)</f>
        <v>0</v>
      </c>
      <c r="L92" s="197">
        <f>IFERROR(__xludf.DUMMYFUNCTION("""COMPUTED_VALUE"""),0.0)</f>
        <v>0</v>
      </c>
      <c r="M92" s="41">
        <f>IFERROR(__xludf.DUMMYFUNCTION("""COMPUTED_VALUE"""),4.0)</f>
        <v>4</v>
      </c>
      <c r="N92" s="197">
        <f>IFERROR(__xludf.DUMMYFUNCTION("""COMPUTED_VALUE"""),4.0)</f>
        <v>4</v>
      </c>
      <c r="O92" s="197">
        <f>IFERROR(__xludf.DUMMYFUNCTION("""COMPUTED_VALUE"""),0.0)</f>
        <v>0</v>
      </c>
      <c r="P92" s="197">
        <f>IFERROR(__xludf.DUMMYFUNCTION("""COMPUTED_VALUE"""),0.0)</f>
        <v>0</v>
      </c>
      <c r="Q92" s="41">
        <f>IFERROR(__xludf.DUMMYFUNCTION("""COMPUTED_VALUE"""),4.0)</f>
        <v>4</v>
      </c>
      <c r="R92" s="197">
        <f>IFERROR(__xludf.DUMMYFUNCTION("""COMPUTED_VALUE"""),4.0)</f>
        <v>4</v>
      </c>
      <c r="S92" s="197">
        <f>IFERROR(__xludf.DUMMYFUNCTION("""COMPUTED_VALUE"""),0.0)</f>
        <v>0</v>
      </c>
      <c r="T92" s="197">
        <f>IFERROR(__xludf.DUMMYFUNCTION("""COMPUTED_VALUE"""),0.0)</f>
        <v>0</v>
      </c>
      <c r="U92" s="41">
        <f>IFERROR(__xludf.DUMMYFUNCTION("""COMPUTED_VALUE"""),4.0)</f>
        <v>4</v>
      </c>
      <c r="V92" s="197">
        <f>IFERROR(__xludf.DUMMYFUNCTION("""COMPUTED_VALUE"""),4.0)</f>
        <v>4</v>
      </c>
      <c r="W92" s="197">
        <f>IFERROR(__xludf.DUMMYFUNCTION("""COMPUTED_VALUE"""),0.0)</f>
        <v>0</v>
      </c>
      <c r="X92" s="197">
        <f>IFERROR(__xludf.DUMMYFUNCTION("""COMPUTED_VALUE"""),0.0)</f>
        <v>0</v>
      </c>
      <c r="Y92" s="41">
        <f>IFERROR(__xludf.DUMMYFUNCTION("""COMPUTED_VALUE"""),4.0)</f>
        <v>4</v>
      </c>
      <c r="Z92" s="197">
        <f>IFERROR(__xludf.DUMMYFUNCTION("""COMPUTED_VALUE"""),4.0)</f>
        <v>4</v>
      </c>
      <c r="AA92" s="197">
        <f>IFERROR(__xludf.DUMMYFUNCTION("""COMPUTED_VALUE"""),0.0)</f>
        <v>0</v>
      </c>
      <c r="AB92" s="197">
        <f>IFERROR(__xludf.DUMMYFUNCTION("""COMPUTED_VALUE"""),0.0)</f>
        <v>0</v>
      </c>
      <c r="AC92" s="41">
        <f>IFERROR(__xludf.DUMMYFUNCTION("""COMPUTED_VALUE"""),4.0)</f>
        <v>4</v>
      </c>
      <c r="AD92" s="197">
        <f>IFERROR(__xludf.DUMMYFUNCTION("""COMPUTED_VALUE"""),4.0)</f>
        <v>4</v>
      </c>
      <c r="AE92" s="197">
        <f>IFERROR(__xludf.DUMMYFUNCTION("""COMPUTED_VALUE"""),0.0)</f>
        <v>0</v>
      </c>
      <c r="AF92" s="197">
        <f>IFERROR(__xludf.DUMMYFUNCTION("""COMPUTED_VALUE"""),0.0)</f>
        <v>0</v>
      </c>
      <c r="AG92" s="41">
        <f>IFERROR(__xludf.DUMMYFUNCTION("""COMPUTED_VALUE"""),0.0)</f>
        <v>0</v>
      </c>
      <c r="AH92" s="197">
        <f>IFERROR(__xludf.DUMMYFUNCTION("""COMPUTED_VALUE"""),0.0)</f>
        <v>0</v>
      </c>
      <c r="AI92" s="197">
        <f>IFERROR(__xludf.DUMMYFUNCTION("""COMPUTED_VALUE"""),0.0)</f>
        <v>0</v>
      </c>
      <c r="AJ92" s="197">
        <f>IFERROR(__xludf.DUMMYFUNCTION("""COMPUTED_VALUE"""),0.0)</f>
        <v>0</v>
      </c>
      <c r="AK92" s="41">
        <f>IFERROR(__xludf.DUMMYFUNCTION("""COMPUTED_VALUE"""),0.0)</f>
        <v>0</v>
      </c>
      <c r="AL92" s="197">
        <f>IFERROR(__xludf.DUMMYFUNCTION("""COMPUTED_VALUE"""),0.0)</f>
        <v>0</v>
      </c>
      <c r="AM92" s="197">
        <f>IFERROR(__xludf.DUMMYFUNCTION("""COMPUTED_VALUE"""),0.0)</f>
        <v>0</v>
      </c>
      <c r="AN92" s="197">
        <f>IFERROR(__xludf.DUMMYFUNCTION("""COMPUTED_VALUE"""),0.0)</f>
        <v>0</v>
      </c>
      <c r="AO92" s="41">
        <f>IFERROR(__xludf.DUMMYFUNCTION("""COMPUTED_VALUE"""),0.0)</f>
        <v>0</v>
      </c>
      <c r="AP92" s="197">
        <f>IFERROR(__xludf.DUMMYFUNCTION("""COMPUTED_VALUE"""),0.0)</f>
        <v>0</v>
      </c>
      <c r="AQ92" s="197">
        <f>IFERROR(__xludf.DUMMYFUNCTION("""COMPUTED_VALUE"""),0.0)</f>
        <v>0</v>
      </c>
      <c r="AR92" s="197">
        <f>IFERROR(__xludf.DUMMYFUNCTION("""COMPUTED_VALUE"""),0.0)</f>
        <v>0</v>
      </c>
      <c r="AS92" s="41">
        <f>IFERROR(__xludf.DUMMYFUNCTION("""COMPUTED_VALUE"""),0.0)</f>
        <v>0</v>
      </c>
      <c r="AT92" s="197">
        <f>IFERROR(__xludf.DUMMYFUNCTION("""COMPUTED_VALUE"""),0.0)</f>
        <v>0</v>
      </c>
      <c r="AU92" s="197">
        <f>IFERROR(__xludf.DUMMYFUNCTION("""COMPUTED_VALUE"""),0.0)</f>
        <v>0</v>
      </c>
      <c r="AV92" s="197">
        <f>IFERROR(__xludf.DUMMYFUNCTION("""COMPUTED_VALUE"""),0.0)</f>
        <v>0</v>
      </c>
      <c r="AW92" s="41">
        <f>IFERROR(__xludf.DUMMYFUNCTION("""COMPUTED_VALUE"""),0.0)</f>
        <v>0</v>
      </c>
      <c r="AX92" s="197">
        <f>IFERROR(__xludf.DUMMYFUNCTION("""COMPUTED_VALUE"""),0.0)</f>
        <v>0</v>
      </c>
      <c r="AY92" s="197">
        <f>IFERROR(__xludf.DUMMYFUNCTION("""COMPUTED_VALUE"""),0.0)</f>
        <v>0</v>
      </c>
      <c r="AZ92" s="198">
        <f>IFERROR(__xludf.DUMMYFUNCTION("""COMPUTED_VALUE"""),0.0)</f>
        <v>0</v>
      </c>
      <c r="BA92" s="34"/>
    </row>
    <row r="93" ht="15.75" customHeight="1">
      <c r="A93" s="29"/>
      <c r="B93" s="67" t="str">
        <f>IFERROR(__xludf.DUMMYFUNCTION("""COMPUTED_VALUE""")," + Tạm")</f>
        <v> + Tạm</v>
      </c>
      <c r="C93" s="31"/>
      <c r="D93" s="31" t="str">
        <f>IFERROR(__xludf.DUMMYFUNCTION("""COMPUTED_VALUE"""),"""")</f>
        <v>"</v>
      </c>
      <c r="E93" s="41">
        <f>IFERROR(__xludf.DUMMYFUNCTION("""COMPUTED_VALUE"""),3.0)</f>
        <v>3</v>
      </c>
      <c r="F93" s="197">
        <f>IFERROR(__xludf.DUMMYFUNCTION("""COMPUTED_VALUE"""),3.0)</f>
        <v>3</v>
      </c>
      <c r="G93" s="197">
        <f>IFERROR(__xludf.DUMMYFUNCTION("""COMPUTED_VALUE"""),0.0)</f>
        <v>0</v>
      </c>
      <c r="H93" s="197">
        <f>IFERROR(__xludf.DUMMYFUNCTION("""COMPUTED_VALUE"""),0.0)</f>
        <v>0</v>
      </c>
      <c r="I93" s="41">
        <f>IFERROR(__xludf.DUMMYFUNCTION("""COMPUTED_VALUE"""),3.0)</f>
        <v>3</v>
      </c>
      <c r="J93" s="197">
        <f>IFERROR(__xludf.DUMMYFUNCTION("""COMPUTED_VALUE"""),3.0)</f>
        <v>3</v>
      </c>
      <c r="K93" s="197">
        <f>IFERROR(__xludf.DUMMYFUNCTION("""COMPUTED_VALUE"""),0.0)</f>
        <v>0</v>
      </c>
      <c r="L93" s="197">
        <f>IFERROR(__xludf.DUMMYFUNCTION("""COMPUTED_VALUE"""),0.0)</f>
        <v>0</v>
      </c>
      <c r="M93" s="41">
        <f>IFERROR(__xludf.DUMMYFUNCTION("""COMPUTED_VALUE"""),3.0)</f>
        <v>3</v>
      </c>
      <c r="N93" s="197">
        <f>IFERROR(__xludf.DUMMYFUNCTION("""COMPUTED_VALUE"""),3.0)</f>
        <v>3</v>
      </c>
      <c r="O93" s="197">
        <f>IFERROR(__xludf.DUMMYFUNCTION("""COMPUTED_VALUE"""),0.0)</f>
        <v>0</v>
      </c>
      <c r="P93" s="197">
        <f>IFERROR(__xludf.DUMMYFUNCTION("""COMPUTED_VALUE"""),0.0)</f>
        <v>0</v>
      </c>
      <c r="Q93" s="41">
        <f>IFERROR(__xludf.DUMMYFUNCTION("""COMPUTED_VALUE"""),3.0)</f>
        <v>3</v>
      </c>
      <c r="R93" s="197">
        <f>IFERROR(__xludf.DUMMYFUNCTION("""COMPUTED_VALUE"""),3.0)</f>
        <v>3</v>
      </c>
      <c r="S93" s="197">
        <f>IFERROR(__xludf.DUMMYFUNCTION("""COMPUTED_VALUE"""),0.0)</f>
        <v>0</v>
      </c>
      <c r="T93" s="197">
        <f>IFERROR(__xludf.DUMMYFUNCTION("""COMPUTED_VALUE"""),0.0)</f>
        <v>0</v>
      </c>
      <c r="U93" s="41">
        <f>IFERROR(__xludf.DUMMYFUNCTION("""COMPUTED_VALUE"""),3.0)</f>
        <v>3</v>
      </c>
      <c r="V93" s="197">
        <f>IFERROR(__xludf.DUMMYFUNCTION("""COMPUTED_VALUE"""),3.0)</f>
        <v>3</v>
      </c>
      <c r="W93" s="197">
        <f>IFERROR(__xludf.DUMMYFUNCTION("""COMPUTED_VALUE"""),0.0)</f>
        <v>0</v>
      </c>
      <c r="X93" s="197">
        <f>IFERROR(__xludf.DUMMYFUNCTION("""COMPUTED_VALUE"""),0.0)</f>
        <v>0</v>
      </c>
      <c r="Y93" s="41">
        <f>IFERROR(__xludf.DUMMYFUNCTION("""COMPUTED_VALUE"""),3.0)</f>
        <v>3</v>
      </c>
      <c r="Z93" s="197">
        <f>IFERROR(__xludf.DUMMYFUNCTION("""COMPUTED_VALUE"""),3.0)</f>
        <v>3</v>
      </c>
      <c r="AA93" s="197">
        <f>IFERROR(__xludf.DUMMYFUNCTION("""COMPUTED_VALUE"""),0.0)</f>
        <v>0</v>
      </c>
      <c r="AB93" s="197">
        <f>IFERROR(__xludf.DUMMYFUNCTION("""COMPUTED_VALUE"""),0.0)</f>
        <v>0</v>
      </c>
      <c r="AC93" s="41">
        <f>IFERROR(__xludf.DUMMYFUNCTION("""COMPUTED_VALUE"""),3.0)</f>
        <v>3</v>
      </c>
      <c r="AD93" s="197">
        <f>IFERROR(__xludf.DUMMYFUNCTION("""COMPUTED_VALUE"""),3.0)</f>
        <v>3</v>
      </c>
      <c r="AE93" s="197">
        <f>IFERROR(__xludf.DUMMYFUNCTION("""COMPUTED_VALUE"""),0.0)</f>
        <v>0</v>
      </c>
      <c r="AF93" s="197">
        <f>IFERROR(__xludf.DUMMYFUNCTION("""COMPUTED_VALUE"""),0.0)</f>
        <v>0</v>
      </c>
      <c r="AG93" s="41">
        <f>IFERROR(__xludf.DUMMYFUNCTION("""COMPUTED_VALUE"""),0.0)</f>
        <v>0</v>
      </c>
      <c r="AH93" s="197">
        <f>IFERROR(__xludf.DUMMYFUNCTION("""COMPUTED_VALUE"""),0.0)</f>
        <v>0</v>
      </c>
      <c r="AI93" s="197">
        <f>IFERROR(__xludf.DUMMYFUNCTION("""COMPUTED_VALUE"""),0.0)</f>
        <v>0</v>
      </c>
      <c r="AJ93" s="197">
        <f>IFERROR(__xludf.DUMMYFUNCTION("""COMPUTED_VALUE"""),0.0)</f>
        <v>0</v>
      </c>
      <c r="AK93" s="41">
        <f>IFERROR(__xludf.DUMMYFUNCTION("""COMPUTED_VALUE"""),0.0)</f>
        <v>0</v>
      </c>
      <c r="AL93" s="197">
        <f>IFERROR(__xludf.DUMMYFUNCTION("""COMPUTED_VALUE"""),0.0)</f>
        <v>0</v>
      </c>
      <c r="AM93" s="197">
        <f>IFERROR(__xludf.DUMMYFUNCTION("""COMPUTED_VALUE"""),0.0)</f>
        <v>0</v>
      </c>
      <c r="AN93" s="197">
        <f>IFERROR(__xludf.DUMMYFUNCTION("""COMPUTED_VALUE"""),0.0)</f>
        <v>0</v>
      </c>
      <c r="AO93" s="41">
        <f>IFERROR(__xludf.DUMMYFUNCTION("""COMPUTED_VALUE"""),0.0)</f>
        <v>0</v>
      </c>
      <c r="AP93" s="197">
        <f>IFERROR(__xludf.DUMMYFUNCTION("""COMPUTED_VALUE"""),0.0)</f>
        <v>0</v>
      </c>
      <c r="AQ93" s="197">
        <f>IFERROR(__xludf.DUMMYFUNCTION("""COMPUTED_VALUE"""),0.0)</f>
        <v>0</v>
      </c>
      <c r="AR93" s="197">
        <f>IFERROR(__xludf.DUMMYFUNCTION("""COMPUTED_VALUE"""),0.0)</f>
        <v>0</v>
      </c>
      <c r="AS93" s="41">
        <f>IFERROR(__xludf.DUMMYFUNCTION("""COMPUTED_VALUE"""),0.0)</f>
        <v>0</v>
      </c>
      <c r="AT93" s="197">
        <f>IFERROR(__xludf.DUMMYFUNCTION("""COMPUTED_VALUE"""),0.0)</f>
        <v>0</v>
      </c>
      <c r="AU93" s="197">
        <f>IFERROR(__xludf.DUMMYFUNCTION("""COMPUTED_VALUE"""),0.0)</f>
        <v>0</v>
      </c>
      <c r="AV93" s="197">
        <f>IFERROR(__xludf.DUMMYFUNCTION("""COMPUTED_VALUE"""),0.0)</f>
        <v>0</v>
      </c>
      <c r="AW93" s="41">
        <f>IFERROR(__xludf.DUMMYFUNCTION("""COMPUTED_VALUE"""),0.0)</f>
        <v>0</v>
      </c>
      <c r="AX93" s="197">
        <f>IFERROR(__xludf.DUMMYFUNCTION("""COMPUTED_VALUE"""),0.0)</f>
        <v>0</v>
      </c>
      <c r="AY93" s="197">
        <f>IFERROR(__xludf.DUMMYFUNCTION("""COMPUTED_VALUE"""),0.0)</f>
        <v>0</v>
      </c>
      <c r="AZ93" s="198">
        <f>IFERROR(__xludf.DUMMYFUNCTION("""COMPUTED_VALUE"""),0.0)</f>
        <v>0</v>
      </c>
      <c r="BA93" s="34"/>
    </row>
    <row r="94" ht="15.75" customHeight="1">
      <c r="A94" s="29"/>
      <c r="B94" s="196" t="str">
        <f>IFERROR(__xludf.DUMMYFUNCTION("""COMPUTED_VALUE"""),"7.3. Tổng số phòng y tế")</f>
        <v>7.3. Tổng số phòng y tế</v>
      </c>
      <c r="C94" s="57"/>
      <c r="D94" s="57" t="str">
        <f>IFERROR(__xludf.DUMMYFUNCTION("""COMPUTED_VALUE"""),"Phòng")</f>
        <v>Phòng</v>
      </c>
      <c r="E94" s="125">
        <f>IFERROR(__xludf.DUMMYFUNCTION("""COMPUTED_VALUE"""),14.0)</f>
        <v>14</v>
      </c>
      <c r="F94" s="125">
        <f>IFERROR(__xludf.DUMMYFUNCTION("""COMPUTED_VALUE"""),12.0)</f>
        <v>12</v>
      </c>
      <c r="G94" s="125">
        <f>IFERROR(__xludf.DUMMYFUNCTION("""COMPUTED_VALUE"""),1.0)</f>
        <v>1</v>
      </c>
      <c r="H94" s="125">
        <f>IFERROR(__xludf.DUMMYFUNCTION("""COMPUTED_VALUE"""),1.0)</f>
        <v>1</v>
      </c>
      <c r="I94" s="125">
        <f>IFERROR(__xludf.DUMMYFUNCTION("""COMPUTED_VALUE"""),14.0)</f>
        <v>14</v>
      </c>
      <c r="J94" s="125">
        <f>IFERROR(__xludf.DUMMYFUNCTION("""COMPUTED_VALUE"""),12.0)</f>
        <v>12</v>
      </c>
      <c r="K94" s="125">
        <f>IFERROR(__xludf.DUMMYFUNCTION("""COMPUTED_VALUE"""),1.0)</f>
        <v>1</v>
      </c>
      <c r="L94" s="125">
        <f>IFERROR(__xludf.DUMMYFUNCTION("""COMPUTED_VALUE"""),1.0)</f>
        <v>1</v>
      </c>
      <c r="M94" s="125">
        <f>IFERROR(__xludf.DUMMYFUNCTION("""COMPUTED_VALUE"""),14.0)</f>
        <v>14</v>
      </c>
      <c r="N94" s="125">
        <f>IFERROR(__xludf.DUMMYFUNCTION("""COMPUTED_VALUE"""),12.0)</f>
        <v>12</v>
      </c>
      <c r="O94" s="125">
        <f>IFERROR(__xludf.DUMMYFUNCTION("""COMPUTED_VALUE"""),1.0)</f>
        <v>1</v>
      </c>
      <c r="P94" s="125">
        <f>IFERROR(__xludf.DUMMYFUNCTION("""COMPUTED_VALUE"""),1.0)</f>
        <v>1</v>
      </c>
      <c r="Q94" s="125">
        <f>IFERROR(__xludf.DUMMYFUNCTION("""COMPUTED_VALUE"""),14.0)</f>
        <v>14</v>
      </c>
      <c r="R94" s="125">
        <f>IFERROR(__xludf.DUMMYFUNCTION("""COMPUTED_VALUE"""),12.0)</f>
        <v>12</v>
      </c>
      <c r="S94" s="125">
        <f>IFERROR(__xludf.DUMMYFUNCTION("""COMPUTED_VALUE"""),1.0)</f>
        <v>1</v>
      </c>
      <c r="T94" s="125">
        <f>IFERROR(__xludf.DUMMYFUNCTION("""COMPUTED_VALUE"""),1.0)</f>
        <v>1</v>
      </c>
      <c r="U94" s="125">
        <f>IFERROR(__xludf.DUMMYFUNCTION("""COMPUTED_VALUE"""),14.0)</f>
        <v>14</v>
      </c>
      <c r="V94" s="125">
        <f>IFERROR(__xludf.DUMMYFUNCTION("""COMPUTED_VALUE"""),12.0)</f>
        <v>12</v>
      </c>
      <c r="W94" s="125">
        <f>IFERROR(__xludf.DUMMYFUNCTION("""COMPUTED_VALUE"""),1.0)</f>
        <v>1</v>
      </c>
      <c r="X94" s="125">
        <f>IFERROR(__xludf.DUMMYFUNCTION("""COMPUTED_VALUE"""),1.0)</f>
        <v>1</v>
      </c>
      <c r="Y94" s="125">
        <f>IFERROR(__xludf.DUMMYFUNCTION("""COMPUTED_VALUE"""),13.0)</f>
        <v>13</v>
      </c>
      <c r="Z94" s="125">
        <f>IFERROR(__xludf.DUMMYFUNCTION("""COMPUTED_VALUE"""),11.0)</f>
        <v>11</v>
      </c>
      <c r="AA94" s="125">
        <f>IFERROR(__xludf.DUMMYFUNCTION("""COMPUTED_VALUE"""),1.0)</f>
        <v>1</v>
      </c>
      <c r="AB94" s="125">
        <f>IFERROR(__xludf.DUMMYFUNCTION("""COMPUTED_VALUE"""),1.0)</f>
        <v>1</v>
      </c>
      <c r="AC94" s="125">
        <f>IFERROR(__xludf.DUMMYFUNCTION("""COMPUTED_VALUE"""),13.0)</f>
        <v>13</v>
      </c>
      <c r="AD94" s="125">
        <f>IFERROR(__xludf.DUMMYFUNCTION("""COMPUTED_VALUE"""),11.0)</f>
        <v>11</v>
      </c>
      <c r="AE94" s="125">
        <f>IFERROR(__xludf.DUMMYFUNCTION("""COMPUTED_VALUE"""),1.0)</f>
        <v>1</v>
      </c>
      <c r="AF94" s="125">
        <f>IFERROR(__xludf.DUMMYFUNCTION("""COMPUTED_VALUE"""),1.0)</f>
        <v>1</v>
      </c>
      <c r="AG94" s="125">
        <f>IFERROR(__xludf.DUMMYFUNCTION("""COMPUTED_VALUE"""),2.0)</f>
        <v>2</v>
      </c>
      <c r="AH94" s="125">
        <f>IFERROR(__xludf.DUMMYFUNCTION("""COMPUTED_VALUE"""),1.0)</f>
        <v>1</v>
      </c>
      <c r="AI94" s="125">
        <f>IFERROR(__xludf.DUMMYFUNCTION("""COMPUTED_VALUE"""),1.0)</f>
        <v>1</v>
      </c>
      <c r="AJ94" s="125">
        <f>IFERROR(__xludf.DUMMYFUNCTION("""COMPUTED_VALUE"""),0.0)</f>
        <v>0</v>
      </c>
      <c r="AK94" s="125">
        <f>IFERROR(__xludf.DUMMYFUNCTION("""COMPUTED_VALUE"""),0.0)</f>
        <v>0</v>
      </c>
      <c r="AL94" s="125">
        <f>IFERROR(__xludf.DUMMYFUNCTION("""COMPUTED_VALUE"""),0.0)</f>
        <v>0</v>
      </c>
      <c r="AM94" s="125">
        <f>IFERROR(__xludf.DUMMYFUNCTION("""COMPUTED_VALUE"""),0.0)</f>
        <v>0</v>
      </c>
      <c r="AN94" s="125">
        <f>IFERROR(__xludf.DUMMYFUNCTION("""COMPUTED_VALUE"""),0.0)</f>
        <v>0</v>
      </c>
      <c r="AO94" s="125">
        <f>IFERROR(__xludf.DUMMYFUNCTION("""COMPUTED_VALUE"""),0.0)</f>
        <v>0</v>
      </c>
      <c r="AP94" s="125">
        <f>IFERROR(__xludf.DUMMYFUNCTION("""COMPUTED_VALUE"""),0.0)</f>
        <v>0</v>
      </c>
      <c r="AQ94" s="125">
        <f>IFERROR(__xludf.DUMMYFUNCTION("""COMPUTED_VALUE"""),0.0)</f>
        <v>0</v>
      </c>
      <c r="AR94" s="125">
        <f>IFERROR(__xludf.DUMMYFUNCTION("""COMPUTED_VALUE"""),0.0)</f>
        <v>0</v>
      </c>
      <c r="AS94" s="125">
        <f>IFERROR(__xludf.DUMMYFUNCTION("""COMPUTED_VALUE"""),0.0)</f>
        <v>0</v>
      </c>
      <c r="AT94" s="125">
        <f>IFERROR(__xludf.DUMMYFUNCTION("""COMPUTED_VALUE"""),0.0)</f>
        <v>0</v>
      </c>
      <c r="AU94" s="125">
        <f>IFERROR(__xludf.DUMMYFUNCTION("""COMPUTED_VALUE"""),0.0)</f>
        <v>0</v>
      </c>
      <c r="AV94" s="125">
        <f>IFERROR(__xludf.DUMMYFUNCTION("""COMPUTED_VALUE"""),0.0)</f>
        <v>0</v>
      </c>
      <c r="AW94" s="125">
        <f>IFERROR(__xludf.DUMMYFUNCTION("""COMPUTED_VALUE"""),0.0)</f>
        <v>0</v>
      </c>
      <c r="AX94" s="125">
        <f>IFERROR(__xludf.DUMMYFUNCTION("""COMPUTED_VALUE"""),0.0)</f>
        <v>0</v>
      </c>
      <c r="AY94" s="125">
        <f>IFERROR(__xludf.DUMMYFUNCTION("""COMPUTED_VALUE"""),0.0)</f>
        <v>0</v>
      </c>
      <c r="AZ94" s="127">
        <f>IFERROR(__xludf.DUMMYFUNCTION("""COMPUTED_VALUE"""),0.0)</f>
        <v>0</v>
      </c>
      <c r="BA94" s="34"/>
    </row>
    <row r="95" ht="15.75" customHeight="1">
      <c r="A95" s="29"/>
      <c r="B95" s="48" t="str">
        <f>IFERROR(__xludf.DUMMYFUNCTION("""COMPUTED_VALUE"""),"Chia ra:")</f>
        <v>Chia ra:</v>
      </c>
      <c r="C95" s="49"/>
      <c r="D95" s="3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50"/>
      <c r="BA95" s="34"/>
    </row>
    <row r="96" ht="15.75" customHeight="1">
      <c r="A96" s="29"/>
      <c r="B96" s="67" t="str">
        <f>IFERROR(__xludf.DUMMYFUNCTION("""COMPUTED_VALUE""")," + Kiên cố")</f>
        <v> + Kiên cố</v>
      </c>
      <c r="C96" s="31"/>
      <c r="D96" s="31" t="str">
        <f>IFERROR(__xludf.DUMMYFUNCTION("""COMPUTED_VALUE"""),"""")</f>
        <v>"</v>
      </c>
      <c r="E96" s="41">
        <f>IFERROR(__xludf.DUMMYFUNCTION("""COMPUTED_VALUE"""),9.0)</f>
        <v>9</v>
      </c>
      <c r="F96" s="197">
        <f>IFERROR(__xludf.DUMMYFUNCTION("""COMPUTED_VALUE"""),7.0)</f>
        <v>7</v>
      </c>
      <c r="G96" s="197">
        <f>IFERROR(__xludf.DUMMYFUNCTION("""COMPUTED_VALUE"""),1.0)</f>
        <v>1</v>
      </c>
      <c r="H96" s="197">
        <f>IFERROR(__xludf.DUMMYFUNCTION("""COMPUTED_VALUE"""),1.0)</f>
        <v>1</v>
      </c>
      <c r="I96" s="41">
        <f>IFERROR(__xludf.DUMMYFUNCTION("""COMPUTED_VALUE"""),9.0)</f>
        <v>9</v>
      </c>
      <c r="J96" s="197">
        <f>IFERROR(__xludf.DUMMYFUNCTION("""COMPUTED_VALUE"""),7.0)</f>
        <v>7</v>
      </c>
      <c r="K96" s="197">
        <f>IFERROR(__xludf.DUMMYFUNCTION("""COMPUTED_VALUE"""),1.0)</f>
        <v>1</v>
      </c>
      <c r="L96" s="197">
        <f>IFERROR(__xludf.DUMMYFUNCTION("""COMPUTED_VALUE"""),1.0)</f>
        <v>1</v>
      </c>
      <c r="M96" s="41">
        <f>IFERROR(__xludf.DUMMYFUNCTION("""COMPUTED_VALUE"""),9.0)</f>
        <v>9</v>
      </c>
      <c r="N96" s="197">
        <f>IFERROR(__xludf.DUMMYFUNCTION("""COMPUTED_VALUE"""),7.0)</f>
        <v>7</v>
      </c>
      <c r="O96" s="197">
        <f>IFERROR(__xludf.DUMMYFUNCTION("""COMPUTED_VALUE"""),1.0)</f>
        <v>1</v>
      </c>
      <c r="P96" s="197">
        <f>IFERROR(__xludf.DUMMYFUNCTION("""COMPUTED_VALUE"""),1.0)</f>
        <v>1</v>
      </c>
      <c r="Q96" s="41">
        <f>IFERROR(__xludf.DUMMYFUNCTION("""COMPUTED_VALUE"""),9.0)</f>
        <v>9</v>
      </c>
      <c r="R96" s="197">
        <f>IFERROR(__xludf.DUMMYFUNCTION("""COMPUTED_VALUE"""),7.0)</f>
        <v>7</v>
      </c>
      <c r="S96" s="197">
        <f>IFERROR(__xludf.DUMMYFUNCTION("""COMPUTED_VALUE"""),1.0)</f>
        <v>1</v>
      </c>
      <c r="T96" s="197">
        <f>IFERROR(__xludf.DUMMYFUNCTION("""COMPUTED_VALUE"""),1.0)</f>
        <v>1</v>
      </c>
      <c r="U96" s="41">
        <f>IFERROR(__xludf.DUMMYFUNCTION("""COMPUTED_VALUE"""),9.0)</f>
        <v>9</v>
      </c>
      <c r="V96" s="197">
        <f>IFERROR(__xludf.DUMMYFUNCTION("""COMPUTED_VALUE"""),7.0)</f>
        <v>7</v>
      </c>
      <c r="W96" s="197">
        <f>IFERROR(__xludf.DUMMYFUNCTION("""COMPUTED_VALUE"""),1.0)</f>
        <v>1</v>
      </c>
      <c r="X96" s="197">
        <f>IFERROR(__xludf.DUMMYFUNCTION("""COMPUTED_VALUE"""),1.0)</f>
        <v>1</v>
      </c>
      <c r="Y96" s="41">
        <f>IFERROR(__xludf.DUMMYFUNCTION("""COMPUTED_VALUE"""),8.0)</f>
        <v>8</v>
      </c>
      <c r="Z96" s="197">
        <f>IFERROR(__xludf.DUMMYFUNCTION("""COMPUTED_VALUE"""),6.0)</f>
        <v>6</v>
      </c>
      <c r="AA96" s="197">
        <f>IFERROR(__xludf.DUMMYFUNCTION("""COMPUTED_VALUE"""),1.0)</f>
        <v>1</v>
      </c>
      <c r="AB96" s="197">
        <f>IFERROR(__xludf.DUMMYFUNCTION("""COMPUTED_VALUE"""),1.0)</f>
        <v>1</v>
      </c>
      <c r="AC96" s="41">
        <f>IFERROR(__xludf.DUMMYFUNCTION("""COMPUTED_VALUE"""),8.0)</f>
        <v>8</v>
      </c>
      <c r="AD96" s="197">
        <f>IFERROR(__xludf.DUMMYFUNCTION("""COMPUTED_VALUE"""),6.0)</f>
        <v>6</v>
      </c>
      <c r="AE96" s="197">
        <f>IFERROR(__xludf.DUMMYFUNCTION("""COMPUTED_VALUE"""),1.0)</f>
        <v>1</v>
      </c>
      <c r="AF96" s="197">
        <f>IFERROR(__xludf.DUMMYFUNCTION("""COMPUTED_VALUE"""),1.0)</f>
        <v>1</v>
      </c>
      <c r="AG96" s="41">
        <f>IFERROR(__xludf.DUMMYFUNCTION("""COMPUTED_VALUE"""),2.0)</f>
        <v>2</v>
      </c>
      <c r="AH96" s="197">
        <f>IFERROR(__xludf.DUMMYFUNCTION("""COMPUTED_VALUE"""),1.0)</f>
        <v>1</v>
      </c>
      <c r="AI96" s="197">
        <f>IFERROR(__xludf.DUMMYFUNCTION("""COMPUTED_VALUE"""),1.0)</f>
        <v>1</v>
      </c>
      <c r="AJ96" s="197">
        <f>IFERROR(__xludf.DUMMYFUNCTION("""COMPUTED_VALUE"""),0.0)</f>
        <v>0</v>
      </c>
      <c r="AK96" s="41">
        <f>IFERROR(__xludf.DUMMYFUNCTION("""COMPUTED_VALUE"""),0.0)</f>
        <v>0</v>
      </c>
      <c r="AL96" s="197">
        <f>IFERROR(__xludf.DUMMYFUNCTION("""COMPUTED_VALUE"""),0.0)</f>
        <v>0</v>
      </c>
      <c r="AM96" s="197">
        <f>IFERROR(__xludf.DUMMYFUNCTION("""COMPUTED_VALUE"""),0.0)</f>
        <v>0</v>
      </c>
      <c r="AN96" s="197">
        <f>IFERROR(__xludf.DUMMYFUNCTION("""COMPUTED_VALUE"""),0.0)</f>
        <v>0</v>
      </c>
      <c r="AO96" s="41">
        <f>IFERROR(__xludf.DUMMYFUNCTION("""COMPUTED_VALUE"""),0.0)</f>
        <v>0</v>
      </c>
      <c r="AP96" s="197">
        <f>IFERROR(__xludf.DUMMYFUNCTION("""COMPUTED_VALUE"""),0.0)</f>
        <v>0</v>
      </c>
      <c r="AQ96" s="197">
        <f>IFERROR(__xludf.DUMMYFUNCTION("""COMPUTED_VALUE"""),0.0)</f>
        <v>0</v>
      </c>
      <c r="AR96" s="197">
        <f>IFERROR(__xludf.DUMMYFUNCTION("""COMPUTED_VALUE"""),0.0)</f>
        <v>0</v>
      </c>
      <c r="AS96" s="41">
        <f>IFERROR(__xludf.DUMMYFUNCTION("""COMPUTED_VALUE"""),0.0)</f>
        <v>0</v>
      </c>
      <c r="AT96" s="197">
        <f>IFERROR(__xludf.DUMMYFUNCTION("""COMPUTED_VALUE"""),0.0)</f>
        <v>0</v>
      </c>
      <c r="AU96" s="197">
        <f>IFERROR(__xludf.DUMMYFUNCTION("""COMPUTED_VALUE"""),0.0)</f>
        <v>0</v>
      </c>
      <c r="AV96" s="197">
        <f>IFERROR(__xludf.DUMMYFUNCTION("""COMPUTED_VALUE"""),0.0)</f>
        <v>0</v>
      </c>
      <c r="AW96" s="41">
        <f>IFERROR(__xludf.DUMMYFUNCTION("""COMPUTED_VALUE"""),0.0)</f>
        <v>0</v>
      </c>
      <c r="AX96" s="197">
        <f>IFERROR(__xludf.DUMMYFUNCTION("""COMPUTED_VALUE"""),0.0)</f>
        <v>0</v>
      </c>
      <c r="AY96" s="197">
        <f>IFERROR(__xludf.DUMMYFUNCTION("""COMPUTED_VALUE"""),0.0)</f>
        <v>0</v>
      </c>
      <c r="AZ96" s="198">
        <f>IFERROR(__xludf.DUMMYFUNCTION("""COMPUTED_VALUE"""),0.0)</f>
        <v>0</v>
      </c>
      <c r="BA96" s="34"/>
    </row>
    <row r="97" ht="15.75" customHeight="1">
      <c r="A97" s="29"/>
      <c r="B97" s="67" t="str">
        <f>IFERROR(__xludf.DUMMYFUNCTION("""COMPUTED_VALUE""")," + Bán kiên cố")</f>
        <v> + Bán kiên cố</v>
      </c>
      <c r="C97" s="31"/>
      <c r="D97" s="31" t="str">
        <f>IFERROR(__xludf.DUMMYFUNCTION("""COMPUTED_VALUE"""),"""")</f>
        <v>"</v>
      </c>
      <c r="E97" s="41">
        <f>IFERROR(__xludf.DUMMYFUNCTION("""COMPUTED_VALUE"""),4.0)</f>
        <v>4</v>
      </c>
      <c r="F97" s="197">
        <f>IFERROR(__xludf.DUMMYFUNCTION("""COMPUTED_VALUE"""),4.0)</f>
        <v>4</v>
      </c>
      <c r="G97" s="197">
        <f>IFERROR(__xludf.DUMMYFUNCTION("""COMPUTED_VALUE"""),0.0)</f>
        <v>0</v>
      </c>
      <c r="H97" s="197">
        <f>IFERROR(__xludf.DUMMYFUNCTION("""COMPUTED_VALUE"""),0.0)</f>
        <v>0</v>
      </c>
      <c r="I97" s="41">
        <f>IFERROR(__xludf.DUMMYFUNCTION("""COMPUTED_VALUE"""),5.0)</f>
        <v>5</v>
      </c>
      <c r="J97" s="197">
        <f>IFERROR(__xludf.DUMMYFUNCTION("""COMPUTED_VALUE"""),5.0)</f>
        <v>5</v>
      </c>
      <c r="K97" s="197">
        <f>IFERROR(__xludf.DUMMYFUNCTION("""COMPUTED_VALUE"""),0.0)</f>
        <v>0</v>
      </c>
      <c r="L97" s="197">
        <f>IFERROR(__xludf.DUMMYFUNCTION("""COMPUTED_VALUE"""),0.0)</f>
        <v>0</v>
      </c>
      <c r="M97" s="41">
        <f>IFERROR(__xludf.DUMMYFUNCTION("""COMPUTED_VALUE"""),5.0)</f>
        <v>5</v>
      </c>
      <c r="N97" s="197">
        <f>IFERROR(__xludf.DUMMYFUNCTION("""COMPUTED_VALUE"""),5.0)</f>
        <v>5</v>
      </c>
      <c r="O97" s="197">
        <f>IFERROR(__xludf.DUMMYFUNCTION("""COMPUTED_VALUE"""),0.0)</f>
        <v>0</v>
      </c>
      <c r="P97" s="197">
        <f>IFERROR(__xludf.DUMMYFUNCTION("""COMPUTED_VALUE"""),0.0)</f>
        <v>0</v>
      </c>
      <c r="Q97" s="41">
        <f>IFERROR(__xludf.DUMMYFUNCTION("""COMPUTED_VALUE"""),5.0)</f>
        <v>5</v>
      </c>
      <c r="R97" s="197">
        <f>IFERROR(__xludf.DUMMYFUNCTION("""COMPUTED_VALUE"""),5.0)</f>
        <v>5</v>
      </c>
      <c r="S97" s="197">
        <f>IFERROR(__xludf.DUMMYFUNCTION("""COMPUTED_VALUE"""),0.0)</f>
        <v>0</v>
      </c>
      <c r="T97" s="197">
        <f>IFERROR(__xludf.DUMMYFUNCTION("""COMPUTED_VALUE"""),0.0)</f>
        <v>0</v>
      </c>
      <c r="U97" s="41">
        <f>IFERROR(__xludf.DUMMYFUNCTION("""COMPUTED_VALUE"""),4.0)</f>
        <v>4</v>
      </c>
      <c r="V97" s="197">
        <f>IFERROR(__xludf.DUMMYFUNCTION("""COMPUTED_VALUE"""),4.0)</f>
        <v>4</v>
      </c>
      <c r="W97" s="197">
        <f>IFERROR(__xludf.DUMMYFUNCTION("""COMPUTED_VALUE"""),0.0)</f>
        <v>0</v>
      </c>
      <c r="X97" s="197">
        <f>IFERROR(__xludf.DUMMYFUNCTION("""COMPUTED_VALUE"""),0.0)</f>
        <v>0</v>
      </c>
      <c r="Y97" s="41">
        <f>IFERROR(__xludf.DUMMYFUNCTION("""COMPUTED_VALUE"""),4.0)</f>
        <v>4</v>
      </c>
      <c r="Z97" s="197">
        <f>IFERROR(__xludf.DUMMYFUNCTION("""COMPUTED_VALUE"""),4.0)</f>
        <v>4</v>
      </c>
      <c r="AA97" s="197">
        <f>IFERROR(__xludf.DUMMYFUNCTION("""COMPUTED_VALUE"""),0.0)</f>
        <v>0</v>
      </c>
      <c r="AB97" s="197">
        <f>IFERROR(__xludf.DUMMYFUNCTION("""COMPUTED_VALUE"""),0.0)</f>
        <v>0</v>
      </c>
      <c r="AC97" s="41">
        <f>IFERROR(__xludf.DUMMYFUNCTION("""COMPUTED_VALUE"""),4.0)</f>
        <v>4</v>
      </c>
      <c r="AD97" s="197">
        <f>IFERROR(__xludf.DUMMYFUNCTION("""COMPUTED_VALUE"""),4.0)</f>
        <v>4</v>
      </c>
      <c r="AE97" s="197">
        <f>IFERROR(__xludf.DUMMYFUNCTION("""COMPUTED_VALUE"""),0.0)</f>
        <v>0</v>
      </c>
      <c r="AF97" s="197">
        <f>IFERROR(__xludf.DUMMYFUNCTION("""COMPUTED_VALUE"""),0.0)</f>
        <v>0</v>
      </c>
      <c r="AG97" s="41">
        <f>IFERROR(__xludf.DUMMYFUNCTION("""COMPUTED_VALUE"""),0.0)</f>
        <v>0</v>
      </c>
      <c r="AH97" s="197">
        <f>IFERROR(__xludf.DUMMYFUNCTION("""COMPUTED_VALUE"""),0.0)</f>
        <v>0</v>
      </c>
      <c r="AI97" s="197">
        <f>IFERROR(__xludf.DUMMYFUNCTION("""COMPUTED_VALUE"""),0.0)</f>
        <v>0</v>
      </c>
      <c r="AJ97" s="197">
        <f>IFERROR(__xludf.DUMMYFUNCTION("""COMPUTED_VALUE"""),0.0)</f>
        <v>0</v>
      </c>
      <c r="AK97" s="41">
        <f>IFERROR(__xludf.DUMMYFUNCTION("""COMPUTED_VALUE"""),0.0)</f>
        <v>0</v>
      </c>
      <c r="AL97" s="197">
        <f>IFERROR(__xludf.DUMMYFUNCTION("""COMPUTED_VALUE"""),0.0)</f>
        <v>0</v>
      </c>
      <c r="AM97" s="197">
        <f>IFERROR(__xludf.DUMMYFUNCTION("""COMPUTED_VALUE"""),0.0)</f>
        <v>0</v>
      </c>
      <c r="AN97" s="197">
        <f>IFERROR(__xludf.DUMMYFUNCTION("""COMPUTED_VALUE"""),0.0)</f>
        <v>0</v>
      </c>
      <c r="AO97" s="41">
        <f>IFERROR(__xludf.DUMMYFUNCTION("""COMPUTED_VALUE"""),0.0)</f>
        <v>0</v>
      </c>
      <c r="AP97" s="197">
        <f>IFERROR(__xludf.DUMMYFUNCTION("""COMPUTED_VALUE"""),0.0)</f>
        <v>0</v>
      </c>
      <c r="AQ97" s="197">
        <f>IFERROR(__xludf.DUMMYFUNCTION("""COMPUTED_VALUE"""),0.0)</f>
        <v>0</v>
      </c>
      <c r="AR97" s="197">
        <f>IFERROR(__xludf.DUMMYFUNCTION("""COMPUTED_VALUE"""),0.0)</f>
        <v>0</v>
      </c>
      <c r="AS97" s="41">
        <f>IFERROR(__xludf.DUMMYFUNCTION("""COMPUTED_VALUE"""),0.0)</f>
        <v>0</v>
      </c>
      <c r="AT97" s="197">
        <f>IFERROR(__xludf.DUMMYFUNCTION("""COMPUTED_VALUE"""),0.0)</f>
        <v>0</v>
      </c>
      <c r="AU97" s="197">
        <f>IFERROR(__xludf.DUMMYFUNCTION("""COMPUTED_VALUE"""),0.0)</f>
        <v>0</v>
      </c>
      <c r="AV97" s="197">
        <f>IFERROR(__xludf.DUMMYFUNCTION("""COMPUTED_VALUE"""),0.0)</f>
        <v>0</v>
      </c>
      <c r="AW97" s="41">
        <f>IFERROR(__xludf.DUMMYFUNCTION("""COMPUTED_VALUE"""),0.0)</f>
        <v>0</v>
      </c>
      <c r="AX97" s="197">
        <f>IFERROR(__xludf.DUMMYFUNCTION("""COMPUTED_VALUE"""),0.0)</f>
        <v>0</v>
      </c>
      <c r="AY97" s="197">
        <f>IFERROR(__xludf.DUMMYFUNCTION("""COMPUTED_VALUE"""),0.0)</f>
        <v>0</v>
      </c>
      <c r="AZ97" s="198">
        <f>IFERROR(__xludf.DUMMYFUNCTION("""COMPUTED_VALUE"""),0.0)</f>
        <v>0</v>
      </c>
      <c r="BA97" s="34"/>
    </row>
    <row r="98" ht="15.75" customHeight="1">
      <c r="A98" s="29"/>
      <c r="B98" s="67" t="str">
        <f>IFERROR(__xludf.DUMMYFUNCTION("""COMPUTED_VALUE""")," + Tạm")</f>
        <v> + Tạm</v>
      </c>
      <c r="C98" s="31"/>
      <c r="D98" s="31" t="str">
        <f>IFERROR(__xludf.DUMMYFUNCTION("""COMPUTED_VALUE"""),"""")</f>
        <v>"</v>
      </c>
      <c r="E98" s="41">
        <f>IFERROR(__xludf.DUMMYFUNCTION("""COMPUTED_VALUE"""),1.0)</f>
        <v>1</v>
      </c>
      <c r="F98" s="197">
        <f>IFERROR(__xludf.DUMMYFUNCTION("""COMPUTED_VALUE"""),1.0)</f>
        <v>1</v>
      </c>
      <c r="G98" s="197">
        <f>IFERROR(__xludf.DUMMYFUNCTION("""COMPUTED_VALUE"""),0.0)</f>
        <v>0</v>
      </c>
      <c r="H98" s="197">
        <f>IFERROR(__xludf.DUMMYFUNCTION("""COMPUTED_VALUE"""),0.0)</f>
        <v>0</v>
      </c>
      <c r="I98" s="41">
        <f>IFERROR(__xludf.DUMMYFUNCTION("""COMPUTED_VALUE"""),0.0)</f>
        <v>0</v>
      </c>
      <c r="J98" s="197">
        <f>IFERROR(__xludf.DUMMYFUNCTION("""COMPUTED_VALUE"""),0.0)</f>
        <v>0</v>
      </c>
      <c r="K98" s="197">
        <f>IFERROR(__xludf.DUMMYFUNCTION("""COMPUTED_VALUE"""),0.0)</f>
        <v>0</v>
      </c>
      <c r="L98" s="197">
        <f>IFERROR(__xludf.DUMMYFUNCTION("""COMPUTED_VALUE"""),0.0)</f>
        <v>0</v>
      </c>
      <c r="M98" s="41">
        <f>IFERROR(__xludf.DUMMYFUNCTION("""COMPUTED_VALUE"""),0.0)</f>
        <v>0</v>
      </c>
      <c r="N98" s="197">
        <f>IFERROR(__xludf.DUMMYFUNCTION("""COMPUTED_VALUE"""),0.0)</f>
        <v>0</v>
      </c>
      <c r="O98" s="197">
        <f>IFERROR(__xludf.DUMMYFUNCTION("""COMPUTED_VALUE"""),0.0)</f>
        <v>0</v>
      </c>
      <c r="P98" s="197">
        <f>IFERROR(__xludf.DUMMYFUNCTION("""COMPUTED_VALUE"""),0.0)</f>
        <v>0</v>
      </c>
      <c r="Q98" s="41">
        <f>IFERROR(__xludf.DUMMYFUNCTION("""COMPUTED_VALUE"""),0.0)</f>
        <v>0</v>
      </c>
      <c r="R98" s="197">
        <f>IFERROR(__xludf.DUMMYFUNCTION("""COMPUTED_VALUE"""),0.0)</f>
        <v>0</v>
      </c>
      <c r="S98" s="197">
        <f>IFERROR(__xludf.DUMMYFUNCTION("""COMPUTED_VALUE"""),0.0)</f>
        <v>0</v>
      </c>
      <c r="T98" s="197">
        <f>IFERROR(__xludf.DUMMYFUNCTION("""COMPUTED_VALUE"""),0.0)</f>
        <v>0</v>
      </c>
      <c r="U98" s="41">
        <f>IFERROR(__xludf.DUMMYFUNCTION("""COMPUTED_VALUE"""),1.0)</f>
        <v>1</v>
      </c>
      <c r="V98" s="197">
        <f>IFERROR(__xludf.DUMMYFUNCTION("""COMPUTED_VALUE"""),1.0)</f>
        <v>1</v>
      </c>
      <c r="W98" s="197">
        <f>IFERROR(__xludf.DUMMYFUNCTION("""COMPUTED_VALUE"""),0.0)</f>
        <v>0</v>
      </c>
      <c r="X98" s="197">
        <f>IFERROR(__xludf.DUMMYFUNCTION("""COMPUTED_VALUE"""),0.0)</f>
        <v>0</v>
      </c>
      <c r="Y98" s="41">
        <f>IFERROR(__xludf.DUMMYFUNCTION("""COMPUTED_VALUE"""),1.0)</f>
        <v>1</v>
      </c>
      <c r="Z98" s="197">
        <f>IFERROR(__xludf.DUMMYFUNCTION("""COMPUTED_VALUE"""),1.0)</f>
        <v>1</v>
      </c>
      <c r="AA98" s="197">
        <f>IFERROR(__xludf.DUMMYFUNCTION("""COMPUTED_VALUE"""),0.0)</f>
        <v>0</v>
      </c>
      <c r="AB98" s="197">
        <f>IFERROR(__xludf.DUMMYFUNCTION("""COMPUTED_VALUE"""),0.0)</f>
        <v>0</v>
      </c>
      <c r="AC98" s="41">
        <f>IFERROR(__xludf.DUMMYFUNCTION("""COMPUTED_VALUE"""),1.0)</f>
        <v>1</v>
      </c>
      <c r="AD98" s="197">
        <f>IFERROR(__xludf.DUMMYFUNCTION("""COMPUTED_VALUE"""),1.0)</f>
        <v>1</v>
      </c>
      <c r="AE98" s="197">
        <f>IFERROR(__xludf.DUMMYFUNCTION("""COMPUTED_VALUE"""),0.0)</f>
        <v>0</v>
      </c>
      <c r="AF98" s="197">
        <f>IFERROR(__xludf.DUMMYFUNCTION("""COMPUTED_VALUE"""),0.0)</f>
        <v>0</v>
      </c>
      <c r="AG98" s="41">
        <f>IFERROR(__xludf.DUMMYFUNCTION("""COMPUTED_VALUE"""),0.0)</f>
        <v>0</v>
      </c>
      <c r="AH98" s="197">
        <f>IFERROR(__xludf.DUMMYFUNCTION("""COMPUTED_VALUE"""),0.0)</f>
        <v>0</v>
      </c>
      <c r="AI98" s="197">
        <f>IFERROR(__xludf.DUMMYFUNCTION("""COMPUTED_VALUE"""),0.0)</f>
        <v>0</v>
      </c>
      <c r="AJ98" s="197">
        <f>IFERROR(__xludf.DUMMYFUNCTION("""COMPUTED_VALUE"""),0.0)</f>
        <v>0</v>
      </c>
      <c r="AK98" s="41">
        <f>IFERROR(__xludf.DUMMYFUNCTION("""COMPUTED_VALUE"""),0.0)</f>
        <v>0</v>
      </c>
      <c r="AL98" s="197">
        <f>IFERROR(__xludf.DUMMYFUNCTION("""COMPUTED_VALUE"""),0.0)</f>
        <v>0</v>
      </c>
      <c r="AM98" s="197">
        <f>IFERROR(__xludf.DUMMYFUNCTION("""COMPUTED_VALUE"""),0.0)</f>
        <v>0</v>
      </c>
      <c r="AN98" s="197">
        <f>IFERROR(__xludf.DUMMYFUNCTION("""COMPUTED_VALUE"""),0.0)</f>
        <v>0</v>
      </c>
      <c r="AO98" s="41">
        <f>IFERROR(__xludf.DUMMYFUNCTION("""COMPUTED_VALUE"""),0.0)</f>
        <v>0</v>
      </c>
      <c r="AP98" s="197">
        <f>IFERROR(__xludf.DUMMYFUNCTION("""COMPUTED_VALUE"""),0.0)</f>
        <v>0</v>
      </c>
      <c r="AQ98" s="197">
        <f>IFERROR(__xludf.DUMMYFUNCTION("""COMPUTED_VALUE"""),0.0)</f>
        <v>0</v>
      </c>
      <c r="AR98" s="197">
        <f>IFERROR(__xludf.DUMMYFUNCTION("""COMPUTED_VALUE"""),0.0)</f>
        <v>0</v>
      </c>
      <c r="AS98" s="41">
        <f>IFERROR(__xludf.DUMMYFUNCTION("""COMPUTED_VALUE"""),0.0)</f>
        <v>0</v>
      </c>
      <c r="AT98" s="197">
        <f>IFERROR(__xludf.DUMMYFUNCTION("""COMPUTED_VALUE"""),0.0)</f>
        <v>0</v>
      </c>
      <c r="AU98" s="197">
        <f>IFERROR(__xludf.DUMMYFUNCTION("""COMPUTED_VALUE"""),0.0)</f>
        <v>0</v>
      </c>
      <c r="AV98" s="197">
        <f>IFERROR(__xludf.DUMMYFUNCTION("""COMPUTED_VALUE"""),0.0)</f>
        <v>0</v>
      </c>
      <c r="AW98" s="41">
        <f>IFERROR(__xludf.DUMMYFUNCTION("""COMPUTED_VALUE"""),0.0)</f>
        <v>0</v>
      </c>
      <c r="AX98" s="197">
        <f>IFERROR(__xludf.DUMMYFUNCTION("""COMPUTED_VALUE"""),0.0)</f>
        <v>0</v>
      </c>
      <c r="AY98" s="197">
        <f>IFERROR(__xludf.DUMMYFUNCTION("""COMPUTED_VALUE"""),0.0)</f>
        <v>0</v>
      </c>
      <c r="AZ98" s="198">
        <f>IFERROR(__xludf.DUMMYFUNCTION("""COMPUTED_VALUE"""),0.0)</f>
        <v>0</v>
      </c>
      <c r="BA98" s="34"/>
    </row>
    <row r="99" ht="15.75" customHeight="1">
      <c r="A99" s="29"/>
      <c r="B99" s="196" t="str">
        <f>IFERROR(__xludf.DUMMYFUNCTION("""COMPUTED_VALUE"""),"7.4. Tổng số nhà đa năng")</f>
        <v>7.4. Tổng số nhà đa năng</v>
      </c>
      <c r="C99" s="57"/>
      <c r="D99" s="57" t="str">
        <f>IFERROR(__xludf.DUMMYFUNCTION("""COMPUTED_VALUE"""),"Phòng")</f>
        <v>Phòng</v>
      </c>
      <c r="E99" s="125">
        <f>IFERROR(__xludf.DUMMYFUNCTION("""COMPUTED_VALUE"""),1.0)</f>
        <v>1</v>
      </c>
      <c r="F99" s="125">
        <f>IFERROR(__xludf.DUMMYFUNCTION("""COMPUTED_VALUE"""),1.0)</f>
        <v>1</v>
      </c>
      <c r="G99" s="125">
        <f>IFERROR(__xludf.DUMMYFUNCTION("""COMPUTED_VALUE"""),0.0)</f>
        <v>0</v>
      </c>
      <c r="H99" s="125">
        <f>IFERROR(__xludf.DUMMYFUNCTION("""COMPUTED_VALUE"""),0.0)</f>
        <v>0</v>
      </c>
      <c r="I99" s="125">
        <f>IFERROR(__xludf.DUMMYFUNCTION("""COMPUTED_VALUE"""),1.0)</f>
        <v>1</v>
      </c>
      <c r="J99" s="125">
        <f>IFERROR(__xludf.DUMMYFUNCTION("""COMPUTED_VALUE"""),1.0)</f>
        <v>1</v>
      </c>
      <c r="K99" s="125">
        <f>IFERROR(__xludf.DUMMYFUNCTION("""COMPUTED_VALUE"""),0.0)</f>
        <v>0</v>
      </c>
      <c r="L99" s="125">
        <f>IFERROR(__xludf.DUMMYFUNCTION("""COMPUTED_VALUE"""),0.0)</f>
        <v>0</v>
      </c>
      <c r="M99" s="125">
        <f>IFERROR(__xludf.DUMMYFUNCTION("""COMPUTED_VALUE"""),1.0)</f>
        <v>1</v>
      </c>
      <c r="N99" s="125">
        <f>IFERROR(__xludf.DUMMYFUNCTION("""COMPUTED_VALUE"""),1.0)</f>
        <v>1</v>
      </c>
      <c r="O99" s="125">
        <f>IFERROR(__xludf.DUMMYFUNCTION("""COMPUTED_VALUE"""),0.0)</f>
        <v>0</v>
      </c>
      <c r="P99" s="125">
        <f>IFERROR(__xludf.DUMMYFUNCTION("""COMPUTED_VALUE"""),0.0)</f>
        <v>0</v>
      </c>
      <c r="Q99" s="125">
        <f>IFERROR(__xludf.DUMMYFUNCTION("""COMPUTED_VALUE"""),1.0)</f>
        <v>1</v>
      </c>
      <c r="R99" s="125">
        <f>IFERROR(__xludf.DUMMYFUNCTION("""COMPUTED_VALUE"""),1.0)</f>
        <v>1</v>
      </c>
      <c r="S99" s="125">
        <f>IFERROR(__xludf.DUMMYFUNCTION("""COMPUTED_VALUE"""),0.0)</f>
        <v>0</v>
      </c>
      <c r="T99" s="125">
        <f>IFERROR(__xludf.DUMMYFUNCTION("""COMPUTED_VALUE"""),0.0)</f>
        <v>0</v>
      </c>
      <c r="U99" s="125">
        <f>IFERROR(__xludf.DUMMYFUNCTION("""COMPUTED_VALUE"""),1.0)</f>
        <v>1</v>
      </c>
      <c r="V99" s="125">
        <f>IFERROR(__xludf.DUMMYFUNCTION("""COMPUTED_VALUE"""),1.0)</f>
        <v>1</v>
      </c>
      <c r="W99" s="125">
        <f>IFERROR(__xludf.DUMMYFUNCTION("""COMPUTED_VALUE"""),0.0)</f>
        <v>0</v>
      </c>
      <c r="X99" s="125">
        <f>IFERROR(__xludf.DUMMYFUNCTION("""COMPUTED_VALUE"""),0.0)</f>
        <v>0</v>
      </c>
      <c r="Y99" s="125">
        <f>IFERROR(__xludf.DUMMYFUNCTION("""COMPUTED_VALUE"""),1.0)</f>
        <v>1</v>
      </c>
      <c r="Z99" s="125">
        <f>IFERROR(__xludf.DUMMYFUNCTION("""COMPUTED_VALUE"""),1.0)</f>
        <v>1</v>
      </c>
      <c r="AA99" s="125">
        <f>IFERROR(__xludf.DUMMYFUNCTION("""COMPUTED_VALUE"""),0.0)</f>
        <v>0</v>
      </c>
      <c r="AB99" s="125">
        <f>IFERROR(__xludf.DUMMYFUNCTION("""COMPUTED_VALUE"""),0.0)</f>
        <v>0</v>
      </c>
      <c r="AC99" s="125">
        <f>IFERROR(__xludf.DUMMYFUNCTION("""COMPUTED_VALUE"""),1.0)</f>
        <v>1</v>
      </c>
      <c r="AD99" s="125">
        <f>IFERROR(__xludf.DUMMYFUNCTION("""COMPUTED_VALUE"""),1.0)</f>
        <v>1</v>
      </c>
      <c r="AE99" s="125">
        <f>IFERROR(__xludf.DUMMYFUNCTION("""COMPUTED_VALUE"""),0.0)</f>
        <v>0</v>
      </c>
      <c r="AF99" s="125">
        <f>IFERROR(__xludf.DUMMYFUNCTION("""COMPUTED_VALUE"""),0.0)</f>
        <v>0</v>
      </c>
      <c r="AG99" s="125">
        <f>IFERROR(__xludf.DUMMYFUNCTION("""COMPUTED_VALUE"""),0.0)</f>
        <v>0</v>
      </c>
      <c r="AH99" s="125">
        <f>IFERROR(__xludf.DUMMYFUNCTION("""COMPUTED_VALUE"""),0.0)</f>
        <v>0</v>
      </c>
      <c r="AI99" s="125">
        <f>IFERROR(__xludf.DUMMYFUNCTION("""COMPUTED_VALUE"""),0.0)</f>
        <v>0</v>
      </c>
      <c r="AJ99" s="125">
        <f>IFERROR(__xludf.DUMMYFUNCTION("""COMPUTED_VALUE"""),0.0)</f>
        <v>0</v>
      </c>
      <c r="AK99" s="125">
        <f>IFERROR(__xludf.DUMMYFUNCTION("""COMPUTED_VALUE"""),0.0)</f>
        <v>0</v>
      </c>
      <c r="AL99" s="125">
        <f>IFERROR(__xludf.DUMMYFUNCTION("""COMPUTED_VALUE"""),0.0)</f>
        <v>0</v>
      </c>
      <c r="AM99" s="125">
        <f>IFERROR(__xludf.DUMMYFUNCTION("""COMPUTED_VALUE"""),0.0)</f>
        <v>0</v>
      </c>
      <c r="AN99" s="125">
        <f>IFERROR(__xludf.DUMMYFUNCTION("""COMPUTED_VALUE"""),0.0)</f>
        <v>0</v>
      </c>
      <c r="AO99" s="125">
        <f>IFERROR(__xludf.DUMMYFUNCTION("""COMPUTED_VALUE"""),0.0)</f>
        <v>0</v>
      </c>
      <c r="AP99" s="125">
        <f>IFERROR(__xludf.DUMMYFUNCTION("""COMPUTED_VALUE"""),0.0)</f>
        <v>0</v>
      </c>
      <c r="AQ99" s="125">
        <f>IFERROR(__xludf.DUMMYFUNCTION("""COMPUTED_VALUE"""),0.0)</f>
        <v>0</v>
      </c>
      <c r="AR99" s="125">
        <f>IFERROR(__xludf.DUMMYFUNCTION("""COMPUTED_VALUE"""),0.0)</f>
        <v>0</v>
      </c>
      <c r="AS99" s="125">
        <f>IFERROR(__xludf.DUMMYFUNCTION("""COMPUTED_VALUE"""),0.0)</f>
        <v>0</v>
      </c>
      <c r="AT99" s="125">
        <f>IFERROR(__xludf.DUMMYFUNCTION("""COMPUTED_VALUE"""),0.0)</f>
        <v>0</v>
      </c>
      <c r="AU99" s="125">
        <f>IFERROR(__xludf.DUMMYFUNCTION("""COMPUTED_VALUE"""),0.0)</f>
        <v>0</v>
      </c>
      <c r="AV99" s="125">
        <f>IFERROR(__xludf.DUMMYFUNCTION("""COMPUTED_VALUE"""),0.0)</f>
        <v>0</v>
      </c>
      <c r="AW99" s="125">
        <f>IFERROR(__xludf.DUMMYFUNCTION("""COMPUTED_VALUE"""),0.0)</f>
        <v>0</v>
      </c>
      <c r="AX99" s="125">
        <f>IFERROR(__xludf.DUMMYFUNCTION("""COMPUTED_VALUE"""),0.0)</f>
        <v>0</v>
      </c>
      <c r="AY99" s="125">
        <f>IFERROR(__xludf.DUMMYFUNCTION("""COMPUTED_VALUE"""),0.0)</f>
        <v>0</v>
      </c>
      <c r="AZ99" s="127">
        <f>IFERROR(__xludf.DUMMYFUNCTION("""COMPUTED_VALUE"""),0.0)</f>
        <v>0</v>
      </c>
      <c r="BA99" s="34"/>
    </row>
    <row r="100" ht="15.75" customHeight="1">
      <c r="A100" s="29"/>
      <c r="B100" s="48" t="str">
        <f>IFERROR(__xludf.DUMMYFUNCTION("""COMPUTED_VALUE"""),"Chia ra:")</f>
        <v>Chia ra:</v>
      </c>
      <c r="C100" s="49"/>
      <c r="D100" s="3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50"/>
      <c r="BA100" s="34"/>
    </row>
    <row r="101" ht="15.75" customHeight="1">
      <c r="A101" s="29"/>
      <c r="B101" s="67" t="str">
        <f>IFERROR(__xludf.DUMMYFUNCTION("""COMPUTED_VALUE""")," + Kiên cố")</f>
        <v> + Kiên cố</v>
      </c>
      <c r="C101" s="31"/>
      <c r="D101" s="31" t="str">
        <f>IFERROR(__xludf.DUMMYFUNCTION("""COMPUTED_VALUE"""),"""")</f>
        <v>"</v>
      </c>
      <c r="E101" s="41">
        <f>IFERROR(__xludf.DUMMYFUNCTION("""COMPUTED_VALUE"""),1.0)</f>
        <v>1</v>
      </c>
      <c r="F101" s="197">
        <f>IFERROR(__xludf.DUMMYFUNCTION("""COMPUTED_VALUE"""),1.0)</f>
        <v>1</v>
      </c>
      <c r="G101" s="197">
        <f>IFERROR(__xludf.DUMMYFUNCTION("""COMPUTED_VALUE"""),0.0)</f>
        <v>0</v>
      </c>
      <c r="H101" s="197">
        <f>IFERROR(__xludf.DUMMYFUNCTION("""COMPUTED_VALUE"""),0.0)</f>
        <v>0</v>
      </c>
      <c r="I101" s="41">
        <f>IFERROR(__xludf.DUMMYFUNCTION("""COMPUTED_VALUE"""),1.0)</f>
        <v>1</v>
      </c>
      <c r="J101" s="197">
        <f>IFERROR(__xludf.DUMMYFUNCTION("""COMPUTED_VALUE"""),1.0)</f>
        <v>1</v>
      </c>
      <c r="K101" s="197">
        <f>IFERROR(__xludf.DUMMYFUNCTION("""COMPUTED_VALUE"""),0.0)</f>
        <v>0</v>
      </c>
      <c r="L101" s="197">
        <f>IFERROR(__xludf.DUMMYFUNCTION("""COMPUTED_VALUE"""),0.0)</f>
        <v>0</v>
      </c>
      <c r="M101" s="41">
        <f>IFERROR(__xludf.DUMMYFUNCTION("""COMPUTED_VALUE"""),1.0)</f>
        <v>1</v>
      </c>
      <c r="N101" s="197">
        <f>IFERROR(__xludf.DUMMYFUNCTION("""COMPUTED_VALUE"""),1.0)</f>
        <v>1</v>
      </c>
      <c r="O101" s="197">
        <f>IFERROR(__xludf.DUMMYFUNCTION("""COMPUTED_VALUE"""),0.0)</f>
        <v>0</v>
      </c>
      <c r="P101" s="197">
        <f>IFERROR(__xludf.DUMMYFUNCTION("""COMPUTED_VALUE"""),0.0)</f>
        <v>0</v>
      </c>
      <c r="Q101" s="41">
        <f>IFERROR(__xludf.DUMMYFUNCTION("""COMPUTED_VALUE"""),1.0)</f>
        <v>1</v>
      </c>
      <c r="R101" s="197">
        <f>IFERROR(__xludf.DUMMYFUNCTION("""COMPUTED_VALUE"""),1.0)</f>
        <v>1</v>
      </c>
      <c r="S101" s="197">
        <f>IFERROR(__xludf.DUMMYFUNCTION("""COMPUTED_VALUE"""),0.0)</f>
        <v>0</v>
      </c>
      <c r="T101" s="197">
        <f>IFERROR(__xludf.DUMMYFUNCTION("""COMPUTED_VALUE"""),0.0)</f>
        <v>0</v>
      </c>
      <c r="U101" s="41">
        <f>IFERROR(__xludf.DUMMYFUNCTION("""COMPUTED_VALUE"""),1.0)</f>
        <v>1</v>
      </c>
      <c r="V101" s="197">
        <f>IFERROR(__xludf.DUMMYFUNCTION("""COMPUTED_VALUE"""),1.0)</f>
        <v>1</v>
      </c>
      <c r="W101" s="197">
        <f>IFERROR(__xludf.DUMMYFUNCTION("""COMPUTED_VALUE"""),0.0)</f>
        <v>0</v>
      </c>
      <c r="X101" s="197">
        <f>IFERROR(__xludf.DUMMYFUNCTION("""COMPUTED_VALUE"""),0.0)</f>
        <v>0</v>
      </c>
      <c r="Y101" s="41">
        <f>IFERROR(__xludf.DUMMYFUNCTION("""COMPUTED_VALUE"""),1.0)</f>
        <v>1</v>
      </c>
      <c r="Z101" s="197">
        <f>IFERROR(__xludf.DUMMYFUNCTION("""COMPUTED_VALUE"""),1.0)</f>
        <v>1</v>
      </c>
      <c r="AA101" s="197">
        <f>IFERROR(__xludf.DUMMYFUNCTION("""COMPUTED_VALUE"""),0.0)</f>
        <v>0</v>
      </c>
      <c r="AB101" s="197">
        <f>IFERROR(__xludf.DUMMYFUNCTION("""COMPUTED_VALUE"""),0.0)</f>
        <v>0</v>
      </c>
      <c r="AC101" s="41">
        <f>IFERROR(__xludf.DUMMYFUNCTION("""COMPUTED_VALUE"""),1.0)</f>
        <v>1</v>
      </c>
      <c r="AD101" s="197">
        <f>IFERROR(__xludf.DUMMYFUNCTION("""COMPUTED_VALUE"""),1.0)</f>
        <v>1</v>
      </c>
      <c r="AE101" s="197">
        <f>IFERROR(__xludf.DUMMYFUNCTION("""COMPUTED_VALUE"""),0.0)</f>
        <v>0</v>
      </c>
      <c r="AF101" s="197">
        <f>IFERROR(__xludf.DUMMYFUNCTION("""COMPUTED_VALUE"""),0.0)</f>
        <v>0</v>
      </c>
      <c r="AG101" s="41">
        <f>IFERROR(__xludf.DUMMYFUNCTION("""COMPUTED_VALUE"""),0.0)</f>
        <v>0</v>
      </c>
      <c r="AH101" s="197">
        <f>IFERROR(__xludf.DUMMYFUNCTION("""COMPUTED_VALUE"""),0.0)</f>
        <v>0</v>
      </c>
      <c r="AI101" s="197">
        <f>IFERROR(__xludf.DUMMYFUNCTION("""COMPUTED_VALUE"""),0.0)</f>
        <v>0</v>
      </c>
      <c r="AJ101" s="197">
        <f>IFERROR(__xludf.DUMMYFUNCTION("""COMPUTED_VALUE"""),0.0)</f>
        <v>0</v>
      </c>
      <c r="AK101" s="41">
        <f>IFERROR(__xludf.DUMMYFUNCTION("""COMPUTED_VALUE"""),0.0)</f>
        <v>0</v>
      </c>
      <c r="AL101" s="197">
        <f>IFERROR(__xludf.DUMMYFUNCTION("""COMPUTED_VALUE"""),0.0)</f>
        <v>0</v>
      </c>
      <c r="AM101" s="197">
        <f>IFERROR(__xludf.DUMMYFUNCTION("""COMPUTED_VALUE"""),0.0)</f>
        <v>0</v>
      </c>
      <c r="AN101" s="197">
        <f>IFERROR(__xludf.DUMMYFUNCTION("""COMPUTED_VALUE"""),0.0)</f>
        <v>0</v>
      </c>
      <c r="AO101" s="41">
        <f>IFERROR(__xludf.DUMMYFUNCTION("""COMPUTED_VALUE"""),0.0)</f>
        <v>0</v>
      </c>
      <c r="AP101" s="197">
        <f>IFERROR(__xludf.DUMMYFUNCTION("""COMPUTED_VALUE"""),0.0)</f>
        <v>0</v>
      </c>
      <c r="AQ101" s="197">
        <f>IFERROR(__xludf.DUMMYFUNCTION("""COMPUTED_VALUE"""),0.0)</f>
        <v>0</v>
      </c>
      <c r="AR101" s="197">
        <f>IFERROR(__xludf.DUMMYFUNCTION("""COMPUTED_VALUE"""),0.0)</f>
        <v>0</v>
      </c>
      <c r="AS101" s="41">
        <f>IFERROR(__xludf.DUMMYFUNCTION("""COMPUTED_VALUE"""),0.0)</f>
        <v>0</v>
      </c>
      <c r="AT101" s="197">
        <f>IFERROR(__xludf.DUMMYFUNCTION("""COMPUTED_VALUE"""),0.0)</f>
        <v>0</v>
      </c>
      <c r="AU101" s="197">
        <f>IFERROR(__xludf.DUMMYFUNCTION("""COMPUTED_VALUE"""),0.0)</f>
        <v>0</v>
      </c>
      <c r="AV101" s="197">
        <f>IFERROR(__xludf.DUMMYFUNCTION("""COMPUTED_VALUE"""),0.0)</f>
        <v>0</v>
      </c>
      <c r="AW101" s="41">
        <f>IFERROR(__xludf.DUMMYFUNCTION("""COMPUTED_VALUE"""),0.0)</f>
        <v>0</v>
      </c>
      <c r="AX101" s="197">
        <f>IFERROR(__xludf.DUMMYFUNCTION("""COMPUTED_VALUE"""),0.0)</f>
        <v>0</v>
      </c>
      <c r="AY101" s="197">
        <f>IFERROR(__xludf.DUMMYFUNCTION("""COMPUTED_VALUE"""),0.0)</f>
        <v>0</v>
      </c>
      <c r="AZ101" s="198">
        <f>IFERROR(__xludf.DUMMYFUNCTION("""COMPUTED_VALUE"""),0.0)</f>
        <v>0</v>
      </c>
      <c r="BA101" s="34"/>
    </row>
    <row r="102" ht="15.75" customHeight="1">
      <c r="A102" s="29"/>
      <c r="B102" s="67" t="str">
        <f>IFERROR(__xludf.DUMMYFUNCTION("""COMPUTED_VALUE""")," + Bán kiên cố")</f>
        <v> + Bán kiên cố</v>
      </c>
      <c r="C102" s="31"/>
      <c r="D102" s="31" t="str">
        <f>IFERROR(__xludf.DUMMYFUNCTION("""COMPUTED_VALUE"""),"""")</f>
        <v>"</v>
      </c>
      <c r="E102" s="41">
        <f>IFERROR(__xludf.DUMMYFUNCTION("""COMPUTED_VALUE"""),0.0)</f>
        <v>0</v>
      </c>
      <c r="F102" s="197">
        <f>IFERROR(__xludf.DUMMYFUNCTION("""COMPUTED_VALUE"""),0.0)</f>
        <v>0</v>
      </c>
      <c r="G102" s="197">
        <f>IFERROR(__xludf.DUMMYFUNCTION("""COMPUTED_VALUE"""),0.0)</f>
        <v>0</v>
      </c>
      <c r="H102" s="197">
        <f>IFERROR(__xludf.DUMMYFUNCTION("""COMPUTED_VALUE"""),0.0)</f>
        <v>0</v>
      </c>
      <c r="I102" s="41">
        <f>IFERROR(__xludf.DUMMYFUNCTION("""COMPUTED_VALUE"""),0.0)</f>
        <v>0</v>
      </c>
      <c r="J102" s="197">
        <f>IFERROR(__xludf.DUMMYFUNCTION("""COMPUTED_VALUE"""),0.0)</f>
        <v>0</v>
      </c>
      <c r="K102" s="197">
        <f>IFERROR(__xludf.DUMMYFUNCTION("""COMPUTED_VALUE"""),0.0)</f>
        <v>0</v>
      </c>
      <c r="L102" s="197">
        <f>IFERROR(__xludf.DUMMYFUNCTION("""COMPUTED_VALUE"""),0.0)</f>
        <v>0</v>
      </c>
      <c r="M102" s="41">
        <f>IFERROR(__xludf.DUMMYFUNCTION("""COMPUTED_VALUE"""),0.0)</f>
        <v>0</v>
      </c>
      <c r="N102" s="197">
        <f>IFERROR(__xludf.DUMMYFUNCTION("""COMPUTED_VALUE"""),0.0)</f>
        <v>0</v>
      </c>
      <c r="O102" s="197">
        <f>IFERROR(__xludf.DUMMYFUNCTION("""COMPUTED_VALUE"""),0.0)</f>
        <v>0</v>
      </c>
      <c r="P102" s="197">
        <f>IFERROR(__xludf.DUMMYFUNCTION("""COMPUTED_VALUE"""),0.0)</f>
        <v>0</v>
      </c>
      <c r="Q102" s="41">
        <f>IFERROR(__xludf.DUMMYFUNCTION("""COMPUTED_VALUE"""),0.0)</f>
        <v>0</v>
      </c>
      <c r="R102" s="197">
        <f>IFERROR(__xludf.DUMMYFUNCTION("""COMPUTED_VALUE"""),0.0)</f>
        <v>0</v>
      </c>
      <c r="S102" s="197">
        <f>IFERROR(__xludf.DUMMYFUNCTION("""COMPUTED_VALUE"""),0.0)</f>
        <v>0</v>
      </c>
      <c r="T102" s="197">
        <f>IFERROR(__xludf.DUMMYFUNCTION("""COMPUTED_VALUE"""),0.0)</f>
        <v>0</v>
      </c>
      <c r="U102" s="41">
        <f>IFERROR(__xludf.DUMMYFUNCTION("""COMPUTED_VALUE"""),0.0)</f>
        <v>0</v>
      </c>
      <c r="V102" s="197">
        <f>IFERROR(__xludf.DUMMYFUNCTION("""COMPUTED_VALUE"""),0.0)</f>
        <v>0</v>
      </c>
      <c r="W102" s="197">
        <f>IFERROR(__xludf.DUMMYFUNCTION("""COMPUTED_VALUE"""),0.0)</f>
        <v>0</v>
      </c>
      <c r="X102" s="197">
        <f>IFERROR(__xludf.DUMMYFUNCTION("""COMPUTED_VALUE"""),0.0)</f>
        <v>0</v>
      </c>
      <c r="Y102" s="41">
        <f>IFERROR(__xludf.DUMMYFUNCTION("""COMPUTED_VALUE"""),0.0)</f>
        <v>0</v>
      </c>
      <c r="Z102" s="197">
        <f>IFERROR(__xludf.DUMMYFUNCTION("""COMPUTED_VALUE"""),0.0)</f>
        <v>0</v>
      </c>
      <c r="AA102" s="197">
        <f>IFERROR(__xludf.DUMMYFUNCTION("""COMPUTED_VALUE"""),0.0)</f>
        <v>0</v>
      </c>
      <c r="AB102" s="197">
        <f>IFERROR(__xludf.DUMMYFUNCTION("""COMPUTED_VALUE"""),0.0)</f>
        <v>0</v>
      </c>
      <c r="AC102" s="41">
        <f>IFERROR(__xludf.DUMMYFUNCTION("""COMPUTED_VALUE"""),0.0)</f>
        <v>0</v>
      </c>
      <c r="AD102" s="197">
        <f>IFERROR(__xludf.DUMMYFUNCTION("""COMPUTED_VALUE"""),0.0)</f>
        <v>0</v>
      </c>
      <c r="AE102" s="197">
        <f>IFERROR(__xludf.DUMMYFUNCTION("""COMPUTED_VALUE"""),0.0)</f>
        <v>0</v>
      </c>
      <c r="AF102" s="197">
        <f>IFERROR(__xludf.DUMMYFUNCTION("""COMPUTED_VALUE"""),0.0)</f>
        <v>0</v>
      </c>
      <c r="AG102" s="41">
        <f>IFERROR(__xludf.DUMMYFUNCTION("""COMPUTED_VALUE"""),0.0)</f>
        <v>0</v>
      </c>
      <c r="AH102" s="197">
        <f>IFERROR(__xludf.DUMMYFUNCTION("""COMPUTED_VALUE"""),0.0)</f>
        <v>0</v>
      </c>
      <c r="AI102" s="197">
        <f>IFERROR(__xludf.DUMMYFUNCTION("""COMPUTED_VALUE"""),0.0)</f>
        <v>0</v>
      </c>
      <c r="AJ102" s="197">
        <f>IFERROR(__xludf.DUMMYFUNCTION("""COMPUTED_VALUE"""),0.0)</f>
        <v>0</v>
      </c>
      <c r="AK102" s="41">
        <f>IFERROR(__xludf.DUMMYFUNCTION("""COMPUTED_VALUE"""),0.0)</f>
        <v>0</v>
      </c>
      <c r="AL102" s="197">
        <f>IFERROR(__xludf.DUMMYFUNCTION("""COMPUTED_VALUE"""),0.0)</f>
        <v>0</v>
      </c>
      <c r="AM102" s="197">
        <f>IFERROR(__xludf.DUMMYFUNCTION("""COMPUTED_VALUE"""),0.0)</f>
        <v>0</v>
      </c>
      <c r="AN102" s="197">
        <f>IFERROR(__xludf.DUMMYFUNCTION("""COMPUTED_VALUE"""),0.0)</f>
        <v>0</v>
      </c>
      <c r="AO102" s="41">
        <f>IFERROR(__xludf.DUMMYFUNCTION("""COMPUTED_VALUE"""),0.0)</f>
        <v>0</v>
      </c>
      <c r="AP102" s="197">
        <f>IFERROR(__xludf.DUMMYFUNCTION("""COMPUTED_VALUE"""),0.0)</f>
        <v>0</v>
      </c>
      <c r="AQ102" s="197">
        <f>IFERROR(__xludf.DUMMYFUNCTION("""COMPUTED_VALUE"""),0.0)</f>
        <v>0</v>
      </c>
      <c r="AR102" s="197">
        <f>IFERROR(__xludf.DUMMYFUNCTION("""COMPUTED_VALUE"""),0.0)</f>
        <v>0</v>
      </c>
      <c r="AS102" s="41">
        <f>IFERROR(__xludf.DUMMYFUNCTION("""COMPUTED_VALUE"""),0.0)</f>
        <v>0</v>
      </c>
      <c r="AT102" s="197">
        <f>IFERROR(__xludf.DUMMYFUNCTION("""COMPUTED_VALUE"""),0.0)</f>
        <v>0</v>
      </c>
      <c r="AU102" s="197">
        <f>IFERROR(__xludf.DUMMYFUNCTION("""COMPUTED_VALUE"""),0.0)</f>
        <v>0</v>
      </c>
      <c r="AV102" s="197">
        <f>IFERROR(__xludf.DUMMYFUNCTION("""COMPUTED_VALUE"""),0.0)</f>
        <v>0</v>
      </c>
      <c r="AW102" s="41">
        <f>IFERROR(__xludf.DUMMYFUNCTION("""COMPUTED_VALUE"""),0.0)</f>
        <v>0</v>
      </c>
      <c r="AX102" s="197">
        <f>IFERROR(__xludf.DUMMYFUNCTION("""COMPUTED_VALUE"""),0.0)</f>
        <v>0</v>
      </c>
      <c r="AY102" s="197">
        <f>IFERROR(__xludf.DUMMYFUNCTION("""COMPUTED_VALUE"""),0.0)</f>
        <v>0</v>
      </c>
      <c r="AZ102" s="198">
        <f>IFERROR(__xludf.DUMMYFUNCTION("""COMPUTED_VALUE"""),0.0)</f>
        <v>0</v>
      </c>
      <c r="BA102" s="34"/>
    </row>
    <row r="103" ht="15.75" customHeight="1">
      <c r="A103" s="29"/>
      <c r="B103" s="67" t="str">
        <f>IFERROR(__xludf.DUMMYFUNCTION("""COMPUTED_VALUE""")," + Tạm")</f>
        <v> + Tạm</v>
      </c>
      <c r="C103" s="31"/>
      <c r="D103" s="31" t="str">
        <f>IFERROR(__xludf.DUMMYFUNCTION("""COMPUTED_VALUE"""),"""")</f>
        <v>"</v>
      </c>
      <c r="E103" s="41">
        <f>IFERROR(__xludf.DUMMYFUNCTION("""COMPUTED_VALUE"""),0.0)</f>
        <v>0</v>
      </c>
      <c r="F103" s="197">
        <f>IFERROR(__xludf.DUMMYFUNCTION("""COMPUTED_VALUE"""),0.0)</f>
        <v>0</v>
      </c>
      <c r="G103" s="197">
        <f>IFERROR(__xludf.DUMMYFUNCTION("""COMPUTED_VALUE"""),0.0)</f>
        <v>0</v>
      </c>
      <c r="H103" s="197">
        <f>IFERROR(__xludf.DUMMYFUNCTION("""COMPUTED_VALUE"""),0.0)</f>
        <v>0</v>
      </c>
      <c r="I103" s="41">
        <f>IFERROR(__xludf.DUMMYFUNCTION("""COMPUTED_VALUE"""),0.0)</f>
        <v>0</v>
      </c>
      <c r="J103" s="197">
        <f>IFERROR(__xludf.DUMMYFUNCTION("""COMPUTED_VALUE"""),0.0)</f>
        <v>0</v>
      </c>
      <c r="K103" s="197">
        <f>IFERROR(__xludf.DUMMYFUNCTION("""COMPUTED_VALUE"""),0.0)</f>
        <v>0</v>
      </c>
      <c r="L103" s="197">
        <f>IFERROR(__xludf.DUMMYFUNCTION("""COMPUTED_VALUE"""),0.0)</f>
        <v>0</v>
      </c>
      <c r="M103" s="41">
        <f>IFERROR(__xludf.DUMMYFUNCTION("""COMPUTED_VALUE"""),0.0)</f>
        <v>0</v>
      </c>
      <c r="N103" s="197">
        <f>IFERROR(__xludf.DUMMYFUNCTION("""COMPUTED_VALUE"""),0.0)</f>
        <v>0</v>
      </c>
      <c r="O103" s="197">
        <f>IFERROR(__xludf.DUMMYFUNCTION("""COMPUTED_VALUE"""),0.0)</f>
        <v>0</v>
      </c>
      <c r="P103" s="197">
        <f>IFERROR(__xludf.DUMMYFUNCTION("""COMPUTED_VALUE"""),0.0)</f>
        <v>0</v>
      </c>
      <c r="Q103" s="41">
        <f>IFERROR(__xludf.DUMMYFUNCTION("""COMPUTED_VALUE"""),0.0)</f>
        <v>0</v>
      </c>
      <c r="R103" s="197">
        <f>IFERROR(__xludf.DUMMYFUNCTION("""COMPUTED_VALUE"""),0.0)</f>
        <v>0</v>
      </c>
      <c r="S103" s="197">
        <f>IFERROR(__xludf.DUMMYFUNCTION("""COMPUTED_VALUE"""),0.0)</f>
        <v>0</v>
      </c>
      <c r="T103" s="197">
        <f>IFERROR(__xludf.DUMMYFUNCTION("""COMPUTED_VALUE"""),0.0)</f>
        <v>0</v>
      </c>
      <c r="U103" s="41">
        <f>IFERROR(__xludf.DUMMYFUNCTION("""COMPUTED_VALUE"""),0.0)</f>
        <v>0</v>
      </c>
      <c r="V103" s="197">
        <f>IFERROR(__xludf.DUMMYFUNCTION("""COMPUTED_VALUE"""),0.0)</f>
        <v>0</v>
      </c>
      <c r="W103" s="197">
        <f>IFERROR(__xludf.DUMMYFUNCTION("""COMPUTED_VALUE"""),0.0)</f>
        <v>0</v>
      </c>
      <c r="X103" s="197">
        <f>IFERROR(__xludf.DUMMYFUNCTION("""COMPUTED_VALUE"""),0.0)</f>
        <v>0</v>
      </c>
      <c r="Y103" s="41">
        <f>IFERROR(__xludf.DUMMYFUNCTION("""COMPUTED_VALUE"""),0.0)</f>
        <v>0</v>
      </c>
      <c r="Z103" s="197">
        <f>IFERROR(__xludf.DUMMYFUNCTION("""COMPUTED_VALUE"""),0.0)</f>
        <v>0</v>
      </c>
      <c r="AA103" s="197">
        <f>IFERROR(__xludf.DUMMYFUNCTION("""COMPUTED_VALUE"""),0.0)</f>
        <v>0</v>
      </c>
      <c r="AB103" s="197">
        <f>IFERROR(__xludf.DUMMYFUNCTION("""COMPUTED_VALUE"""),0.0)</f>
        <v>0</v>
      </c>
      <c r="AC103" s="41">
        <f>IFERROR(__xludf.DUMMYFUNCTION("""COMPUTED_VALUE"""),0.0)</f>
        <v>0</v>
      </c>
      <c r="AD103" s="197">
        <f>IFERROR(__xludf.DUMMYFUNCTION("""COMPUTED_VALUE"""),0.0)</f>
        <v>0</v>
      </c>
      <c r="AE103" s="197">
        <f>IFERROR(__xludf.DUMMYFUNCTION("""COMPUTED_VALUE"""),0.0)</f>
        <v>0</v>
      </c>
      <c r="AF103" s="197">
        <f>IFERROR(__xludf.DUMMYFUNCTION("""COMPUTED_VALUE"""),0.0)</f>
        <v>0</v>
      </c>
      <c r="AG103" s="41">
        <f>IFERROR(__xludf.DUMMYFUNCTION("""COMPUTED_VALUE"""),0.0)</f>
        <v>0</v>
      </c>
      <c r="AH103" s="197">
        <f>IFERROR(__xludf.DUMMYFUNCTION("""COMPUTED_VALUE"""),0.0)</f>
        <v>0</v>
      </c>
      <c r="AI103" s="197">
        <f>IFERROR(__xludf.DUMMYFUNCTION("""COMPUTED_VALUE"""),0.0)</f>
        <v>0</v>
      </c>
      <c r="AJ103" s="197">
        <f>IFERROR(__xludf.DUMMYFUNCTION("""COMPUTED_VALUE"""),0.0)</f>
        <v>0</v>
      </c>
      <c r="AK103" s="41">
        <f>IFERROR(__xludf.DUMMYFUNCTION("""COMPUTED_VALUE"""),0.0)</f>
        <v>0</v>
      </c>
      <c r="AL103" s="197">
        <f>IFERROR(__xludf.DUMMYFUNCTION("""COMPUTED_VALUE"""),0.0)</f>
        <v>0</v>
      </c>
      <c r="AM103" s="197">
        <f>IFERROR(__xludf.DUMMYFUNCTION("""COMPUTED_VALUE"""),0.0)</f>
        <v>0</v>
      </c>
      <c r="AN103" s="197">
        <f>IFERROR(__xludf.DUMMYFUNCTION("""COMPUTED_VALUE"""),0.0)</f>
        <v>0</v>
      </c>
      <c r="AO103" s="41">
        <f>IFERROR(__xludf.DUMMYFUNCTION("""COMPUTED_VALUE"""),0.0)</f>
        <v>0</v>
      </c>
      <c r="AP103" s="197">
        <f>IFERROR(__xludf.DUMMYFUNCTION("""COMPUTED_VALUE"""),0.0)</f>
        <v>0</v>
      </c>
      <c r="AQ103" s="197">
        <f>IFERROR(__xludf.DUMMYFUNCTION("""COMPUTED_VALUE"""),0.0)</f>
        <v>0</v>
      </c>
      <c r="AR103" s="197">
        <f>IFERROR(__xludf.DUMMYFUNCTION("""COMPUTED_VALUE"""),0.0)</f>
        <v>0</v>
      </c>
      <c r="AS103" s="41">
        <f>IFERROR(__xludf.DUMMYFUNCTION("""COMPUTED_VALUE"""),0.0)</f>
        <v>0</v>
      </c>
      <c r="AT103" s="197">
        <f>IFERROR(__xludf.DUMMYFUNCTION("""COMPUTED_VALUE"""),0.0)</f>
        <v>0</v>
      </c>
      <c r="AU103" s="197">
        <f>IFERROR(__xludf.DUMMYFUNCTION("""COMPUTED_VALUE"""),0.0)</f>
        <v>0</v>
      </c>
      <c r="AV103" s="197">
        <f>IFERROR(__xludf.DUMMYFUNCTION("""COMPUTED_VALUE"""),0.0)</f>
        <v>0</v>
      </c>
      <c r="AW103" s="41">
        <f>IFERROR(__xludf.DUMMYFUNCTION("""COMPUTED_VALUE"""),0.0)</f>
        <v>0</v>
      </c>
      <c r="AX103" s="197">
        <f>IFERROR(__xludf.DUMMYFUNCTION("""COMPUTED_VALUE"""),0.0)</f>
        <v>0</v>
      </c>
      <c r="AY103" s="197">
        <f>IFERROR(__xludf.DUMMYFUNCTION("""COMPUTED_VALUE"""),0.0)</f>
        <v>0</v>
      </c>
      <c r="AZ103" s="198">
        <f>IFERROR(__xludf.DUMMYFUNCTION("""COMPUTED_VALUE"""),0.0)</f>
        <v>0</v>
      </c>
      <c r="BA103" s="34"/>
    </row>
    <row r="104" ht="15.75" hidden="1" customHeight="1">
      <c r="A104" s="29"/>
      <c r="B104" s="30"/>
      <c r="C104" s="31"/>
      <c r="D104" s="31"/>
      <c r="E104" s="42"/>
      <c r="F104" s="221"/>
      <c r="G104" s="221"/>
      <c r="H104" s="221"/>
      <c r="I104" s="42"/>
      <c r="J104" s="221"/>
      <c r="K104" s="221"/>
      <c r="L104" s="221"/>
      <c r="M104" s="42"/>
      <c r="N104" s="221"/>
      <c r="O104" s="221"/>
      <c r="P104" s="221"/>
      <c r="Q104" s="42"/>
      <c r="R104" s="221"/>
      <c r="S104" s="221"/>
      <c r="T104" s="221"/>
      <c r="U104" s="42"/>
      <c r="V104" s="221"/>
      <c r="W104" s="221"/>
      <c r="X104" s="221"/>
      <c r="Y104" s="42"/>
      <c r="Z104" s="221"/>
      <c r="AA104" s="221"/>
      <c r="AB104" s="221"/>
      <c r="AC104" s="42"/>
      <c r="AD104" s="221"/>
      <c r="AE104" s="221"/>
      <c r="AF104" s="221"/>
      <c r="AG104" s="42"/>
      <c r="AH104" s="221"/>
      <c r="AI104" s="221"/>
      <c r="AJ104" s="221"/>
      <c r="AK104" s="42"/>
      <c r="AL104" s="221"/>
      <c r="AM104" s="221"/>
      <c r="AN104" s="221"/>
      <c r="AO104" s="42"/>
      <c r="AP104" s="221"/>
      <c r="AQ104" s="221"/>
      <c r="AR104" s="221"/>
      <c r="AS104" s="42"/>
      <c r="AT104" s="221"/>
      <c r="AU104" s="221"/>
      <c r="AV104" s="221"/>
      <c r="AW104" s="42"/>
      <c r="AX104" s="221"/>
      <c r="AY104" s="221"/>
      <c r="AZ104" s="222"/>
      <c r="BA104" s="34"/>
    </row>
    <row r="105" ht="15.75" hidden="1" customHeight="1">
      <c r="A105" s="29"/>
      <c r="B105" s="30"/>
      <c r="C105" s="31"/>
      <c r="D105" s="31"/>
      <c r="E105" s="228"/>
      <c r="F105" s="116"/>
      <c r="G105" s="116"/>
      <c r="H105" s="116"/>
      <c r="I105" s="228"/>
      <c r="J105" s="116"/>
      <c r="K105" s="116"/>
      <c r="L105" s="116"/>
      <c r="M105" s="228"/>
      <c r="N105" s="116"/>
      <c r="O105" s="116"/>
      <c r="P105" s="116"/>
      <c r="Q105" s="228"/>
      <c r="R105" s="116"/>
      <c r="S105" s="116"/>
      <c r="T105" s="116"/>
      <c r="U105" s="228"/>
      <c r="V105" s="116"/>
      <c r="W105" s="116"/>
      <c r="X105" s="116"/>
      <c r="Y105" s="228"/>
      <c r="Z105" s="116"/>
      <c r="AA105" s="116"/>
      <c r="AB105" s="116"/>
      <c r="AC105" s="228"/>
      <c r="AD105" s="116"/>
      <c r="AE105" s="116"/>
      <c r="AF105" s="116"/>
      <c r="AG105" s="228"/>
      <c r="AH105" s="116"/>
      <c r="AI105" s="116"/>
      <c r="AJ105" s="116"/>
      <c r="AK105" s="228"/>
      <c r="AL105" s="116"/>
      <c r="AM105" s="116"/>
      <c r="AN105" s="116"/>
      <c r="AO105" s="228"/>
      <c r="AP105" s="116"/>
      <c r="AQ105" s="116"/>
      <c r="AR105" s="116"/>
      <c r="AS105" s="228"/>
      <c r="AT105" s="116"/>
      <c r="AU105" s="116"/>
      <c r="AV105" s="116"/>
      <c r="AW105" s="228"/>
      <c r="AX105" s="116"/>
      <c r="AY105" s="116"/>
      <c r="AZ105" s="117"/>
      <c r="BA105" s="34"/>
    </row>
    <row r="106" ht="15.75" hidden="1" customHeight="1">
      <c r="A106" s="29"/>
      <c r="B106" s="30"/>
      <c r="C106" s="31"/>
      <c r="D106" s="31"/>
      <c r="E106" s="42"/>
      <c r="F106" s="221"/>
      <c r="G106" s="221"/>
      <c r="H106" s="221"/>
      <c r="I106" s="42"/>
      <c r="J106" s="221"/>
      <c r="K106" s="221"/>
      <c r="L106" s="221"/>
      <c r="M106" s="42"/>
      <c r="N106" s="221"/>
      <c r="O106" s="221"/>
      <c r="P106" s="221"/>
      <c r="Q106" s="42"/>
      <c r="R106" s="221"/>
      <c r="S106" s="221"/>
      <c r="T106" s="221"/>
      <c r="U106" s="42"/>
      <c r="V106" s="221"/>
      <c r="W106" s="221"/>
      <c r="X106" s="221"/>
      <c r="Y106" s="42"/>
      <c r="Z106" s="221"/>
      <c r="AA106" s="221"/>
      <c r="AB106" s="221"/>
      <c r="AC106" s="42"/>
      <c r="AD106" s="221"/>
      <c r="AE106" s="221"/>
      <c r="AF106" s="221"/>
      <c r="AG106" s="42"/>
      <c r="AH106" s="221"/>
      <c r="AI106" s="221"/>
      <c r="AJ106" s="221"/>
      <c r="AK106" s="42"/>
      <c r="AL106" s="221"/>
      <c r="AM106" s="221"/>
      <c r="AN106" s="221"/>
      <c r="AO106" s="42"/>
      <c r="AP106" s="221"/>
      <c r="AQ106" s="221"/>
      <c r="AR106" s="221"/>
      <c r="AS106" s="42"/>
      <c r="AT106" s="221"/>
      <c r="AU106" s="221"/>
      <c r="AV106" s="221"/>
      <c r="AW106" s="42"/>
      <c r="AX106" s="221"/>
      <c r="AY106" s="221"/>
      <c r="AZ106" s="222"/>
      <c r="BA106" s="34"/>
    </row>
    <row r="107" ht="11.25" customHeight="1">
      <c r="A107" s="29"/>
      <c r="B107" s="229"/>
      <c r="C107" s="230"/>
      <c r="D107" s="230"/>
      <c r="E107" s="231"/>
      <c r="F107" s="232"/>
      <c r="G107" s="232"/>
      <c r="H107" s="232"/>
      <c r="I107" s="231"/>
      <c r="J107" s="232"/>
      <c r="K107" s="232"/>
      <c r="L107" s="232"/>
      <c r="M107" s="231"/>
      <c r="N107" s="232"/>
      <c r="O107" s="232"/>
      <c r="P107" s="232"/>
      <c r="Q107" s="231"/>
      <c r="R107" s="232"/>
      <c r="S107" s="232"/>
      <c r="T107" s="232"/>
      <c r="U107" s="231"/>
      <c r="V107" s="232"/>
      <c r="W107" s="232"/>
      <c r="X107" s="232"/>
      <c r="Y107" s="231"/>
      <c r="Z107" s="232"/>
      <c r="AA107" s="232"/>
      <c r="AB107" s="232"/>
      <c r="AC107" s="231"/>
      <c r="AD107" s="232"/>
      <c r="AE107" s="232"/>
      <c r="AF107" s="232"/>
      <c r="AG107" s="231"/>
      <c r="AH107" s="232"/>
      <c r="AI107" s="232"/>
      <c r="AJ107" s="232"/>
      <c r="AK107" s="231"/>
      <c r="AL107" s="232"/>
      <c r="AM107" s="232"/>
      <c r="AN107" s="232"/>
      <c r="AO107" s="231"/>
      <c r="AP107" s="232"/>
      <c r="AQ107" s="232"/>
      <c r="AR107" s="232"/>
      <c r="AS107" s="231"/>
      <c r="AT107" s="232"/>
      <c r="AU107" s="232"/>
      <c r="AV107" s="232"/>
      <c r="AW107" s="231"/>
      <c r="AX107" s="232"/>
      <c r="AY107" s="232"/>
      <c r="AZ107" s="233"/>
      <c r="BA107" s="34"/>
    </row>
    <row r="108" ht="14.25" customHeight="1">
      <c r="A108" s="1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"/>
    </row>
    <row r="109" ht="18.75" hidden="1" customHeight="1">
      <c r="A109" s="207"/>
      <c r="B109" s="207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</row>
    <row r="110" ht="18.75" hidden="1" customHeight="1">
      <c r="A110" s="207"/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</row>
    <row r="111" ht="18.75" hidden="1" customHeight="1">
      <c r="A111" s="207"/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</row>
    <row r="112" ht="18.75" hidden="1" customHeight="1">
      <c r="A112" s="207"/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</row>
    <row r="113" ht="18.75" hidden="1" customHeight="1">
      <c r="A113" s="207"/>
      <c r="B113" s="207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</row>
    <row r="114" ht="18.75" hidden="1" customHeight="1">
      <c r="A114" s="207"/>
      <c r="B114" s="207"/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</row>
    <row r="115" ht="18.75" hidden="1" customHeight="1">
      <c r="A115" s="207"/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</row>
    <row r="116" ht="18.75" hidden="1" customHeight="1">
      <c r="A116" s="207"/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</row>
    <row r="117" ht="18.75" hidden="1" customHeight="1">
      <c r="A117" s="207"/>
      <c r="B117" s="207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</row>
    <row r="118" ht="18.75" hidden="1" customHeight="1">
      <c r="A118" s="207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</row>
    <row r="119" ht="18.75" hidden="1" customHeight="1">
      <c r="A119" s="207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</row>
    <row r="120" ht="18.75" hidden="1" customHeight="1">
      <c r="A120" s="207"/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</row>
    <row r="121" ht="18.75" hidden="1" customHeight="1">
      <c r="A121" s="207"/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</row>
    <row r="122" ht="18.75" hidden="1" customHeight="1">
      <c r="A122" s="207"/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</row>
    <row r="123" ht="18.75" hidden="1" customHeight="1">
      <c r="A123" s="207"/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</row>
    <row r="124" ht="18.75" hidden="1" customHeight="1">
      <c r="A124" s="207"/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</row>
    <row r="125" ht="18.75" hidden="1" customHeight="1">
      <c r="A125" s="207"/>
      <c r="B125" s="207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</row>
    <row r="126" ht="18.75" hidden="1" customHeight="1">
      <c r="A126" s="207"/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</row>
    <row r="127" ht="18.75" hidden="1" customHeight="1">
      <c r="A127" s="207"/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</row>
    <row r="128" ht="18.75" hidden="1" customHeight="1">
      <c r="A128" s="207"/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</row>
    <row r="129" ht="18.75" hidden="1" customHeight="1">
      <c r="A129" s="207"/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</row>
    <row r="130" ht="18.75" hidden="1" customHeight="1">
      <c r="A130" s="207"/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</row>
    <row r="131" ht="18.75" hidden="1" customHeight="1">
      <c r="A131" s="207"/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</row>
    <row r="132" ht="18.75" hidden="1" customHeight="1">
      <c r="A132" s="207"/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</row>
    <row r="133" ht="18.75" hidden="1" customHeight="1">
      <c r="A133" s="207"/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</row>
    <row r="134" ht="18.75" hidden="1" customHeight="1">
      <c r="A134" s="207"/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</row>
    <row r="135" ht="18.75" hidden="1" customHeight="1">
      <c r="A135" s="207"/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</row>
    <row r="136" ht="18.75" hidden="1" customHeight="1">
      <c r="A136" s="207"/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</row>
    <row r="137" ht="18.75" hidden="1" customHeight="1">
      <c r="A137" s="207"/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</row>
    <row r="138" ht="18.75" hidden="1" customHeight="1">
      <c r="A138" s="207"/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</row>
    <row r="139" ht="18.75" hidden="1" customHeight="1">
      <c r="A139" s="207"/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</row>
    <row r="140" ht="18.75" hidden="1" customHeight="1">
      <c r="A140" s="207"/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</row>
    <row r="141" ht="18.75" hidden="1" customHeight="1">
      <c r="A141" s="207"/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</row>
    <row r="142" ht="18.75" hidden="1" customHeight="1">
      <c r="A142" s="207"/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</row>
    <row r="143" ht="18.75" hidden="1" customHeight="1">
      <c r="A143" s="207"/>
      <c r="B143" s="207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</row>
    <row r="144" ht="18.75" hidden="1" customHeight="1">
      <c r="A144" s="207"/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</row>
    <row r="145" ht="18.75" hidden="1" customHeight="1">
      <c r="A145" s="207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</row>
    <row r="146" ht="18.75" hidden="1" customHeight="1">
      <c r="A146" s="207"/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</row>
    <row r="147" ht="18.75" hidden="1" customHeight="1">
      <c r="A147" s="207"/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</row>
    <row r="148" ht="18.75" hidden="1" customHeight="1">
      <c r="A148" s="207"/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</row>
    <row r="149" ht="18.75" hidden="1" customHeight="1">
      <c r="A149" s="207"/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</row>
    <row r="150" ht="18.75" hidden="1" customHeight="1">
      <c r="A150" s="207"/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</row>
    <row r="151" ht="18.75" hidden="1" customHeight="1">
      <c r="A151" s="207"/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</row>
    <row r="152" ht="18.75" hidden="1" customHeight="1">
      <c r="A152" s="207"/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</row>
    <row r="153" ht="18.75" hidden="1" customHeight="1">
      <c r="A153" s="207"/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</row>
    <row r="154" ht="18.75" hidden="1" customHeight="1">
      <c r="A154" s="207"/>
      <c r="B154" s="207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</row>
    <row r="155" ht="18.75" hidden="1" customHeight="1">
      <c r="A155" s="207"/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</row>
    <row r="156" ht="18.75" hidden="1" customHeight="1">
      <c r="A156" s="207"/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</row>
    <row r="157" ht="18.75" hidden="1" customHeight="1">
      <c r="A157" s="207"/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</row>
    <row r="158" ht="18.75" hidden="1" customHeight="1">
      <c r="A158" s="207"/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</row>
    <row r="159" ht="18.75" hidden="1" customHeight="1">
      <c r="A159" s="207"/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</row>
    <row r="160" ht="18.75" hidden="1" customHeight="1">
      <c r="A160" s="207"/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</row>
    <row r="161" ht="18.75" hidden="1" customHeight="1">
      <c r="A161" s="207"/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</row>
    <row r="162" ht="18.75" hidden="1" customHeight="1">
      <c r="A162" s="207"/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</row>
    <row r="163" ht="18.75" hidden="1" customHeight="1">
      <c r="A163" s="207"/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</row>
    <row r="164" ht="18.75" hidden="1" customHeight="1">
      <c r="A164" s="207"/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</row>
    <row r="165" ht="18.75" hidden="1" customHeight="1">
      <c r="A165" s="207"/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</row>
    <row r="166" ht="18.75" hidden="1" customHeight="1">
      <c r="A166" s="207"/>
      <c r="B166" s="207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</row>
    <row r="167" ht="18.75" hidden="1" customHeight="1">
      <c r="A167" s="207"/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</row>
    <row r="168" ht="18.75" hidden="1" customHeight="1">
      <c r="A168" s="207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</row>
    <row r="169" ht="18.75" hidden="1" customHeight="1">
      <c r="A169" s="207"/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</row>
    <row r="170" ht="18.75" hidden="1" customHeight="1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</row>
    <row r="171" ht="18.75" hidden="1" customHeight="1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</row>
    <row r="172" ht="18.75" hidden="1" customHeight="1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</row>
    <row r="173" ht="18.75" hidden="1" customHeight="1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</row>
    <row r="174" ht="18.75" hidden="1" customHeight="1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</row>
    <row r="175" ht="18.75" hidden="1" customHeight="1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</row>
    <row r="176" ht="18.75" hidden="1" customHeight="1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</row>
    <row r="177" ht="18.75" hidden="1" customHeight="1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</row>
    <row r="178" ht="18.75" hidden="1" customHeight="1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</row>
    <row r="179" ht="18.75" hidden="1" customHeight="1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</row>
    <row r="180" ht="18.75" hidden="1" customHeight="1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</row>
    <row r="181" ht="18.75" hidden="1" customHeight="1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</row>
    <row r="182" ht="18.75" hidden="1" customHeight="1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</row>
    <row r="183" ht="18.75" hidden="1" customHeight="1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</row>
    <row r="184" ht="18.75" hidden="1" customHeight="1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</row>
    <row r="185" ht="18.75" hidden="1" customHeight="1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</row>
    <row r="186" ht="18.75" hidden="1" customHeight="1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</row>
    <row r="187" ht="18.75" hidden="1" customHeight="1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</row>
    <row r="188" ht="18.75" hidden="1" customHeight="1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</row>
    <row r="189" ht="18.75" hidden="1" customHeight="1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</row>
    <row r="190" ht="18.75" hidden="1" customHeight="1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</row>
    <row r="191" ht="18.75" hidden="1" customHeight="1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</row>
    <row r="192" ht="18.75" hidden="1" customHeight="1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</row>
    <row r="193" ht="18.75" hidden="1" customHeight="1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</row>
    <row r="194" ht="18.75" hidden="1" customHeight="1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</row>
    <row r="195" ht="18.75" hidden="1" customHeight="1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</row>
    <row r="196" ht="18.75" hidden="1" customHeight="1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</row>
    <row r="197" ht="18.75" hidden="1" customHeight="1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</row>
    <row r="198" ht="18.75" hidden="1" customHeight="1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</row>
    <row r="199" ht="18.75" hidden="1" customHeight="1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</row>
    <row r="200" ht="18.75" hidden="1" customHeight="1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</row>
    <row r="201" ht="18.75" hidden="1" customHeight="1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</row>
    <row r="202" ht="18.75" hidden="1" customHeight="1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</row>
    <row r="203" ht="18.75" hidden="1" customHeight="1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</row>
    <row r="204" ht="18.75" hidden="1" customHeight="1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</row>
    <row r="205" ht="18.75" hidden="1" customHeight="1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</row>
    <row r="206" ht="18.75" hidden="1" customHeight="1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</row>
    <row r="207" ht="18.75" hidden="1" customHeight="1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</row>
    <row r="208" ht="18.75" hidden="1" customHeight="1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</row>
    <row r="209" ht="18.75" hidden="1" customHeight="1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</row>
    <row r="210" ht="18.75" hidden="1" customHeight="1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</row>
    <row r="211" ht="18.75" hidden="1" customHeight="1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</row>
    <row r="212" ht="18.75" hidden="1" customHeight="1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</row>
    <row r="213" ht="18.75" hidden="1" customHeight="1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</row>
    <row r="214" ht="18.75" hidden="1" customHeight="1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</row>
    <row r="215" ht="18.75" hidden="1" customHeight="1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</row>
    <row r="216" ht="18.75" hidden="1" customHeight="1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</row>
    <row r="217" ht="18.75" hidden="1" customHeight="1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</row>
    <row r="218" ht="18.75" hidden="1" customHeight="1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</row>
    <row r="219" ht="18.75" hidden="1" customHeight="1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</row>
    <row r="220" ht="18.75" hidden="1" customHeight="1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</row>
    <row r="221" ht="18.75" hidden="1" customHeight="1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</row>
    <row r="222" ht="18.75" hidden="1" customHeight="1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</row>
    <row r="223" ht="18.75" hidden="1" customHeight="1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</row>
    <row r="224" ht="18.75" hidden="1" customHeight="1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</row>
    <row r="225" ht="18.75" hidden="1" customHeight="1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</row>
    <row r="226" ht="18.75" hidden="1" customHeight="1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</row>
    <row r="227" ht="18.75" hidden="1" customHeight="1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</row>
    <row r="228" ht="18.75" hidden="1" customHeight="1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</row>
    <row r="229" ht="18.75" hidden="1" customHeight="1">
      <c r="A229" s="207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</row>
    <row r="230" ht="18.75" hidden="1" customHeight="1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</row>
    <row r="231" ht="18.75" hidden="1" customHeight="1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</row>
    <row r="232" ht="18.75" hidden="1" customHeight="1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</row>
    <row r="233" ht="18.75" hidden="1" customHeight="1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</row>
    <row r="234" ht="18.75" hidden="1" customHeight="1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</row>
    <row r="235" ht="18.75" hidden="1" customHeight="1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</row>
    <row r="236" ht="18.75" hidden="1" customHeight="1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</row>
    <row r="237" ht="18.75" hidden="1" customHeight="1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/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</row>
    <row r="238" ht="18.75" hidden="1" customHeight="1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/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</row>
    <row r="239" ht="18.75" hidden="1" customHeight="1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/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</row>
    <row r="240" ht="18.75" hidden="1" customHeight="1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</row>
    <row r="241" ht="18.75" hidden="1" customHeight="1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</row>
    <row r="242" ht="18.75" hidden="1" customHeight="1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</row>
    <row r="243" ht="18.75" hidden="1" customHeight="1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</row>
    <row r="244" ht="18.75" hidden="1" customHeight="1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</row>
    <row r="245" ht="18.75" hidden="1" customHeight="1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</row>
    <row r="246" ht="18.75" hidden="1" customHeight="1">
      <c r="A246" s="207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/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</row>
    <row r="247" ht="18.75" hidden="1" customHeight="1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/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</row>
    <row r="248" ht="18.75" hidden="1" customHeight="1">
      <c r="A248" s="207"/>
      <c r="B248" s="207"/>
      <c r="C248" s="207"/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  <c r="AB248" s="207"/>
      <c r="AC248" s="207"/>
      <c r="AD248" s="207"/>
      <c r="AE248" s="207"/>
      <c r="AF248" s="207"/>
      <c r="AG248" s="207"/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</row>
    <row r="249" ht="18.75" hidden="1" customHeight="1">
      <c r="A249" s="207"/>
      <c r="B249" s="207"/>
      <c r="C249" s="207"/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  <c r="AA249" s="207"/>
      <c r="AB249" s="207"/>
      <c r="AC249" s="207"/>
      <c r="AD249" s="207"/>
      <c r="AE249" s="207"/>
      <c r="AF249" s="207"/>
      <c r="AG249" s="207"/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</row>
    <row r="250" ht="18.75" hidden="1" customHeight="1">
      <c r="A250" s="207"/>
      <c r="B250" s="207"/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  <c r="AA250" s="207"/>
      <c r="AB250" s="207"/>
      <c r="AC250" s="207"/>
      <c r="AD250" s="207"/>
      <c r="AE250" s="207"/>
      <c r="AF250" s="207"/>
      <c r="AG250" s="207"/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</row>
    <row r="251" ht="18.75" hidden="1" customHeight="1">
      <c r="A251" s="207"/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  <c r="AA251" s="207"/>
      <c r="AB251" s="207"/>
      <c r="AC251" s="207"/>
      <c r="AD251" s="207"/>
      <c r="AE251" s="207"/>
      <c r="AF251" s="207"/>
      <c r="AG251" s="207"/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</row>
    <row r="252" ht="18.75" hidden="1" customHeight="1">
      <c r="A252" s="207"/>
      <c r="B252" s="207"/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  <c r="AA252" s="207"/>
      <c r="AB252" s="207"/>
      <c r="AC252" s="207"/>
      <c r="AD252" s="207"/>
      <c r="AE252" s="207"/>
      <c r="AF252" s="207"/>
      <c r="AG252" s="207"/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</row>
    <row r="253" ht="18.75" hidden="1" customHeight="1">
      <c r="A253" s="207"/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  <c r="AA253" s="207"/>
      <c r="AB253" s="207"/>
      <c r="AC253" s="207"/>
      <c r="AD253" s="207"/>
      <c r="AE253" s="207"/>
      <c r="AF253" s="207"/>
      <c r="AG253" s="207"/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</row>
    <row r="254" ht="18.75" hidden="1" customHeight="1">
      <c r="A254" s="207"/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  <c r="AA254" s="207"/>
      <c r="AB254" s="207"/>
      <c r="AC254" s="207"/>
      <c r="AD254" s="207"/>
      <c r="AE254" s="207"/>
      <c r="AF254" s="207"/>
      <c r="AG254" s="207"/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</row>
    <row r="255" ht="18.75" hidden="1" customHeight="1">
      <c r="A255" s="207"/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  <c r="AA255" s="207"/>
      <c r="AB255" s="207"/>
      <c r="AC255" s="207"/>
      <c r="AD255" s="207"/>
      <c r="AE255" s="207"/>
      <c r="AF255" s="207"/>
      <c r="AG255" s="207"/>
      <c r="AH255" s="207"/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</row>
    <row r="256" ht="18.75" hidden="1" customHeight="1">
      <c r="A256" s="207"/>
      <c r="B256" s="207"/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  <c r="AA256" s="207"/>
      <c r="AB256" s="207"/>
      <c r="AC256" s="207"/>
      <c r="AD256" s="207"/>
      <c r="AE256" s="207"/>
      <c r="AF256" s="207"/>
      <c r="AG256" s="207"/>
      <c r="AH256" s="207"/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</row>
    <row r="257" ht="18.75" hidden="1" customHeight="1">
      <c r="A257" s="207"/>
      <c r="B257" s="207"/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  <c r="AA257" s="207"/>
      <c r="AB257" s="207"/>
      <c r="AC257" s="207"/>
      <c r="AD257" s="207"/>
      <c r="AE257" s="207"/>
      <c r="AF257" s="207"/>
      <c r="AG257" s="207"/>
      <c r="AH257" s="207"/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</row>
    <row r="258" ht="18.75" hidden="1" customHeight="1">
      <c r="A258" s="207"/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  <c r="AB258" s="207"/>
      <c r="AC258" s="207"/>
      <c r="AD258" s="207"/>
      <c r="AE258" s="207"/>
      <c r="AF258" s="207"/>
      <c r="AG258" s="207"/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</row>
    <row r="259" ht="18.75" hidden="1" customHeight="1">
      <c r="A259" s="207"/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7"/>
      <c r="AB259" s="207"/>
      <c r="AC259" s="207"/>
      <c r="AD259" s="207"/>
      <c r="AE259" s="207"/>
      <c r="AF259" s="207"/>
      <c r="AG259" s="207"/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</row>
    <row r="260" ht="18.75" hidden="1" customHeight="1">
      <c r="A260" s="207"/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/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</row>
    <row r="261" ht="18.75" hidden="1" customHeight="1">
      <c r="A261" s="207"/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  <c r="AA261" s="207"/>
      <c r="AB261" s="207"/>
      <c r="AC261" s="207"/>
      <c r="AD261" s="207"/>
      <c r="AE261" s="207"/>
      <c r="AF261" s="207"/>
      <c r="AG261" s="207"/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</row>
    <row r="262" ht="18.75" hidden="1" customHeight="1">
      <c r="A262" s="207"/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7"/>
      <c r="AB262" s="207"/>
      <c r="AC262" s="207"/>
      <c r="AD262" s="207"/>
      <c r="AE262" s="207"/>
      <c r="AF262" s="207"/>
      <c r="AG262" s="207"/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</row>
    <row r="263" ht="18.75" hidden="1" customHeight="1">
      <c r="A263" s="207"/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  <c r="AA263" s="207"/>
      <c r="AB263" s="207"/>
      <c r="AC263" s="207"/>
      <c r="AD263" s="207"/>
      <c r="AE263" s="207"/>
      <c r="AF263" s="207"/>
      <c r="AG263" s="207"/>
      <c r="AH263" s="207"/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</row>
    <row r="264" ht="18.75" hidden="1" customHeight="1">
      <c r="A264" s="207"/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  <c r="AA264" s="207"/>
      <c r="AB264" s="207"/>
      <c r="AC264" s="207"/>
      <c r="AD264" s="207"/>
      <c r="AE264" s="207"/>
      <c r="AF264" s="207"/>
      <c r="AG264" s="207"/>
      <c r="AH264" s="207"/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</row>
    <row r="265" ht="18.75" hidden="1" customHeight="1">
      <c r="A265" s="207"/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  <c r="AA265" s="207"/>
      <c r="AB265" s="207"/>
      <c r="AC265" s="207"/>
      <c r="AD265" s="207"/>
      <c r="AE265" s="207"/>
      <c r="AF265" s="207"/>
      <c r="AG265" s="207"/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</row>
    <row r="266" ht="18.75" hidden="1" customHeight="1">
      <c r="A266" s="207"/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  <c r="AA266" s="207"/>
      <c r="AB266" s="207"/>
      <c r="AC266" s="207"/>
      <c r="AD266" s="207"/>
      <c r="AE266" s="207"/>
      <c r="AF266" s="207"/>
      <c r="AG266" s="207"/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</row>
    <row r="267" ht="18.75" hidden="1" customHeight="1">
      <c r="A267" s="207"/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  <c r="AA267" s="207"/>
      <c r="AB267" s="207"/>
      <c r="AC267" s="207"/>
      <c r="AD267" s="207"/>
      <c r="AE267" s="207"/>
      <c r="AF267" s="207"/>
      <c r="AG267" s="207"/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</row>
    <row r="268" ht="18.75" hidden="1" customHeight="1">
      <c r="A268" s="207"/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  <c r="AA268" s="207"/>
      <c r="AB268" s="207"/>
      <c r="AC268" s="207"/>
      <c r="AD268" s="207"/>
      <c r="AE268" s="207"/>
      <c r="AF268" s="207"/>
      <c r="AG268" s="207"/>
      <c r="AH268" s="207"/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</row>
    <row r="269" ht="18.75" hidden="1" customHeight="1">
      <c r="A269" s="207"/>
      <c r="B269" s="207"/>
      <c r="C269" s="207"/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  <c r="AA269" s="207"/>
      <c r="AB269" s="207"/>
      <c r="AC269" s="207"/>
      <c r="AD269" s="207"/>
      <c r="AE269" s="207"/>
      <c r="AF269" s="207"/>
      <c r="AG269" s="207"/>
      <c r="AH269" s="207"/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</row>
    <row r="270" ht="18.75" hidden="1" customHeight="1">
      <c r="A270" s="207"/>
      <c r="B270" s="207"/>
      <c r="C270" s="207"/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  <c r="AA270" s="207"/>
      <c r="AB270" s="207"/>
      <c r="AC270" s="207"/>
      <c r="AD270" s="207"/>
      <c r="AE270" s="207"/>
      <c r="AF270" s="207"/>
      <c r="AG270" s="207"/>
      <c r="AH270" s="207"/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</row>
    <row r="271" ht="18.75" hidden="1" customHeight="1">
      <c r="A271" s="207"/>
      <c r="B271" s="207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  <c r="AA271" s="207"/>
      <c r="AB271" s="207"/>
      <c r="AC271" s="207"/>
      <c r="AD271" s="207"/>
      <c r="AE271" s="207"/>
      <c r="AF271" s="207"/>
      <c r="AG271" s="207"/>
      <c r="AH271" s="207"/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</row>
    <row r="272" ht="18.75" hidden="1" customHeight="1">
      <c r="A272" s="207"/>
      <c r="B272" s="207"/>
      <c r="C272" s="207"/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/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</row>
    <row r="273" ht="18.75" hidden="1" customHeight="1">
      <c r="A273" s="207"/>
      <c r="B273" s="207"/>
      <c r="C273" s="207"/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</row>
    <row r="274" ht="18.75" hidden="1" customHeight="1">
      <c r="A274" s="207"/>
      <c r="B274" s="207"/>
      <c r="C274" s="207"/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/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</row>
    <row r="275" ht="18.75" hidden="1" customHeight="1">
      <c r="A275" s="207"/>
      <c r="B275" s="207"/>
      <c r="C275" s="207"/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/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</row>
    <row r="276" ht="18.75" hidden="1" customHeight="1">
      <c r="A276" s="207"/>
      <c r="B276" s="207"/>
      <c r="C276" s="207"/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</row>
    <row r="277" ht="18.75" hidden="1" customHeight="1">
      <c r="A277" s="207"/>
      <c r="B277" s="207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  <c r="AA277" s="207"/>
      <c r="AB277" s="207"/>
      <c r="AC277" s="207"/>
      <c r="AD277" s="207"/>
      <c r="AE277" s="207"/>
      <c r="AF277" s="207"/>
      <c r="AG277" s="207"/>
      <c r="AH277" s="207"/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</row>
    <row r="278" ht="18.75" hidden="1" customHeight="1">
      <c r="A278" s="207"/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  <c r="AA278" s="207"/>
      <c r="AB278" s="207"/>
      <c r="AC278" s="207"/>
      <c r="AD278" s="207"/>
      <c r="AE278" s="207"/>
      <c r="AF278" s="207"/>
      <c r="AG278" s="207"/>
      <c r="AH278" s="207"/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</row>
    <row r="279" ht="18.75" hidden="1" customHeight="1">
      <c r="A279" s="207"/>
      <c r="B279" s="207"/>
      <c r="C279" s="207"/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7"/>
      <c r="AB279" s="207"/>
      <c r="AC279" s="207"/>
      <c r="AD279" s="207"/>
      <c r="AE279" s="207"/>
      <c r="AF279" s="207"/>
      <c r="AG279" s="207"/>
      <c r="AH279" s="207"/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</row>
    <row r="280" ht="18.75" hidden="1" customHeight="1">
      <c r="A280" s="207"/>
      <c r="B280" s="207"/>
      <c r="C280" s="207"/>
      <c r="D280" s="207"/>
      <c r="E280" s="207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  <c r="AA280" s="207"/>
      <c r="AB280" s="207"/>
      <c r="AC280" s="207"/>
      <c r="AD280" s="207"/>
      <c r="AE280" s="207"/>
      <c r="AF280" s="207"/>
      <c r="AG280" s="207"/>
      <c r="AH280" s="207"/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</row>
    <row r="281" ht="18.75" hidden="1" customHeight="1">
      <c r="A281" s="207"/>
      <c r="B281" s="207"/>
      <c r="C281" s="207"/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  <c r="AA281" s="207"/>
      <c r="AB281" s="207"/>
      <c r="AC281" s="207"/>
      <c r="AD281" s="207"/>
      <c r="AE281" s="207"/>
      <c r="AF281" s="207"/>
      <c r="AG281" s="207"/>
      <c r="AH281" s="207"/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</row>
    <row r="282" ht="18.75" hidden="1" customHeight="1">
      <c r="A282" s="207"/>
      <c r="B282" s="207"/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/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</row>
    <row r="283" ht="18.75" hidden="1" customHeight="1">
      <c r="A283" s="207"/>
      <c r="B283" s="207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  <c r="AB283" s="207"/>
      <c r="AC283" s="207"/>
      <c r="AD283" s="207"/>
      <c r="AE283" s="207"/>
      <c r="AF283" s="207"/>
      <c r="AG283" s="207"/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</row>
    <row r="284" ht="18.75" hidden="1" customHeight="1">
      <c r="A284" s="207"/>
      <c r="B284" s="207"/>
      <c r="C284" s="207"/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  <c r="AA284" s="207"/>
      <c r="AB284" s="207"/>
      <c r="AC284" s="207"/>
      <c r="AD284" s="207"/>
      <c r="AE284" s="207"/>
      <c r="AF284" s="207"/>
      <c r="AG284" s="207"/>
      <c r="AH284" s="207"/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</row>
    <row r="285" ht="18.75" hidden="1" customHeight="1">
      <c r="A285" s="207"/>
      <c r="B285" s="207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  <c r="AA285" s="207"/>
      <c r="AB285" s="207"/>
      <c r="AC285" s="207"/>
      <c r="AD285" s="207"/>
      <c r="AE285" s="207"/>
      <c r="AF285" s="207"/>
      <c r="AG285" s="207"/>
      <c r="AH285" s="207"/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</row>
    <row r="286" ht="18.75" hidden="1" customHeight="1">
      <c r="A286" s="207"/>
      <c r="B286" s="207"/>
      <c r="C286" s="207"/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  <c r="AA286" s="207"/>
      <c r="AB286" s="207"/>
      <c r="AC286" s="207"/>
      <c r="AD286" s="207"/>
      <c r="AE286" s="207"/>
      <c r="AF286" s="207"/>
      <c r="AG286" s="207"/>
      <c r="AH286" s="207"/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</row>
    <row r="287" ht="18.75" hidden="1" customHeight="1">
      <c r="A287" s="207"/>
      <c r="B287" s="207"/>
      <c r="C287" s="207"/>
      <c r="D287" s="207"/>
      <c r="E287" s="207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  <c r="AA287" s="207"/>
      <c r="AB287" s="207"/>
      <c r="AC287" s="207"/>
      <c r="AD287" s="207"/>
      <c r="AE287" s="207"/>
      <c r="AF287" s="207"/>
      <c r="AG287" s="207"/>
      <c r="AH287" s="207"/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</row>
    <row r="288" ht="18.75" hidden="1" customHeight="1">
      <c r="A288" s="207"/>
      <c r="B288" s="207"/>
      <c r="C288" s="207"/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  <c r="AA288" s="207"/>
      <c r="AB288" s="207"/>
      <c r="AC288" s="207"/>
      <c r="AD288" s="207"/>
      <c r="AE288" s="207"/>
      <c r="AF288" s="207"/>
      <c r="AG288" s="207"/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</row>
    <row r="289" ht="18.75" hidden="1" customHeight="1">
      <c r="A289" s="207"/>
      <c r="B289" s="207"/>
      <c r="C289" s="207"/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  <c r="AB289" s="207"/>
      <c r="AC289" s="207"/>
      <c r="AD289" s="207"/>
      <c r="AE289" s="207"/>
      <c r="AF289" s="207"/>
      <c r="AG289" s="207"/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</row>
    <row r="290" ht="18.75" hidden="1" customHeight="1">
      <c r="A290" s="207"/>
      <c r="B290" s="207"/>
      <c r="C290" s="207"/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  <c r="AA290" s="207"/>
      <c r="AB290" s="207"/>
      <c r="AC290" s="207"/>
      <c r="AD290" s="207"/>
      <c r="AE290" s="207"/>
      <c r="AF290" s="207"/>
      <c r="AG290" s="207"/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</row>
    <row r="291" ht="18.75" hidden="1" customHeight="1">
      <c r="A291" s="207"/>
      <c r="B291" s="207"/>
      <c r="C291" s="207"/>
      <c r="D291" s="207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  <c r="AA291" s="207"/>
      <c r="AB291" s="207"/>
      <c r="AC291" s="207"/>
      <c r="AD291" s="207"/>
      <c r="AE291" s="207"/>
      <c r="AF291" s="207"/>
      <c r="AG291" s="207"/>
      <c r="AH291" s="207"/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</row>
    <row r="292" ht="18.75" hidden="1" customHeight="1">
      <c r="A292" s="207"/>
      <c r="B292" s="207"/>
      <c r="C292" s="207"/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  <c r="AA292" s="207"/>
      <c r="AB292" s="207"/>
      <c r="AC292" s="207"/>
      <c r="AD292" s="207"/>
      <c r="AE292" s="207"/>
      <c r="AF292" s="207"/>
      <c r="AG292" s="207"/>
      <c r="AH292" s="207"/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</row>
    <row r="293" ht="18.75" hidden="1" customHeight="1">
      <c r="A293" s="207"/>
      <c r="B293" s="207"/>
      <c r="C293" s="207"/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  <c r="AA293" s="207"/>
      <c r="AB293" s="207"/>
      <c r="AC293" s="207"/>
      <c r="AD293" s="207"/>
      <c r="AE293" s="207"/>
      <c r="AF293" s="207"/>
      <c r="AG293" s="207"/>
      <c r="AH293" s="207"/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</row>
    <row r="294" ht="18.75" hidden="1" customHeight="1">
      <c r="A294" s="207"/>
      <c r="B294" s="207"/>
      <c r="C294" s="207"/>
      <c r="D294" s="207"/>
      <c r="E294" s="207"/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  <c r="AA294" s="207"/>
      <c r="AB294" s="207"/>
      <c r="AC294" s="207"/>
      <c r="AD294" s="207"/>
      <c r="AE294" s="207"/>
      <c r="AF294" s="207"/>
      <c r="AG294" s="207"/>
      <c r="AH294" s="207"/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</row>
    <row r="295" ht="18.75" hidden="1" customHeight="1">
      <c r="A295" s="207"/>
      <c r="B295" s="207"/>
      <c r="C295" s="207"/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  <c r="AA295" s="207"/>
      <c r="AB295" s="207"/>
      <c r="AC295" s="207"/>
      <c r="AD295" s="207"/>
      <c r="AE295" s="207"/>
      <c r="AF295" s="207"/>
      <c r="AG295" s="207"/>
      <c r="AH295" s="207"/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</row>
    <row r="296" ht="18.75" hidden="1" customHeight="1">
      <c r="A296" s="207"/>
      <c r="B296" s="207"/>
      <c r="C296" s="207"/>
      <c r="D296" s="207"/>
      <c r="E296" s="207"/>
      <c r="F296" s="207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  <c r="AA296" s="207"/>
      <c r="AB296" s="207"/>
      <c r="AC296" s="207"/>
      <c r="AD296" s="207"/>
      <c r="AE296" s="207"/>
      <c r="AF296" s="207"/>
      <c r="AG296" s="207"/>
      <c r="AH296" s="207"/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</row>
    <row r="297" ht="18.75" hidden="1" customHeight="1">
      <c r="A297" s="207"/>
      <c r="B297" s="207"/>
      <c r="C297" s="207"/>
      <c r="D297" s="207"/>
      <c r="E297" s="207"/>
      <c r="F297" s="207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  <c r="AA297" s="207"/>
      <c r="AB297" s="207"/>
      <c r="AC297" s="207"/>
      <c r="AD297" s="207"/>
      <c r="AE297" s="207"/>
      <c r="AF297" s="207"/>
      <c r="AG297" s="207"/>
      <c r="AH297" s="207"/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</row>
    <row r="298" ht="18.75" hidden="1" customHeight="1">
      <c r="A298" s="207"/>
      <c r="B298" s="207"/>
      <c r="C298" s="207"/>
      <c r="D298" s="207"/>
      <c r="E298" s="207"/>
      <c r="F298" s="207"/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  <c r="AA298" s="207"/>
      <c r="AB298" s="207"/>
      <c r="AC298" s="207"/>
      <c r="AD298" s="207"/>
      <c r="AE298" s="207"/>
      <c r="AF298" s="207"/>
      <c r="AG298" s="207"/>
      <c r="AH298" s="207"/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</row>
    <row r="299" ht="18.75" hidden="1" customHeight="1">
      <c r="A299" s="207"/>
      <c r="B299" s="207"/>
      <c r="C299" s="207"/>
      <c r="D299" s="207"/>
      <c r="E299" s="207"/>
      <c r="F299" s="207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  <c r="AA299" s="207"/>
      <c r="AB299" s="207"/>
      <c r="AC299" s="207"/>
      <c r="AD299" s="207"/>
      <c r="AE299" s="207"/>
      <c r="AF299" s="207"/>
      <c r="AG299" s="207"/>
      <c r="AH299" s="207"/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</row>
    <row r="300" ht="18.75" hidden="1" customHeight="1">
      <c r="A300" s="207"/>
      <c r="B300" s="207"/>
      <c r="C300" s="207"/>
      <c r="D300" s="207"/>
      <c r="E300" s="207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  <c r="AA300" s="207"/>
      <c r="AB300" s="207"/>
      <c r="AC300" s="207"/>
      <c r="AD300" s="207"/>
      <c r="AE300" s="207"/>
      <c r="AF300" s="207"/>
      <c r="AG300" s="207"/>
      <c r="AH300" s="207"/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</row>
    <row r="301" ht="18.75" hidden="1" customHeight="1">
      <c r="A301" s="207"/>
      <c r="B301" s="207"/>
      <c r="C301" s="207"/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  <c r="AB301" s="207"/>
      <c r="AC301" s="207"/>
      <c r="AD301" s="207"/>
      <c r="AE301" s="207"/>
      <c r="AF301" s="207"/>
      <c r="AG301" s="207"/>
      <c r="AH301" s="207"/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</row>
    <row r="302" ht="18.75" hidden="1" customHeight="1">
      <c r="A302" s="207"/>
      <c r="B302" s="207"/>
      <c r="C302" s="207"/>
      <c r="D302" s="207"/>
      <c r="E302" s="207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  <c r="AA302" s="207"/>
      <c r="AB302" s="207"/>
      <c r="AC302" s="207"/>
      <c r="AD302" s="207"/>
      <c r="AE302" s="207"/>
      <c r="AF302" s="207"/>
      <c r="AG302" s="207"/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</row>
    <row r="303" ht="18.75" hidden="1" customHeight="1">
      <c r="A303" s="207"/>
      <c r="B303" s="207"/>
      <c r="C303" s="207"/>
      <c r="D303" s="207"/>
      <c r="E303" s="207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  <c r="AA303" s="207"/>
      <c r="AB303" s="207"/>
      <c r="AC303" s="207"/>
      <c r="AD303" s="207"/>
      <c r="AE303" s="207"/>
      <c r="AF303" s="207"/>
      <c r="AG303" s="207"/>
      <c r="AH303" s="207"/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</row>
    <row r="304" ht="18.75" hidden="1" customHeight="1">
      <c r="A304" s="207"/>
      <c r="B304" s="207"/>
      <c r="C304" s="207"/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  <c r="AA304" s="207"/>
      <c r="AB304" s="207"/>
      <c r="AC304" s="207"/>
      <c r="AD304" s="207"/>
      <c r="AE304" s="207"/>
      <c r="AF304" s="207"/>
      <c r="AG304" s="207"/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</row>
    <row r="305" ht="18.75" hidden="1" customHeight="1">
      <c r="A305" s="207"/>
      <c r="B305" s="207"/>
      <c r="C305" s="207"/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  <c r="AA305" s="207"/>
      <c r="AB305" s="207"/>
      <c r="AC305" s="207"/>
      <c r="AD305" s="207"/>
      <c r="AE305" s="207"/>
      <c r="AF305" s="207"/>
      <c r="AG305" s="207"/>
      <c r="AH305" s="207"/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</row>
    <row r="306" ht="18.75" hidden="1" customHeight="1">
      <c r="A306" s="207"/>
      <c r="B306" s="207"/>
      <c r="C306" s="207"/>
      <c r="D306" s="207"/>
      <c r="E306" s="207"/>
      <c r="F306" s="207"/>
      <c r="G306" s="207"/>
      <c r="H306" s="207"/>
      <c r="I306" s="207"/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  <c r="AA306" s="207"/>
      <c r="AB306" s="207"/>
      <c r="AC306" s="207"/>
      <c r="AD306" s="207"/>
      <c r="AE306" s="207"/>
      <c r="AF306" s="207"/>
      <c r="AG306" s="207"/>
      <c r="AH306" s="207"/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</row>
    <row r="307" ht="18.75" hidden="1" customHeight="1">
      <c r="A307" s="207"/>
      <c r="B307" s="207"/>
      <c r="C307" s="207"/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  <c r="AA307" s="207"/>
      <c r="AB307" s="207"/>
      <c r="AC307" s="207"/>
      <c r="AD307" s="207"/>
      <c r="AE307" s="207"/>
      <c r="AF307" s="207"/>
      <c r="AG307" s="207"/>
      <c r="AH307" s="207"/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</row>
    <row r="308" ht="18.75" hidden="1" customHeight="1">
      <c r="A308" s="207"/>
      <c r="B308" s="207"/>
      <c r="C308" s="207"/>
      <c r="D308" s="207"/>
      <c r="E308" s="207"/>
      <c r="F308" s="207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  <c r="AA308" s="207"/>
      <c r="AB308" s="207"/>
      <c r="AC308" s="207"/>
      <c r="AD308" s="207"/>
      <c r="AE308" s="207"/>
      <c r="AF308" s="207"/>
      <c r="AG308" s="207"/>
      <c r="AH308" s="207"/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</row>
    <row r="309" ht="18.75" hidden="1" customHeight="1">
      <c r="A309" s="207"/>
      <c r="B309" s="207"/>
      <c r="C309" s="207"/>
      <c r="D309" s="207"/>
      <c r="E309" s="207"/>
      <c r="F309" s="207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  <c r="AA309" s="207"/>
      <c r="AB309" s="207"/>
      <c r="AC309" s="207"/>
      <c r="AD309" s="207"/>
      <c r="AE309" s="207"/>
      <c r="AF309" s="207"/>
      <c r="AG309" s="207"/>
      <c r="AH309" s="207"/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</row>
    <row r="310" ht="18.75" hidden="1" customHeight="1">
      <c r="A310" s="207"/>
      <c r="B310" s="207"/>
      <c r="C310" s="207"/>
      <c r="D310" s="207"/>
      <c r="E310" s="207"/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  <c r="AA310" s="207"/>
      <c r="AB310" s="207"/>
      <c r="AC310" s="207"/>
      <c r="AD310" s="207"/>
      <c r="AE310" s="207"/>
      <c r="AF310" s="207"/>
      <c r="AG310" s="207"/>
      <c r="AH310" s="207"/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</row>
    <row r="311" ht="18.75" hidden="1" customHeight="1">
      <c r="A311" s="207"/>
      <c r="B311" s="207"/>
      <c r="C311" s="207"/>
      <c r="D311" s="207"/>
      <c r="E311" s="207"/>
      <c r="F311" s="207"/>
      <c r="G311" s="207"/>
      <c r="H311" s="207"/>
      <c r="I311" s="207"/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  <c r="AA311" s="207"/>
      <c r="AB311" s="207"/>
      <c r="AC311" s="207"/>
      <c r="AD311" s="207"/>
      <c r="AE311" s="207"/>
      <c r="AF311" s="207"/>
      <c r="AG311" s="207"/>
      <c r="AH311" s="207"/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</row>
    <row r="312" ht="18.75" hidden="1" customHeight="1">
      <c r="A312" s="207"/>
      <c r="B312" s="207"/>
      <c r="C312" s="207"/>
      <c r="D312" s="207"/>
      <c r="E312" s="207"/>
      <c r="F312" s="207"/>
      <c r="G312" s="207"/>
      <c r="H312" s="207"/>
      <c r="I312" s="207"/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  <c r="AA312" s="207"/>
      <c r="AB312" s="207"/>
      <c r="AC312" s="207"/>
      <c r="AD312" s="207"/>
      <c r="AE312" s="207"/>
      <c r="AF312" s="207"/>
      <c r="AG312" s="207"/>
      <c r="AH312" s="207"/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</row>
    <row r="313" ht="18.75" hidden="1" customHeight="1">
      <c r="A313" s="207"/>
      <c r="B313" s="207"/>
      <c r="C313" s="207"/>
      <c r="D313" s="207"/>
      <c r="E313" s="207"/>
      <c r="F313" s="207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  <c r="AA313" s="207"/>
      <c r="AB313" s="207"/>
      <c r="AC313" s="207"/>
      <c r="AD313" s="207"/>
      <c r="AE313" s="207"/>
      <c r="AF313" s="207"/>
      <c r="AG313" s="207"/>
      <c r="AH313" s="207"/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  <c r="AZ313" s="207"/>
      <c r="BA313" s="207"/>
    </row>
    <row r="314" ht="18.75" hidden="1" customHeight="1">
      <c r="A314" s="207"/>
      <c r="B314" s="207"/>
      <c r="C314" s="207"/>
      <c r="D314" s="207"/>
      <c r="E314" s="207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  <c r="AB314" s="207"/>
      <c r="AC314" s="207"/>
      <c r="AD314" s="207"/>
      <c r="AE314" s="207"/>
      <c r="AF314" s="207"/>
      <c r="AG314" s="207"/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</row>
    <row r="315" ht="18.75" hidden="1" customHeight="1">
      <c r="A315" s="207"/>
      <c r="B315" s="207"/>
      <c r="C315" s="207"/>
      <c r="D315" s="207"/>
      <c r="E315" s="207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  <c r="AB315" s="207"/>
      <c r="AC315" s="207"/>
      <c r="AD315" s="207"/>
      <c r="AE315" s="207"/>
      <c r="AF315" s="207"/>
      <c r="AG315" s="207"/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</row>
    <row r="316" ht="18.75" hidden="1" customHeight="1">
      <c r="A316" s="207"/>
      <c r="B316" s="207"/>
      <c r="C316" s="207"/>
      <c r="D316" s="207"/>
      <c r="E316" s="207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  <c r="AB316" s="207"/>
      <c r="AC316" s="207"/>
      <c r="AD316" s="207"/>
      <c r="AE316" s="207"/>
      <c r="AF316" s="207"/>
      <c r="AG316" s="207"/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</row>
    <row r="317" ht="18.75" hidden="1" customHeight="1">
      <c r="A317" s="207"/>
      <c r="B317" s="207"/>
      <c r="C317" s="207"/>
      <c r="D317" s="207"/>
      <c r="E317" s="207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  <c r="AB317" s="207"/>
      <c r="AC317" s="207"/>
      <c r="AD317" s="207"/>
      <c r="AE317" s="207"/>
      <c r="AF317" s="207"/>
      <c r="AG317" s="207"/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</row>
    <row r="318" ht="18.75" hidden="1" customHeight="1">
      <c r="A318" s="207"/>
      <c r="B318" s="2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/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</row>
    <row r="319" ht="18.75" hidden="1" customHeight="1">
      <c r="A319" s="207"/>
      <c r="B319" s="207"/>
      <c r="C319" s="207"/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  <c r="AA319" s="207"/>
      <c r="AB319" s="207"/>
      <c r="AC319" s="207"/>
      <c r="AD319" s="207"/>
      <c r="AE319" s="207"/>
      <c r="AF319" s="207"/>
      <c r="AG319" s="207"/>
      <c r="AH319" s="207"/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</row>
    <row r="320" ht="18.75" hidden="1" customHeight="1">
      <c r="A320" s="207"/>
      <c r="B320" s="207"/>
      <c r="C320" s="207"/>
      <c r="D320" s="207"/>
      <c r="E320" s="207"/>
      <c r="F320" s="207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  <c r="AA320" s="207"/>
      <c r="AB320" s="207"/>
      <c r="AC320" s="207"/>
      <c r="AD320" s="207"/>
      <c r="AE320" s="207"/>
      <c r="AF320" s="207"/>
      <c r="AG320" s="207"/>
      <c r="AH320" s="207"/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</row>
    <row r="321" ht="18.75" hidden="1" customHeight="1">
      <c r="A321" s="207"/>
      <c r="B321" s="207"/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  <c r="AA321" s="207"/>
      <c r="AB321" s="207"/>
      <c r="AC321" s="207"/>
      <c r="AD321" s="207"/>
      <c r="AE321" s="207"/>
      <c r="AF321" s="207"/>
      <c r="AG321" s="207"/>
      <c r="AH321" s="207"/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</row>
    <row r="322" ht="18.75" hidden="1" customHeight="1">
      <c r="A322" s="207"/>
      <c r="B322" s="207"/>
      <c r="C322" s="207"/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  <c r="AA322" s="207"/>
      <c r="AB322" s="207"/>
      <c r="AC322" s="207"/>
      <c r="AD322" s="207"/>
      <c r="AE322" s="207"/>
      <c r="AF322" s="207"/>
      <c r="AG322" s="207"/>
      <c r="AH322" s="207"/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</row>
    <row r="323" ht="18.75" hidden="1" customHeight="1">
      <c r="A323" s="207"/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  <c r="AA323" s="207"/>
      <c r="AB323" s="207"/>
      <c r="AC323" s="207"/>
      <c r="AD323" s="207"/>
      <c r="AE323" s="207"/>
      <c r="AF323" s="207"/>
      <c r="AG323" s="207"/>
      <c r="AH323" s="207"/>
      <c r="AI323" s="207"/>
      <c r="AJ323" s="207"/>
      <c r="AK323" s="207"/>
      <c r="AL323" s="207"/>
      <c r="AM323" s="207"/>
      <c r="AN323" s="207"/>
      <c r="AO323" s="207"/>
      <c r="AP323" s="207"/>
      <c r="AQ323" s="207"/>
      <c r="AR323" s="207"/>
      <c r="AS323" s="207"/>
      <c r="AT323" s="207"/>
      <c r="AU323" s="207"/>
      <c r="AV323" s="207"/>
      <c r="AW323" s="207"/>
      <c r="AX323" s="207"/>
      <c r="AY323" s="207"/>
      <c r="AZ323" s="207"/>
      <c r="BA323" s="207"/>
    </row>
    <row r="324" ht="18.75" hidden="1" customHeight="1">
      <c r="A324" s="207"/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  <c r="AA324" s="207"/>
      <c r="AB324" s="207"/>
      <c r="AC324" s="207"/>
      <c r="AD324" s="207"/>
      <c r="AE324" s="207"/>
      <c r="AF324" s="207"/>
      <c r="AG324" s="207"/>
      <c r="AH324" s="207"/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</row>
    <row r="325" ht="18.75" hidden="1" customHeight="1">
      <c r="A325" s="207"/>
      <c r="B325" s="207"/>
      <c r="C325" s="207"/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  <c r="AA325" s="207"/>
      <c r="AB325" s="207"/>
      <c r="AC325" s="207"/>
      <c r="AD325" s="207"/>
      <c r="AE325" s="207"/>
      <c r="AF325" s="207"/>
      <c r="AG325" s="207"/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</row>
    <row r="326" ht="18.75" hidden="1" customHeight="1">
      <c r="A326" s="207"/>
      <c r="B326" s="207"/>
      <c r="C326" s="207"/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  <c r="AA326" s="207"/>
      <c r="AB326" s="207"/>
      <c r="AC326" s="207"/>
      <c r="AD326" s="207"/>
      <c r="AE326" s="207"/>
      <c r="AF326" s="207"/>
      <c r="AG326" s="207"/>
      <c r="AH326" s="207"/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</row>
    <row r="327" ht="18.75" hidden="1" customHeight="1">
      <c r="A327" s="207"/>
      <c r="B327" s="207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  <c r="AA327" s="207"/>
      <c r="AB327" s="207"/>
      <c r="AC327" s="207"/>
      <c r="AD327" s="207"/>
      <c r="AE327" s="207"/>
      <c r="AF327" s="207"/>
      <c r="AG327" s="207"/>
      <c r="AH327" s="207"/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</row>
    <row r="328" ht="18.75" hidden="1" customHeight="1">
      <c r="A328" s="207"/>
      <c r="B328" s="207"/>
      <c r="C328" s="207"/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  <c r="AA328" s="207"/>
      <c r="AB328" s="207"/>
      <c r="AC328" s="207"/>
      <c r="AD328" s="207"/>
      <c r="AE328" s="207"/>
      <c r="AF328" s="207"/>
      <c r="AG328" s="207"/>
      <c r="AH328" s="207"/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</row>
    <row r="329" ht="18.75" hidden="1" customHeight="1">
      <c r="A329" s="207"/>
      <c r="B329" s="207"/>
      <c r="C329" s="207"/>
      <c r="D329" s="207"/>
      <c r="E329" s="207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  <c r="AA329" s="207"/>
      <c r="AB329" s="207"/>
      <c r="AC329" s="207"/>
      <c r="AD329" s="207"/>
      <c r="AE329" s="207"/>
      <c r="AF329" s="207"/>
      <c r="AG329" s="207"/>
      <c r="AH329" s="207"/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</row>
    <row r="330" ht="18.75" hidden="1" customHeight="1">
      <c r="A330" s="207"/>
      <c r="B330" s="207"/>
      <c r="C330" s="207"/>
      <c r="D330" s="207"/>
      <c r="E330" s="207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  <c r="AA330" s="207"/>
      <c r="AB330" s="207"/>
      <c r="AC330" s="207"/>
      <c r="AD330" s="207"/>
      <c r="AE330" s="207"/>
      <c r="AF330" s="207"/>
      <c r="AG330" s="207"/>
      <c r="AH330" s="207"/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</row>
    <row r="331" ht="18.75" hidden="1" customHeight="1">
      <c r="A331" s="207"/>
      <c r="B331" s="207"/>
      <c r="C331" s="207"/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  <c r="AA331" s="207"/>
      <c r="AB331" s="207"/>
      <c r="AC331" s="207"/>
      <c r="AD331" s="207"/>
      <c r="AE331" s="207"/>
      <c r="AF331" s="207"/>
      <c r="AG331" s="207"/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</row>
    <row r="332" ht="18.75" hidden="1" customHeight="1">
      <c r="A332" s="207"/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  <c r="AA332" s="207"/>
      <c r="AB332" s="207"/>
      <c r="AC332" s="207"/>
      <c r="AD332" s="207"/>
      <c r="AE332" s="207"/>
      <c r="AF332" s="207"/>
      <c r="AG332" s="207"/>
      <c r="AH332" s="207"/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  <c r="AZ332" s="207"/>
      <c r="BA332" s="207"/>
    </row>
    <row r="333" ht="18.75" hidden="1" customHeight="1">
      <c r="A333" s="207"/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  <c r="AA333" s="207"/>
      <c r="AB333" s="207"/>
      <c r="AC333" s="207"/>
      <c r="AD333" s="207"/>
      <c r="AE333" s="207"/>
      <c r="AF333" s="207"/>
      <c r="AG333" s="207"/>
      <c r="AH333" s="207"/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</row>
    <row r="334" ht="18.75" hidden="1" customHeight="1">
      <c r="A334" s="207"/>
      <c r="B334" s="207"/>
      <c r="C334" s="207"/>
      <c r="D334" s="207"/>
      <c r="E334" s="207"/>
      <c r="F334" s="207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  <c r="AA334" s="207"/>
      <c r="AB334" s="207"/>
      <c r="AC334" s="207"/>
      <c r="AD334" s="207"/>
      <c r="AE334" s="207"/>
      <c r="AF334" s="207"/>
      <c r="AG334" s="207"/>
      <c r="AH334" s="207"/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</row>
    <row r="335" ht="18.75" hidden="1" customHeight="1">
      <c r="A335" s="207"/>
      <c r="B335" s="207"/>
      <c r="C335" s="207"/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  <c r="AA335" s="207"/>
      <c r="AB335" s="207"/>
      <c r="AC335" s="207"/>
      <c r="AD335" s="207"/>
      <c r="AE335" s="207"/>
      <c r="AF335" s="207"/>
      <c r="AG335" s="207"/>
      <c r="AH335" s="207"/>
      <c r="AI335" s="207"/>
      <c r="AJ335" s="207"/>
      <c r="AK335" s="207"/>
      <c r="AL335" s="207"/>
      <c r="AM335" s="207"/>
      <c r="AN335" s="207"/>
      <c r="AO335" s="207"/>
      <c r="AP335" s="207"/>
      <c r="AQ335" s="207"/>
      <c r="AR335" s="207"/>
      <c r="AS335" s="207"/>
      <c r="AT335" s="207"/>
      <c r="AU335" s="207"/>
      <c r="AV335" s="207"/>
      <c r="AW335" s="207"/>
      <c r="AX335" s="207"/>
      <c r="AY335" s="207"/>
      <c r="AZ335" s="207"/>
      <c r="BA335" s="207"/>
    </row>
    <row r="336" ht="18.75" hidden="1" customHeight="1">
      <c r="A336" s="207"/>
      <c r="B336" s="207"/>
      <c r="C336" s="207"/>
      <c r="D336" s="207"/>
      <c r="E336" s="207"/>
      <c r="F336" s="207"/>
      <c r="G336" s="207"/>
      <c r="H336" s="207"/>
      <c r="I336" s="207"/>
      <c r="J336" s="207"/>
      <c r="K336" s="207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  <c r="AA336" s="207"/>
      <c r="AB336" s="207"/>
      <c r="AC336" s="207"/>
      <c r="AD336" s="207"/>
      <c r="AE336" s="207"/>
      <c r="AF336" s="207"/>
      <c r="AG336" s="207"/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</row>
    <row r="337" ht="18.75" hidden="1" customHeight="1">
      <c r="A337" s="207"/>
      <c r="B337" s="207"/>
      <c r="C337" s="207"/>
      <c r="D337" s="207"/>
      <c r="E337" s="207"/>
      <c r="F337" s="207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  <c r="AA337" s="207"/>
      <c r="AB337" s="207"/>
      <c r="AC337" s="207"/>
      <c r="AD337" s="207"/>
      <c r="AE337" s="207"/>
      <c r="AF337" s="207"/>
      <c r="AG337" s="207"/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</row>
    <row r="338" ht="18.75" hidden="1" customHeight="1">
      <c r="A338" s="207"/>
      <c r="B338" s="207"/>
      <c r="C338" s="207"/>
      <c r="D338" s="207"/>
      <c r="E338" s="207"/>
      <c r="F338" s="207"/>
      <c r="G338" s="207"/>
      <c r="H338" s="207"/>
      <c r="I338" s="207"/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  <c r="AA338" s="207"/>
      <c r="AB338" s="207"/>
      <c r="AC338" s="207"/>
      <c r="AD338" s="207"/>
      <c r="AE338" s="207"/>
      <c r="AF338" s="207"/>
      <c r="AG338" s="207"/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</row>
    <row r="339" ht="18.75" hidden="1" customHeight="1">
      <c r="A339" s="207"/>
      <c r="B339" s="207"/>
      <c r="C339" s="207"/>
      <c r="D339" s="207"/>
      <c r="E339" s="207"/>
      <c r="F339" s="207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  <c r="AA339" s="207"/>
      <c r="AB339" s="207"/>
      <c r="AC339" s="207"/>
      <c r="AD339" s="207"/>
      <c r="AE339" s="207"/>
      <c r="AF339" s="207"/>
      <c r="AG339" s="207"/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</row>
    <row r="340" ht="18.75" hidden="1" customHeight="1">
      <c r="A340" s="207"/>
      <c r="B340" s="207"/>
      <c r="C340" s="207"/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  <c r="AA340" s="207"/>
      <c r="AB340" s="207"/>
      <c r="AC340" s="207"/>
      <c r="AD340" s="207"/>
      <c r="AE340" s="207"/>
      <c r="AF340" s="207"/>
      <c r="AG340" s="207"/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</row>
    <row r="341" ht="18.75" hidden="1" customHeight="1">
      <c r="A341" s="207"/>
      <c r="B341" s="207"/>
      <c r="C341" s="207"/>
      <c r="D341" s="207"/>
      <c r="E341" s="207"/>
      <c r="F341" s="207"/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  <c r="AA341" s="207"/>
      <c r="AB341" s="207"/>
      <c r="AC341" s="207"/>
      <c r="AD341" s="207"/>
      <c r="AE341" s="207"/>
      <c r="AF341" s="207"/>
      <c r="AG341" s="207"/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</row>
    <row r="342" ht="18.75" hidden="1" customHeight="1">
      <c r="A342" s="207"/>
      <c r="B342" s="207"/>
      <c r="C342" s="207"/>
      <c r="D342" s="207"/>
      <c r="E342" s="207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  <c r="AA342" s="207"/>
      <c r="AB342" s="207"/>
      <c r="AC342" s="207"/>
      <c r="AD342" s="207"/>
      <c r="AE342" s="207"/>
      <c r="AF342" s="207"/>
      <c r="AG342" s="207"/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</row>
    <row r="343" ht="18.75" hidden="1" customHeight="1">
      <c r="A343" s="207"/>
      <c r="B343" s="207"/>
      <c r="C343" s="207"/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  <c r="AA343" s="207"/>
      <c r="AB343" s="207"/>
      <c r="AC343" s="207"/>
      <c r="AD343" s="207"/>
      <c r="AE343" s="207"/>
      <c r="AF343" s="207"/>
      <c r="AG343" s="207"/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</row>
    <row r="344" ht="18.75" hidden="1" customHeight="1">
      <c r="A344" s="207"/>
      <c r="B344" s="207"/>
      <c r="C344" s="207"/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  <c r="AA344" s="207"/>
      <c r="AB344" s="207"/>
      <c r="AC344" s="207"/>
      <c r="AD344" s="207"/>
      <c r="AE344" s="207"/>
      <c r="AF344" s="207"/>
      <c r="AG344" s="207"/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</row>
    <row r="345" ht="18.75" hidden="1" customHeight="1">
      <c r="A345" s="207"/>
      <c r="B345" s="207"/>
      <c r="C345" s="207"/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  <c r="AA345" s="207"/>
      <c r="AB345" s="207"/>
      <c r="AC345" s="207"/>
      <c r="AD345" s="207"/>
      <c r="AE345" s="207"/>
      <c r="AF345" s="207"/>
      <c r="AG345" s="207"/>
      <c r="AH345" s="207"/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</row>
    <row r="346" ht="18.75" hidden="1" customHeight="1">
      <c r="A346" s="207"/>
      <c r="B346" s="207"/>
      <c r="C346" s="207"/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  <c r="AA346" s="207"/>
      <c r="AB346" s="207"/>
      <c r="AC346" s="207"/>
      <c r="AD346" s="207"/>
      <c r="AE346" s="207"/>
      <c r="AF346" s="207"/>
      <c r="AG346" s="207"/>
      <c r="AH346" s="207"/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</row>
    <row r="347" ht="18.75" hidden="1" customHeight="1">
      <c r="A347" s="207"/>
      <c r="B347" s="207"/>
      <c r="C347" s="207"/>
      <c r="D347" s="207"/>
      <c r="E347" s="207"/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  <c r="AA347" s="207"/>
      <c r="AB347" s="207"/>
      <c r="AC347" s="207"/>
      <c r="AD347" s="207"/>
      <c r="AE347" s="207"/>
      <c r="AF347" s="207"/>
      <c r="AG347" s="207"/>
      <c r="AH347" s="207"/>
      <c r="AI347" s="207"/>
      <c r="AJ347" s="207"/>
      <c r="AK347" s="207"/>
      <c r="AL347" s="207"/>
      <c r="AM347" s="207"/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</row>
    <row r="348" ht="18.75" hidden="1" customHeight="1">
      <c r="A348" s="207"/>
      <c r="B348" s="207"/>
      <c r="C348" s="207"/>
      <c r="D348" s="207"/>
      <c r="E348" s="207"/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  <c r="AA348" s="207"/>
      <c r="AB348" s="207"/>
      <c r="AC348" s="207"/>
      <c r="AD348" s="207"/>
      <c r="AE348" s="207"/>
      <c r="AF348" s="207"/>
      <c r="AG348" s="207"/>
      <c r="AH348" s="207"/>
      <c r="AI348" s="207"/>
      <c r="AJ348" s="207"/>
      <c r="AK348" s="207"/>
      <c r="AL348" s="207"/>
      <c r="AM348" s="207"/>
      <c r="AN348" s="207"/>
      <c r="AO348" s="207"/>
      <c r="AP348" s="207"/>
      <c r="AQ348" s="207"/>
      <c r="AR348" s="207"/>
      <c r="AS348" s="207"/>
      <c r="AT348" s="207"/>
      <c r="AU348" s="207"/>
      <c r="AV348" s="207"/>
      <c r="AW348" s="207"/>
      <c r="AX348" s="207"/>
      <c r="AY348" s="207"/>
      <c r="AZ348" s="207"/>
      <c r="BA348" s="207"/>
    </row>
    <row r="349" ht="18.75" hidden="1" customHeight="1">
      <c r="A349" s="207"/>
      <c r="B349" s="207"/>
      <c r="C349" s="207"/>
      <c r="D349" s="207"/>
      <c r="E349" s="207"/>
      <c r="F349" s="207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  <c r="AA349" s="207"/>
      <c r="AB349" s="207"/>
      <c r="AC349" s="207"/>
      <c r="AD349" s="207"/>
      <c r="AE349" s="207"/>
      <c r="AF349" s="207"/>
      <c r="AG349" s="207"/>
      <c r="AH349" s="207"/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</row>
    <row r="350" ht="18.75" hidden="1" customHeight="1">
      <c r="A350" s="207"/>
      <c r="B350" s="207"/>
      <c r="C350" s="207"/>
      <c r="D350" s="207"/>
      <c r="E350" s="207"/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  <c r="AA350" s="207"/>
      <c r="AB350" s="207"/>
      <c r="AC350" s="207"/>
      <c r="AD350" s="207"/>
      <c r="AE350" s="207"/>
      <c r="AF350" s="207"/>
      <c r="AG350" s="207"/>
      <c r="AH350" s="207"/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</row>
    <row r="351" ht="18.75" hidden="1" customHeight="1">
      <c r="A351" s="207"/>
      <c r="B351" s="207"/>
      <c r="C351" s="207"/>
      <c r="D351" s="207"/>
      <c r="E351" s="207"/>
      <c r="F351" s="207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  <c r="AA351" s="207"/>
      <c r="AB351" s="207"/>
      <c r="AC351" s="207"/>
      <c r="AD351" s="207"/>
      <c r="AE351" s="207"/>
      <c r="AF351" s="207"/>
      <c r="AG351" s="207"/>
      <c r="AH351" s="207"/>
      <c r="AI351" s="207"/>
      <c r="AJ351" s="207"/>
      <c r="AK351" s="207"/>
      <c r="AL351" s="207"/>
      <c r="AM351" s="207"/>
      <c r="AN351" s="207"/>
      <c r="AO351" s="207"/>
      <c r="AP351" s="207"/>
      <c r="AQ351" s="207"/>
      <c r="AR351" s="207"/>
      <c r="AS351" s="207"/>
      <c r="AT351" s="207"/>
      <c r="AU351" s="207"/>
      <c r="AV351" s="207"/>
      <c r="AW351" s="207"/>
      <c r="AX351" s="207"/>
      <c r="AY351" s="207"/>
      <c r="AZ351" s="207"/>
      <c r="BA351" s="207"/>
    </row>
    <row r="352" ht="18.75" hidden="1" customHeight="1">
      <c r="A352" s="207"/>
      <c r="B352" s="207"/>
      <c r="C352" s="207"/>
      <c r="D352" s="207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  <c r="AA352" s="207"/>
      <c r="AB352" s="207"/>
      <c r="AC352" s="207"/>
      <c r="AD352" s="207"/>
      <c r="AE352" s="207"/>
      <c r="AF352" s="207"/>
      <c r="AG352" s="207"/>
      <c r="AH352" s="207"/>
      <c r="AI352" s="207"/>
      <c r="AJ352" s="207"/>
      <c r="AK352" s="207"/>
      <c r="AL352" s="207"/>
      <c r="AM352" s="207"/>
      <c r="AN352" s="207"/>
      <c r="AO352" s="207"/>
      <c r="AP352" s="207"/>
      <c r="AQ352" s="207"/>
      <c r="AR352" s="207"/>
      <c r="AS352" s="207"/>
      <c r="AT352" s="207"/>
      <c r="AU352" s="207"/>
      <c r="AV352" s="207"/>
      <c r="AW352" s="207"/>
      <c r="AX352" s="207"/>
      <c r="AY352" s="207"/>
      <c r="AZ352" s="207"/>
      <c r="BA352" s="207"/>
    </row>
    <row r="353" ht="18.75" hidden="1" customHeight="1">
      <c r="A353" s="207"/>
      <c r="B353" s="207"/>
      <c r="C353" s="207"/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  <c r="AA353" s="207"/>
      <c r="AB353" s="207"/>
      <c r="AC353" s="207"/>
      <c r="AD353" s="207"/>
      <c r="AE353" s="207"/>
      <c r="AF353" s="207"/>
      <c r="AG353" s="207"/>
      <c r="AH353" s="207"/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</row>
    <row r="354" ht="18.75" hidden="1" customHeight="1">
      <c r="A354" s="207"/>
      <c r="B354" s="207"/>
      <c r="C354" s="207"/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  <c r="AA354" s="207"/>
      <c r="AB354" s="207"/>
      <c r="AC354" s="207"/>
      <c r="AD354" s="207"/>
      <c r="AE354" s="207"/>
      <c r="AF354" s="207"/>
      <c r="AG354" s="207"/>
      <c r="AH354" s="207"/>
      <c r="AI354" s="207"/>
      <c r="AJ354" s="207"/>
      <c r="AK354" s="207"/>
      <c r="AL354" s="207"/>
      <c r="AM354" s="207"/>
      <c r="AN354" s="207"/>
      <c r="AO354" s="207"/>
      <c r="AP354" s="207"/>
      <c r="AQ354" s="207"/>
      <c r="AR354" s="207"/>
      <c r="AS354" s="207"/>
      <c r="AT354" s="207"/>
      <c r="AU354" s="207"/>
      <c r="AV354" s="207"/>
      <c r="AW354" s="207"/>
      <c r="AX354" s="207"/>
      <c r="AY354" s="207"/>
      <c r="AZ354" s="207"/>
      <c r="BA354" s="207"/>
    </row>
    <row r="355" ht="18.75" hidden="1" customHeight="1">
      <c r="A355" s="207"/>
      <c r="B355" s="207"/>
      <c r="C355" s="207"/>
      <c r="D355" s="207"/>
      <c r="E355" s="207"/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  <c r="AA355" s="207"/>
      <c r="AB355" s="207"/>
      <c r="AC355" s="207"/>
      <c r="AD355" s="207"/>
      <c r="AE355" s="207"/>
      <c r="AF355" s="207"/>
      <c r="AG355" s="207"/>
      <c r="AH355" s="207"/>
      <c r="AI355" s="207"/>
      <c r="AJ355" s="207"/>
      <c r="AK355" s="207"/>
      <c r="AL355" s="207"/>
      <c r="AM355" s="207"/>
      <c r="AN355" s="207"/>
      <c r="AO355" s="207"/>
      <c r="AP355" s="207"/>
      <c r="AQ355" s="207"/>
      <c r="AR355" s="207"/>
      <c r="AS355" s="207"/>
      <c r="AT355" s="207"/>
      <c r="AU355" s="207"/>
      <c r="AV355" s="207"/>
      <c r="AW355" s="207"/>
      <c r="AX355" s="207"/>
      <c r="AY355" s="207"/>
      <c r="AZ355" s="207"/>
      <c r="BA355" s="207"/>
    </row>
    <row r="356" ht="18.75" hidden="1" customHeight="1">
      <c r="A356" s="207"/>
      <c r="B356" s="207"/>
      <c r="C356" s="207"/>
      <c r="D356" s="207"/>
      <c r="E356" s="207"/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  <c r="AA356" s="207"/>
      <c r="AB356" s="207"/>
      <c r="AC356" s="207"/>
      <c r="AD356" s="207"/>
      <c r="AE356" s="207"/>
      <c r="AF356" s="207"/>
      <c r="AG356" s="207"/>
      <c r="AH356" s="207"/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</row>
    <row r="357" ht="18.75" hidden="1" customHeight="1">
      <c r="A357" s="207"/>
      <c r="B357" s="207"/>
      <c r="C357" s="207"/>
      <c r="D357" s="207"/>
      <c r="E357" s="207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  <c r="AA357" s="207"/>
      <c r="AB357" s="207"/>
      <c r="AC357" s="207"/>
      <c r="AD357" s="207"/>
      <c r="AE357" s="207"/>
      <c r="AF357" s="207"/>
      <c r="AG357" s="207"/>
      <c r="AH357" s="207"/>
      <c r="AI357" s="207"/>
      <c r="AJ357" s="207"/>
      <c r="AK357" s="207"/>
      <c r="AL357" s="207"/>
      <c r="AM357" s="207"/>
      <c r="AN357" s="207"/>
      <c r="AO357" s="207"/>
      <c r="AP357" s="207"/>
      <c r="AQ357" s="207"/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</row>
    <row r="358" ht="18.75" hidden="1" customHeight="1">
      <c r="A358" s="207"/>
      <c r="B358" s="207"/>
      <c r="C358" s="207"/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  <c r="AA358" s="207"/>
      <c r="AB358" s="207"/>
      <c r="AC358" s="207"/>
      <c r="AD358" s="207"/>
      <c r="AE358" s="207"/>
      <c r="AF358" s="207"/>
      <c r="AG358" s="207"/>
      <c r="AH358" s="207"/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</row>
    <row r="359" ht="18.75" hidden="1" customHeight="1">
      <c r="A359" s="207"/>
      <c r="B359" s="207"/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  <c r="AA359" s="207"/>
      <c r="AB359" s="207"/>
      <c r="AC359" s="207"/>
      <c r="AD359" s="207"/>
      <c r="AE359" s="207"/>
      <c r="AF359" s="207"/>
      <c r="AG359" s="207"/>
      <c r="AH359" s="207"/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07"/>
      <c r="BA359" s="207"/>
    </row>
    <row r="360" ht="18.75" hidden="1" customHeight="1">
      <c r="A360" s="207"/>
      <c r="B360" s="207"/>
      <c r="C360" s="207"/>
      <c r="D360" s="207"/>
      <c r="E360" s="207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  <c r="AA360" s="207"/>
      <c r="AB360" s="207"/>
      <c r="AC360" s="207"/>
      <c r="AD360" s="207"/>
      <c r="AE360" s="207"/>
      <c r="AF360" s="207"/>
      <c r="AG360" s="207"/>
      <c r="AH360" s="207"/>
      <c r="AI360" s="207"/>
      <c r="AJ360" s="207"/>
      <c r="AK360" s="207"/>
      <c r="AL360" s="207"/>
      <c r="AM360" s="207"/>
      <c r="AN360" s="207"/>
      <c r="AO360" s="207"/>
      <c r="AP360" s="207"/>
      <c r="AQ360" s="207"/>
      <c r="AR360" s="207"/>
      <c r="AS360" s="207"/>
      <c r="AT360" s="207"/>
      <c r="AU360" s="207"/>
      <c r="AV360" s="207"/>
      <c r="AW360" s="207"/>
      <c r="AX360" s="207"/>
      <c r="AY360" s="207"/>
      <c r="AZ360" s="207"/>
      <c r="BA360" s="207"/>
    </row>
    <row r="361" ht="18.75" hidden="1" customHeight="1">
      <c r="A361" s="207"/>
      <c r="B361" s="207"/>
      <c r="C361" s="207"/>
      <c r="D361" s="207"/>
      <c r="E361" s="207"/>
      <c r="F361" s="207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  <c r="AA361" s="207"/>
      <c r="AB361" s="207"/>
      <c r="AC361" s="207"/>
      <c r="AD361" s="207"/>
      <c r="AE361" s="207"/>
      <c r="AF361" s="207"/>
      <c r="AG361" s="207"/>
      <c r="AH361" s="207"/>
      <c r="AI361" s="207"/>
      <c r="AJ361" s="207"/>
      <c r="AK361" s="207"/>
      <c r="AL361" s="207"/>
      <c r="AM361" s="207"/>
      <c r="AN361" s="207"/>
      <c r="AO361" s="207"/>
      <c r="AP361" s="207"/>
      <c r="AQ361" s="207"/>
      <c r="AR361" s="207"/>
      <c r="AS361" s="207"/>
      <c r="AT361" s="207"/>
      <c r="AU361" s="207"/>
      <c r="AV361" s="207"/>
      <c r="AW361" s="207"/>
      <c r="AX361" s="207"/>
      <c r="AY361" s="207"/>
      <c r="AZ361" s="207"/>
      <c r="BA361" s="207"/>
    </row>
    <row r="362" ht="18.75" hidden="1" customHeight="1">
      <c r="A362" s="207"/>
      <c r="B362" s="207"/>
      <c r="C362" s="207"/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  <c r="AA362" s="207"/>
      <c r="AB362" s="207"/>
      <c r="AC362" s="207"/>
      <c r="AD362" s="207"/>
      <c r="AE362" s="207"/>
      <c r="AF362" s="207"/>
      <c r="AG362" s="207"/>
      <c r="AH362" s="207"/>
      <c r="AI362" s="207"/>
      <c r="AJ362" s="207"/>
      <c r="AK362" s="207"/>
      <c r="AL362" s="207"/>
      <c r="AM362" s="207"/>
      <c r="AN362" s="207"/>
      <c r="AO362" s="207"/>
      <c r="AP362" s="207"/>
      <c r="AQ362" s="207"/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</row>
    <row r="363" ht="18.75" hidden="1" customHeight="1">
      <c r="A363" s="207"/>
      <c r="B363" s="207"/>
      <c r="C363" s="207"/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  <c r="AA363" s="207"/>
      <c r="AB363" s="207"/>
      <c r="AC363" s="207"/>
      <c r="AD363" s="207"/>
      <c r="AE363" s="207"/>
      <c r="AF363" s="207"/>
      <c r="AG363" s="207"/>
      <c r="AH363" s="207"/>
      <c r="AI363" s="207"/>
      <c r="AJ363" s="207"/>
      <c r="AK363" s="207"/>
      <c r="AL363" s="207"/>
      <c r="AM363" s="207"/>
      <c r="AN363" s="207"/>
      <c r="AO363" s="207"/>
      <c r="AP363" s="207"/>
      <c r="AQ363" s="207"/>
      <c r="AR363" s="207"/>
      <c r="AS363" s="207"/>
      <c r="AT363" s="207"/>
      <c r="AU363" s="207"/>
      <c r="AV363" s="207"/>
      <c r="AW363" s="207"/>
      <c r="AX363" s="207"/>
      <c r="AY363" s="207"/>
      <c r="AZ363" s="207"/>
      <c r="BA363" s="207"/>
    </row>
    <row r="364" ht="18.75" hidden="1" customHeight="1">
      <c r="A364" s="207"/>
      <c r="B364" s="207"/>
      <c r="C364" s="207"/>
      <c r="D364" s="207"/>
      <c r="E364" s="207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  <c r="AA364" s="207"/>
      <c r="AB364" s="207"/>
      <c r="AC364" s="207"/>
      <c r="AD364" s="207"/>
      <c r="AE364" s="207"/>
      <c r="AF364" s="207"/>
      <c r="AG364" s="207"/>
      <c r="AH364" s="207"/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</row>
    <row r="365" ht="18.75" hidden="1" customHeight="1">
      <c r="A365" s="207"/>
      <c r="B365" s="207"/>
      <c r="C365" s="207"/>
      <c r="D365" s="207"/>
      <c r="E365" s="207"/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  <c r="AA365" s="207"/>
      <c r="AB365" s="207"/>
      <c r="AC365" s="207"/>
      <c r="AD365" s="207"/>
      <c r="AE365" s="207"/>
      <c r="AF365" s="207"/>
      <c r="AG365" s="207"/>
      <c r="AH365" s="207"/>
      <c r="AI365" s="207"/>
      <c r="AJ365" s="207"/>
      <c r="AK365" s="207"/>
      <c r="AL365" s="207"/>
      <c r="AM365" s="207"/>
      <c r="AN365" s="207"/>
      <c r="AO365" s="207"/>
      <c r="AP365" s="207"/>
      <c r="AQ365" s="207"/>
      <c r="AR365" s="207"/>
      <c r="AS365" s="207"/>
      <c r="AT365" s="207"/>
      <c r="AU365" s="207"/>
      <c r="AV365" s="207"/>
      <c r="AW365" s="207"/>
      <c r="AX365" s="207"/>
      <c r="AY365" s="207"/>
      <c r="AZ365" s="207"/>
      <c r="BA365" s="207"/>
    </row>
    <row r="366" ht="18.75" hidden="1" customHeight="1">
      <c r="A366" s="207"/>
      <c r="B366" s="207"/>
      <c r="C366" s="207"/>
      <c r="D366" s="207"/>
      <c r="E366" s="207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  <c r="AA366" s="207"/>
      <c r="AB366" s="207"/>
      <c r="AC366" s="207"/>
      <c r="AD366" s="207"/>
      <c r="AE366" s="207"/>
      <c r="AF366" s="207"/>
      <c r="AG366" s="207"/>
      <c r="AH366" s="207"/>
      <c r="AI366" s="207"/>
      <c r="AJ366" s="207"/>
      <c r="AK366" s="207"/>
      <c r="AL366" s="207"/>
      <c r="AM366" s="207"/>
      <c r="AN366" s="207"/>
      <c r="AO366" s="207"/>
      <c r="AP366" s="207"/>
      <c r="AQ366" s="207"/>
      <c r="AR366" s="207"/>
      <c r="AS366" s="207"/>
      <c r="AT366" s="207"/>
      <c r="AU366" s="207"/>
      <c r="AV366" s="207"/>
      <c r="AW366" s="207"/>
      <c r="AX366" s="207"/>
      <c r="AY366" s="207"/>
      <c r="AZ366" s="207"/>
      <c r="BA366" s="207"/>
    </row>
    <row r="367" ht="18.75" hidden="1" customHeight="1">
      <c r="A367" s="207"/>
      <c r="B367" s="207"/>
      <c r="C367" s="207"/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  <c r="AA367" s="207"/>
      <c r="AB367" s="207"/>
      <c r="AC367" s="207"/>
      <c r="AD367" s="207"/>
      <c r="AE367" s="207"/>
      <c r="AF367" s="207"/>
      <c r="AG367" s="207"/>
      <c r="AH367" s="207"/>
      <c r="AI367" s="207"/>
      <c r="AJ367" s="207"/>
      <c r="AK367" s="207"/>
      <c r="AL367" s="207"/>
      <c r="AM367" s="207"/>
      <c r="AN367" s="207"/>
      <c r="AO367" s="207"/>
      <c r="AP367" s="207"/>
      <c r="AQ367" s="207"/>
      <c r="AR367" s="207"/>
      <c r="AS367" s="207"/>
      <c r="AT367" s="207"/>
      <c r="AU367" s="207"/>
      <c r="AV367" s="207"/>
      <c r="AW367" s="207"/>
      <c r="AX367" s="207"/>
      <c r="AY367" s="207"/>
      <c r="AZ367" s="207"/>
      <c r="BA367" s="207"/>
    </row>
    <row r="368" ht="18.75" hidden="1" customHeight="1">
      <c r="A368" s="207"/>
      <c r="B368" s="207"/>
      <c r="C368" s="207"/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  <c r="AA368" s="207"/>
      <c r="AB368" s="207"/>
      <c r="AC368" s="207"/>
      <c r="AD368" s="207"/>
      <c r="AE368" s="207"/>
      <c r="AF368" s="207"/>
      <c r="AG368" s="207"/>
      <c r="AH368" s="207"/>
      <c r="AI368" s="207"/>
      <c r="AJ368" s="207"/>
      <c r="AK368" s="207"/>
      <c r="AL368" s="207"/>
      <c r="AM368" s="207"/>
      <c r="AN368" s="207"/>
      <c r="AO368" s="207"/>
      <c r="AP368" s="207"/>
      <c r="AQ368" s="207"/>
      <c r="AR368" s="207"/>
      <c r="AS368" s="207"/>
      <c r="AT368" s="207"/>
      <c r="AU368" s="207"/>
      <c r="AV368" s="207"/>
      <c r="AW368" s="207"/>
      <c r="AX368" s="207"/>
      <c r="AY368" s="207"/>
      <c r="AZ368" s="207"/>
      <c r="BA368" s="207"/>
    </row>
    <row r="369" ht="18.75" hidden="1" customHeight="1">
      <c r="A369" s="207"/>
      <c r="B369" s="207"/>
      <c r="C369" s="207"/>
      <c r="D369" s="207"/>
      <c r="E369" s="207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  <c r="AA369" s="207"/>
      <c r="AB369" s="207"/>
      <c r="AC369" s="207"/>
      <c r="AD369" s="207"/>
      <c r="AE369" s="207"/>
      <c r="AF369" s="207"/>
      <c r="AG369" s="207"/>
      <c r="AH369" s="207"/>
      <c r="AI369" s="207"/>
      <c r="AJ369" s="207"/>
      <c r="AK369" s="207"/>
      <c r="AL369" s="207"/>
      <c r="AM369" s="207"/>
      <c r="AN369" s="207"/>
      <c r="AO369" s="207"/>
      <c r="AP369" s="207"/>
      <c r="AQ369" s="207"/>
      <c r="AR369" s="207"/>
      <c r="AS369" s="207"/>
      <c r="AT369" s="207"/>
      <c r="AU369" s="207"/>
      <c r="AV369" s="207"/>
      <c r="AW369" s="207"/>
      <c r="AX369" s="207"/>
      <c r="AY369" s="207"/>
      <c r="AZ369" s="207"/>
      <c r="BA369" s="207"/>
    </row>
    <row r="370" ht="18.75" hidden="1" customHeight="1">
      <c r="A370" s="207"/>
      <c r="B370" s="207"/>
      <c r="C370" s="207"/>
      <c r="D370" s="207"/>
      <c r="E370" s="207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  <c r="AA370" s="207"/>
      <c r="AB370" s="207"/>
      <c r="AC370" s="207"/>
      <c r="AD370" s="207"/>
      <c r="AE370" s="207"/>
      <c r="AF370" s="207"/>
      <c r="AG370" s="207"/>
      <c r="AH370" s="207"/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</row>
    <row r="371" ht="18.75" hidden="1" customHeight="1">
      <c r="A371" s="207"/>
      <c r="B371" s="207"/>
      <c r="C371" s="207"/>
      <c r="D371" s="207"/>
      <c r="E371" s="207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  <c r="AA371" s="207"/>
      <c r="AB371" s="207"/>
      <c r="AC371" s="207"/>
      <c r="AD371" s="207"/>
      <c r="AE371" s="207"/>
      <c r="AF371" s="207"/>
      <c r="AG371" s="207"/>
      <c r="AH371" s="207"/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</row>
    <row r="372" ht="18.75" hidden="1" customHeight="1">
      <c r="A372" s="207"/>
      <c r="B372" s="207"/>
      <c r="C372" s="207"/>
      <c r="D372" s="207"/>
      <c r="E372" s="207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  <c r="AA372" s="207"/>
      <c r="AB372" s="207"/>
      <c r="AC372" s="207"/>
      <c r="AD372" s="207"/>
      <c r="AE372" s="207"/>
      <c r="AF372" s="207"/>
      <c r="AG372" s="207"/>
      <c r="AH372" s="207"/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</row>
    <row r="373" ht="18.75" hidden="1" customHeight="1">
      <c r="A373" s="207"/>
      <c r="B373" s="207"/>
      <c r="C373" s="207"/>
      <c r="D373" s="207"/>
      <c r="E373" s="207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  <c r="AA373" s="207"/>
      <c r="AB373" s="207"/>
      <c r="AC373" s="207"/>
      <c r="AD373" s="207"/>
      <c r="AE373" s="207"/>
      <c r="AF373" s="207"/>
      <c r="AG373" s="207"/>
      <c r="AH373" s="207"/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</row>
    <row r="374" ht="18.75" hidden="1" customHeight="1">
      <c r="A374" s="207"/>
      <c r="B374" s="207"/>
      <c r="C374" s="207"/>
      <c r="D374" s="207"/>
      <c r="E374" s="207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  <c r="AA374" s="207"/>
      <c r="AB374" s="207"/>
      <c r="AC374" s="207"/>
      <c r="AD374" s="207"/>
      <c r="AE374" s="207"/>
      <c r="AF374" s="207"/>
      <c r="AG374" s="207"/>
      <c r="AH374" s="207"/>
      <c r="AI374" s="207"/>
      <c r="AJ374" s="207"/>
      <c r="AK374" s="207"/>
      <c r="AL374" s="207"/>
      <c r="AM374" s="207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7"/>
    </row>
    <row r="375" ht="18.75" hidden="1" customHeight="1">
      <c r="A375" s="207"/>
      <c r="B375" s="207"/>
      <c r="C375" s="207"/>
      <c r="D375" s="207"/>
      <c r="E375" s="207"/>
      <c r="F375" s="207"/>
      <c r="G375" s="207"/>
      <c r="H375" s="207"/>
      <c r="I375" s="207"/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  <c r="AA375" s="207"/>
      <c r="AB375" s="207"/>
      <c r="AC375" s="207"/>
      <c r="AD375" s="207"/>
      <c r="AE375" s="207"/>
      <c r="AF375" s="207"/>
      <c r="AG375" s="207"/>
      <c r="AH375" s="207"/>
      <c r="AI375" s="207"/>
      <c r="AJ375" s="207"/>
      <c r="AK375" s="207"/>
      <c r="AL375" s="207"/>
      <c r="AM375" s="207"/>
      <c r="AN375" s="207"/>
      <c r="AO375" s="207"/>
      <c r="AP375" s="207"/>
      <c r="AQ375" s="207"/>
      <c r="AR375" s="207"/>
      <c r="AS375" s="207"/>
      <c r="AT375" s="207"/>
      <c r="AU375" s="207"/>
      <c r="AV375" s="207"/>
      <c r="AW375" s="207"/>
      <c r="AX375" s="207"/>
      <c r="AY375" s="207"/>
      <c r="AZ375" s="207"/>
      <c r="BA375" s="207"/>
    </row>
    <row r="376" ht="18.75" hidden="1" customHeight="1">
      <c r="A376" s="207"/>
      <c r="B376" s="207"/>
      <c r="C376" s="207"/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  <c r="AA376" s="207"/>
      <c r="AB376" s="207"/>
      <c r="AC376" s="207"/>
      <c r="AD376" s="207"/>
      <c r="AE376" s="207"/>
      <c r="AF376" s="207"/>
      <c r="AG376" s="207"/>
      <c r="AH376" s="207"/>
      <c r="AI376" s="207"/>
      <c r="AJ376" s="207"/>
      <c r="AK376" s="207"/>
      <c r="AL376" s="207"/>
      <c r="AM376" s="207"/>
      <c r="AN376" s="207"/>
      <c r="AO376" s="207"/>
      <c r="AP376" s="207"/>
      <c r="AQ376" s="207"/>
      <c r="AR376" s="207"/>
      <c r="AS376" s="207"/>
      <c r="AT376" s="207"/>
      <c r="AU376" s="207"/>
      <c r="AV376" s="207"/>
      <c r="AW376" s="207"/>
      <c r="AX376" s="207"/>
      <c r="AY376" s="207"/>
      <c r="AZ376" s="207"/>
      <c r="BA376" s="207"/>
    </row>
    <row r="377" ht="18.75" hidden="1" customHeight="1">
      <c r="A377" s="207"/>
      <c r="B377" s="207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  <c r="AA377" s="207"/>
      <c r="AB377" s="207"/>
      <c r="AC377" s="207"/>
      <c r="AD377" s="207"/>
      <c r="AE377" s="207"/>
      <c r="AF377" s="207"/>
      <c r="AG377" s="207"/>
      <c r="AH377" s="207"/>
      <c r="AI377" s="207"/>
      <c r="AJ377" s="207"/>
      <c r="AK377" s="207"/>
      <c r="AL377" s="207"/>
      <c r="AM377" s="207"/>
      <c r="AN377" s="207"/>
      <c r="AO377" s="207"/>
      <c r="AP377" s="207"/>
      <c r="AQ377" s="207"/>
      <c r="AR377" s="207"/>
      <c r="AS377" s="207"/>
      <c r="AT377" s="207"/>
      <c r="AU377" s="207"/>
      <c r="AV377" s="207"/>
      <c r="AW377" s="207"/>
      <c r="AX377" s="207"/>
      <c r="AY377" s="207"/>
      <c r="AZ377" s="207"/>
      <c r="BA377" s="207"/>
    </row>
    <row r="378" ht="18.75" hidden="1" customHeight="1">
      <c r="A378" s="207"/>
      <c r="B378" s="207"/>
      <c r="C378" s="207"/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  <c r="AA378" s="207"/>
      <c r="AB378" s="207"/>
      <c r="AC378" s="207"/>
      <c r="AD378" s="207"/>
      <c r="AE378" s="207"/>
      <c r="AF378" s="207"/>
      <c r="AG378" s="207"/>
      <c r="AH378" s="207"/>
      <c r="AI378" s="207"/>
      <c r="AJ378" s="207"/>
      <c r="AK378" s="207"/>
      <c r="AL378" s="207"/>
      <c r="AM378" s="207"/>
      <c r="AN378" s="207"/>
      <c r="AO378" s="207"/>
      <c r="AP378" s="207"/>
      <c r="AQ378" s="207"/>
      <c r="AR378" s="207"/>
      <c r="AS378" s="207"/>
      <c r="AT378" s="207"/>
      <c r="AU378" s="207"/>
      <c r="AV378" s="207"/>
      <c r="AW378" s="207"/>
      <c r="AX378" s="207"/>
      <c r="AY378" s="207"/>
      <c r="AZ378" s="207"/>
      <c r="BA378" s="207"/>
    </row>
    <row r="379" ht="18.75" hidden="1" customHeight="1">
      <c r="A379" s="207"/>
      <c r="B379" s="207"/>
      <c r="C379" s="207"/>
      <c r="D379" s="207"/>
      <c r="E379" s="207"/>
      <c r="F379" s="207"/>
      <c r="G379" s="207"/>
      <c r="H379" s="207"/>
      <c r="I379" s="207"/>
      <c r="J379" s="207"/>
      <c r="K379" s="207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  <c r="AA379" s="207"/>
      <c r="AB379" s="207"/>
      <c r="AC379" s="207"/>
      <c r="AD379" s="207"/>
      <c r="AE379" s="207"/>
      <c r="AF379" s="207"/>
      <c r="AG379" s="207"/>
      <c r="AH379" s="207"/>
      <c r="AI379" s="207"/>
      <c r="AJ379" s="207"/>
      <c r="AK379" s="207"/>
      <c r="AL379" s="207"/>
      <c r="AM379" s="207"/>
      <c r="AN379" s="207"/>
      <c r="AO379" s="207"/>
      <c r="AP379" s="207"/>
      <c r="AQ379" s="207"/>
      <c r="AR379" s="207"/>
      <c r="AS379" s="207"/>
      <c r="AT379" s="207"/>
      <c r="AU379" s="207"/>
      <c r="AV379" s="207"/>
      <c r="AW379" s="207"/>
      <c r="AX379" s="207"/>
      <c r="AY379" s="207"/>
      <c r="AZ379" s="207"/>
      <c r="BA379" s="207"/>
    </row>
    <row r="380" ht="18.75" hidden="1" customHeight="1">
      <c r="A380" s="207"/>
      <c r="B380" s="207"/>
      <c r="C380" s="207"/>
      <c r="D380" s="207"/>
      <c r="E380" s="207"/>
      <c r="F380" s="207"/>
      <c r="G380" s="207"/>
      <c r="H380" s="207"/>
      <c r="I380" s="207"/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  <c r="AA380" s="207"/>
      <c r="AB380" s="207"/>
      <c r="AC380" s="207"/>
      <c r="AD380" s="207"/>
      <c r="AE380" s="207"/>
      <c r="AF380" s="207"/>
      <c r="AG380" s="207"/>
      <c r="AH380" s="207"/>
      <c r="AI380" s="207"/>
      <c r="AJ380" s="207"/>
      <c r="AK380" s="207"/>
      <c r="AL380" s="207"/>
      <c r="AM380" s="207"/>
      <c r="AN380" s="207"/>
      <c r="AO380" s="207"/>
      <c r="AP380" s="207"/>
      <c r="AQ380" s="207"/>
      <c r="AR380" s="207"/>
      <c r="AS380" s="207"/>
      <c r="AT380" s="207"/>
      <c r="AU380" s="207"/>
      <c r="AV380" s="207"/>
      <c r="AW380" s="207"/>
      <c r="AX380" s="207"/>
      <c r="AY380" s="207"/>
      <c r="AZ380" s="207"/>
      <c r="BA380" s="207"/>
    </row>
    <row r="381" ht="18.75" hidden="1" customHeight="1">
      <c r="A381" s="207"/>
      <c r="B381" s="207"/>
      <c r="C381" s="207"/>
      <c r="D381" s="207"/>
      <c r="E381" s="207"/>
      <c r="F381" s="207"/>
      <c r="G381" s="207"/>
      <c r="H381" s="207"/>
      <c r="I381" s="207"/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  <c r="AA381" s="207"/>
      <c r="AB381" s="207"/>
      <c r="AC381" s="207"/>
      <c r="AD381" s="207"/>
      <c r="AE381" s="207"/>
      <c r="AF381" s="207"/>
      <c r="AG381" s="207"/>
      <c r="AH381" s="207"/>
      <c r="AI381" s="207"/>
      <c r="AJ381" s="207"/>
      <c r="AK381" s="207"/>
      <c r="AL381" s="207"/>
      <c r="AM381" s="207"/>
      <c r="AN381" s="207"/>
      <c r="AO381" s="207"/>
      <c r="AP381" s="207"/>
      <c r="AQ381" s="207"/>
      <c r="AR381" s="207"/>
      <c r="AS381" s="207"/>
      <c r="AT381" s="207"/>
      <c r="AU381" s="207"/>
      <c r="AV381" s="207"/>
      <c r="AW381" s="207"/>
      <c r="AX381" s="207"/>
      <c r="AY381" s="207"/>
      <c r="AZ381" s="207"/>
      <c r="BA381" s="207"/>
    </row>
    <row r="382" ht="18.75" hidden="1" customHeight="1">
      <c r="A382" s="207"/>
      <c r="B382" s="207"/>
      <c r="C382" s="207"/>
      <c r="D382" s="207"/>
      <c r="E382" s="207"/>
      <c r="F382" s="207"/>
      <c r="G382" s="207"/>
      <c r="H382" s="207"/>
      <c r="I382" s="207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  <c r="AA382" s="207"/>
      <c r="AB382" s="207"/>
      <c r="AC382" s="207"/>
      <c r="AD382" s="207"/>
      <c r="AE382" s="207"/>
      <c r="AF382" s="207"/>
      <c r="AG382" s="207"/>
      <c r="AH382" s="207"/>
      <c r="AI382" s="207"/>
      <c r="AJ382" s="207"/>
      <c r="AK382" s="207"/>
      <c r="AL382" s="207"/>
      <c r="AM382" s="207"/>
      <c r="AN382" s="207"/>
      <c r="AO382" s="207"/>
      <c r="AP382" s="207"/>
      <c r="AQ382" s="207"/>
      <c r="AR382" s="207"/>
      <c r="AS382" s="207"/>
      <c r="AT382" s="207"/>
      <c r="AU382" s="207"/>
      <c r="AV382" s="207"/>
      <c r="AW382" s="207"/>
      <c r="AX382" s="207"/>
      <c r="AY382" s="207"/>
      <c r="AZ382" s="207"/>
      <c r="BA382" s="207"/>
    </row>
    <row r="383" ht="18.75" hidden="1" customHeight="1">
      <c r="A383" s="207"/>
      <c r="B383" s="207"/>
      <c r="C383" s="207"/>
      <c r="D383" s="207"/>
      <c r="E383" s="207"/>
      <c r="F383" s="207"/>
      <c r="G383" s="207"/>
      <c r="H383" s="207"/>
      <c r="I383" s="207"/>
      <c r="J383" s="207"/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  <c r="AA383" s="207"/>
      <c r="AB383" s="207"/>
      <c r="AC383" s="207"/>
      <c r="AD383" s="207"/>
      <c r="AE383" s="207"/>
      <c r="AF383" s="207"/>
      <c r="AG383" s="207"/>
      <c r="AH383" s="207"/>
      <c r="AI383" s="207"/>
      <c r="AJ383" s="207"/>
      <c r="AK383" s="207"/>
      <c r="AL383" s="207"/>
      <c r="AM383" s="207"/>
      <c r="AN383" s="207"/>
      <c r="AO383" s="207"/>
      <c r="AP383" s="207"/>
      <c r="AQ383" s="207"/>
      <c r="AR383" s="207"/>
      <c r="AS383" s="207"/>
      <c r="AT383" s="207"/>
      <c r="AU383" s="207"/>
      <c r="AV383" s="207"/>
      <c r="AW383" s="207"/>
      <c r="AX383" s="207"/>
      <c r="AY383" s="207"/>
      <c r="AZ383" s="207"/>
      <c r="BA383" s="207"/>
    </row>
    <row r="384" ht="18.75" hidden="1" customHeight="1">
      <c r="A384" s="207"/>
      <c r="B384" s="207"/>
      <c r="C384" s="207"/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  <c r="AB384" s="207"/>
      <c r="AC384" s="207"/>
      <c r="AD384" s="207"/>
      <c r="AE384" s="207"/>
      <c r="AF384" s="207"/>
      <c r="AG384" s="207"/>
      <c r="AH384" s="207"/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</row>
    <row r="385" ht="18.75" hidden="1" customHeight="1">
      <c r="A385" s="207"/>
      <c r="B385" s="207"/>
      <c r="C385" s="207"/>
      <c r="D385" s="207"/>
      <c r="E385" s="207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  <c r="AA385" s="207"/>
      <c r="AB385" s="207"/>
      <c r="AC385" s="207"/>
      <c r="AD385" s="207"/>
      <c r="AE385" s="207"/>
      <c r="AF385" s="207"/>
      <c r="AG385" s="207"/>
      <c r="AH385" s="207"/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07"/>
    </row>
    <row r="386" ht="18.75" hidden="1" customHeight="1">
      <c r="A386" s="207"/>
      <c r="B386" s="207"/>
      <c r="C386" s="207"/>
      <c r="D386" s="207"/>
      <c r="E386" s="207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  <c r="AB386" s="207"/>
      <c r="AC386" s="207"/>
      <c r="AD386" s="207"/>
      <c r="AE386" s="207"/>
      <c r="AF386" s="207"/>
      <c r="AG386" s="207"/>
      <c r="AH386" s="207"/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</row>
    <row r="387" ht="18.75" hidden="1" customHeight="1">
      <c r="A387" s="207"/>
      <c r="B387" s="207"/>
      <c r="C387" s="207"/>
      <c r="D387" s="207"/>
      <c r="E387" s="207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  <c r="AB387" s="207"/>
      <c r="AC387" s="207"/>
      <c r="AD387" s="207"/>
      <c r="AE387" s="207"/>
      <c r="AF387" s="207"/>
      <c r="AG387" s="207"/>
      <c r="AH387" s="207"/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</row>
    <row r="388" ht="18.75" hidden="1" customHeight="1">
      <c r="A388" s="207"/>
      <c r="B388" s="207"/>
      <c r="C388" s="207"/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  <c r="AA388" s="207"/>
      <c r="AB388" s="207"/>
      <c r="AC388" s="207"/>
      <c r="AD388" s="207"/>
      <c r="AE388" s="207"/>
      <c r="AF388" s="207"/>
      <c r="AG388" s="207"/>
      <c r="AH388" s="207"/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07"/>
    </row>
    <row r="389" ht="18.75" hidden="1" customHeight="1">
      <c r="A389" s="207"/>
      <c r="B389" s="207"/>
      <c r="C389" s="207"/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  <c r="AA389" s="207"/>
      <c r="AB389" s="207"/>
      <c r="AC389" s="207"/>
      <c r="AD389" s="207"/>
      <c r="AE389" s="207"/>
      <c r="AF389" s="207"/>
      <c r="AG389" s="207"/>
      <c r="AH389" s="207"/>
      <c r="AI389" s="207"/>
      <c r="AJ389" s="207"/>
      <c r="AK389" s="207"/>
      <c r="AL389" s="207"/>
      <c r="AM389" s="207"/>
      <c r="AN389" s="207"/>
      <c r="AO389" s="207"/>
      <c r="AP389" s="207"/>
      <c r="AQ389" s="207"/>
      <c r="AR389" s="207"/>
      <c r="AS389" s="207"/>
      <c r="AT389" s="207"/>
      <c r="AU389" s="207"/>
      <c r="AV389" s="207"/>
      <c r="AW389" s="207"/>
      <c r="AX389" s="207"/>
      <c r="AY389" s="207"/>
      <c r="AZ389" s="207"/>
      <c r="BA389" s="207"/>
    </row>
    <row r="390" ht="18.75" hidden="1" customHeight="1">
      <c r="A390" s="207"/>
      <c r="B390" s="207"/>
      <c r="C390" s="207"/>
      <c r="D390" s="207"/>
      <c r="E390" s="207"/>
      <c r="F390" s="207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  <c r="AA390" s="207"/>
      <c r="AB390" s="207"/>
      <c r="AC390" s="207"/>
      <c r="AD390" s="207"/>
      <c r="AE390" s="207"/>
      <c r="AF390" s="207"/>
      <c r="AG390" s="207"/>
      <c r="AH390" s="207"/>
      <c r="AI390" s="207"/>
      <c r="AJ390" s="207"/>
      <c r="AK390" s="207"/>
      <c r="AL390" s="207"/>
      <c r="AM390" s="207"/>
      <c r="AN390" s="207"/>
      <c r="AO390" s="207"/>
      <c r="AP390" s="207"/>
      <c r="AQ390" s="207"/>
      <c r="AR390" s="207"/>
      <c r="AS390" s="207"/>
      <c r="AT390" s="207"/>
      <c r="AU390" s="207"/>
      <c r="AV390" s="207"/>
      <c r="AW390" s="207"/>
      <c r="AX390" s="207"/>
      <c r="AY390" s="207"/>
      <c r="AZ390" s="207"/>
      <c r="BA390" s="207"/>
    </row>
    <row r="391" ht="18.75" hidden="1" customHeight="1">
      <c r="A391" s="207"/>
      <c r="B391" s="207"/>
      <c r="C391" s="207"/>
      <c r="D391" s="207"/>
      <c r="E391" s="207"/>
      <c r="F391" s="207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  <c r="AA391" s="207"/>
      <c r="AB391" s="207"/>
      <c r="AC391" s="207"/>
      <c r="AD391" s="207"/>
      <c r="AE391" s="207"/>
      <c r="AF391" s="207"/>
      <c r="AG391" s="207"/>
      <c r="AH391" s="207"/>
      <c r="AI391" s="207"/>
      <c r="AJ391" s="207"/>
      <c r="AK391" s="207"/>
      <c r="AL391" s="207"/>
      <c r="AM391" s="207"/>
      <c r="AN391" s="207"/>
      <c r="AO391" s="207"/>
      <c r="AP391" s="207"/>
      <c r="AQ391" s="207"/>
      <c r="AR391" s="207"/>
      <c r="AS391" s="207"/>
      <c r="AT391" s="207"/>
      <c r="AU391" s="207"/>
      <c r="AV391" s="207"/>
      <c r="AW391" s="207"/>
      <c r="AX391" s="207"/>
      <c r="AY391" s="207"/>
      <c r="AZ391" s="207"/>
      <c r="BA391" s="207"/>
    </row>
    <row r="392" ht="18.75" hidden="1" customHeight="1">
      <c r="A392" s="207"/>
      <c r="B392" s="207"/>
      <c r="C392" s="207"/>
      <c r="D392" s="207"/>
      <c r="E392" s="207"/>
      <c r="F392" s="207"/>
      <c r="G392" s="207"/>
      <c r="H392" s="207"/>
      <c r="I392" s="207"/>
      <c r="J392" s="207"/>
      <c r="K392" s="207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  <c r="AA392" s="207"/>
      <c r="AB392" s="207"/>
      <c r="AC392" s="207"/>
      <c r="AD392" s="207"/>
      <c r="AE392" s="207"/>
      <c r="AF392" s="207"/>
      <c r="AG392" s="207"/>
      <c r="AH392" s="207"/>
      <c r="AI392" s="207"/>
      <c r="AJ392" s="207"/>
      <c r="AK392" s="207"/>
      <c r="AL392" s="207"/>
      <c r="AM392" s="207"/>
      <c r="AN392" s="207"/>
      <c r="AO392" s="207"/>
      <c r="AP392" s="207"/>
      <c r="AQ392" s="207"/>
      <c r="AR392" s="207"/>
      <c r="AS392" s="207"/>
      <c r="AT392" s="207"/>
      <c r="AU392" s="207"/>
      <c r="AV392" s="207"/>
      <c r="AW392" s="207"/>
      <c r="AX392" s="207"/>
      <c r="AY392" s="207"/>
      <c r="AZ392" s="207"/>
      <c r="BA392" s="207"/>
    </row>
    <row r="393" ht="18.75" hidden="1" customHeight="1">
      <c r="A393" s="207"/>
      <c r="B393" s="207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  <c r="AA393" s="207"/>
      <c r="AB393" s="207"/>
      <c r="AC393" s="207"/>
      <c r="AD393" s="207"/>
      <c r="AE393" s="207"/>
      <c r="AF393" s="207"/>
      <c r="AG393" s="207"/>
      <c r="AH393" s="207"/>
      <c r="AI393" s="207"/>
      <c r="AJ393" s="207"/>
      <c r="AK393" s="207"/>
      <c r="AL393" s="207"/>
      <c r="AM393" s="207"/>
      <c r="AN393" s="207"/>
      <c r="AO393" s="207"/>
      <c r="AP393" s="207"/>
      <c r="AQ393" s="207"/>
      <c r="AR393" s="207"/>
      <c r="AS393" s="207"/>
      <c r="AT393" s="207"/>
      <c r="AU393" s="207"/>
      <c r="AV393" s="207"/>
      <c r="AW393" s="207"/>
      <c r="AX393" s="207"/>
      <c r="AY393" s="207"/>
      <c r="AZ393" s="207"/>
      <c r="BA393" s="207"/>
    </row>
    <row r="394" ht="18.75" hidden="1" customHeight="1">
      <c r="A394" s="207"/>
      <c r="B394" s="207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  <c r="AA394" s="207"/>
      <c r="AB394" s="207"/>
      <c r="AC394" s="207"/>
      <c r="AD394" s="207"/>
      <c r="AE394" s="207"/>
      <c r="AF394" s="207"/>
      <c r="AG394" s="207"/>
      <c r="AH394" s="207"/>
      <c r="AI394" s="207"/>
      <c r="AJ394" s="207"/>
      <c r="AK394" s="207"/>
      <c r="AL394" s="207"/>
      <c r="AM394" s="207"/>
      <c r="AN394" s="207"/>
      <c r="AO394" s="207"/>
      <c r="AP394" s="207"/>
      <c r="AQ394" s="207"/>
      <c r="AR394" s="207"/>
      <c r="AS394" s="207"/>
      <c r="AT394" s="207"/>
      <c r="AU394" s="207"/>
      <c r="AV394" s="207"/>
      <c r="AW394" s="207"/>
      <c r="AX394" s="207"/>
      <c r="AY394" s="207"/>
      <c r="AZ394" s="207"/>
      <c r="BA394" s="207"/>
    </row>
    <row r="395" ht="18.75" hidden="1" customHeight="1">
      <c r="A395" s="207"/>
      <c r="B395" s="207"/>
      <c r="C395" s="207"/>
      <c r="D395" s="207"/>
      <c r="E395" s="207"/>
      <c r="F395" s="207"/>
      <c r="G395" s="207"/>
      <c r="H395" s="207"/>
      <c r="I395" s="207"/>
      <c r="J395" s="207"/>
      <c r="K395" s="207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  <c r="AA395" s="207"/>
      <c r="AB395" s="207"/>
      <c r="AC395" s="207"/>
      <c r="AD395" s="207"/>
      <c r="AE395" s="207"/>
      <c r="AF395" s="207"/>
      <c r="AG395" s="207"/>
      <c r="AH395" s="207"/>
      <c r="AI395" s="207"/>
      <c r="AJ395" s="207"/>
      <c r="AK395" s="207"/>
      <c r="AL395" s="207"/>
      <c r="AM395" s="207"/>
      <c r="AN395" s="207"/>
      <c r="AO395" s="207"/>
      <c r="AP395" s="207"/>
      <c r="AQ395" s="207"/>
      <c r="AR395" s="207"/>
      <c r="AS395" s="207"/>
      <c r="AT395" s="207"/>
      <c r="AU395" s="207"/>
      <c r="AV395" s="207"/>
      <c r="AW395" s="207"/>
      <c r="AX395" s="207"/>
      <c r="AY395" s="207"/>
      <c r="AZ395" s="207"/>
      <c r="BA395" s="207"/>
    </row>
    <row r="396" ht="18.75" hidden="1" customHeight="1">
      <c r="A396" s="207"/>
      <c r="B396" s="207"/>
      <c r="C396" s="207"/>
      <c r="D396" s="207"/>
      <c r="E396" s="207"/>
      <c r="F396" s="207"/>
      <c r="G396" s="207"/>
      <c r="H396" s="207"/>
      <c r="I396" s="207"/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  <c r="AA396" s="207"/>
      <c r="AB396" s="207"/>
      <c r="AC396" s="207"/>
      <c r="AD396" s="207"/>
      <c r="AE396" s="207"/>
      <c r="AF396" s="207"/>
      <c r="AG396" s="207"/>
      <c r="AH396" s="207"/>
      <c r="AI396" s="207"/>
      <c r="AJ396" s="207"/>
      <c r="AK396" s="207"/>
      <c r="AL396" s="207"/>
      <c r="AM396" s="207"/>
      <c r="AN396" s="207"/>
      <c r="AO396" s="207"/>
      <c r="AP396" s="207"/>
      <c r="AQ396" s="207"/>
      <c r="AR396" s="207"/>
      <c r="AS396" s="207"/>
      <c r="AT396" s="207"/>
      <c r="AU396" s="207"/>
      <c r="AV396" s="207"/>
      <c r="AW396" s="207"/>
      <c r="AX396" s="207"/>
      <c r="AY396" s="207"/>
      <c r="AZ396" s="207"/>
      <c r="BA396" s="207"/>
    </row>
    <row r="397" ht="18.75" hidden="1" customHeight="1">
      <c r="A397" s="207"/>
      <c r="B397" s="207"/>
      <c r="C397" s="207"/>
      <c r="D397" s="207"/>
      <c r="E397" s="207"/>
      <c r="F397" s="207"/>
      <c r="G397" s="207"/>
      <c r="H397" s="207"/>
      <c r="I397" s="207"/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  <c r="AA397" s="207"/>
      <c r="AB397" s="207"/>
      <c r="AC397" s="207"/>
      <c r="AD397" s="207"/>
      <c r="AE397" s="207"/>
      <c r="AF397" s="207"/>
      <c r="AG397" s="207"/>
      <c r="AH397" s="207"/>
      <c r="AI397" s="207"/>
      <c r="AJ397" s="207"/>
      <c r="AK397" s="207"/>
      <c r="AL397" s="207"/>
      <c r="AM397" s="207"/>
      <c r="AN397" s="207"/>
      <c r="AO397" s="207"/>
      <c r="AP397" s="207"/>
      <c r="AQ397" s="207"/>
      <c r="AR397" s="207"/>
      <c r="AS397" s="207"/>
      <c r="AT397" s="207"/>
      <c r="AU397" s="207"/>
      <c r="AV397" s="207"/>
      <c r="AW397" s="207"/>
      <c r="AX397" s="207"/>
      <c r="AY397" s="207"/>
      <c r="AZ397" s="207"/>
      <c r="BA397" s="207"/>
    </row>
    <row r="398" ht="18.75" hidden="1" customHeight="1">
      <c r="A398" s="207"/>
      <c r="B398" s="207"/>
      <c r="C398" s="207"/>
      <c r="D398" s="207"/>
      <c r="E398" s="207"/>
      <c r="F398" s="207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  <c r="AA398" s="207"/>
      <c r="AB398" s="207"/>
      <c r="AC398" s="207"/>
      <c r="AD398" s="207"/>
      <c r="AE398" s="207"/>
      <c r="AF398" s="207"/>
      <c r="AG398" s="207"/>
      <c r="AH398" s="207"/>
      <c r="AI398" s="207"/>
      <c r="AJ398" s="207"/>
      <c r="AK398" s="207"/>
      <c r="AL398" s="207"/>
      <c r="AM398" s="207"/>
      <c r="AN398" s="207"/>
      <c r="AO398" s="207"/>
      <c r="AP398" s="207"/>
      <c r="AQ398" s="207"/>
      <c r="AR398" s="207"/>
      <c r="AS398" s="207"/>
      <c r="AT398" s="207"/>
      <c r="AU398" s="207"/>
      <c r="AV398" s="207"/>
      <c r="AW398" s="207"/>
      <c r="AX398" s="207"/>
      <c r="AY398" s="207"/>
      <c r="AZ398" s="207"/>
      <c r="BA398" s="207"/>
    </row>
    <row r="399" ht="18.75" hidden="1" customHeight="1">
      <c r="A399" s="207"/>
      <c r="B399" s="207"/>
      <c r="C399" s="207"/>
      <c r="D399" s="207"/>
      <c r="E399" s="207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  <c r="AA399" s="207"/>
      <c r="AB399" s="207"/>
      <c r="AC399" s="207"/>
      <c r="AD399" s="207"/>
      <c r="AE399" s="207"/>
      <c r="AF399" s="207"/>
      <c r="AG399" s="207"/>
      <c r="AH399" s="207"/>
      <c r="AI399" s="207"/>
      <c r="AJ399" s="207"/>
      <c r="AK399" s="207"/>
      <c r="AL399" s="207"/>
      <c r="AM399" s="207"/>
      <c r="AN399" s="207"/>
      <c r="AO399" s="207"/>
      <c r="AP399" s="207"/>
      <c r="AQ399" s="207"/>
      <c r="AR399" s="207"/>
      <c r="AS399" s="207"/>
      <c r="AT399" s="207"/>
      <c r="AU399" s="207"/>
      <c r="AV399" s="207"/>
      <c r="AW399" s="207"/>
      <c r="AX399" s="207"/>
      <c r="AY399" s="207"/>
      <c r="AZ399" s="207"/>
      <c r="BA399" s="207"/>
    </row>
    <row r="400" ht="18.75" hidden="1" customHeight="1">
      <c r="A400" s="207"/>
      <c r="B400" s="207"/>
      <c r="C400" s="207"/>
      <c r="D400" s="207"/>
      <c r="E400" s="207"/>
      <c r="F400" s="207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  <c r="AA400" s="207"/>
      <c r="AB400" s="207"/>
      <c r="AC400" s="207"/>
      <c r="AD400" s="207"/>
      <c r="AE400" s="207"/>
      <c r="AF400" s="207"/>
      <c r="AG400" s="207"/>
      <c r="AH400" s="207"/>
      <c r="AI400" s="207"/>
      <c r="AJ400" s="207"/>
      <c r="AK400" s="207"/>
      <c r="AL400" s="207"/>
      <c r="AM400" s="207"/>
      <c r="AN400" s="207"/>
      <c r="AO400" s="207"/>
      <c r="AP400" s="207"/>
      <c r="AQ400" s="207"/>
      <c r="AR400" s="207"/>
      <c r="AS400" s="207"/>
      <c r="AT400" s="207"/>
      <c r="AU400" s="207"/>
      <c r="AV400" s="207"/>
      <c r="AW400" s="207"/>
      <c r="AX400" s="207"/>
      <c r="AY400" s="207"/>
      <c r="AZ400" s="207"/>
      <c r="BA400" s="207"/>
    </row>
    <row r="401" ht="18.75" hidden="1" customHeight="1">
      <c r="A401" s="207"/>
      <c r="B401" s="207"/>
      <c r="C401" s="207"/>
      <c r="D401" s="207"/>
      <c r="E401" s="207"/>
      <c r="F401" s="207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  <c r="AA401" s="207"/>
      <c r="AB401" s="207"/>
      <c r="AC401" s="207"/>
      <c r="AD401" s="207"/>
      <c r="AE401" s="207"/>
      <c r="AF401" s="207"/>
      <c r="AG401" s="207"/>
      <c r="AH401" s="207"/>
      <c r="AI401" s="207"/>
      <c r="AJ401" s="207"/>
      <c r="AK401" s="207"/>
      <c r="AL401" s="207"/>
      <c r="AM401" s="207"/>
      <c r="AN401" s="207"/>
      <c r="AO401" s="207"/>
      <c r="AP401" s="207"/>
      <c r="AQ401" s="207"/>
      <c r="AR401" s="207"/>
      <c r="AS401" s="207"/>
      <c r="AT401" s="207"/>
      <c r="AU401" s="207"/>
      <c r="AV401" s="207"/>
      <c r="AW401" s="207"/>
      <c r="AX401" s="207"/>
      <c r="AY401" s="207"/>
      <c r="AZ401" s="207"/>
      <c r="BA401" s="207"/>
    </row>
    <row r="402" ht="18.75" hidden="1" customHeight="1">
      <c r="A402" s="207"/>
      <c r="B402" s="207"/>
      <c r="C402" s="207"/>
      <c r="D402" s="207"/>
      <c r="E402" s="207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  <c r="AA402" s="207"/>
      <c r="AB402" s="207"/>
      <c r="AC402" s="207"/>
      <c r="AD402" s="207"/>
      <c r="AE402" s="207"/>
      <c r="AF402" s="207"/>
      <c r="AG402" s="207"/>
      <c r="AH402" s="207"/>
      <c r="AI402" s="207"/>
      <c r="AJ402" s="207"/>
      <c r="AK402" s="207"/>
      <c r="AL402" s="207"/>
      <c r="AM402" s="207"/>
      <c r="AN402" s="207"/>
      <c r="AO402" s="207"/>
      <c r="AP402" s="207"/>
      <c r="AQ402" s="207"/>
      <c r="AR402" s="207"/>
      <c r="AS402" s="207"/>
      <c r="AT402" s="207"/>
      <c r="AU402" s="207"/>
      <c r="AV402" s="207"/>
      <c r="AW402" s="207"/>
      <c r="AX402" s="207"/>
      <c r="AY402" s="207"/>
      <c r="AZ402" s="207"/>
      <c r="BA402" s="207"/>
    </row>
    <row r="403" ht="18.75" hidden="1" customHeight="1">
      <c r="A403" s="207"/>
      <c r="B403" s="207"/>
      <c r="C403" s="207"/>
      <c r="D403" s="207"/>
      <c r="E403" s="207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  <c r="AA403" s="207"/>
      <c r="AB403" s="207"/>
      <c r="AC403" s="207"/>
      <c r="AD403" s="207"/>
      <c r="AE403" s="207"/>
      <c r="AF403" s="207"/>
      <c r="AG403" s="207"/>
      <c r="AH403" s="207"/>
      <c r="AI403" s="207"/>
      <c r="AJ403" s="207"/>
      <c r="AK403" s="207"/>
      <c r="AL403" s="207"/>
      <c r="AM403" s="207"/>
      <c r="AN403" s="207"/>
      <c r="AO403" s="207"/>
      <c r="AP403" s="207"/>
      <c r="AQ403" s="207"/>
      <c r="AR403" s="207"/>
      <c r="AS403" s="207"/>
      <c r="AT403" s="207"/>
      <c r="AU403" s="207"/>
      <c r="AV403" s="207"/>
      <c r="AW403" s="207"/>
      <c r="AX403" s="207"/>
      <c r="AY403" s="207"/>
      <c r="AZ403" s="207"/>
      <c r="BA403" s="207"/>
    </row>
    <row r="404" ht="18.75" hidden="1" customHeight="1">
      <c r="A404" s="207"/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  <c r="AA404" s="207"/>
      <c r="AB404" s="207"/>
      <c r="AC404" s="207"/>
      <c r="AD404" s="207"/>
      <c r="AE404" s="207"/>
      <c r="AF404" s="207"/>
      <c r="AG404" s="207"/>
      <c r="AH404" s="207"/>
      <c r="AI404" s="207"/>
      <c r="AJ404" s="207"/>
      <c r="AK404" s="207"/>
      <c r="AL404" s="207"/>
      <c r="AM404" s="207"/>
      <c r="AN404" s="207"/>
      <c r="AO404" s="207"/>
      <c r="AP404" s="207"/>
      <c r="AQ404" s="207"/>
      <c r="AR404" s="207"/>
      <c r="AS404" s="207"/>
      <c r="AT404" s="207"/>
      <c r="AU404" s="207"/>
      <c r="AV404" s="207"/>
      <c r="AW404" s="207"/>
      <c r="AX404" s="207"/>
      <c r="AY404" s="207"/>
      <c r="AZ404" s="207"/>
      <c r="BA404" s="207"/>
    </row>
    <row r="405" ht="18.75" hidden="1" customHeight="1">
      <c r="A405" s="207"/>
      <c r="B405" s="207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  <c r="AA405" s="207"/>
      <c r="AB405" s="207"/>
      <c r="AC405" s="207"/>
      <c r="AD405" s="207"/>
      <c r="AE405" s="207"/>
      <c r="AF405" s="207"/>
      <c r="AG405" s="207"/>
      <c r="AH405" s="207"/>
      <c r="AI405" s="207"/>
      <c r="AJ405" s="207"/>
      <c r="AK405" s="207"/>
      <c r="AL405" s="207"/>
      <c r="AM405" s="207"/>
      <c r="AN405" s="207"/>
      <c r="AO405" s="207"/>
      <c r="AP405" s="207"/>
      <c r="AQ405" s="207"/>
      <c r="AR405" s="207"/>
      <c r="AS405" s="207"/>
      <c r="AT405" s="207"/>
      <c r="AU405" s="207"/>
      <c r="AV405" s="207"/>
      <c r="AW405" s="207"/>
      <c r="AX405" s="207"/>
      <c r="AY405" s="207"/>
      <c r="AZ405" s="207"/>
      <c r="BA405" s="207"/>
    </row>
    <row r="406" ht="18.75" hidden="1" customHeight="1">
      <c r="A406" s="207"/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  <c r="AA406" s="207"/>
      <c r="AB406" s="207"/>
      <c r="AC406" s="207"/>
      <c r="AD406" s="207"/>
      <c r="AE406" s="207"/>
      <c r="AF406" s="207"/>
      <c r="AG406" s="207"/>
      <c r="AH406" s="207"/>
      <c r="AI406" s="207"/>
      <c r="AJ406" s="207"/>
      <c r="AK406" s="207"/>
      <c r="AL406" s="207"/>
      <c r="AM406" s="207"/>
      <c r="AN406" s="207"/>
      <c r="AO406" s="207"/>
      <c r="AP406" s="207"/>
      <c r="AQ406" s="207"/>
      <c r="AR406" s="207"/>
      <c r="AS406" s="207"/>
      <c r="AT406" s="207"/>
      <c r="AU406" s="207"/>
      <c r="AV406" s="207"/>
      <c r="AW406" s="207"/>
      <c r="AX406" s="207"/>
      <c r="AY406" s="207"/>
      <c r="AZ406" s="207"/>
      <c r="BA406" s="207"/>
    </row>
    <row r="407" ht="18.75" hidden="1" customHeight="1">
      <c r="A407" s="207"/>
      <c r="B407" s="207"/>
      <c r="C407" s="207"/>
      <c r="D407" s="207"/>
      <c r="E407" s="207"/>
      <c r="F407" s="207"/>
      <c r="G407" s="207"/>
      <c r="H407" s="207"/>
      <c r="I407" s="207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  <c r="AA407" s="207"/>
      <c r="AB407" s="207"/>
      <c r="AC407" s="207"/>
      <c r="AD407" s="207"/>
      <c r="AE407" s="207"/>
      <c r="AF407" s="207"/>
      <c r="AG407" s="207"/>
      <c r="AH407" s="207"/>
      <c r="AI407" s="207"/>
      <c r="AJ407" s="207"/>
      <c r="AK407" s="207"/>
      <c r="AL407" s="207"/>
      <c r="AM407" s="207"/>
      <c r="AN407" s="207"/>
      <c r="AO407" s="207"/>
      <c r="AP407" s="207"/>
      <c r="AQ407" s="207"/>
      <c r="AR407" s="207"/>
      <c r="AS407" s="207"/>
      <c r="AT407" s="207"/>
      <c r="AU407" s="207"/>
      <c r="AV407" s="207"/>
      <c r="AW407" s="207"/>
      <c r="AX407" s="207"/>
      <c r="AY407" s="207"/>
      <c r="AZ407" s="207"/>
      <c r="BA407" s="207"/>
    </row>
    <row r="408" ht="18.75" hidden="1" customHeight="1">
      <c r="A408" s="207"/>
      <c r="B408" s="207"/>
      <c r="C408" s="207"/>
      <c r="D408" s="207"/>
      <c r="E408" s="207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  <c r="AA408" s="207"/>
      <c r="AB408" s="207"/>
      <c r="AC408" s="207"/>
      <c r="AD408" s="207"/>
      <c r="AE408" s="207"/>
      <c r="AF408" s="207"/>
      <c r="AG408" s="207"/>
      <c r="AH408" s="207"/>
      <c r="AI408" s="207"/>
      <c r="AJ408" s="207"/>
      <c r="AK408" s="207"/>
      <c r="AL408" s="207"/>
      <c r="AM408" s="207"/>
      <c r="AN408" s="207"/>
      <c r="AO408" s="207"/>
      <c r="AP408" s="207"/>
      <c r="AQ408" s="207"/>
      <c r="AR408" s="207"/>
      <c r="AS408" s="207"/>
      <c r="AT408" s="207"/>
      <c r="AU408" s="207"/>
      <c r="AV408" s="207"/>
      <c r="AW408" s="207"/>
      <c r="AX408" s="207"/>
      <c r="AY408" s="207"/>
      <c r="AZ408" s="207"/>
      <c r="BA408" s="207"/>
    </row>
    <row r="409" ht="18.75" hidden="1" customHeight="1">
      <c r="A409" s="207"/>
      <c r="B409" s="207"/>
      <c r="C409" s="207"/>
      <c r="D409" s="207"/>
      <c r="E409" s="207"/>
      <c r="F409" s="207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  <c r="AA409" s="207"/>
      <c r="AB409" s="207"/>
      <c r="AC409" s="207"/>
      <c r="AD409" s="207"/>
      <c r="AE409" s="207"/>
      <c r="AF409" s="207"/>
      <c r="AG409" s="207"/>
      <c r="AH409" s="207"/>
      <c r="AI409" s="207"/>
      <c r="AJ409" s="207"/>
      <c r="AK409" s="207"/>
      <c r="AL409" s="207"/>
      <c r="AM409" s="207"/>
      <c r="AN409" s="207"/>
      <c r="AO409" s="207"/>
      <c r="AP409" s="207"/>
      <c r="AQ409" s="207"/>
      <c r="AR409" s="207"/>
      <c r="AS409" s="207"/>
      <c r="AT409" s="207"/>
      <c r="AU409" s="207"/>
      <c r="AV409" s="207"/>
      <c r="AW409" s="207"/>
      <c r="AX409" s="207"/>
      <c r="AY409" s="207"/>
      <c r="AZ409" s="207"/>
      <c r="BA409" s="207"/>
    </row>
    <row r="410" ht="18.75" hidden="1" customHeight="1">
      <c r="A410" s="207"/>
      <c r="B410" s="207"/>
      <c r="C410" s="207"/>
      <c r="D410" s="207"/>
      <c r="E410" s="207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  <c r="AA410" s="207"/>
      <c r="AB410" s="207"/>
      <c r="AC410" s="207"/>
      <c r="AD410" s="207"/>
      <c r="AE410" s="207"/>
      <c r="AF410" s="207"/>
      <c r="AG410" s="207"/>
      <c r="AH410" s="207"/>
      <c r="AI410" s="207"/>
      <c r="AJ410" s="207"/>
      <c r="AK410" s="207"/>
      <c r="AL410" s="207"/>
      <c r="AM410" s="207"/>
      <c r="AN410" s="207"/>
      <c r="AO410" s="207"/>
      <c r="AP410" s="207"/>
      <c r="AQ410" s="207"/>
      <c r="AR410" s="207"/>
      <c r="AS410" s="207"/>
      <c r="AT410" s="207"/>
      <c r="AU410" s="207"/>
      <c r="AV410" s="207"/>
      <c r="AW410" s="207"/>
      <c r="AX410" s="207"/>
      <c r="AY410" s="207"/>
      <c r="AZ410" s="207"/>
      <c r="BA410" s="207"/>
    </row>
    <row r="411" ht="18.75" hidden="1" customHeight="1">
      <c r="A411" s="207"/>
      <c r="B411" s="207"/>
      <c r="C411" s="207"/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  <c r="AB411" s="207"/>
      <c r="AC411" s="207"/>
      <c r="AD411" s="207"/>
      <c r="AE411" s="207"/>
      <c r="AF411" s="207"/>
      <c r="AG411" s="207"/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</row>
    <row r="412" ht="18.75" hidden="1" customHeight="1">
      <c r="A412" s="207"/>
      <c r="B412" s="207"/>
      <c r="C412" s="207"/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</row>
    <row r="413" ht="18.75" hidden="1" customHeight="1">
      <c r="A413" s="207"/>
      <c r="B413" s="207"/>
      <c r="C413" s="207"/>
      <c r="D413" s="207"/>
      <c r="E413" s="207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</row>
    <row r="414" ht="18.75" hidden="1" customHeight="1">
      <c r="A414" s="207"/>
      <c r="B414" s="207"/>
      <c r="C414" s="207"/>
      <c r="D414" s="207"/>
      <c r="E414" s="207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/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</row>
    <row r="415" ht="18.75" hidden="1" customHeight="1">
      <c r="A415" s="207"/>
      <c r="B415" s="207"/>
      <c r="C415" s="207"/>
      <c r="D415" s="207"/>
      <c r="E415" s="207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/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</row>
    <row r="416" ht="18.75" hidden="1" customHeight="1">
      <c r="A416" s="207"/>
      <c r="B416" s="207"/>
      <c r="C416" s="207"/>
      <c r="D416" s="207"/>
      <c r="E416" s="207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</row>
    <row r="417" ht="18.75" hidden="1" customHeight="1">
      <c r="A417" s="207"/>
      <c r="B417" s="207"/>
      <c r="C417" s="207"/>
      <c r="D417" s="207"/>
      <c r="E417" s="207"/>
      <c r="F417" s="207"/>
      <c r="G417" s="207"/>
      <c r="H417" s="207"/>
      <c r="I417" s="207"/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  <c r="AA417" s="207"/>
      <c r="AB417" s="207"/>
      <c r="AC417" s="207"/>
      <c r="AD417" s="207"/>
      <c r="AE417" s="207"/>
      <c r="AF417" s="207"/>
      <c r="AG417" s="207"/>
      <c r="AH417" s="207"/>
      <c r="AI417" s="207"/>
      <c r="AJ417" s="207"/>
      <c r="AK417" s="207"/>
      <c r="AL417" s="207"/>
      <c r="AM417" s="207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7"/>
    </row>
    <row r="418" ht="18.75" hidden="1" customHeight="1">
      <c r="A418" s="207"/>
      <c r="B418" s="207"/>
      <c r="C418" s="207"/>
      <c r="D418" s="207"/>
      <c r="E418" s="207"/>
      <c r="F418" s="207"/>
      <c r="G418" s="207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  <c r="AA418" s="207"/>
      <c r="AB418" s="207"/>
      <c r="AC418" s="207"/>
      <c r="AD418" s="207"/>
      <c r="AE418" s="207"/>
      <c r="AF418" s="207"/>
      <c r="AG418" s="207"/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</row>
    <row r="419" ht="18.75" hidden="1" customHeight="1">
      <c r="A419" s="207"/>
      <c r="B419" s="207"/>
      <c r="C419" s="207"/>
      <c r="D419" s="207"/>
      <c r="E419" s="207"/>
      <c r="F419" s="207"/>
      <c r="G419" s="207"/>
      <c r="H419" s="207"/>
      <c r="I419" s="207"/>
      <c r="J419" s="207"/>
      <c r="K419" s="207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  <c r="AA419" s="207"/>
      <c r="AB419" s="207"/>
      <c r="AC419" s="207"/>
      <c r="AD419" s="207"/>
      <c r="AE419" s="207"/>
      <c r="AF419" s="207"/>
      <c r="AG419" s="207"/>
      <c r="AH419" s="207"/>
      <c r="AI419" s="207"/>
      <c r="AJ419" s="207"/>
      <c r="AK419" s="207"/>
      <c r="AL419" s="207"/>
      <c r="AM419" s="207"/>
      <c r="AN419" s="207"/>
      <c r="AO419" s="207"/>
      <c r="AP419" s="207"/>
      <c r="AQ419" s="207"/>
      <c r="AR419" s="207"/>
      <c r="AS419" s="207"/>
      <c r="AT419" s="207"/>
      <c r="AU419" s="207"/>
      <c r="AV419" s="207"/>
      <c r="AW419" s="207"/>
      <c r="AX419" s="207"/>
      <c r="AY419" s="207"/>
      <c r="AZ419" s="207"/>
      <c r="BA419" s="207"/>
    </row>
    <row r="420" ht="18.75" hidden="1" customHeight="1">
      <c r="A420" s="207"/>
      <c r="B420" s="207"/>
      <c r="C420" s="207"/>
      <c r="D420" s="207"/>
      <c r="E420" s="207"/>
      <c r="F420" s="207"/>
      <c r="G420" s="207"/>
      <c r="H420" s="207"/>
      <c r="I420" s="207"/>
      <c r="J420" s="207"/>
      <c r="K420" s="207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  <c r="AA420" s="207"/>
      <c r="AB420" s="207"/>
      <c r="AC420" s="207"/>
      <c r="AD420" s="207"/>
      <c r="AE420" s="207"/>
      <c r="AF420" s="207"/>
      <c r="AG420" s="207"/>
      <c r="AH420" s="207"/>
      <c r="AI420" s="207"/>
      <c r="AJ420" s="207"/>
      <c r="AK420" s="207"/>
      <c r="AL420" s="207"/>
      <c r="AM420" s="207"/>
      <c r="AN420" s="207"/>
      <c r="AO420" s="207"/>
      <c r="AP420" s="207"/>
      <c r="AQ420" s="207"/>
      <c r="AR420" s="207"/>
      <c r="AS420" s="207"/>
      <c r="AT420" s="207"/>
      <c r="AU420" s="207"/>
      <c r="AV420" s="207"/>
      <c r="AW420" s="207"/>
      <c r="AX420" s="207"/>
      <c r="AY420" s="207"/>
      <c r="AZ420" s="207"/>
      <c r="BA420" s="207"/>
    </row>
    <row r="421" ht="18.75" hidden="1" customHeight="1">
      <c r="A421" s="207"/>
      <c r="B421" s="207"/>
      <c r="C421" s="207"/>
      <c r="D421" s="207"/>
      <c r="E421" s="207"/>
      <c r="F421" s="207"/>
      <c r="G421" s="207"/>
      <c r="H421" s="207"/>
      <c r="I421" s="207"/>
      <c r="J421" s="207"/>
      <c r="K421" s="207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  <c r="AA421" s="207"/>
      <c r="AB421" s="207"/>
      <c r="AC421" s="207"/>
      <c r="AD421" s="207"/>
      <c r="AE421" s="207"/>
      <c r="AF421" s="207"/>
      <c r="AG421" s="207"/>
      <c r="AH421" s="207"/>
      <c r="AI421" s="207"/>
      <c r="AJ421" s="207"/>
      <c r="AK421" s="207"/>
      <c r="AL421" s="207"/>
      <c r="AM421" s="207"/>
      <c r="AN421" s="207"/>
      <c r="AO421" s="207"/>
      <c r="AP421" s="207"/>
      <c r="AQ421" s="207"/>
      <c r="AR421" s="207"/>
      <c r="AS421" s="207"/>
      <c r="AT421" s="207"/>
      <c r="AU421" s="207"/>
      <c r="AV421" s="207"/>
      <c r="AW421" s="207"/>
      <c r="AX421" s="207"/>
      <c r="AY421" s="207"/>
      <c r="AZ421" s="207"/>
      <c r="BA421" s="207"/>
    </row>
    <row r="422" ht="18.75" hidden="1" customHeight="1">
      <c r="A422" s="207"/>
      <c r="B422" s="207"/>
      <c r="C422" s="207"/>
      <c r="D422" s="207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  <c r="AB422" s="207"/>
      <c r="AC422" s="207"/>
      <c r="AD422" s="207"/>
      <c r="AE422" s="207"/>
      <c r="AF422" s="207"/>
      <c r="AG422" s="207"/>
      <c r="AH422" s="207"/>
      <c r="AI422" s="207"/>
      <c r="AJ422" s="207"/>
      <c r="AK422" s="207"/>
      <c r="AL422" s="207"/>
      <c r="AM422" s="207"/>
      <c r="AN422" s="207"/>
      <c r="AO422" s="207"/>
      <c r="AP422" s="207"/>
      <c r="AQ422" s="207"/>
      <c r="AR422" s="207"/>
      <c r="AS422" s="207"/>
      <c r="AT422" s="207"/>
      <c r="AU422" s="207"/>
      <c r="AV422" s="207"/>
      <c r="AW422" s="207"/>
      <c r="AX422" s="207"/>
      <c r="AY422" s="207"/>
      <c r="AZ422" s="207"/>
      <c r="BA422" s="207"/>
    </row>
    <row r="423" ht="18.75" hidden="1" customHeight="1">
      <c r="A423" s="207"/>
      <c r="B423" s="207"/>
      <c r="C423" s="207"/>
      <c r="D423" s="207"/>
      <c r="E423" s="207"/>
      <c r="F423" s="207"/>
      <c r="G423" s="207"/>
      <c r="H423" s="207"/>
      <c r="I423" s="207"/>
      <c r="J423" s="207"/>
      <c r="K423" s="207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  <c r="AA423" s="207"/>
      <c r="AB423" s="207"/>
      <c r="AC423" s="207"/>
      <c r="AD423" s="207"/>
      <c r="AE423" s="207"/>
      <c r="AF423" s="207"/>
      <c r="AG423" s="207"/>
      <c r="AH423" s="207"/>
      <c r="AI423" s="207"/>
      <c r="AJ423" s="207"/>
      <c r="AK423" s="207"/>
      <c r="AL423" s="207"/>
      <c r="AM423" s="207"/>
      <c r="AN423" s="207"/>
      <c r="AO423" s="207"/>
      <c r="AP423" s="207"/>
      <c r="AQ423" s="207"/>
      <c r="AR423" s="207"/>
      <c r="AS423" s="207"/>
      <c r="AT423" s="207"/>
      <c r="AU423" s="207"/>
      <c r="AV423" s="207"/>
      <c r="AW423" s="207"/>
      <c r="AX423" s="207"/>
      <c r="AY423" s="207"/>
      <c r="AZ423" s="207"/>
      <c r="BA423" s="207"/>
    </row>
    <row r="424" ht="18.75" hidden="1" customHeight="1">
      <c r="A424" s="207"/>
      <c r="B424" s="207"/>
      <c r="C424" s="207"/>
      <c r="D424" s="207"/>
      <c r="E424" s="207"/>
      <c r="F424" s="207"/>
      <c r="G424" s="207"/>
      <c r="H424" s="207"/>
      <c r="I424" s="207"/>
      <c r="J424" s="207"/>
      <c r="K424" s="207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  <c r="AA424" s="207"/>
      <c r="AB424" s="207"/>
      <c r="AC424" s="207"/>
      <c r="AD424" s="207"/>
      <c r="AE424" s="207"/>
      <c r="AF424" s="207"/>
      <c r="AG424" s="207"/>
      <c r="AH424" s="207"/>
      <c r="AI424" s="207"/>
      <c r="AJ424" s="207"/>
      <c r="AK424" s="207"/>
      <c r="AL424" s="207"/>
      <c r="AM424" s="207"/>
      <c r="AN424" s="207"/>
      <c r="AO424" s="207"/>
      <c r="AP424" s="207"/>
      <c r="AQ424" s="207"/>
      <c r="AR424" s="207"/>
      <c r="AS424" s="207"/>
      <c r="AT424" s="207"/>
      <c r="AU424" s="207"/>
      <c r="AV424" s="207"/>
      <c r="AW424" s="207"/>
      <c r="AX424" s="207"/>
      <c r="AY424" s="207"/>
      <c r="AZ424" s="207"/>
      <c r="BA424" s="207"/>
    </row>
    <row r="425" ht="18.75" hidden="1" customHeight="1">
      <c r="A425" s="207"/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  <c r="AA425" s="207"/>
      <c r="AB425" s="207"/>
      <c r="AC425" s="207"/>
      <c r="AD425" s="207"/>
      <c r="AE425" s="207"/>
      <c r="AF425" s="207"/>
      <c r="AG425" s="207"/>
      <c r="AH425" s="207"/>
      <c r="AI425" s="207"/>
      <c r="AJ425" s="207"/>
      <c r="AK425" s="207"/>
      <c r="AL425" s="207"/>
      <c r="AM425" s="207"/>
      <c r="AN425" s="207"/>
      <c r="AO425" s="207"/>
      <c r="AP425" s="207"/>
      <c r="AQ425" s="207"/>
      <c r="AR425" s="207"/>
      <c r="AS425" s="207"/>
      <c r="AT425" s="207"/>
      <c r="AU425" s="207"/>
      <c r="AV425" s="207"/>
      <c r="AW425" s="207"/>
      <c r="AX425" s="207"/>
      <c r="AY425" s="207"/>
      <c r="AZ425" s="207"/>
      <c r="BA425" s="207"/>
    </row>
    <row r="426" ht="18.75" hidden="1" customHeight="1">
      <c r="A426" s="207"/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  <c r="AA426" s="207"/>
      <c r="AB426" s="207"/>
      <c r="AC426" s="207"/>
      <c r="AD426" s="207"/>
      <c r="AE426" s="207"/>
      <c r="AF426" s="207"/>
      <c r="AG426" s="207"/>
      <c r="AH426" s="207"/>
      <c r="AI426" s="207"/>
      <c r="AJ426" s="207"/>
      <c r="AK426" s="207"/>
      <c r="AL426" s="207"/>
      <c r="AM426" s="207"/>
      <c r="AN426" s="207"/>
      <c r="AO426" s="207"/>
      <c r="AP426" s="207"/>
      <c r="AQ426" s="207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</row>
    <row r="427" ht="18.75" hidden="1" customHeight="1">
      <c r="A427" s="207"/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  <c r="AB427" s="207"/>
      <c r="AC427" s="207"/>
      <c r="AD427" s="207"/>
      <c r="AE427" s="207"/>
      <c r="AF427" s="207"/>
      <c r="AG427" s="207"/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</row>
    <row r="428" ht="18.75" hidden="1" customHeight="1">
      <c r="A428" s="207"/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  <c r="AA428" s="207"/>
      <c r="AB428" s="207"/>
      <c r="AC428" s="207"/>
      <c r="AD428" s="207"/>
      <c r="AE428" s="207"/>
      <c r="AF428" s="207"/>
      <c r="AG428" s="207"/>
      <c r="AH428" s="207"/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</row>
    <row r="429" ht="18.75" hidden="1" customHeight="1">
      <c r="A429" s="207"/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  <c r="AB429" s="207"/>
      <c r="AC429" s="207"/>
      <c r="AD429" s="207"/>
      <c r="AE429" s="207"/>
      <c r="AF429" s="207"/>
      <c r="AG429" s="207"/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</row>
    <row r="430" ht="18.75" hidden="1" customHeight="1">
      <c r="A430" s="207"/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  <c r="AB430" s="207"/>
      <c r="AC430" s="207"/>
      <c r="AD430" s="207"/>
      <c r="AE430" s="207"/>
      <c r="AF430" s="207"/>
      <c r="AG430" s="207"/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</row>
    <row r="431" ht="18.75" hidden="1" customHeight="1">
      <c r="A431" s="207"/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  <c r="AA431" s="207"/>
      <c r="AB431" s="207"/>
      <c r="AC431" s="207"/>
      <c r="AD431" s="207"/>
      <c r="AE431" s="207"/>
      <c r="AF431" s="207"/>
      <c r="AG431" s="207"/>
      <c r="AH431" s="207"/>
      <c r="AI431" s="207"/>
      <c r="AJ431" s="207"/>
      <c r="AK431" s="207"/>
      <c r="AL431" s="207"/>
      <c r="AM431" s="207"/>
      <c r="AN431" s="207"/>
      <c r="AO431" s="207"/>
      <c r="AP431" s="207"/>
      <c r="AQ431" s="207"/>
      <c r="AR431" s="207"/>
      <c r="AS431" s="207"/>
      <c r="AT431" s="207"/>
      <c r="AU431" s="207"/>
      <c r="AV431" s="207"/>
      <c r="AW431" s="207"/>
      <c r="AX431" s="207"/>
      <c r="AY431" s="207"/>
      <c r="AZ431" s="207"/>
      <c r="BA431" s="207"/>
    </row>
    <row r="432" ht="18.75" hidden="1" customHeight="1">
      <c r="A432" s="207"/>
      <c r="B432" s="207"/>
      <c r="C432" s="207"/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  <c r="AA432" s="207"/>
      <c r="AB432" s="207"/>
      <c r="AC432" s="207"/>
      <c r="AD432" s="207"/>
      <c r="AE432" s="207"/>
      <c r="AF432" s="207"/>
      <c r="AG432" s="207"/>
      <c r="AH432" s="207"/>
      <c r="AI432" s="207"/>
      <c r="AJ432" s="207"/>
      <c r="AK432" s="207"/>
      <c r="AL432" s="207"/>
      <c r="AM432" s="207"/>
      <c r="AN432" s="207"/>
      <c r="AO432" s="207"/>
      <c r="AP432" s="207"/>
      <c r="AQ432" s="207"/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7"/>
    </row>
    <row r="433" ht="18.75" hidden="1" customHeight="1">
      <c r="A433" s="207"/>
      <c r="B433" s="207"/>
      <c r="C433" s="207"/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  <c r="AA433" s="207"/>
      <c r="AB433" s="207"/>
      <c r="AC433" s="207"/>
      <c r="AD433" s="207"/>
      <c r="AE433" s="207"/>
      <c r="AF433" s="207"/>
      <c r="AG433" s="207"/>
      <c r="AH433" s="207"/>
      <c r="AI433" s="207"/>
      <c r="AJ433" s="207"/>
      <c r="AK433" s="207"/>
      <c r="AL433" s="207"/>
      <c r="AM433" s="207"/>
      <c r="AN433" s="207"/>
      <c r="AO433" s="207"/>
      <c r="AP433" s="207"/>
      <c r="AQ433" s="207"/>
      <c r="AR433" s="207"/>
      <c r="AS433" s="207"/>
      <c r="AT433" s="207"/>
      <c r="AU433" s="207"/>
      <c r="AV433" s="207"/>
      <c r="AW433" s="207"/>
      <c r="AX433" s="207"/>
      <c r="AY433" s="207"/>
      <c r="AZ433" s="207"/>
      <c r="BA433" s="207"/>
    </row>
    <row r="434" ht="18.75" hidden="1" customHeight="1">
      <c r="A434" s="207"/>
      <c r="B434" s="207"/>
      <c r="C434" s="207"/>
      <c r="D434" s="207"/>
      <c r="E434" s="207"/>
      <c r="F434" s="207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  <c r="AA434" s="207"/>
      <c r="AB434" s="207"/>
      <c r="AC434" s="207"/>
      <c r="AD434" s="207"/>
      <c r="AE434" s="207"/>
      <c r="AF434" s="207"/>
      <c r="AG434" s="207"/>
      <c r="AH434" s="207"/>
      <c r="AI434" s="207"/>
      <c r="AJ434" s="207"/>
      <c r="AK434" s="207"/>
      <c r="AL434" s="207"/>
      <c r="AM434" s="207"/>
      <c r="AN434" s="207"/>
      <c r="AO434" s="207"/>
      <c r="AP434" s="207"/>
      <c r="AQ434" s="207"/>
      <c r="AR434" s="207"/>
      <c r="AS434" s="207"/>
      <c r="AT434" s="207"/>
      <c r="AU434" s="207"/>
      <c r="AV434" s="207"/>
      <c r="AW434" s="207"/>
      <c r="AX434" s="207"/>
      <c r="AY434" s="207"/>
      <c r="AZ434" s="207"/>
      <c r="BA434" s="207"/>
    </row>
    <row r="435" ht="18.75" hidden="1" customHeight="1">
      <c r="A435" s="207"/>
      <c r="B435" s="207"/>
      <c r="C435" s="207"/>
      <c r="D435" s="207"/>
      <c r="E435" s="207"/>
      <c r="F435" s="207"/>
      <c r="G435" s="207"/>
      <c r="H435" s="207"/>
      <c r="I435" s="207"/>
      <c r="J435" s="207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  <c r="AA435" s="207"/>
      <c r="AB435" s="207"/>
      <c r="AC435" s="207"/>
      <c r="AD435" s="207"/>
      <c r="AE435" s="207"/>
      <c r="AF435" s="207"/>
      <c r="AG435" s="207"/>
      <c r="AH435" s="207"/>
      <c r="AI435" s="207"/>
      <c r="AJ435" s="207"/>
      <c r="AK435" s="207"/>
      <c r="AL435" s="207"/>
      <c r="AM435" s="207"/>
      <c r="AN435" s="207"/>
      <c r="AO435" s="207"/>
      <c r="AP435" s="207"/>
      <c r="AQ435" s="207"/>
      <c r="AR435" s="207"/>
      <c r="AS435" s="207"/>
      <c r="AT435" s="207"/>
      <c r="AU435" s="207"/>
      <c r="AV435" s="207"/>
      <c r="AW435" s="207"/>
      <c r="AX435" s="207"/>
      <c r="AY435" s="207"/>
      <c r="AZ435" s="207"/>
      <c r="BA435" s="207"/>
    </row>
    <row r="436" ht="18.75" hidden="1" customHeight="1">
      <c r="A436" s="207"/>
      <c r="B436" s="207"/>
      <c r="C436" s="207"/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  <c r="AA436" s="207"/>
      <c r="AB436" s="207"/>
      <c r="AC436" s="207"/>
      <c r="AD436" s="207"/>
      <c r="AE436" s="207"/>
      <c r="AF436" s="207"/>
      <c r="AG436" s="207"/>
      <c r="AH436" s="207"/>
      <c r="AI436" s="207"/>
      <c r="AJ436" s="207"/>
      <c r="AK436" s="207"/>
      <c r="AL436" s="207"/>
      <c r="AM436" s="207"/>
      <c r="AN436" s="207"/>
      <c r="AO436" s="207"/>
      <c r="AP436" s="207"/>
      <c r="AQ436" s="207"/>
      <c r="AR436" s="207"/>
      <c r="AS436" s="207"/>
      <c r="AT436" s="207"/>
      <c r="AU436" s="207"/>
      <c r="AV436" s="207"/>
      <c r="AW436" s="207"/>
      <c r="AX436" s="207"/>
      <c r="AY436" s="207"/>
      <c r="AZ436" s="207"/>
      <c r="BA436" s="207"/>
    </row>
    <row r="437" ht="18.75" hidden="1" customHeight="1">
      <c r="A437" s="207"/>
      <c r="B437" s="207"/>
      <c r="C437" s="207"/>
      <c r="D437" s="207"/>
      <c r="E437" s="207"/>
      <c r="F437" s="207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  <c r="AA437" s="207"/>
      <c r="AB437" s="207"/>
      <c r="AC437" s="207"/>
      <c r="AD437" s="207"/>
      <c r="AE437" s="207"/>
      <c r="AF437" s="207"/>
      <c r="AG437" s="207"/>
      <c r="AH437" s="207"/>
      <c r="AI437" s="207"/>
      <c r="AJ437" s="207"/>
      <c r="AK437" s="207"/>
      <c r="AL437" s="207"/>
      <c r="AM437" s="207"/>
      <c r="AN437" s="207"/>
      <c r="AO437" s="207"/>
      <c r="AP437" s="207"/>
      <c r="AQ437" s="207"/>
      <c r="AR437" s="207"/>
      <c r="AS437" s="207"/>
      <c r="AT437" s="207"/>
      <c r="AU437" s="207"/>
      <c r="AV437" s="207"/>
      <c r="AW437" s="207"/>
      <c r="AX437" s="207"/>
      <c r="AY437" s="207"/>
      <c r="AZ437" s="207"/>
      <c r="BA437" s="207"/>
    </row>
    <row r="438" ht="18.75" hidden="1" customHeight="1">
      <c r="A438" s="207"/>
      <c r="B438" s="207"/>
      <c r="C438" s="207"/>
      <c r="D438" s="207"/>
      <c r="E438" s="207"/>
      <c r="F438" s="207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  <c r="AA438" s="207"/>
      <c r="AB438" s="207"/>
      <c r="AC438" s="207"/>
      <c r="AD438" s="207"/>
      <c r="AE438" s="207"/>
      <c r="AF438" s="207"/>
      <c r="AG438" s="207"/>
      <c r="AH438" s="207"/>
      <c r="AI438" s="207"/>
      <c r="AJ438" s="207"/>
      <c r="AK438" s="207"/>
      <c r="AL438" s="207"/>
      <c r="AM438" s="207"/>
      <c r="AN438" s="207"/>
      <c r="AO438" s="207"/>
      <c r="AP438" s="207"/>
      <c r="AQ438" s="207"/>
      <c r="AR438" s="207"/>
      <c r="AS438" s="207"/>
      <c r="AT438" s="207"/>
      <c r="AU438" s="207"/>
      <c r="AV438" s="207"/>
      <c r="AW438" s="207"/>
      <c r="AX438" s="207"/>
      <c r="AY438" s="207"/>
      <c r="AZ438" s="207"/>
      <c r="BA438" s="207"/>
    </row>
    <row r="439" ht="18.75" hidden="1" customHeight="1">
      <c r="A439" s="207"/>
      <c r="B439" s="207"/>
      <c r="C439" s="207"/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  <c r="AA439" s="207"/>
      <c r="AB439" s="207"/>
      <c r="AC439" s="207"/>
      <c r="AD439" s="207"/>
      <c r="AE439" s="207"/>
      <c r="AF439" s="207"/>
      <c r="AG439" s="207"/>
      <c r="AH439" s="207"/>
      <c r="AI439" s="207"/>
      <c r="AJ439" s="207"/>
      <c r="AK439" s="207"/>
      <c r="AL439" s="207"/>
      <c r="AM439" s="207"/>
      <c r="AN439" s="207"/>
      <c r="AO439" s="207"/>
      <c r="AP439" s="207"/>
      <c r="AQ439" s="207"/>
      <c r="AR439" s="207"/>
      <c r="AS439" s="207"/>
      <c r="AT439" s="207"/>
      <c r="AU439" s="207"/>
      <c r="AV439" s="207"/>
      <c r="AW439" s="207"/>
      <c r="AX439" s="207"/>
      <c r="AY439" s="207"/>
      <c r="AZ439" s="207"/>
      <c r="BA439" s="207"/>
    </row>
    <row r="440" ht="18.75" hidden="1" customHeight="1">
      <c r="A440" s="207"/>
      <c r="B440" s="207"/>
      <c r="C440" s="207"/>
      <c r="D440" s="207"/>
      <c r="E440" s="207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  <c r="AA440" s="207"/>
      <c r="AB440" s="207"/>
      <c r="AC440" s="207"/>
      <c r="AD440" s="207"/>
      <c r="AE440" s="207"/>
      <c r="AF440" s="207"/>
      <c r="AG440" s="207"/>
      <c r="AH440" s="207"/>
      <c r="AI440" s="207"/>
      <c r="AJ440" s="207"/>
      <c r="AK440" s="207"/>
      <c r="AL440" s="207"/>
      <c r="AM440" s="207"/>
      <c r="AN440" s="207"/>
      <c r="AO440" s="207"/>
      <c r="AP440" s="207"/>
      <c r="AQ440" s="207"/>
      <c r="AR440" s="207"/>
      <c r="AS440" s="207"/>
      <c r="AT440" s="207"/>
      <c r="AU440" s="207"/>
      <c r="AV440" s="207"/>
      <c r="AW440" s="207"/>
      <c r="AX440" s="207"/>
      <c r="AY440" s="207"/>
      <c r="AZ440" s="207"/>
      <c r="BA440" s="207"/>
    </row>
    <row r="441" ht="18.75" hidden="1" customHeight="1">
      <c r="A441" s="207"/>
      <c r="B441" s="207"/>
      <c r="C441" s="207"/>
      <c r="D441" s="207"/>
      <c r="E441" s="207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  <c r="AA441" s="207"/>
      <c r="AB441" s="207"/>
      <c r="AC441" s="207"/>
      <c r="AD441" s="207"/>
      <c r="AE441" s="207"/>
      <c r="AF441" s="207"/>
      <c r="AG441" s="207"/>
      <c r="AH441" s="207"/>
      <c r="AI441" s="207"/>
      <c r="AJ441" s="207"/>
      <c r="AK441" s="207"/>
      <c r="AL441" s="207"/>
      <c r="AM441" s="207"/>
      <c r="AN441" s="207"/>
      <c r="AO441" s="207"/>
      <c r="AP441" s="207"/>
      <c r="AQ441" s="207"/>
      <c r="AR441" s="207"/>
      <c r="AS441" s="207"/>
      <c r="AT441" s="207"/>
      <c r="AU441" s="207"/>
      <c r="AV441" s="207"/>
      <c r="AW441" s="207"/>
      <c r="AX441" s="207"/>
      <c r="AY441" s="207"/>
      <c r="AZ441" s="207"/>
      <c r="BA441" s="207"/>
    </row>
    <row r="442" ht="18.75" hidden="1" customHeight="1">
      <c r="A442" s="207"/>
      <c r="B442" s="207"/>
      <c r="C442" s="207"/>
      <c r="D442" s="207"/>
      <c r="E442" s="207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  <c r="AA442" s="207"/>
      <c r="AB442" s="207"/>
      <c r="AC442" s="207"/>
      <c r="AD442" s="207"/>
      <c r="AE442" s="207"/>
      <c r="AF442" s="207"/>
      <c r="AG442" s="207"/>
      <c r="AH442" s="207"/>
      <c r="AI442" s="207"/>
      <c r="AJ442" s="207"/>
      <c r="AK442" s="207"/>
      <c r="AL442" s="207"/>
      <c r="AM442" s="207"/>
      <c r="AN442" s="207"/>
      <c r="AO442" s="207"/>
      <c r="AP442" s="207"/>
      <c r="AQ442" s="207"/>
      <c r="AR442" s="207"/>
      <c r="AS442" s="207"/>
      <c r="AT442" s="207"/>
      <c r="AU442" s="207"/>
      <c r="AV442" s="207"/>
      <c r="AW442" s="207"/>
      <c r="AX442" s="207"/>
      <c r="AY442" s="207"/>
      <c r="AZ442" s="207"/>
      <c r="BA442" s="207"/>
    </row>
    <row r="443" ht="18.75" hidden="1" customHeight="1">
      <c r="A443" s="207"/>
      <c r="B443" s="207"/>
      <c r="C443" s="207"/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  <c r="AA443" s="207"/>
      <c r="AB443" s="207"/>
      <c r="AC443" s="207"/>
      <c r="AD443" s="207"/>
      <c r="AE443" s="207"/>
      <c r="AF443" s="207"/>
      <c r="AG443" s="207"/>
      <c r="AH443" s="207"/>
      <c r="AI443" s="207"/>
      <c r="AJ443" s="207"/>
      <c r="AK443" s="207"/>
      <c r="AL443" s="207"/>
      <c r="AM443" s="207"/>
      <c r="AN443" s="207"/>
      <c r="AO443" s="207"/>
      <c r="AP443" s="207"/>
      <c r="AQ443" s="207"/>
      <c r="AR443" s="207"/>
      <c r="AS443" s="207"/>
      <c r="AT443" s="207"/>
      <c r="AU443" s="207"/>
      <c r="AV443" s="207"/>
      <c r="AW443" s="207"/>
      <c r="AX443" s="207"/>
      <c r="AY443" s="207"/>
      <c r="AZ443" s="207"/>
      <c r="BA443" s="207"/>
    </row>
    <row r="444" ht="18.75" hidden="1" customHeight="1">
      <c r="A444" s="207"/>
      <c r="B444" s="207"/>
      <c r="C444" s="207"/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  <c r="AA444" s="207"/>
      <c r="AB444" s="207"/>
      <c r="AC444" s="207"/>
      <c r="AD444" s="207"/>
      <c r="AE444" s="207"/>
      <c r="AF444" s="207"/>
      <c r="AG444" s="207"/>
      <c r="AH444" s="207"/>
      <c r="AI444" s="207"/>
      <c r="AJ444" s="207"/>
      <c r="AK444" s="207"/>
      <c r="AL444" s="207"/>
      <c r="AM444" s="207"/>
      <c r="AN444" s="207"/>
      <c r="AO444" s="207"/>
      <c r="AP444" s="207"/>
      <c r="AQ444" s="207"/>
      <c r="AR444" s="207"/>
      <c r="AS444" s="207"/>
      <c r="AT444" s="207"/>
      <c r="AU444" s="207"/>
      <c r="AV444" s="207"/>
      <c r="AW444" s="207"/>
      <c r="AX444" s="207"/>
      <c r="AY444" s="207"/>
      <c r="AZ444" s="207"/>
      <c r="BA444" s="207"/>
    </row>
    <row r="445" ht="18.75" hidden="1" customHeight="1">
      <c r="A445" s="207"/>
      <c r="B445" s="207"/>
      <c r="C445" s="207"/>
      <c r="D445" s="207"/>
      <c r="E445" s="207"/>
      <c r="F445" s="207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  <c r="AA445" s="207"/>
      <c r="AB445" s="207"/>
      <c r="AC445" s="207"/>
      <c r="AD445" s="207"/>
      <c r="AE445" s="207"/>
      <c r="AF445" s="207"/>
      <c r="AG445" s="207"/>
      <c r="AH445" s="207"/>
      <c r="AI445" s="207"/>
      <c r="AJ445" s="207"/>
      <c r="AK445" s="207"/>
      <c r="AL445" s="207"/>
      <c r="AM445" s="207"/>
      <c r="AN445" s="207"/>
      <c r="AO445" s="207"/>
      <c r="AP445" s="207"/>
      <c r="AQ445" s="207"/>
      <c r="AR445" s="207"/>
      <c r="AS445" s="207"/>
      <c r="AT445" s="207"/>
      <c r="AU445" s="207"/>
      <c r="AV445" s="207"/>
      <c r="AW445" s="207"/>
      <c r="AX445" s="207"/>
      <c r="AY445" s="207"/>
      <c r="AZ445" s="207"/>
      <c r="BA445" s="207"/>
    </row>
    <row r="446" ht="18.75" hidden="1" customHeight="1">
      <c r="A446" s="207"/>
      <c r="B446" s="207"/>
      <c r="C446" s="207"/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  <c r="AA446" s="207"/>
      <c r="AB446" s="207"/>
      <c r="AC446" s="207"/>
      <c r="AD446" s="207"/>
      <c r="AE446" s="207"/>
      <c r="AF446" s="207"/>
      <c r="AG446" s="207"/>
      <c r="AH446" s="207"/>
      <c r="AI446" s="207"/>
      <c r="AJ446" s="207"/>
      <c r="AK446" s="207"/>
      <c r="AL446" s="207"/>
      <c r="AM446" s="207"/>
      <c r="AN446" s="207"/>
      <c r="AO446" s="207"/>
      <c r="AP446" s="207"/>
      <c r="AQ446" s="207"/>
      <c r="AR446" s="207"/>
      <c r="AS446" s="207"/>
      <c r="AT446" s="207"/>
      <c r="AU446" s="207"/>
      <c r="AV446" s="207"/>
      <c r="AW446" s="207"/>
      <c r="AX446" s="207"/>
      <c r="AY446" s="207"/>
      <c r="AZ446" s="207"/>
      <c r="BA446" s="207"/>
    </row>
    <row r="447" ht="18.75" hidden="1" customHeight="1">
      <c r="A447" s="207"/>
      <c r="B447" s="207"/>
      <c r="C447" s="207"/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  <c r="AA447" s="207"/>
      <c r="AB447" s="207"/>
      <c r="AC447" s="207"/>
      <c r="AD447" s="207"/>
      <c r="AE447" s="207"/>
      <c r="AF447" s="207"/>
      <c r="AG447" s="207"/>
      <c r="AH447" s="207"/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</row>
    <row r="448" ht="18.75" hidden="1" customHeight="1">
      <c r="A448" s="207"/>
      <c r="B448" s="207"/>
      <c r="C448" s="207"/>
      <c r="D448" s="207"/>
      <c r="E448" s="207"/>
      <c r="F448" s="207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  <c r="AA448" s="207"/>
      <c r="AB448" s="207"/>
      <c r="AC448" s="207"/>
      <c r="AD448" s="207"/>
      <c r="AE448" s="207"/>
      <c r="AF448" s="207"/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</row>
    <row r="449" ht="18.75" hidden="1" customHeight="1">
      <c r="A449" s="207"/>
      <c r="B449" s="207"/>
      <c r="C449" s="207"/>
      <c r="D449" s="207"/>
      <c r="E449" s="207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  <c r="AA449" s="207"/>
      <c r="AB449" s="207"/>
      <c r="AC449" s="207"/>
      <c r="AD449" s="207"/>
      <c r="AE449" s="207"/>
      <c r="AF449" s="207"/>
      <c r="AG449" s="207"/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</row>
    <row r="450" ht="18.75" hidden="1" customHeight="1">
      <c r="A450" s="207"/>
      <c r="B450" s="207"/>
      <c r="C450" s="207"/>
      <c r="D450" s="207"/>
      <c r="E450" s="207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  <c r="AA450" s="207"/>
      <c r="AB450" s="207"/>
      <c r="AC450" s="207"/>
      <c r="AD450" s="207"/>
      <c r="AE450" s="207"/>
      <c r="AF450" s="207"/>
      <c r="AG450" s="207"/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</row>
    <row r="451" ht="18.75" hidden="1" customHeight="1">
      <c r="A451" s="207"/>
      <c r="B451" s="207"/>
      <c r="C451" s="207"/>
      <c r="D451" s="207"/>
      <c r="E451" s="207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  <c r="AA451" s="207"/>
      <c r="AB451" s="207"/>
      <c r="AC451" s="207"/>
      <c r="AD451" s="207"/>
      <c r="AE451" s="207"/>
      <c r="AF451" s="207"/>
      <c r="AG451" s="207"/>
      <c r="AH451" s="207"/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</row>
    <row r="452" ht="18.75" hidden="1" customHeight="1">
      <c r="A452" s="207"/>
      <c r="B452" s="207"/>
      <c r="C452" s="207"/>
      <c r="D452" s="207"/>
      <c r="E452" s="207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  <c r="AA452" s="207"/>
      <c r="AB452" s="207"/>
      <c r="AC452" s="207"/>
      <c r="AD452" s="207"/>
      <c r="AE452" s="207"/>
      <c r="AF452" s="207"/>
      <c r="AG452" s="207"/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</row>
    <row r="453" ht="18.75" hidden="1" customHeight="1">
      <c r="A453" s="207"/>
      <c r="B453" s="207"/>
      <c r="C453" s="207"/>
      <c r="D453" s="207"/>
      <c r="E453" s="207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  <c r="AA453" s="207"/>
      <c r="AB453" s="207"/>
      <c r="AC453" s="207"/>
      <c r="AD453" s="207"/>
      <c r="AE453" s="207"/>
      <c r="AF453" s="207"/>
      <c r="AG453" s="207"/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</row>
    <row r="454" ht="18.75" hidden="1" customHeight="1">
      <c r="A454" s="207"/>
      <c r="B454" s="207"/>
      <c r="C454" s="207"/>
      <c r="D454" s="207"/>
      <c r="E454" s="207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  <c r="AA454" s="207"/>
      <c r="AB454" s="207"/>
      <c r="AC454" s="207"/>
      <c r="AD454" s="207"/>
      <c r="AE454" s="207"/>
      <c r="AF454" s="207"/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</row>
    <row r="455" ht="18.75" hidden="1" customHeight="1">
      <c r="A455" s="207"/>
      <c r="B455" s="207"/>
      <c r="C455" s="207"/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  <c r="AA455" s="207"/>
      <c r="AB455" s="207"/>
      <c r="AC455" s="207"/>
      <c r="AD455" s="207"/>
      <c r="AE455" s="207"/>
      <c r="AF455" s="207"/>
      <c r="AG455" s="207"/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</row>
    <row r="456" ht="18.75" hidden="1" customHeight="1">
      <c r="A456" s="207"/>
      <c r="B456" s="207"/>
      <c r="C456" s="207"/>
      <c r="D456" s="207"/>
      <c r="E456" s="207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  <c r="AA456" s="207"/>
      <c r="AB456" s="207"/>
      <c r="AC456" s="207"/>
      <c r="AD456" s="207"/>
      <c r="AE456" s="207"/>
      <c r="AF456" s="207"/>
      <c r="AG456" s="207"/>
      <c r="AH456" s="207"/>
      <c r="AI456" s="207"/>
      <c r="AJ456" s="207"/>
      <c r="AK456" s="207"/>
      <c r="AL456" s="207"/>
      <c r="AM456" s="207"/>
      <c r="AN456" s="207"/>
      <c r="AO456" s="207"/>
      <c r="AP456" s="207"/>
      <c r="AQ456" s="207"/>
      <c r="AR456" s="207"/>
      <c r="AS456" s="207"/>
      <c r="AT456" s="207"/>
      <c r="AU456" s="207"/>
      <c r="AV456" s="207"/>
      <c r="AW456" s="207"/>
      <c r="AX456" s="207"/>
      <c r="AY456" s="207"/>
      <c r="AZ456" s="207"/>
      <c r="BA456" s="207"/>
    </row>
    <row r="457" ht="18.75" hidden="1" customHeight="1">
      <c r="A457" s="207"/>
      <c r="B457" s="207"/>
      <c r="C457" s="207"/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  <c r="AB457" s="207"/>
      <c r="AC457" s="207"/>
      <c r="AD457" s="207"/>
      <c r="AE457" s="207"/>
      <c r="AF457" s="207"/>
      <c r="AG457" s="207"/>
      <c r="AH457" s="207"/>
      <c r="AI457" s="207"/>
      <c r="AJ457" s="207"/>
      <c r="AK457" s="207"/>
      <c r="AL457" s="207"/>
      <c r="AM457" s="207"/>
      <c r="AN457" s="207"/>
      <c r="AO457" s="207"/>
      <c r="AP457" s="207"/>
      <c r="AQ457" s="207"/>
      <c r="AR457" s="207"/>
      <c r="AS457" s="207"/>
      <c r="AT457" s="207"/>
      <c r="AU457" s="207"/>
      <c r="AV457" s="207"/>
      <c r="AW457" s="207"/>
      <c r="AX457" s="207"/>
      <c r="AY457" s="207"/>
      <c r="AZ457" s="207"/>
      <c r="BA457" s="207"/>
    </row>
    <row r="458" ht="18.75" hidden="1" customHeight="1">
      <c r="A458" s="207"/>
      <c r="B458" s="207"/>
      <c r="C458" s="207"/>
      <c r="D458" s="207"/>
      <c r="E458" s="207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  <c r="AB458" s="207"/>
      <c r="AC458" s="207"/>
      <c r="AD458" s="207"/>
      <c r="AE458" s="207"/>
      <c r="AF458" s="207"/>
      <c r="AG458" s="207"/>
      <c r="AH458" s="207"/>
      <c r="AI458" s="207"/>
      <c r="AJ458" s="207"/>
      <c r="AK458" s="207"/>
      <c r="AL458" s="207"/>
      <c r="AM458" s="207"/>
      <c r="AN458" s="207"/>
      <c r="AO458" s="207"/>
      <c r="AP458" s="207"/>
      <c r="AQ458" s="207"/>
      <c r="AR458" s="207"/>
      <c r="AS458" s="207"/>
      <c r="AT458" s="207"/>
      <c r="AU458" s="207"/>
      <c r="AV458" s="207"/>
      <c r="AW458" s="207"/>
      <c r="AX458" s="207"/>
      <c r="AY458" s="207"/>
      <c r="AZ458" s="207"/>
      <c r="BA458" s="207"/>
    </row>
    <row r="459" ht="18.75" hidden="1" customHeight="1">
      <c r="A459" s="207"/>
      <c r="B459" s="207"/>
      <c r="C459" s="207"/>
      <c r="D459" s="207"/>
      <c r="E459" s="207"/>
      <c r="F459" s="207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  <c r="AA459" s="207"/>
      <c r="AB459" s="207"/>
      <c r="AC459" s="207"/>
      <c r="AD459" s="207"/>
      <c r="AE459" s="207"/>
      <c r="AF459" s="207"/>
      <c r="AG459" s="207"/>
      <c r="AH459" s="207"/>
      <c r="AI459" s="207"/>
      <c r="AJ459" s="207"/>
      <c r="AK459" s="207"/>
      <c r="AL459" s="207"/>
      <c r="AM459" s="207"/>
      <c r="AN459" s="207"/>
      <c r="AO459" s="207"/>
      <c r="AP459" s="207"/>
      <c r="AQ459" s="207"/>
      <c r="AR459" s="207"/>
      <c r="AS459" s="207"/>
      <c r="AT459" s="207"/>
      <c r="AU459" s="207"/>
      <c r="AV459" s="207"/>
      <c r="AW459" s="207"/>
      <c r="AX459" s="207"/>
      <c r="AY459" s="207"/>
      <c r="AZ459" s="207"/>
      <c r="BA459" s="207"/>
    </row>
    <row r="460" ht="18.75" hidden="1" customHeight="1">
      <c r="A460" s="207"/>
      <c r="B460" s="207"/>
      <c r="C460" s="207"/>
      <c r="D460" s="207"/>
      <c r="E460" s="207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  <c r="AA460" s="207"/>
      <c r="AB460" s="207"/>
      <c r="AC460" s="207"/>
      <c r="AD460" s="207"/>
      <c r="AE460" s="207"/>
      <c r="AF460" s="207"/>
      <c r="AG460" s="207"/>
      <c r="AH460" s="207"/>
      <c r="AI460" s="207"/>
      <c r="AJ460" s="207"/>
      <c r="AK460" s="207"/>
      <c r="AL460" s="207"/>
      <c r="AM460" s="207"/>
      <c r="AN460" s="207"/>
      <c r="AO460" s="207"/>
      <c r="AP460" s="207"/>
      <c r="AQ460" s="207"/>
      <c r="AR460" s="207"/>
      <c r="AS460" s="207"/>
      <c r="AT460" s="207"/>
      <c r="AU460" s="207"/>
      <c r="AV460" s="207"/>
      <c r="AW460" s="207"/>
      <c r="AX460" s="207"/>
      <c r="AY460" s="207"/>
      <c r="AZ460" s="207"/>
      <c r="BA460" s="207"/>
    </row>
    <row r="461" ht="18.75" hidden="1" customHeight="1">
      <c r="A461" s="207"/>
      <c r="B461" s="207"/>
      <c r="C461" s="207"/>
      <c r="D461" s="207"/>
      <c r="E461" s="207"/>
      <c r="F461" s="207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  <c r="AA461" s="207"/>
      <c r="AB461" s="207"/>
      <c r="AC461" s="207"/>
      <c r="AD461" s="207"/>
      <c r="AE461" s="207"/>
      <c r="AF461" s="207"/>
      <c r="AG461" s="207"/>
      <c r="AH461" s="207"/>
      <c r="AI461" s="207"/>
      <c r="AJ461" s="207"/>
      <c r="AK461" s="207"/>
      <c r="AL461" s="207"/>
      <c r="AM461" s="207"/>
      <c r="AN461" s="207"/>
      <c r="AO461" s="207"/>
      <c r="AP461" s="207"/>
      <c r="AQ461" s="207"/>
      <c r="AR461" s="207"/>
      <c r="AS461" s="207"/>
      <c r="AT461" s="207"/>
      <c r="AU461" s="207"/>
      <c r="AV461" s="207"/>
      <c r="AW461" s="207"/>
      <c r="AX461" s="207"/>
      <c r="AY461" s="207"/>
      <c r="AZ461" s="207"/>
      <c r="BA461" s="207"/>
    </row>
    <row r="462" ht="18.75" hidden="1" customHeight="1">
      <c r="A462" s="207"/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  <c r="AA462" s="207"/>
      <c r="AB462" s="207"/>
      <c r="AC462" s="207"/>
      <c r="AD462" s="207"/>
      <c r="AE462" s="207"/>
      <c r="AF462" s="207"/>
      <c r="AG462" s="207"/>
      <c r="AH462" s="207"/>
      <c r="AI462" s="207"/>
      <c r="AJ462" s="207"/>
      <c r="AK462" s="207"/>
      <c r="AL462" s="207"/>
      <c r="AM462" s="207"/>
      <c r="AN462" s="207"/>
      <c r="AO462" s="207"/>
      <c r="AP462" s="207"/>
      <c r="AQ462" s="207"/>
      <c r="AR462" s="207"/>
      <c r="AS462" s="207"/>
      <c r="AT462" s="207"/>
      <c r="AU462" s="207"/>
      <c r="AV462" s="207"/>
      <c r="AW462" s="207"/>
      <c r="AX462" s="207"/>
      <c r="AY462" s="207"/>
      <c r="AZ462" s="207"/>
      <c r="BA462" s="207"/>
    </row>
    <row r="463" ht="18.75" hidden="1" customHeight="1">
      <c r="A463" s="207"/>
      <c r="B463" s="207"/>
      <c r="C463" s="207"/>
      <c r="D463" s="207"/>
      <c r="E463" s="207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  <c r="AA463" s="207"/>
      <c r="AB463" s="207"/>
      <c r="AC463" s="207"/>
      <c r="AD463" s="207"/>
      <c r="AE463" s="207"/>
      <c r="AF463" s="207"/>
      <c r="AG463" s="207"/>
      <c r="AH463" s="207"/>
      <c r="AI463" s="207"/>
      <c r="AJ463" s="207"/>
      <c r="AK463" s="207"/>
      <c r="AL463" s="207"/>
      <c r="AM463" s="207"/>
      <c r="AN463" s="207"/>
      <c r="AO463" s="207"/>
      <c r="AP463" s="207"/>
      <c r="AQ463" s="207"/>
      <c r="AR463" s="207"/>
      <c r="AS463" s="207"/>
      <c r="AT463" s="207"/>
      <c r="AU463" s="207"/>
      <c r="AV463" s="207"/>
      <c r="AW463" s="207"/>
      <c r="AX463" s="207"/>
      <c r="AY463" s="207"/>
      <c r="AZ463" s="207"/>
      <c r="BA463" s="207"/>
    </row>
    <row r="464" ht="18.75" hidden="1" customHeight="1">
      <c r="A464" s="207"/>
      <c r="B464" s="207"/>
      <c r="C464" s="207"/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  <c r="AA464" s="207"/>
      <c r="AB464" s="207"/>
      <c r="AC464" s="207"/>
      <c r="AD464" s="207"/>
      <c r="AE464" s="207"/>
      <c r="AF464" s="207"/>
      <c r="AG464" s="207"/>
      <c r="AH464" s="207"/>
      <c r="AI464" s="207"/>
      <c r="AJ464" s="207"/>
      <c r="AK464" s="207"/>
      <c r="AL464" s="207"/>
      <c r="AM464" s="207"/>
      <c r="AN464" s="207"/>
      <c r="AO464" s="207"/>
      <c r="AP464" s="207"/>
      <c r="AQ464" s="207"/>
      <c r="AR464" s="207"/>
      <c r="AS464" s="207"/>
      <c r="AT464" s="207"/>
      <c r="AU464" s="207"/>
      <c r="AV464" s="207"/>
      <c r="AW464" s="207"/>
      <c r="AX464" s="207"/>
      <c r="AY464" s="207"/>
      <c r="AZ464" s="207"/>
      <c r="BA464" s="207"/>
    </row>
    <row r="465" ht="18.75" hidden="1" customHeight="1">
      <c r="A465" s="207"/>
      <c r="B465" s="207"/>
      <c r="C465" s="207"/>
      <c r="D465" s="207"/>
      <c r="E465" s="207"/>
      <c r="F465" s="207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  <c r="AA465" s="207"/>
      <c r="AB465" s="207"/>
      <c r="AC465" s="207"/>
      <c r="AD465" s="207"/>
      <c r="AE465" s="207"/>
      <c r="AF465" s="207"/>
      <c r="AG465" s="207"/>
      <c r="AH465" s="207"/>
      <c r="AI465" s="207"/>
      <c r="AJ465" s="207"/>
      <c r="AK465" s="207"/>
      <c r="AL465" s="207"/>
      <c r="AM465" s="207"/>
      <c r="AN465" s="207"/>
      <c r="AO465" s="207"/>
      <c r="AP465" s="207"/>
      <c r="AQ465" s="207"/>
      <c r="AR465" s="207"/>
      <c r="AS465" s="207"/>
      <c r="AT465" s="207"/>
      <c r="AU465" s="207"/>
      <c r="AV465" s="207"/>
      <c r="AW465" s="207"/>
      <c r="AX465" s="207"/>
      <c r="AY465" s="207"/>
      <c r="AZ465" s="207"/>
      <c r="BA465" s="207"/>
    </row>
    <row r="466" ht="18.75" hidden="1" customHeight="1">
      <c r="A466" s="207"/>
      <c r="B466" s="207"/>
      <c r="C466" s="207"/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  <c r="AA466" s="207"/>
      <c r="AB466" s="207"/>
      <c r="AC466" s="207"/>
      <c r="AD466" s="207"/>
      <c r="AE466" s="207"/>
      <c r="AF466" s="207"/>
      <c r="AG466" s="207"/>
      <c r="AH466" s="207"/>
      <c r="AI466" s="207"/>
      <c r="AJ466" s="207"/>
      <c r="AK466" s="207"/>
      <c r="AL466" s="207"/>
      <c r="AM466" s="207"/>
      <c r="AN466" s="207"/>
      <c r="AO466" s="207"/>
      <c r="AP466" s="207"/>
      <c r="AQ466" s="207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</row>
    <row r="467" ht="18.75" hidden="1" customHeight="1">
      <c r="A467" s="207"/>
      <c r="B467" s="207"/>
      <c r="C467" s="207"/>
      <c r="D467" s="207"/>
      <c r="E467" s="207"/>
      <c r="F467" s="207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  <c r="AA467" s="207"/>
      <c r="AB467" s="207"/>
      <c r="AC467" s="207"/>
      <c r="AD467" s="207"/>
      <c r="AE467" s="207"/>
      <c r="AF467" s="207"/>
      <c r="AG467" s="207"/>
      <c r="AH467" s="207"/>
      <c r="AI467" s="207"/>
      <c r="AJ467" s="207"/>
      <c r="AK467" s="207"/>
      <c r="AL467" s="207"/>
      <c r="AM467" s="207"/>
      <c r="AN467" s="207"/>
      <c r="AO467" s="207"/>
      <c r="AP467" s="207"/>
      <c r="AQ467" s="207"/>
      <c r="AR467" s="207"/>
      <c r="AS467" s="207"/>
      <c r="AT467" s="207"/>
      <c r="AU467" s="207"/>
      <c r="AV467" s="207"/>
      <c r="AW467" s="207"/>
      <c r="AX467" s="207"/>
      <c r="AY467" s="207"/>
      <c r="AZ467" s="207"/>
      <c r="BA467" s="207"/>
    </row>
    <row r="468" ht="18.75" hidden="1" customHeight="1">
      <c r="A468" s="207"/>
      <c r="B468" s="207"/>
      <c r="C468" s="207"/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  <c r="AA468" s="207"/>
      <c r="AB468" s="207"/>
      <c r="AC468" s="207"/>
      <c r="AD468" s="207"/>
      <c r="AE468" s="207"/>
      <c r="AF468" s="207"/>
      <c r="AG468" s="207"/>
      <c r="AH468" s="207"/>
      <c r="AI468" s="207"/>
      <c r="AJ468" s="207"/>
      <c r="AK468" s="207"/>
      <c r="AL468" s="207"/>
      <c r="AM468" s="207"/>
      <c r="AN468" s="207"/>
      <c r="AO468" s="207"/>
      <c r="AP468" s="207"/>
      <c r="AQ468" s="207"/>
      <c r="AR468" s="207"/>
      <c r="AS468" s="207"/>
      <c r="AT468" s="207"/>
      <c r="AU468" s="207"/>
      <c r="AV468" s="207"/>
      <c r="AW468" s="207"/>
      <c r="AX468" s="207"/>
      <c r="AY468" s="207"/>
      <c r="AZ468" s="207"/>
      <c r="BA468" s="207"/>
    </row>
    <row r="469" ht="18.75" hidden="1" customHeight="1">
      <c r="A469" s="207"/>
      <c r="B469" s="207"/>
      <c r="C469" s="207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  <c r="AB469" s="207"/>
      <c r="AC469" s="207"/>
      <c r="AD469" s="207"/>
      <c r="AE469" s="207"/>
      <c r="AF469" s="207"/>
      <c r="AG469" s="207"/>
      <c r="AH469" s="207"/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</row>
    <row r="470" ht="18.75" hidden="1" customHeight="1">
      <c r="A470" s="207"/>
      <c r="B470" s="207"/>
      <c r="C470" s="207"/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  <c r="AA470" s="207"/>
      <c r="AB470" s="207"/>
      <c r="AC470" s="207"/>
      <c r="AD470" s="207"/>
      <c r="AE470" s="207"/>
      <c r="AF470" s="207"/>
      <c r="AG470" s="207"/>
      <c r="AH470" s="207"/>
      <c r="AI470" s="207"/>
      <c r="AJ470" s="207"/>
      <c r="AK470" s="207"/>
      <c r="AL470" s="207"/>
      <c r="AM470" s="207"/>
      <c r="AN470" s="207"/>
      <c r="AO470" s="207"/>
      <c r="AP470" s="207"/>
      <c r="AQ470" s="207"/>
      <c r="AR470" s="207"/>
      <c r="AS470" s="207"/>
      <c r="AT470" s="207"/>
      <c r="AU470" s="207"/>
      <c r="AV470" s="207"/>
      <c r="AW470" s="207"/>
      <c r="AX470" s="207"/>
      <c r="AY470" s="207"/>
      <c r="AZ470" s="207"/>
      <c r="BA470" s="207"/>
    </row>
    <row r="471" ht="18.75" hidden="1" customHeight="1">
      <c r="A471" s="207"/>
      <c r="B471" s="207"/>
      <c r="C471" s="207"/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  <c r="AA471" s="207"/>
      <c r="AB471" s="207"/>
      <c r="AC471" s="207"/>
      <c r="AD471" s="207"/>
      <c r="AE471" s="207"/>
      <c r="AF471" s="207"/>
      <c r="AG471" s="207"/>
      <c r="AH471" s="207"/>
      <c r="AI471" s="207"/>
      <c r="AJ471" s="207"/>
      <c r="AK471" s="207"/>
      <c r="AL471" s="207"/>
      <c r="AM471" s="207"/>
      <c r="AN471" s="207"/>
      <c r="AO471" s="207"/>
      <c r="AP471" s="207"/>
      <c r="AQ471" s="207"/>
      <c r="AR471" s="207"/>
      <c r="AS471" s="207"/>
      <c r="AT471" s="207"/>
      <c r="AU471" s="207"/>
      <c r="AV471" s="207"/>
      <c r="AW471" s="207"/>
      <c r="AX471" s="207"/>
      <c r="AY471" s="207"/>
      <c r="AZ471" s="207"/>
      <c r="BA471" s="207"/>
    </row>
    <row r="472" ht="18.75" hidden="1" customHeight="1">
      <c r="A472" s="207"/>
      <c r="B472" s="207"/>
      <c r="C472" s="207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  <c r="AA472" s="207"/>
      <c r="AB472" s="207"/>
      <c r="AC472" s="207"/>
      <c r="AD472" s="207"/>
      <c r="AE472" s="207"/>
      <c r="AF472" s="207"/>
      <c r="AG472" s="207"/>
      <c r="AH472" s="207"/>
      <c r="AI472" s="207"/>
      <c r="AJ472" s="207"/>
      <c r="AK472" s="207"/>
      <c r="AL472" s="207"/>
      <c r="AM472" s="207"/>
      <c r="AN472" s="207"/>
      <c r="AO472" s="207"/>
      <c r="AP472" s="207"/>
      <c r="AQ472" s="207"/>
      <c r="AR472" s="207"/>
      <c r="AS472" s="207"/>
      <c r="AT472" s="207"/>
      <c r="AU472" s="207"/>
      <c r="AV472" s="207"/>
      <c r="AW472" s="207"/>
      <c r="AX472" s="207"/>
      <c r="AY472" s="207"/>
      <c r="AZ472" s="207"/>
      <c r="BA472" s="207"/>
    </row>
    <row r="473" ht="18.75" hidden="1" customHeight="1">
      <c r="A473" s="207"/>
      <c r="B473" s="207"/>
      <c r="C473" s="207"/>
      <c r="D473" s="207"/>
      <c r="E473" s="207"/>
      <c r="F473" s="207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  <c r="AA473" s="207"/>
      <c r="AB473" s="207"/>
      <c r="AC473" s="207"/>
      <c r="AD473" s="207"/>
      <c r="AE473" s="207"/>
      <c r="AF473" s="207"/>
      <c r="AG473" s="207"/>
      <c r="AH473" s="207"/>
      <c r="AI473" s="207"/>
      <c r="AJ473" s="207"/>
      <c r="AK473" s="207"/>
      <c r="AL473" s="207"/>
      <c r="AM473" s="207"/>
      <c r="AN473" s="207"/>
      <c r="AO473" s="207"/>
      <c r="AP473" s="207"/>
      <c r="AQ473" s="207"/>
      <c r="AR473" s="207"/>
      <c r="AS473" s="207"/>
      <c r="AT473" s="207"/>
      <c r="AU473" s="207"/>
      <c r="AV473" s="207"/>
      <c r="AW473" s="207"/>
      <c r="AX473" s="207"/>
      <c r="AY473" s="207"/>
      <c r="AZ473" s="207"/>
      <c r="BA473" s="207"/>
    </row>
    <row r="474" ht="18.75" hidden="1" customHeight="1">
      <c r="A474" s="207"/>
      <c r="B474" s="207"/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  <c r="AA474" s="207"/>
      <c r="AB474" s="207"/>
      <c r="AC474" s="207"/>
      <c r="AD474" s="207"/>
      <c r="AE474" s="207"/>
      <c r="AF474" s="207"/>
      <c r="AG474" s="207"/>
      <c r="AH474" s="207"/>
      <c r="AI474" s="207"/>
      <c r="AJ474" s="207"/>
      <c r="AK474" s="207"/>
      <c r="AL474" s="207"/>
      <c r="AM474" s="207"/>
      <c r="AN474" s="207"/>
      <c r="AO474" s="207"/>
      <c r="AP474" s="207"/>
      <c r="AQ474" s="207"/>
      <c r="AR474" s="207"/>
      <c r="AS474" s="207"/>
      <c r="AT474" s="207"/>
      <c r="AU474" s="207"/>
      <c r="AV474" s="207"/>
      <c r="AW474" s="207"/>
      <c r="AX474" s="207"/>
      <c r="AY474" s="207"/>
      <c r="AZ474" s="207"/>
      <c r="BA474" s="207"/>
    </row>
    <row r="475" ht="18.75" hidden="1" customHeight="1">
      <c r="A475" s="207"/>
      <c r="B475" s="207"/>
      <c r="C475" s="207"/>
      <c r="D475" s="207"/>
      <c r="E475" s="207"/>
      <c r="F475" s="207"/>
      <c r="G475" s="207"/>
      <c r="H475" s="207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  <c r="AA475" s="207"/>
      <c r="AB475" s="207"/>
      <c r="AC475" s="207"/>
      <c r="AD475" s="207"/>
      <c r="AE475" s="207"/>
      <c r="AF475" s="207"/>
      <c r="AG475" s="207"/>
      <c r="AH475" s="207"/>
      <c r="AI475" s="207"/>
      <c r="AJ475" s="207"/>
      <c r="AK475" s="207"/>
      <c r="AL475" s="207"/>
      <c r="AM475" s="207"/>
      <c r="AN475" s="207"/>
      <c r="AO475" s="207"/>
      <c r="AP475" s="207"/>
      <c r="AQ475" s="207"/>
      <c r="AR475" s="207"/>
      <c r="AS475" s="207"/>
      <c r="AT475" s="207"/>
      <c r="AU475" s="207"/>
      <c r="AV475" s="207"/>
      <c r="AW475" s="207"/>
      <c r="AX475" s="207"/>
      <c r="AY475" s="207"/>
      <c r="AZ475" s="207"/>
      <c r="BA475" s="207"/>
    </row>
    <row r="476" ht="18.75" hidden="1" customHeight="1">
      <c r="A476" s="207"/>
      <c r="B476" s="207"/>
      <c r="C476" s="207"/>
      <c r="D476" s="207"/>
      <c r="E476" s="207"/>
      <c r="F476" s="207"/>
      <c r="G476" s="207"/>
      <c r="H476" s="207"/>
      <c r="I476" s="207"/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  <c r="AA476" s="207"/>
      <c r="AB476" s="207"/>
      <c r="AC476" s="207"/>
      <c r="AD476" s="207"/>
      <c r="AE476" s="207"/>
      <c r="AF476" s="207"/>
      <c r="AG476" s="207"/>
      <c r="AH476" s="207"/>
      <c r="AI476" s="207"/>
      <c r="AJ476" s="207"/>
      <c r="AK476" s="207"/>
      <c r="AL476" s="207"/>
      <c r="AM476" s="207"/>
      <c r="AN476" s="207"/>
      <c r="AO476" s="207"/>
      <c r="AP476" s="207"/>
      <c r="AQ476" s="207"/>
      <c r="AR476" s="207"/>
      <c r="AS476" s="207"/>
      <c r="AT476" s="207"/>
      <c r="AU476" s="207"/>
      <c r="AV476" s="207"/>
      <c r="AW476" s="207"/>
      <c r="AX476" s="207"/>
      <c r="AY476" s="207"/>
      <c r="AZ476" s="207"/>
      <c r="BA476" s="207"/>
    </row>
    <row r="477" ht="18.75" hidden="1" customHeight="1">
      <c r="A477" s="207"/>
      <c r="B477" s="207"/>
      <c r="C477" s="207"/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  <c r="AA477" s="207"/>
      <c r="AB477" s="207"/>
      <c r="AC477" s="207"/>
      <c r="AD477" s="207"/>
      <c r="AE477" s="207"/>
      <c r="AF477" s="207"/>
      <c r="AG477" s="207"/>
      <c r="AH477" s="207"/>
      <c r="AI477" s="207"/>
      <c r="AJ477" s="207"/>
      <c r="AK477" s="207"/>
      <c r="AL477" s="207"/>
      <c r="AM477" s="207"/>
      <c r="AN477" s="207"/>
      <c r="AO477" s="207"/>
      <c r="AP477" s="207"/>
      <c r="AQ477" s="207"/>
      <c r="AR477" s="207"/>
      <c r="AS477" s="207"/>
      <c r="AT477" s="207"/>
      <c r="AU477" s="207"/>
      <c r="AV477" s="207"/>
      <c r="AW477" s="207"/>
      <c r="AX477" s="207"/>
      <c r="AY477" s="207"/>
      <c r="AZ477" s="207"/>
      <c r="BA477" s="207"/>
    </row>
    <row r="478" ht="18.75" hidden="1" customHeight="1">
      <c r="A478" s="207"/>
      <c r="B478" s="207"/>
      <c r="C478" s="207"/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  <c r="AA478" s="207"/>
      <c r="AB478" s="207"/>
      <c r="AC478" s="207"/>
      <c r="AD478" s="207"/>
      <c r="AE478" s="207"/>
      <c r="AF478" s="207"/>
      <c r="AG478" s="207"/>
      <c r="AH478" s="207"/>
      <c r="AI478" s="207"/>
      <c r="AJ478" s="207"/>
      <c r="AK478" s="207"/>
      <c r="AL478" s="207"/>
      <c r="AM478" s="207"/>
      <c r="AN478" s="207"/>
      <c r="AO478" s="207"/>
      <c r="AP478" s="207"/>
      <c r="AQ478" s="207"/>
      <c r="AR478" s="207"/>
      <c r="AS478" s="207"/>
      <c r="AT478" s="207"/>
      <c r="AU478" s="207"/>
      <c r="AV478" s="207"/>
      <c r="AW478" s="207"/>
      <c r="AX478" s="207"/>
      <c r="AY478" s="207"/>
      <c r="AZ478" s="207"/>
      <c r="BA478" s="207"/>
    </row>
    <row r="479" ht="18.75" hidden="1" customHeight="1">
      <c r="A479" s="207"/>
      <c r="B479" s="207"/>
      <c r="C479" s="207"/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  <c r="AA479" s="207"/>
      <c r="AB479" s="207"/>
      <c r="AC479" s="207"/>
      <c r="AD479" s="207"/>
      <c r="AE479" s="207"/>
      <c r="AF479" s="207"/>
      <c r="AG479" s="207"/>
      <c r="AH479" s="207"/>
      <c r="AI479" s="207"/>
      <c r="AJ479" s="207"/>
      <c r="AK479" s="207"/>
      <c r="AL479" s="207"/>
      <c r="AM479" s="207"/>
      <c r="AN479" s="207"/>
      <c r="AO479" s="207"/>
      <c r="AP479" s="207"/>
      <c r="AQ479" s="207"/>
      <c r="AR479" s="207"/>
      <c r="AS479" s="207"/>
      <c r="AT479" s="207"/>
      <c r="AU479" s="207"/>
      <c r="AV479" s="207"/>
      <c r="AW479" s="207"/>
      <c r="AX479" s="207"/>
      <c r="AY479" s="207"/>
      <c r="AZ479" s="207"/>
      <c r="BA479" s="207"/>
    </row>
    <row r="480" ht="18.75" hidden="1" customHeight="1">
      <c r="A480" s="207"/>
      <c r="B480" s="207"/>
      <c r="C480" s="207"/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  <c r="AA480" s="207"/>
      <c r="AB480" s="207"/>
      <c r="AC480" s="207"/>
      <c r="AD480" s="207"/>
      <c r="AE480" s="207"/>
      <c r="AF480" s="207"/>
      <c r="AG480" s="207"/>
      <c r="AH480" s="207"/>
      <c r="AI480" s="207"/>
      <c r="AJ480" s="207"/>
      <c r="AK480" s="207"/>
      <c r="AL480" s="207"/>
      <c r="AM480" s="207"/>
      <c r="AN480" s="207"/>
      <c r="AO480" s="207"/>
      <c r="AP480" s="207"/>
      <c r="AQ480" s="207"/>
      <c r="AR480" s="207"/>
      <c r="AS480" s="207"/>
      <c r="AT480" s="207"/>
      <c r="AU480" s="207"/>
      <c r="AV480" s="207"/>
      <c r="AW480" s="207"/>
      <c r="AX480" s="207"/>
      <c r="AY480" s="207"/>
      <c r="AZ480" s="207"/>
      <c r="BA480" s="207"/>
    </row>
    <row r="481" ht="18.75" hidden="1" customHeight="1">
      <c r="A481" s="207"/>
      <c r="B481" s="207"/>
      <c r="C481" s="207"/>
      <c r="D481" s="207"/>
      <c r="E481" s="207"/>
      <c r="F481" s="207"/>
      <c r="G481" s="207"/>
      <c r="H481" s="207"/>
      <c r="I481" s="207"/>
      <c r="J481" s="207"/>
      <c r="K481" s="207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  <c r="AA481" s="207"/>
      <c r="AB481" s="207"/>
      <c r="AC481" s="207"/>
      <c r="AD481" s="207"/>
      <c r="AE481" s="207"/>
      <c r="AF481" s="207"/>
      <c r="AG481" s="207"/>
      <c r="AH481" s="207"/>
      <c r="AI481" s="207"/>
      <c r="AJ481" s="207"/>
      <c r="AK481" s="207"/>
      <c r="AL481" s="207"/>
      <c r="AM481" s="207"/>
      <c r="AN481" s="207"/>
      <c r="AO481" s="207"/>
      <c r="AP481" s="207"/>
      <c r="AQ481" s="207"/>
      <c r="AR481" s="207"/>
      <c r="AS481" s="207"/>
      <c r="AT481" s="207"/>
      <c r="AU481" s="207"/>
      <c r="AV481" s="207"/>
      <c r="AW481" s="207"/>
      <c r="AX481" s="207"/>
      <c r="AY481" s="207"/>
      <c r="AZ481" s="207"/>
      <c r="BA481" s="207"/>
    </row>
    <row r="482" ht="18.75" hidden="1" customHeight="1">
      <c r="A482" s="207"/>
      <c r="B482" s="207"/>
      <c r="C482" s="207"/>
      <c r="D482" s="207"/>
      <c r="E482" s="207"/>
      <c r="F482" s="207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  <c r="AA482" s="207"/>
      <c r="AB482" s="207"/>
      <c r="AC482" s="207"/>
      <c r="AD482" s="207"/>
      <c r="AE482" s="207"/>
      <c r="AF482" s="207"/>
      <c r="AG482" s="207"/>
      <c r="AH482" s="207"/>
      <c r="AI482" s="207"/>
      <c r="AJ482" s="207"/>
      <c r="AK482" s="207"/>
      <c r="AL482" s="207"/>
      <c r="AM482" s="207"/>
      <c r="AN482" s="207"/>
      <c r="AO482" s="207"/>
      <c r="AP482" s="207"/>
      <c r="AQ482" s="207"/>
      <c r="AR482" s="207"/>
      <c r="AS482" s="207"/>
      <c r="AT482" s="207"/>
      <c r="AU482" s="207"/>
      <c r="AV482" s="207"/>
      <c r="AW482" s="207"/>
      <c r="AX482" s="207"/>
      <c r="AY482" s="207"/>
      <c r="AZ482" s="207"/>
      <c r="BA482" s="207"/>
    </row>
    <row r="483" ht="18.75" hidden="1" customHeight="1">
      <c r="A483" s="207"/>
      <c r="B483" s="207"/>
      <c r="C483" s="207"/>
      <c r="D483" s="207"/>
      <c r="E483" s="207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  <c r="AA483" s="207"/>
      <c r="AB483" s="207"/>
      <c r="AC483" s="207"/>
      <c r="AD483" s="207"/>
      <c r="AE483" s="207"/>
      <c r="AF483" s="207"/>
      <c r="AG483" s="207"/>
      <c r="AH483" s="207"/>
      <c r="AI483" s="207"/>
      <c r="AJ483" s="207"/>
      <c r="AK483" s="207"/>
      <c r="AL483" s="207"/>
      <c r="AM483" s="207"/>
      <c r="AN483" s="207"/>
      <c r="AO483" s="207"/>
      <c r="AP483" s="207"/>
      <c r="AQ483" s="207"/>
      <c r="AR483" s="207"/>
      <c r="AS483" s="207"/>
      <c r="AT483" s="207"/>
      <c r="AU483" s="207"/>
      <c r="AV483" s="207"/>
      <c r="AW483" s="207"/>
      <c r="AX483" s="207"/>
      <c r="AY483" s="207"/>
      <c r="AZ483" s="207"/>
      <c r="BA483" s="207"/>
    </row>
    <row r="484" ht="18.75" hidden="1" customHeight="1">
      <c r="A484" s="207"/>
      <c r="B484" s="207"/>
      <c r="C484" s="207"/>
      <c r="D484" s="207"/>
      <c r="E484" s="207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  <c r="AA484" s="207"/>
      <c r="AB484" s="207"/>
      <c r="AC484" s="207"/>
      <c r="AD484" s="207"/>
      <c r="AE484" s="207"/>
      <c r="AF484" s="207"/>
      <c r="AG484" s="207"/>
      <c r="AH484" s="207"/>
      <c r="AI484" s="207"/>
      <c r="AJ484" s="207"/>
      <c r="AK484" s="207"/>
      <c r="AL484" s="207"/>
      <c r="AM484" s="207"/>
      <c r="AN484" s="207"/>
      <c r="AO484" s="207"/>
      <c r="AP484" s="207"/>
      <c r="AQ484" s="207"/>
      <c r="AR484" s="207"/>
      <c r="AS484" s="207"/>
      <c r="AT484" s="207"/>
      <c r="AU484" s="207"/>
      <c r="AV484" s="207"/>
      <c r="AW484" s="207"/>
      <c r="AX484" s="207"/>
      <c r="AY484" s="207"/>
      <c r="AZ484" s="207"/>
      <c r="BA484" s="207"/>
    </row>
    <row r="485" ht="18.75" hidden="1" customHeight="1">
      <c r="A485" s="207"/>
      <c r="B485" s="207"/>
      <c r="C485" s="207"/>
      <c r="D485" s="207"/>
      <c r="E485" s="207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  <c r="AA485" s="207"/>
      <c r="AB485" s="207"/>
      <c r="AC485" s="207"/>
      <c r="AD485" s="207"/>
      <c r="AE485" s="207"/>
      <c r="AF485" s="207"/>
      <c r="AG485" s="207"/>
      <c r="AH485" s="207"/>
      <c r="AI485" s="207"/>
      <c r="AJ485" s="207"/>
      <c r="AK485" s="207"/>
      <c r="AL485" s="207"/>
      <c r="AM485" s="207"/>
      <c r="AN485" s="207"/>
      <c r="AO485" s="207"/>
      <c r="AP485" s="207"/>
      <c r="AQ485" s="207"/>
      <c r="AR485" s="207"/>
      <c r="AS485" s="207"/>
      <c r="AT485" s="207"/>
      <c r="AU485" s="207"/>
      <c r="AV485" s="207"/>
      <c r="AW485" s="207"/>
      <c r="AX485" s="207"/>
      <c r="AY485" s="207"/>
      <c r="AZ485" s="207"/>
      <c r="BA485" s="207"/>
    </row>
    <row r="486" ht="18.75" hidden="1" customHeight="1">
      <c r="A486" s="207"/>
      <c r="B486" s="207"/>
      <c r="C486" s="207"/>
      <c r="D486" s="207"/>
      <c r="E486" s="207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  <c r="AA486" s="207"/>
      <c r="AB486" s="207"/>
      <c r="AC486" s="207"/>
      <c r="AD486" s="207"/>
      <c r="AE486" s="207"/>
      <c r="AF486" s="207"/>
      <c r="AG486" s="207"/>
      <c r="AH486" s="207"/>
      <c r="AI486" s="207"/>
      <c r="AJ486" s="207"/>
      <c r="AK486" s="207"/>
      <c r="AL486" s="207"/>
      <c r="AM486" s="207"/>
      <c r="AN486" s="207"/>
      <c r="AO486" s="207"/>
      <c r="AP486" s="207"/>
      <c r="AQ486" s="207"/>
      <c r="AR486" s="207"/>
      <c r="AS486" s="207"/>
      <c r="AT486" s="207"/>
      <c r="AU486" s="207"/>
      <c r="AV486" s="207"/>
      <c r="AW486" s="207"/>
      <c r="AX486" s="207"/>
      <c r="AY486" s="207"/>
      <c r="AZ486" s="207"/>
      <c r="BA486" s="207"/>
    </row>
    <row r="487" ht="18.75" hidden="1" customHeight="1">
      <c r="A487" s="207"/>
      <c r="B487" s="207"/>
      <c r="C487" s="207"/>
      <c r="D487" s="207"/>
      <c r="E487" s="207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  <c r="AA487" s="207"/>
      <c r="AB487" s="207"/>
      <c r="AC487" s="207"/>
      <c r="AD487" s="207"/>
      <c r="AE487" s="207"/>
      <c r="AF487" s="207"/>
      <c r="AG487" s="207"/>
      <c r="AH487" s="207"/>
      <c r="AI487" s="207"/>
      <c r="AJ487" s="207"/>
      <c r="AK487" s="207"/>
      <c r="AL487" s="207"/>
      <c r="AM487" s="207"/>
      <c r="AN487" s="207"/>
      <c r="AO487" s="207"/>
      <c r="AP487" s="207"/>
      <c r="AQ487" s="207"/>
      <c r="AR487" s="207"/>
      <c r="AS487" s="207"/>
      <c r="AT487" s="207"/>
      <c r="AU487" s="207"/>
      <c r="AV487" s="207"/>
      <c r="AW487" s="207"/>
      <c r="AX487" s="207"/>
      <c r="AY487" s="207"/>
      <c r="AZ487" s="207"/>
      <c r="BA487" s="207"/>
    </row>
    <row r="488" ht="18.75" hidden="1" customHeight="1">
      <c r="A488" s="207"/>
      <c r="B488" s="207"/>
      <c r="C488" s="207"/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  <c r="AA488" s="207"/>
      <c r="AB488" s="207"/>
      <c r="AC488" s="207"/>
      <c r="AD488" s="207"/>
      <c r="AE488" s="207"/>
      <c r="AF488" s="207"/>
      <c r="AG488" s="207"/>
      <c r="AH488" s="207"/>
      <c r="AI488" s="207"/>
      <c r="AJ488" s="207"/>
      <c r="AK488" s="207"/>
      <c r="AL488" s="207"/>
      <c r="AM488" s="207"/>
      <c r="AN488" s="207"/>
      <c r="AO488" s="207"/>
      <c r="AP488" s="207"/>
      <c r="AQ488" s="207"/>
      <c r="AR488" s="207"/>
      <c r="AS488" s="207"/>
      <c r="AT488" s="207"/>
      <c r="AU488" s="207"/>
      <c r="AV488" s="207"/>
      <c r="AW488" s="207"/>
      <c r="AX488" s="207"/>
      <c r="AY488" s="207"/>
      <c r="AZ488" s="207"/>
      <c r="BA488" s="207"/>
    </row>
    <row r="489" ht="18.75" hidden="1" customHeight="1">
      <c r="A489" s="207"/>
      <c r="B489" s="207"/>
      <c r="C489" s="207"/>
      <c r="D489" s="207"/>
      <c r="E489" s="207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  <c r="AA489" s="207"/>
      <c r="AB489" s="207"/>
      <c r="AC489" s="207"/>
      <c r="AD489" s="207"/>
      <c r="AE489" s="207"/>
      <c r="AF489" s="207"/>
      <c r="AG489" s="207"/>
      <c r="AH489" s="207"/>
      <c r="AI489" s="207"/>
      <c r="AJ489" s="207"/>
      <c r="AK489" s="207"/>
      <c r="AL489" s="207"/>
      <c r="AM489" s="207"/>
      <c r="AN489" s="207"/>
      <c r="AO489" s="207"/>
      <c r="AP489" s="207"/>
      <c r="AQ489" s="207"/>
      <c r="AR489" s="207"/>
      <c r="AS489" s="207"/>
      <c r="AT489" s="207"/>
      <c r="AU489" s="207"/>
      <c r="AV489" s="207"/>
      <c r="AW489" s="207"/>
      <c r="AX489" s="207"/>
      <c r="AY489" s="207"/>
      <c r="AZ489" s="207"/>
      <c r="BA489" s="207"/>
    </row>
    <row r="490" ht="18.75" hidden="1" customHeight="1">
      <c r="A490" s="207"/>
      <c r="B490" s="207"/>
      <c r="C490" s="207"/>
      <c r="D490" s="207"/>
      <c r="E490" s="207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  <c r="AA490" s="207"/>
      <c r="AB490" s="207"/>
      <c r="AC490" s="207"/>
      <c r="AD490" s="207"/>
      <c r="AE490" s="207"/>
      <c r="AF490" s="207"/>
      <c r="AG490" s="207"/>
      <c r="AH490" s="207"/>
      <c r="AI490" s="207"/>
      <c r="AJ490" s="207"/>
      <c r="AK490" s="207"/>
      <c r="AL490" s="207"/>
      <c r="AM490" s="207"/>
      <c r="AN490" s="207"/>
      <c r="AO490" s="207"/>
      <c r="AP490" s="207"/>
      <c r="AQ490" s="207"/>
      <c r="AR490" s="207"/>
      <c r="AS490" s="207"/>
      <c r="AT490" s="207"/>
      <c r="AU490" s="207"/>
      <c r="AV490" s="207"/>
      <c r="AW490" s="207"/>
      <c r="AX490" s="207"/>
      <c r="AY490" s="207"/>
      <c r="AZ490" s="207"/>
      <c r="BA490" s="207"/>
    </row>
    <row r="491" ht="18.75" hidden="1" customHeight="1">
      <c r="A491" s="207"/>
      <c r="B491" s="207"/>
      <c r="C491" s="207"/>
      <c r="D491" s="207"/>
      <c r="E491" s="207"/>
      <c r="F491" s="207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  <c r="AA491" s="207"/>
      <c r="AB491" s="207"/>
      <c r="AC491" s="207"/>
      <c r="AD491" s="207"/>
      <c r="AE491" s="207"/>
      <c r="AF491" s="207"/>
      <c r="AG491" s="207"/>
      <c r="AH491" s="207"/>
      <c r="AI491" s="207"/>
      <c r="AJ491" s="207"/>
      <c r="AK491" s="207"/>
      <c r="AL491" s="207"/>
      <c r="AM491" s="207"/>
      <c r="AN491" s="207"/>
      <c r="AO491" s="207"/>
      <c r="AP491" s="207"/>
      <c r="AQ491" s="207"/>
      <c r="AR491" s="207"/>
      <c r="AS491" s="207"/>
      <c r="AT491" s="207"/>
      <c r="AU491" s="207"/>
      <c r="AV491" s="207"/>
      <c r="AW491" s="207"/>
      <c r="AX491" s="207"/>
      <c r="AY491" s="207"/>
      <c r="AZ491" s="207"/>
      <c r="BA491" s="207"/>
    </row>
    <row r="492" ht="18.75" hidden="1" customHeight="1">
      <c r="A492" s="207"/>
      <c r="B492" s="207"/>
      <c r="C492" s="207"/>
      <c r="D492" s="207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  <c r="AB492" s="207"/>
      <c r="AC492" s="207"/>
      <c r="AD492" s="207"/>
      <c r="AE492" s="207"/>
      <c r="AF492" s="207"/>
      <c r="AG492" s="207"/>
      <c r="AH492" s="207"/>
      <c r="AI492" s="207"/>
      <c r="AJ492" s="207"/>
      <c r="AK492" s="207"/>
      <c r="AL492" s="207"/>
      <c r="AM492" s="207"/>
      <c r="AN492" s="207"/>
      <c r="AO492" s="207"/>
      <c r="AP492" s="207"/>
      <c r="AQ492" s="207"/>
      <c r="AR492" s="207"/>
      <c r="AS492" s="207"/>
      <c r="AT492" s="207"/>
      <c r="AU492" s="207"/>
      <c r="AV492" s="207"/>
      <c r="AW492" s="207"/>
      <c r="AX492" s="207"/>
      <c r="AY492" s="207"/>
      <c r="AZ492" s="207"/>
      <c r="BA492" s="207"/>
    </row>
    <row r="493" ht="18.75" hidden="1" customHeight="1">
      <c r="A493" s="207"/>
      <c r="B493" s="207"/>
      <c r="C493" s="207"/>
      <c r="D493" s="207"/>
      <c r="E493" s="207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  <c r="AA493" s="207"/>
      <c r="AB493" s="207"/>
      <c r="AC493" s="207"/>
      <c r="AD493" s="207"/>
      <c r="AE493" s="207"/>
      <c r="AF493" s="207"/>
      <c r="AG493" s="207"/>
      <c r="AH493" s="207"/>
      <c r="AI493" s="207"/>
      <c r="AJ493" s="207"/>
      <c r="AK493" s="207"/>
      <c r="AL493" s="207"/>
      <c r="AM493" s="207"/>
      <c r="AN493" s="207"/>
      <c r="AO493" s="207"/>
      <c r="AP493" s="207"/>
      <c r="AQ493" s="207"/>
      <c r="AR493" s="207"/>
      <c r="AS493" s="207"/>
      <c r="AT493" s="207"/>
      <c r="AU493" s="207"/>
      <c r="AV493" s="207"/>
      <c r="AW493" s="207"/>
      <c r="AX493" s="207"/>
      <c r="AY493" s="207"/>
      <c r="AZ493" s="207"/>
      <c r="BA493" s="207"/>
    </row>
    <row r="494" ht="18.75" hidden="1" customHeight="1">
      <c r="A494" s="207"/>
      <c r="B494" s="207"/>
      <c r="C494" s="207"/>
      <c r="D494" s="207"/>
      <c r="E494" s="207"/>
      <c r="F494" s="207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  <c r="AA494" s="207"/>
      <c r="AB494" s="207"/>
      <c r="AC494" s="207"/>
      <c r="AD494" s="207"/>
      <c r="AE494" s="207"/>
      <c r="AF494" s="207"/>
      <c r="AG494" s="207"/>
      <c r="AH494" s="207"/>
      <c r="AI494" s="207"/>
      <c r="AJ494" s="207"/>
      <c r="AK494" s="207"/>
      <c r="AL494" s="207"/>
      <c r="AM494" s="207"/>
      <c r="AN494" s="207"/>
      <c r="AO494" s="207"/>
      <c r="AP494" s="207"/>
      <c r="AQ494" s="207"/>
      <c r="AR494" s="207"/>
      <c r="AS494" s="207"/>
      <c r="AT494" s="207"/>
      <c r="AU494" s="207"/>
      <c r="AV494" s="207"/>
      <c r="AW494" s="207"/>
      <c r="AX494" s="207"/>
      <c r="AY494" s="207"/>
      <c r="AZ494" s="207"/>
      <c r="BA494" s="207"/>
    </row>
    <row r="495" ht="18.75" hidden="1" customHeight="1">
      <c r="A495" s="207"/>
      <c r="B495" s="207"/>
      <c r="C495" s="207"/>
      <c r="D495" s="207"/>
      <c r="E495" s="207"/>
      <c r="F495" s="207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  <c r="AA495" s="207"/>
      <c r="AB495" s="207"/>
      <c r="AC495" s="207"/>
      <c r="AD495" s="207"/>
      <c r="AE495" s="207"/>
      <c r="AF495" s="207"/>
      <c r="AG495" s="207"/>
      <c r="AH495" s="207"/>
      <c r="AI495" s="207"/>
      <c r="AJ495" s="207"/>
      <c r="AK495" s="207"/>
      <c r="AL495" s="207"/>
      <c r="AM495" s="207"/>
      <c r="AN495" s="207"/>
      <c r="AO495" s="207"/>
      <c r="AP495" s="207"/>
      <c r="AQ495" s="207"/>
      <c r="AR495" s="207"/>
      <c r="AS495" s="207"/>
      <c r="AT495" s="207"/>
      <c r="AU495" s="207"/>
      <c r="AV495" s="207"/>
      <c r="AW495" s="207"/>
      <c r="AX495" s="207"/>
      <c r="AY495" s="207"/>
      <c r="AZ495" s="207"/>
      <c r="BA495" s="207"/>
    </row>
    <row r="496" ht="18.75" hidden="1" customHeight="1">
      <c r="A496" s="207"/>
      <c r="B496" s="207"/>
      <c r="C496" s="207"/>
      <c r="D496" s="207"/>
      <c r="E496" s="207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  <c r="AA496" s="207"/>
      <c r="AB496" s="207"/>
      <c r="AC496" s="207"/>
      <c r="AD496" s="207"/>
      <c r="AE496" s="207"/>
      <c r="AF496" s="207"/>
      <c r="AG496" s="207"/>
      <c r="AH496" s="207"/>
      <c r="AI496" s="207"/>
      <c r="AJ496" s="207"/>
      <c r="AK496" s="207"/>
      <c r="AL496" s="207"/>
      <c r="AM496" s="207"/>
      <c r="AN496" s="207"/>
      <c r="AO496" s="207"/>
      <c r="AP496" s="207"/>
      <c r="AQ496" s="207"/>
      <c r="AR496" s="207"/>
      <c r="AS496" s="207"/>
      <c r="AT496" s="207"/>
      <c r="AU496" s="207"/>
      <c r="AV496" s="207"/>
      <c r="AW496" s="207"/>
      <c r="AX496" s="207"/>
      <c r="AY496" s="207"/>
      <c r="AZ496" s="207"/>
      <c r="BA496" s="207"/>
    </row>
    <row r="497" ht="18.75" hidden="1" customHeight="1">
      <c r="A497" s="207"/>
      <c r="B497" s="207"/>
      <c r="C497" s="207"/>
      <c r="D497" s="207"/>
      <c r="E497" s="207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  <c r="AA497" s="207"/>
      <c r="AB497" s="207"/>
      <c r="AC497" s="207"/>
      <c r="AD497" s="207"/>
      <c r="AE497" s="207"/>
      <c r="AF497" s="207"/>
      <c r="AG497" s="207"/>
      <c r="AH497" s="207"/>
      <c r="AI497" s="207"/>
      <c r="AJ497" s="207"/>
      <c r="AK497" s="207"/>
      <c r="AL497" s="207"/>
      <c r="AM497" s="207"/>
      <c r="AN497" s="207"/>
      <c r="AO497" s="207"/>
      <c r="AP497" s="207"/>
      <c r="AQ497" s="207"/>
      <c r="AR497" s="207"/>
      <c r="AS497" s="207"/>
      <c r="AT497" s="207"/>
      <c r="AU497" s="207"/>
      <c r="AV497" s="207"/>
      <c r="AW497" s="207"/>
      <c r="AX497" s="207"/>
      <c r="AY497" s="207"/>
      <c r="AZ497" s="207"/>
      <c r="BA497" s="207"/>
    </row>
    <row r="498" ht="18.75" hidden="1" customHeight="1">
      <c r="A498" s="207"/>
      <c r="B498" s="207"/>
      <c r="C498" s="207"/>
      <c r="D498" s="207"/>
      <c r="E498" s="207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  <c r="AA498" s="207"/>
      <c r="AB498" s="207"/>
      <c r="AC498" s="207"/>
      <c r="AD498" s="207"/>
      <c r="AE498" s="207"/>
      <c r="AF498" s="207"/>
      <c r="AG498" s="207"/>
      <c r="AH498" s="207"/>
      <c r="AI498" s="207"/>
      <c r="AJ498" s="207"/>
      <c r="AK498" s="207"/>
      <c r="AL498" s="207"/>
      <c r="AM498" s="207"/>
      <c r="AN498" s="207"/>
      <c r="AO498" s="207"/>
      <c r="AP498" s="207"/>
      <c r="AQ498" s="207"/>
      <c r="AR498" s="207"/>
      <c r="AS498" s="207"/>
      <c r="AT498" s="207"/>
      <c r="AU498" s="207"/>
      <c r="AV498" s="207"/>
      <c r="AW498" s="207"/>
      <c r="AX498" s="207"/>
      <c r="AY498" s="207"/>
      <c r="AZ498" s="207"/>
      <c r="BA498" s="207"/>
    </row>
    <row r="499" ht="18.75" hidden="1" customHeight="1">
      <c r="A499" s="207"/>
      <c r="B499" s="207"/>
      <c r="C499" s="207"/>
      <c r="D499" s="207"/>
      <c r="E499" s="207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  <c r="AA499" s="207"/>
      <c r="AB499" s="207"/>
      <c r="AC499" s="207"/>
      <c r="AD499" s="207"/>
      <c r="AE499" s="207"/>
      <c r="AF499" s="207"/>
      <c r="AG499" s="207"/>
      <c r="AH499" s="207"/>
      <c r="AI499" s="207"/>
      <c r="AJ499" s="207"/>
      <c r="AK499" s="207"/>
      <c r="AL499" s="207"/>
      <c r="AM499" s="207"/>
      <c r="AN499" s="207"/>
      <c r="AO499" s="207"/>
      <c r="AP499" s="207"/>
      <c r="AQ499" s="207"/>
      <c r="AR499" s="207"/>
      <c r="AS499" s="207"/>
      <c r="AT499" s="207"/>
      <c r="AU499" s="207"/>
      <c r="AV499" s="207"/>
      <c r="AW499" s="207"/>
      <c r="AX499" s="207"/>
      <c r="AY499" s="207"/>
      <c r="AZ499" s="207"/>
      <c r="BA499" s="207"/>
    </row>
    <row r="500" ht="18.75" hidden="1" customHeight="1">
      <c r="A500" s="207"/>
      <c r="B500" s="207"/>
      <c r="C500" s="207"/>
      <c r="D500" s="207"/>
      <c r="E500" s="207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  <c r="AA500" s="207"/>
      <c r="AB500" s="207"/>
      <c r="AC500" s="207"/>
      <c r="AD500" s="207"/>
      <c r="AE500" s="207"/>
      <c r="AF500" s="207"/>
      <c r="AG500" s="207"/>
      <c r="AH500" s="207"/>
      <c r="AI500" s="207"/>
      <c r="AJ500" s="207"/>
      <c r="AK500" s="207"/>
      <c r="AL500" s="207"/>
      <c r="AM500" s="207"/>
      <c r="AN500" s="207"/>
      <c r="AO500" s="207"/>
      <c r="AP500" s="207"/>
      <c r="AQ500" s="207"/>
      <c r="AR500" s="207"/>
      <c r="AS500" s="207"/>
      <c r="AT500" s="207"/>
      <c r="AU500" s="207"/>
      <c r="AV500" s="207"/>
      <c r="AW500" s="207"/>
      <c r="AX500" s="207"/>
      <c r="AY500" s="207"/>
      <c r="AZ500" s="207"/>
      <c r="BA500" s="207"/>
    </row>
    <row r="501" ht="18.75" hidden="1" customHeight="1">
      <c r="A501" s="207"/>
      <c r="B501" s="207"/>
      <c r="C501" s="207"/>
      <c r="D501" s="207"/>
      <c r="E501" s="207"/>
      <c r="F501" s="207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  <c r="AA501" s="207"/>
      <c r="AB501" s="207"/>
      <c r="AC501" s="207"/>
      <c r="AD501" s="207"/>
      <c r="AE501" s="207"/>
      <c r="AF501" s="207"/>
      <c r="AG501" s="207"/>
      <c r="AH501" s="207"/>
      <c r="AI501" s="207"/>
      <c r="AJ501" s="207"/>
      <c r="AK501" s="207"/>
      <c r="AL501" s="207"/>
      <c r="AM501" s="207"/>
      <c r="AN501" s="207"/>
      <c r="AO501" s="207"/>
      <c r="AP501" s="207"/>
      <c r="AQ501" s="207"/>
      <c r="AR501" s="207"/>
      <c r="AS501" s="207"/>
      <c r="AT501" s="207"/>
      <c r="AU501" s="207"/>
      <c r="AV501" s="207"/>
      <c r="AW501" s="207"/>
      <c r="AX501" s="207"/>
      <c r="AY501" s="207"/>
      <c r="AZ501" s="207"/>
      <c r="BA501" s="207"/>
    </row>
    <row r="502" ht="18.75" hidden="1" customHeight="1">
      <c r="A502" s="207"/>
      <c r="B502" s="207"/>
      <c r="C502" s="207"/>
      <c r="D502" s="207"/>
      <c r="E502" s="207"/>
      <c r="F502" s="207"/>
      <c r="G502" s="207"/>
      <c r="H502" s="207"/>
      <c r="I502" s="207"/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  <c r="AA502" s="207"/>
      <c r="AB502" s="207"/>
      <c r="AC502" s="207"/>
      <c r="AD502" s="207"/>
      <c r="AE502" s="207"/>
      <c r="AF502" s="207"/>
      <c r="AG502" s="207"/>
      <c r="AH502" s="207"/>
      <c r="AI502" s="207"/>
      <c r="AJ502" s="207"/>
      <c r="AK502" s="207"/>
      <c r="AL502" s="207"/>
      <c r="AM502" s="207"/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</row>
    <row r="503" ht="18.75" hidden="1" customHeight="1">
      <c r="A503" s="207"/>
      <c r="B503" s="207"/>
      <c r="C503" s="207"/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  <c r="AA503" s="207"/>
      <c r="AB503" s="207"/>
      <c r="AC503" s="207"/>
      <c r="AD503" s="207"/>
      <c r="AE503" s="207"/>
      <c r="AF503" s="207"/>
      <c r="AG503" s="207"/>
      <c r="AH503" s="207"/>
      <c r="AI503" s="207"/>
      <c r="AJ503" s="207"/>
      <c r="AK503" s="207"/>
      <c r="AL503" s="207"/>
      <c r="AM503" s="207"/>
      <c r="AN503" s="207"/>
      <c r="AO503" s="207"/>
      <c r="AP503" s="207"/>
      <c r="AQ503" s="207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</row>
    <row r="504" ht="18.75" hidden="1" customHeight="1">
      <c r="A504" s="207"/>
      <c r="B504" s="207"/>
      <c r="C504" s="207"/>
      <c r="D504" s="207"/>
      <c r="E504" s="207"/>
      <c r="F504" s="207"/>
      <c r="G504" s="207"/>
      <c r="H504" s="207"/>
      <c r="I504" s="207"/>
      <c r="J504" s="207"/>
      <c r="K504" s="207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  <c r="AA504" s="207"/>
      <c r="AB504" s="207"/>
      <c r="AC504" s="207"/>
      <c r="AD504" s="207"/>
      <c r="AE504" s="207"/>
      <c r="AF504" s="207"/>
      <c r="AG504" s="207"/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</row>
    <row r="505" ht="18.75" hidden="1" customHeight="1">
      <c r="A505" s="207"/>
      <c r="B505" s="207"/>
      <c r="C505" s="207"/>
      <c r="D505" s="207"/>
      <c r="E505" s="207"/>
      <c r="F505" s="207"/>
      <c r="G505" s="207"/>
      <c r="H505" s="207"/>
      <c r="I505" s="207"/>
      <c r="J505" s="207"/>
      <c r="K505" s="207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  <c r="AA505" s="207"/>
      <c r="AB505" s="207"/>
      <c r="AC505" s="207"/>
      <c r="AD505" s="207"/>
      <c r="AE505" s="207"/>
      <c r="AF505" s="207"/>
      <c r="AG505" s="207"/>
      <c r="AH505" s="207"/>
      <c r="AI505" s="207"/>
      <c r="AJ505" s="207"/>
      <c r="AK505" s="207"/>
      <c r="AL505" s="207"/>
      <c r="AM505" s="207"/>
      <c r="AN505" s="207"/>
      <c r="AO505" s="207"/>
      <c r="AP505" s="207"/>
      <c r="AQ505" s="207"/>
      <c r="AR505" s="207"/>
      <c r="AS505" s="207"/>
      <c r="AT505" s="207"/>
      <c r="AU505" s="207"/>
      <c r="AV505" s="207"/>
      <c r="AW505" s="207"/>
      <c r="AX505" s="207"/>
      <c r="AY505" s="207"/>
      <c r="AZ505" s="207"/>
      <c r="BA505" s="207"/>
    </row>
    <row r="506" ht="18.75" hidden="1" customHeight="1">
      <c r="A506" s="207"/>
      <c r="B506" s="207"/>
      <c r="C506" s="207"/>
      <c r="D506" s="207"/>
      <c r="E506" s="207"/>
      <c r="F506" s="207"/>
      <c r="G506" s="207"/>
      <c r="H506" s="207"/>
      <c r="I506" s="207"/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  <c r="AA506" s="207"/>
      <c r="AB506" s="207"/>
      <c r="AC506" s="207"/>
      <c r="AD506" s="207"/>
      <c r="AE506" s="207"/>
      <c r="AF506" s="207"/>
      <c r="AG506" s="207"/>
      <c r="AH506" s="207"/>
      <c r="AI506" s="207"/>
      <c r="AJ506" s="207"/>
      <c r="AK506" s="207"/>
      <c r="AL506" s="207"/>
      <c r="AM506" s="207"/>
      <c r="AN506" s="207"/>
      <c r="AO506" s="207"/>
      <c r="AP506" s="207"/>
      <c r="AQ506" s="207"/>
      <c r="AR506" s="207"/>
      <c r="AS506" s="207"/>
      <c r="AT506" s="207"/>
      <c r="AU506" s="207"/>
      <c r="AV506" s="207"/>
      <c r="AW506" s="207"/>
      <c r="AX506" s="207"/>
      <c r="AY506" s="207"/>
      <c r="AZ506" s="207"/>
      <c r="BA506" s="207"/>
    </row>
    <row r="507" ht="18.75" hidden="1" customHeight="1">
      <c r="A507" s="207"/>
      <c r="B507" s="207"/>
      <c r="C507" s="207"/>
      <c r="D507" s="207"/>
      <c r="E507" s="207"/>
      <c r="F507" s="207"/>
      <c r="G507" s="207"/>
      <c r="H507" s="207"/>
      <c r="I507" s="207"/>
      <c r="J507" s="207"/>
      <c r="K507" s="207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  <c r="AA507" s="207"/>
      <c r="AB507" s="207"/>
      <c r="AC507" s="207"/>
      <c r="AD507" s="207"/>
      <c r="AE507" s="207"/>
      <c r="AF507" s="207"/>
      <c r="AG507" s="207"/>
      <c r="AH507" s="207"/>
      <c r="AI507" s="207"/>
      <c r="AJ507" s="207"/>
      <c r="AK507" s="207"/>
      <c r="AL507" s="207"/>
      <c r="AM507" s="207"/>
      <c r="AN507" s="207"/>
      <c r="AO507" s="207"/>
      <c r="AP507" s="207"/>
      <c r="AQ507" s="207"/>
      <c r="AR507" s="207"/>
      <c r="AS507" s="207"/>
      <c r="AT507" s="207"/>
      <c r="AU507" s="207"/>
      <c r="AV507" s="207"/>
      <c r="AW507" s="207"/>
      <c r="AX507" s="207"/>
      <c r="AY507" s="207"/>
      <c r="AZ507" s="207"/>
      <c r="BA507" s="207"/>
    </row>
    <row r="508" ht="18.75" hidden="1" customHeight="1">
      <c r="A508" s="207"/>
      <c r="B508" s="207"/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  <c r="AA508" s="207"/>
      <c r="AB508" s="207"/>
      <c r="AC508" s="207"/>
      <c r="AD508" s="207"/>
      <c r="AE508" s="207"/>
      <c r="AF508" s="207"/>
      <c r="AG508" s="207"/>
      <c r="AH508" s="207"/>
      <c r="AI508" s="207"/>
      <c r="AJ508" s="207"/>
      <c r="AK508" s="207"/>
      <c r="AL508" s="207"/>
      <c r="AM508" s="207"/>
      <c r="AN508" s="207"/>
      <c r="AO508" s="207"/>
      <c r="AP508" s="207"/>
      <c r="AQ508" s="207"/>
      <c r="AR508" s="207"/>
      <c r="AS508" s="207"/>
      <c r="AT508" s="207"/>
      <c r="AU508" s="207"/>
      <c r="AV508" s="207"/>
      <c r="AW508" s="207"/>
      <c r="AX508" s="207"/>
      <c r="AY508" s="207"/>
      <c r="AZ508" s="207"/>
      <c r="BA508" s="207"/>
    </row>
    <row r="509" ht="18.75" hidden="1" customHeight="1">
      <c r="A509" s="207"/>
      <c r="B509" s="207"/>
      <c r="C509" s="207"/>
      <c r="D509" s="207"/>
      <c r="E509" s="207"/>
      <c r="F509" s="207"/>
      <c r="G509" s="207"/>
      <c r="H509" s="207"/>
      <c r="I509" s="207"/>
      <c r="J509" s="207"/>
      <c r="K509" s="207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  <c r="AA509" s="207"/>
      <c r="AB509" s="207"/>
      <c r="AC509" s="207"/>
      <c r="AD509" s="207"/>
      <c r="AE509" s="207"/>
      <c r="AF509" s="207"/>
      <c r="AG509" s="207"/>
      <c r="AH509" s="207"/>
      <c r="AI509" s="207"/>
      <c r="AJ509" s="207"/>
      <c r="AK509" s="207"/>
      <c r="AL509" s="207"/>
      <c r="AM509" s="207"/>
      <c r="AN509" s="207"/>
      <c r="AO509" s="207"/>
      <c r="AP509" s="207"/>
      <c r="AQ509" s="207"/>
      <c r="AR509" s="207"/>
      <c r="AS509" s="207"/>
      <c r="AT509" s="207"/>
      <c r="AU509" s="207"/>
      <c r="AV509" s="207"/>
      <c r="AW509" s="207"/>
      <c r="AX509" s="207"/>
      <c r="AY509" s="207"/>
      <c r="AZ509" s="207"/>
      <c r="BA509" s="207"/>
    </row>
    <row r="510" ht="18.75" hidden="1" customHeight="1">
      <c r="A510" s="207"/>
      <c r="B510" s="207"/>
      <c r="C510" s="207"/>
      <c r="D510" s="207"/>
      <c r="E510" s="207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  <c r="AA510" s="207"/>
      <c r="AB510" s="207"/>
      <c r="AC510" s="207"/>
      <c r="AD510" s="207"/>
      <c r="AE510" s="207"/>
      <c r="AF510" s="207"/>
      <c r="AG510" s="207"/>
      <c r="AH510" s="207"/>
      <c r="AI510" s="207"/>
      <c r="AJ510" s="207"/>
      <c r="AK510" s="207"/>
      <c r="AL510" s="207"/>
      <c r="AM510" s="207"/>
      <c r="AN510" s="207"/>
      <c r="AO510" s="207"/>
      <c r="AP510" s="207"/>
      <c r="AQ510" s="207"/>
      <c r="AR510" s="207"/>
      <c r="AS510" s="207"/>
      <c r="AT510" s="207"/>
      <c r="AU510" s="207"/>
      <c r="AV510" s="207"/>
      <c r="AW510" s="207"/>
      <c r="AX510" s="207"/>
      <c r="AY510" s="207"/>
      <c r="AZ510" s="207"/>
      <c r="BA510" s="207"/>
    </row>
    <row r="511" ht="18.75" hidden="1" customHeight="1">
      <c r="A511" s="207"/>
      <c r="B511" s="207"/>
      <c r="C511" s="207"/>
      <c r="D511" s="207"/>
      <c r="E511" s="207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  <c r="AA511" s="207"/>
      <c r="AB511" s="207"/>
      <c r="AC511" s="207"/>
      <c r="AD511" s="207"/>
      <c r="AE511" s="207"/>
      <c r="AF511" s="207"/>
      <c r="AG511" s="207"/>
      <c r="AH511" s="207"/>
      <c r="AI511" s="207"/>
      <c r="AJ511" s="207"/>
      <c r="AK511" s="207"/>
      <c r="AL511" s="207"/>
      <c r="AM511" s="207"/>
      <c r="AN511" s="207"/>
      <c r="AO511" s="207"/>
      <c r="AP511" s="207"/>
      <c r="AQ511" s="207"/>
      <c r="AR511" s="207"/>
      <c r="AS511" s="207"/>
      <c r="AT511" s="207"/>
      <c r="AU511" s="207"/>
      <c r="AV511" s="207"/>
      <c r="AW511" s="207"/>
      <c r="AX511" s="207"/>
      <c r="AY511" s="207"/>
      <c r="AZ511" s="207"/>
      <c r="BA511" s="207"/>
    </row>
    <row r="512" ht="18.75" hidden="1" customHeight="1">
      <c r="A512" s="207"/>
      <c r="B512" s="207"/>
      <c r="C512" s="207"/>
      <c r="D512" s="207"/>
      <c r="E512" s="207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  <c r="AA512" s="207"/>
      <c r="AB512" s="207"/>
      <c r="AC512" s="207"/>
      <c r="AD512" s="207"/>
      <c r="AE512" s="207"/>
      <c r="AF512" s="207"/>
      <c r="AG512" s="207"/>
      <c r="AH512" s="207"/>
      <c r="AI512" s="207"/>
      <c r="AJ512" s="207"/>
      <c r="AK512" s="207"/>
      <c r="AL512" s="207"/>
      <c r="AM512" s="207"/>
      <c r="AN512" s="207"/>
      <c r="AO512" s="207"/>
      <c r="AP512" s="207"/>
      <c r="AQ512" s="207"/>
      <c r="AR512" s="207"/>
      <c r="AS512" s="207"/>
      <c r="AT512" s="207"/>
      <c r="AU512" s="207"/>
      <c r="AV512" s="207"/>
      <c r="AW512" s="207"/>
      <c r="AX512" s="207"/>
      <c r="AY512" s="207"/>
      <c r="AZ512" s="207"/>
      <c r="BA512" s="207"/>
    </row>
    <row r="513" ht="18.75" hidden="1" customHeight="1">
      <c r="A513" s="207"/>
      <c r="B513" s="207"/>
      <c r="C513" s="207"/>
      <c r="D513" s="207"/>
      <c r="E513" s="207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  <c r="AA513" s="207"/>
      <c r="AB513" s="207"/>
      <c r="AC513" s="207"/>
      <c r="AD513" s="207"/>
      <c r="AE513" s="207"/>
      <c r="AF513" s="207"/>
      <c r="AG513" s="207"/>
      <c r="AH513" s="207"/>
      <c r="AI513" s="207"/>
      <c r="AJ513" s="207"/>
      <c r="AK513" s="207"/>
      <c r="AL513" s="207"/>
      <c r="AM513" s="207"/>
      <c r="AN513" s="207"/>
      <c r="AO513" s="207"/>
      <c r="AP513" s="207"/>
      <c r="AQ513" s="207"/>
      <c r="AR513" s="207"/>
      <c r="AS513" s="207"/>
      <c r="AT513" s="207"/>
      <c r="AU513" s="207"/>
      <c r="AV513" s="207"/>
      <c r="AW513" s="207"/>
      <c r="AX513" s="207"/>
      <c r="AY513" s="207"/>
      <c r="AZ513" s="207"/>
      <c r="BA513" s="207"/>
    </row>
    <row r="514" ht="18.75" hidden="1" customHeight="1">
      <c r="A514" s="207"/>
      <c r="B514" s="207"/>
      <c r="C514" s="207"/>
      <c r="D514" s="207"/>
      <c r="E514" s="207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  <c r="AA514" s="207"/>
      <c r="AB514" s="207"/>
      <c r="AC514" s="207"/>
      <c r="AD514" s="207"/>
      <c r="AE514" s="207"/>
      <c r="AF514" s="207"/>
      <c r="AG514" s="207"/>
      <c r="AH514" s="207"/>
      <c r="AI514" s="207"/>
      <c r="AJ514" s="207"/>
      <c r="AK514" s="207"/>
      <c r="AL514" s="207"/>
      <c r="AM514" s="207"/>
      <c r="AN514" s="207"/>
      <c r="AO514" s="207"/>
      <c r="AP514" s="207"/>
      <c r="AQ514" s="207"/>
      <c r="AR514" s="207"/>
      <c r="AS514" s="207"/>
      <c r="AT514" s="207"/>
      <c r="AU514" s="207"/>
      <c r="AV514" s="207"/>
      <c r="AW514" s="207"/>
      <c r="AX514" s="207"/>
      <c r="AY514" s="207"/>
      <c r="AZ514" s="207"/>
      <c r="BA514" s="207"/>
    </row>
    <row r="515" ht="18.75" hidden="1" customHeight="1">
      <c r="A515" s="207"/>
      <c r="B515" s="207"/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  <c r="AA515" s="207"/>
      <c r="AB515" s="207"/>
      <c r="AC515" s="207"/>
      <c r="AD515" s="207"/>
      <c r="AE515" s="207"/>
      <c r="AF515" s="207"/>
      <c r="AG515" s="207"/>
      <c r="AH515" s="207"/>
      <c r="AI515" s="207"/>
      <c r="AJ515" s="207"/>
      <c r="AK515" s="207"/>
      <c r="AL515" s="207"/>
      <c r="AM515" s="207"/>
      <c r="AN515" s="207"/>
      <c r="AO515" s="207"/>
      <c r="AP515" s="207"/>
      <c r="AQ515" s="207"/>
      <c r="AR515" s="207"/>
      <c r="AS515" s="207"/>
      <c r="AT515" s="207"/>
      <c r="AU515" s="207"/>
      <c r="AV515" s="207"/>
      <c r="AW515" s="207"/>
      <c r="AX515" s="207"/>
      <c r="AY515" s="207"/>
      <c r="AZ515" s="207"/>
      <c r="BA515" s="207"/>
    </row>
    <row r="516" ht="18.75" hidden="1" customHeight="1">
      <c r="A516" s="207"/>
      <c r="B516" s="207"/>
      <c r="C516" s="207"/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  <c r="AA516" s="207"/>
      <c r="AB516" s="207"/>
      <c r="AC516" s="207"/>
      <c r="AD516" s="207"/>
      <c r="AE516" s="207"/>
      <c r="AF516" s="207"/>
      <c r="AG516" s="207"/>
      <c r="AH516" s="207"/>
      <c r="AI516" s="207"/>
      <c r="AJ516" s="207"/>
      <c r="AK516" s="207"/>
      <c r="AL516" s="207"/>
      <c r="AM516" s="207"/>
      <c r="AN516" s="207"/>
      <c r="AO516" s="207"/>
      <c r="AP516" s="207"/>
      <c r="AQ516" s="207"/>
      <c r="AR516" s="207"/>
      <c r="AS516" s="207"/>
      <c r="AT516" s="207"/>
      <c r="AU516" s="207"/>
      <c r="AV516" s="207"/>
      <c r="AW516" s="207"/>
      <c r="AX516" s="207"/>
      <c r="AY516" s="207"/>
      <c r="AZ516" s="207"/>
      <c r="BA516" s="207"/>
    </row>
    <row r="517" ht="18.75" hidden="1" customHeight="1">
      <c r="A517" s="207"/>
      <c r="B517" s="207"/>
      <c r="C517" s="207"/>
      <c r="D517" s="207"/>
      <c r="E517" s="207"/>
      <c r="F517" s="207"/>
      <c r="G517" s="207"/>
      <c r="H517" s="207"/>
      <c r="I517" s="207"/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  <c r="AA517" s="207"/>
      <c r="AB517" s="207"/>
      <c r="AC517" s="207"/>
      <c r="AD517" s="207"/>
      <c r="AE517" s="207"/>
      <c r="AF517" s="207"/>
      <c r="AG517" s="207"/>
      <c r="AH517" s="207"/>
      <c r="AI517" s="207"/>
      <c r="AJ517" s="207"/>
      <c r="AK517" s="207"/>
      <c r="AL517" s="207"/>
      <c r="AM517" s="207"/>
      <c r="AN517" s="207"/>
      <c r="AO517" s="207"/>
      <c r="AP517" s="207"/>
      <c r="AQ517" s="207"/>
      <c r="AR517" s="207"/>
      <c r="AS517" s="207"/>
      <c r="AT517" s="207"/>
      <c r="AU517" s="207"/>
      <c r="AV517" s="207"/>
      <c r="AW517" s="207"/>
      <c r="AX517" s="207"/>
      <c r="AY517" s="207"/>
      <c r="AZ517" s="207"/>
      <c r="BA517" s="207"/>
    </row>
    <row r="518" ht="18.75" hidden="1" customHeight="1">
      <c r="A518" s="207"/>
      <c r="B518" s="207"/>
      <c r="C518" s="207"/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  <c r="AA518" s="207"/>
      <c r="AB518" s="207"/>
      <c r="AC518" s="207"/>
      <c r="AD518" s="207"/>
      <c r="AE518" s="207"/>
      <c r="AF518" s="207"/>
      <c r="AG518" s="207"/>
      <c r="AH518" s="207"/>
      <c r="AI518" s="207"/>
      <c r="AJ518" s="207"/>
      <c r="AK518" s="207"/>
      <c r="AL518" s="207"/>
      <c r="AM518" s="207"/>
      <c r="AN518" s="207"/>
      <c r="AO518" s="207"/>
      <c r="AP518" s="207"/>
      <c r="AQ518" s="207"/>
      <c r="AR518" s="207"/>
      <c r="AS518" s="207"/>
      <c r="AT518" s="207"/>
      <c r="AU518" s="207"/>
      <c r="AV518" s="207"/>
      <c r="AW518" s="207"/>
      <c r="AX518" s="207"/>
      <c r="AY518" s="207"/>
      <c r="AZ518" s="207"/>
      <c r="BA518" s="207"/>
    </row>
    <row r="519" ht="18.75" hidden="1" customHeight="1">
      <c r="A519" s="207"/>
      <c r="B519" s="207"/>
      <c r="C519" s="207"/>
      <c r="D519" s="207"/>
      <c r="E519" s="207"/>
      <c r="F519" s="207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  <c r="AA519" s="207"/>
      <c r="AB519" s="207"/>
      <c r="AC519" s="207"/>
      <c r="AD519" s="207"/>
      <c r="AE519" s="207"/>
      <c r="AF519" s="207"/>
      <c r="AG519" s="207"/>
      <c r="AH519" s="207"/>
      <c r="AI519" s="207"/>
      <c r="AJ519" s="207"/>
      <c r="AK519" s="207"/>
      <c r="AL519" s="207"/>
      <c r="AM519" s="207"/>
      <c r="AN519" s="207"/>
      <c r="AO519" s="207"/>
      <c r="AP519" s="207"/>
      <c r="AQ519" s="207"/>
      <c r="AR519" s="207"/>
      <c r="AS519" s="207"/>
      <c r="AT519" s="207"/>
      <c r="AU519" s="207"/>
      <c r="AV519" s="207"/>
      <c r="AW519" s="207"/>
      <c r="AX519" s="207"/>
      <c r="AY519" s="207"/>
      <c r="AZ519" s="207"/>
      <c r="BA519" s="207"/>
    </row>
    <row r="520" ht="18.75" hidden="1" customHeight="1">
      <c r="A520" s="207"/>
      <c r="B520" s="207"/>
      <c r="C520" s="207"/>
      <c r="D520" s="207"/>
      <c r="E520" s="207"/>
      <c r="F520" s="207"/>
      <c r="G520" s="207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  <c r="AA520" s="207"/>
      <c r="AB520" s="207"/>
      <c r="AC520" s="207"/>
      <c r="AD520" s="207"/>
      <c r="AE520" s="207"/>
      <c r="AF520" s="207"/>
      <c r="AG520" s="207"/>
      <c r="AH520" s="207"/>
      <c r="AI520" s="207"/>
      <c r="AJ520" s="207"/>
      <c r="AK520" s="207"/>
      <c r="AL520" s="207"/>
      <c r="AM520" s="207"/>
      <c r="AN520" s="207"/>
      <c r="AO520" s="207"/>
      <c r="AP520" s="207"/>
      <c r="AQ520" s="207"/>
      <c r="AR520" s="207"/>
      <c r="AS520" s="207"/>
      <c r="AT520" s="207"/>
      <c r="AU520" s="207"/>
      <c r="AV520" s="207"/>
      <c r="AW520" s="207"/>
      <c r="AX520" s="207"/>
      <c r="AY520" s="207"/>
      <c r="AZ520" s="207"/>
      <c r="BA520" s="207"/>
    </row>
    <row r="521" ht="18.75" hidden="1" customHeight="1">
      <c r="A521" s="207"/>
      <c r="B521" s="207"/>
      <c r="C521" s="207"/>
      <c r="D521" s="207"/>
      <c r="E521" s="207"/>
      <c r="F521" s="207"/>
      <c r="G521" s="207"/>
      <c r="H521" s="207"/>
      <c r="I521" s="207"/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  <c r="AA521" s="207"/>
      <c r="AB521" s="207"/>
      <c r="AC521" s="207"/>
      <c r="AD521" s="207"/>
      <c r="AE521" s="207"/>
      <c r="AF521" s="207"/>
      <c r="AG521" s="207"/>
      <c r="AH521" s="207"/>
      <c r="AI521" s="207"/>
      <c r="AJ521" s="207"/>
      <c r="AK521" s="207"/>
      <c r="AL521" s="207"/>
      <c r="AM521" s="207"/>
      <c r="AN521" s="207"/>
      <c r="AO521" s="207"/>
      <c r="AP521" s="207"/>
      <c r="AQ521" s="207"/>
      <c r="AR521" s="207"/>
      <c r="AS521" s="207"/>
      <c r="AT521" s="207"/>
      <c r="AU521" s="207"/>
      <c r="AV521" s="207"/>
      <c r="AW521" s="207"/>
      <c r="AX521" s="207"/>
      <c r="AY521" s="207"/>
      <c r="AZ521" s="207"/>
      <c r="BA521" s="207"/>
    </row>
    <row r="522" ht="18.75" hidden="1" customHeight="1">
      <c r="A522" s="207"/>
      <c r="B522" s="207"/>
      <c r="C522" s="207"/>
      <c r="D522" s="207"/>
      <c r="E522" s="207"/>
      <c r="F522" s="207"/>
      <c r="G522" s="207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  <c r="AA522" s="207"/>
      <c r="AB522" s="207"/>
      <c r="AC522" s="207"/>
      <c r="AD522" s="207"/>
      <c r="AE522" s="207"/>
      <c r="AF522" s="207"/>
      <c r="AG522" s="207"/>
      <c r="AH522" s="207"/>
      <c r="AI522" s="207"/>
      <c r="AJ522" s="207"/>
      <c r="AK522" s="207"/>
      <c r="AL522" s="207"/>
      <c r="AM522" s="207"/>
      <c r="AN522" s="207"/>
      <c r="AO522" s="207"/>
      <c r="AP522" s="207"/>
      <c r="AQ522" s="207"/>
      <c r="AR522" s="207"/>
      <c r="AS522" s="207"/>
      <c r="AT522" s="207"/>
      <c r="AU522" s="207"/>
      <c r="AV522" s="207"/>
      <c r="AW522" s="207"/>
      <c r="AX522" s="207"/>
      <c r="AY522" s="207"/>
      <c r="AZ522" s="207"/>
      <c r="BA522" s="207"/>
    </row>
    <row r="523" ht="18.75" hidden="1" customHeight="1">
      <c r="A523" s="207"/>
      <c r="B523" s="207"/>
      <c r="C523" s="207"/>
      <c r="D523" s="207"/>
      <c r="E523" s="207"/>
      <c r="F523" s="207"/>
      <c r="G523" s="207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  <c r="AA523" s="207"/>
      <c r="AB523" s="207"/>
      <c r="AC523" s="207"/>
      <c r="AD523" s="207"/>
      <c r="AE523" s="207"/>
      <c r="AF523" s="207"/>
      <c r="AG523" s="207"/>
      <c r="AH523" s="207"/>
      <c r="AI523" s="207"/>
      <c r="AJ523" s="207"/>
      <c r="AK523" s="207"/>
      <c r="AL523" s="207"/>
      <c r="AM523" s="207"/>
      <c r="AN523" s="207"/>
      <c r="AO523" s="207"/>
      <c r="AP523" s="207"/>
      <c r="AQ523" s="207"/>
      <c r="AR523" s="207"/>
      <c r="AS523" s="207"/>
      <c r="AT523" s="207"/>
      <c r="AU523" s="207"/>
      <c r="AV523" s="207"/>
      <c r="AW523" s="207"/>
      <c r="AX523" s="207"/>
      <c r="AY523" s="207"/>
      <c r="AZ523" s="207"/>
      <c r="BA523" s="207"/>
    </row>
    <row r="524" ht="18.75" hidden="1" customHeight="1">
      <c r="A524" s="207"/>
      <c r="B524" s="207"/>
      <c r="C524" s="207"/>
      <c r="D524" s="207"/>
      <c r="E524" s="207"/>
      <c r="F524" s="207"/>
      <c r="G524" s="207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  <c r="AA524" s="207"/>
      <c r="AB524" s="207"/>
      <c r="AC524" s="207"/>
      <c r="AD524" s="207"/>
      <c r="AE524" s="207"/>
      <c r="AF524" s="207"/>
      <c r="AG524" s="207"/>
      <c r="AH524" s="207"/>
      <c r="AI524" s="207"/>
      <c r="AJ524" s="207"/>
      <c r="AK524" s="207"/>
      <c r="AL524" s="207"/>
      <c r="AM524" s="207"/>
      <c r="AN524" s="207"/>
      <c r="AO524" s="207"/>
      <c r="AP524" s="207"/>
      <c r="AQ524" s="207"/>
      <c r="AR524" s="207"/>
      <c r="AS524" s="207"/>
      <c r="AT524" s="207"/>
      <c r="AU524" s="207"/>
      <c r="AV524" s="207"/>
      <c r="AW524" s="207"/>
      <c r="AX524" s="207"/>
      <c r="AY524" s="207"/>
      <c r="AZ524" s="207"/>
      <c r="BA524" s="207"/>
    </row>
    <row r="525" ht="18.75" hidden="1" customHeight="1">
      <c r="A525" s="207"/>
      <c r="B525" s="207"/>
      <c r="C525" s="207"/>
      <c r="D525" s="207"/>
      <c r="E525" s="207"/>
      <c r="F525" s="207"/>
      <c r="G525" s="207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  <c r="AA525" s="207"/>
      <c r="AB525" s="207"/>
      <c r="AC525" s="207"/>
      <c r="AD525" s="207"/>
      <c r="AE525" s="207"/>
      <c r="AF525" s="207"/>
      <c r="AG525" s="207"/>
      <c r="AH525" s="207"/>
      <c r="AI525" s="207"/>
      <c r="AJ525" s="207"/>
      <c r="AK525" s="207"/>
      <c r="AL525" s="207"/>
      <c r="AM525" s="207"/>
      <c r="AN525" s="207"/>
      <c r="AO525" s="207"/>
      <c r="AP525" s="207"/>
      <c r="AQ525" s="207"/>
      <c r="AR525" s="207"/>
      <c r="AS525" s="207"/>
      <c r="AT525" s="207"/>
      <c r="AU525" s="207"/>
      <c r="AV525" s="207"/>
      <c r="AW525" s="207"/>
      <c r="AX525" s="207"/>
      <c r="AY525" s="207"/>
      <c r="AZ525" s="207"/>
      <c r="BA525" s="207"/>
    </row>
    <row r="526" ht="18.75" hidden="1" customHeight="1">
      <c r="A526" s="207"/>
      <c r="B526" s="207"/>
      <c r="C526" s="207"/>
      <c r="D526" s="207"/>
      <c r="E526" s="207"/>
      <c r="F526" s="207"/>
      <c r="G526" s="207"/>
      <c r="H526" s="207"/>
      <c r="I526" s="207"/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  <c r="AA526" s="207"/>
      <c r="AB526" s="207"/>
      <c r="AC526" s="207"/>
      <c r="AD526" s="207"/>
      <c r="AE526" s="207"/>
      <c r="AF526" s="207"/>
      <c r="AG526" s="207"/>
      <c r="AH526" s="207"/>
      <c r="AI526" s="207"/>
      <c r="AJ526" s="207"/>
      <c r="AK526" s="207"/>
      <c r="AL526" s="207"/>
      <c r="AM526" s="207"/>
      <c r="AN526" s="207"/>
      <c r="AO526" s="207"/>
      <c r="AP526" s="207"/>
      <c r="AQ526" s="207"/>
      <c r="AR526" s="207"/>
      <c r="AS526" s="207"/>
      <c r="AT526" s="207"/>
      <c r="AU526" s="207"/>
      <c r="AV526" s="207"/>
      <c r="AW526" s="207"/>
      <c r="AX526" s="207"/>
      <c r="AY526" s="207"/>
      <c r="AZ526" s="207"/>
      <c r="BA526" s="207"/>
    </row>
    <row r="527" ht="18.75" hidden="1" customHeight="1">
      <c r="A527" s="207"/>
      <c r="B527" s="207"/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  <c r="AA527" s="207"/>
      <c r="AB527" s="207"/>
      <c r="AC527" s="207"/>
      <c r="AD527" s="207"/>
      <c r="AE527" s="207"/>
      <c r="AF527" s="207"/>
      <c r="AG527" s="207"/>
      <c r="AH527" s="207"/>
      <c r="AI527" s="207"/>
      <c r="AJ527" s="207"/>
      <c r="AK527" s="207"/>
      <c r="AL527" s="207"/>
      <c r="AM527" s="207"/>
      <c r="AN527" s="207"/>
      <c r="AO527" s="207"/>
      <c r="AP527" s="207"/>
      <c r="AQ527" s="207"/>
      <c r="AR527" s="207"/>
      <c r="AS527" s="207"/>
      <c r="AT527" s="207"/>
      <c r="AU527" s="207"/>
      <c r="AV527" s="207"/>
      <c r="AW527" s="207"/>
      <c r="AX527" s="207"/>
      <c r="AY527" s="207"/>
      <c r="AZ527" s="207"/>
      <c r="BA527" s="207"/>
    </row>
    <row r="528" ht="18.75" hidden="1" customHeight="1">
      <c r="A528" s="207"/>
      <c r="B528" s="207"/>
      <c r="C528" s="207"/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  <c r="AA528" s="207"/>
      <c r="AB528" s="207"/>
      <c r="AC528" s="207"/>
      <c r="AD528" s="207"/>
      <c r="AE528" s="207"/>
      <c r="AF528" s="207"/>
      <c r="AG528" s="207"/>
      <c r="AH528" s="207"/>
      <c r="AI528" s="207"/>
      <c r="AJ528" s="207"/>
      <c r="AK528" s="207"/>
      <c r="AL528" s="207"/>
      <c r="AM528" s="207"/>
      <c r="AN528" s="207"/>
      <c r="AO528" s="207"/>
      <c r="AP528" s="207"/>
      <c r="AQ528" s="207"/>
      <c r="AR528" s="207"/>
      <c r="AS528" s="207"/>
      <c r="AT528" s="207"/>
      <c r="AU528" s="207"/>
      <c r="AV528" s="207"/>
      <c r="AW528" s="207"/>
      <c r="AX528" s="207"/>
      <c r="AY528" s="207"/>
      <c r="AZ528" s="207"/>
      <c r="BA528" s="207"/>
    </row>
    <row r="529" ht="18.75" hidden="1" customHeight="1">
      <c r="A529" s="207"/>
      <c r="B529" s="207"/>
      <c r="C529" s="207"/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  <c r="AA529" s="207"/>
      <c r="AB529" s="207"/>
      <c r="AC529" s="207"/>
      <c r="AD529" s="207"/>
      <c r="AE529" s="207"/>
      <c r="AF529" s="207"/>
      <c r="AG529" s="207"/>
      <c r="AH529" s="207"/>
      <c r="AI529" s="207"/>
      <c r="AJ529" s="207"/>
      <c r="AK529" s="207"/>
      <c r="AL529" s="207"/>
      <c r="AM529" s="207"/>
      <c r="AN529" s="207"/>
      <c r="AO529" s="207"/>
      <c r="AP529" s="207"/>
      <c r="AQ529" s="207"/>
      <c r="AR529" s="207"/>
      <c r="AS529" s="207"/>
      <c r="AT529" s="207"/>
      <c r="AU529" s="207"/>
      <c r="AV529" s="207"/>
      <c r="AW529" s="207"/>
      <c r="AX529" s="207"/>
      <c r="AY529" s="207"/>
      <c r="AZ529" s="207"/>
      <c r="BA529" s="207"/>
    </row>
    <row r="530" ht="18.75" hidden="1" customHeight="1">
      <c r="A530" s="207"/>
      <c r="B530" s="207"/>
      <c r="C530" s="207"/>
      <c r="D530" s="207"/>
      <c r="E530" s="207"/>
      <c r="F530" s="207"/>
      <c r="G530" s="207"/>
      <c r="H530" s="207"/>
      <c r="I530" s="207"/>
      <c r="J530" s="207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  <c r="AA530" s="207"/>
      <c r="AB530" s="207"/>
      <c r="AC530" s="207"/>
      <c r="AD530" s="207"/>
      <c r="AE530" s="207"/>
      <c r="AF530" s="207"/>
      <c r="AG530" s="207"/>
      <c r="AH530" s="207"/>
      <c r="AI530" s="207"/>
      <c r="AJ530" s="207"/>
      <c r="AK530" s="207"/>
      <c r="AL530" s="207"/>
      <c r="AM530" s="207"/>
      <c r="AN530" s="207"/>
      <c r="AO530" s="207"/>
      <c r="AP530" s="207"/>
      <c r="AQ530" s="207"/>
      <c r="AR530" s="207"/>
      <c r="AS530" s="207"/>
      <c r="AT530" s="207"/>
      <c r="AU530" s="207"/>
      <c r="AV530" s="207"/>
      <c r="AW530" s="207"/>
      <c r="AX530" s="207"/>
      <c r="AY530" s="207"/>
      <c r="AZ530" s="207"/>
      <c r="BA530" s="207"/>
    </row>
    <row r="531" ht="18.75" hidden="1" customHeight="1">
      <c r="A531" s="207"/>
      <c r="B531" s="207"/>
      <c r="C531" s="207"/>
      <c r="D531" s="207"/>
      <c r="E531" s="207"/>
      <c r="F531" s="207"/>
      <c r="G531" s="207"/>
      <c r="H531" s="207"/>
      <c r="I531" s="207"/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  <c r="AA531" s="207"/>
      <c r="AB531" s="207"/>
      <c r="AC531" s="207"/>
      <c r="AD531" s="207"/>
      <c r="AE531" s="207"/>
      <c r="AF531" s="207"/>
      <c r="AG531" s="207"/>
      <c r="AH531" s="207"/>
      <c r="AI531" s="207"/>
      <c r="AJ531" s="207"/>
      <c r="AK531" s="207"/>
      <c r="AL531" s="207"/>
      <c r="AM531" s="207"/>
      <c r="AN531" s="207"/>
      <c r="AO531" s="207"/>
      <c r="AP531" s="207"/>
      <c r="AQ531" s="207"/>
      <c r="AR531" s="207"/>
      <c r="AS531" s="207"/>
      <c r="AT531" s="207"/>
      <c r="AU531" s="207"/>
      <c r="AV531" s="207"/>
      <c r="AW531" s="207"/>
      <c r="AX531" s="207"/>
      <c r="AY531" s="207"/>
      <c r="AZ531" s="207"/>
      <c r="BA531" s="207"/>
    </row>
    <row r="532" ht="18.75" hidden="1" customHeight="1">
      <c r="A532" s="207"/>
      <c r="B532" s="207"/>
      <c r="C532" s="207"/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  <c r="AA532" s="207"/>
      <c r="AB532" s="207"/>
      <c r="AC532" s="207"/>
      <c r="AD532" s="207"/>
      <c r="AE532" s="207"/>
      <c r="AF532" s="207"/>
      <c r="AG532" s="207"/>
      <c r="AH532" s="207"/>
      <c r="AI532" s="207"/>
      <c r="AJ532" s="207"/>
      <c r="AK532" s="207"/>
      <c r="AL532" s="207"/>
      <c r="AM532" s="207"/>
      <c r="AN532" s="207"/>
      <c r="AO532" s="207"/>
      <c r="AP532" s="207"/>
      <c r="AQ532" s="207"/>
      <c r="AR532" s="207"/>
      <c r="AS532" s="207"/>
      <c r="AT532" s="207"/>
      <c r="AU532" s="207"/>
      <c r="AV532" s="207"/>
      <c r="AW532" s="207"/>
      <c r="AX532" s="207"/>
      <c r="AY532" s="207"/>
      <c r="AZ532" s="207"/>
      <c r="BA532" s="207"/>
    </row>
    <row r="533" ht="18.75" hidden="1" customHeight="1">
      <c r="A533" s="207"/>
      <c r="B533" s="207"/>
      <c r="C533" s="207"/>
      <c r="D533" s="207"/>
      <c r="E533" s="207"/>
      <c r="F533" s="207"/>
      <c r="G533" s="207"/>
      <c r="H533" s="207"/>
      <c r="I533" s="207"/>
      <c r="J533" s="207"/>
      <c r="K533" s="207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  <c r="AA533" s="207"/>
      <c r="AB533" s="207"/>
      <c r="AC533" s="207"/>
      <c r="AD533" s="207"/>
      <c r="AE533" s="207"/>
      <c r="AF533" s="207"/>
      <c r="AG533" s="207"/>
      <c r="AH533" s="207"/>
      <c r="AI533" s="207"/>
      <c r="AJ533" s="207"/>
      <c r="AK533" s="207"/>
      <c r="AL533" s="207"/>
      <c r="AM533" s="207"/>
      <c r="AN533" s="207"/>
      <c r="AO533" s="207"/>
      <c r="AP533" s="207"/>
      <c r="AQ533" s="207"/>
      <c r="AR533" s="207"/>
      <c r="AS533" s="207"/>
      <c r="AT533" s="207"/>
      <c r="AU533" s="207"/>
      <c r="AV533" s="207"/>
      <c r="AW533" s="207"/>
      <c r="AX533" s="207"/>
      <c r="AY533" s="207"/>
      <c r="AZ533" s="207"/>
      <c r="BA533" s="207"/>
    </row>
    <row r="534" ht="18.75" hidden="1" customHeight="1">
      <c r="A534" s="207"/>
      <c r="B534" s="207"/>
      <c r="C534" s="207"/>
      <c r="D534" s="207"/>
      <c r="E534" s="207"/>
      <c r="F534" s="207"/>
      <c r="G534" s="207"/>
      <c r="H534" s="207"/>
      <c r="I534" s="207"/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  <c r="AA534" s="207"/>
      <c r="AB534" s="207"/>
      <c r="AC534" s="207"/>
      <c r="AD534" s="207"/>
      <c r="AE534" s="207"/>
      <c r="AF534" s="207"/>
      <c r="AG534" s="207"/>
      <c r="AH534" s="207"/>
      <c r="AI534" s="207"/>
      <c r="AJ534" s="207"/>
      <c r="AK534" s="207"/>
      <c r="AL534" s="207"/>
      <c r="AM534" s="207"/>
      <c r="AN534" s="207"/>
      <c r="AO534" s="207"/>
      <c r="AP534" s="207"/>
      <c r="AQ534" s="207"/>
      <c r="AR534" s="207"/>
      <c r="AS534" s="207"/>
      <c r="AT534" s="207"/>
      <c r="AU534" s="207"/>
      <c r="AV534" s="207"/>
      <c r="AW534" s="207"/>
      <c r="AX534" s="207"/>
      <c r="AY534" s="207"/>
      <c r="AZ534" s="207"/>
      <c r="BA534" s="207"/>
    </row>
    <row r="535" ht="18.75" hidden="1" customHeight="1">
      <c r="A535" s="207"/>
      <c r="B535" s="207"/>
      <c r="C535" s="207"/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  <c r="AA535" s="207"/>
      <c r="AB535" s="207"/>
      <c r="AC535" s="207"/>
      <c r="AD535" s="207"/>
      <c r="AE535" s="207"/>
      <c r="AF535" s="207"/>
      <c r="AG535" s="207"/>
      <c r="AH535" s="207"/>
      <c r="AI535" s="207"/>
      <c r="AJ535" s="207"/>
      <c r="AK535" s="207"/>
      <c r="AL535" s="207"/>
      <c r="AM535" s="207"/>
      <c r="AN535" s="207"/>
      <c r="AO535" s="207"/>
      <c r="AP535" s="207"/>
      <c r="AQ535" s="207"/>
      <c r="AR535" s="207"/>
      <c r="AS535" s="207"/>
      <c r="AT535" s="207"/>
      <c r="AU535" s="207"/>
      <c r="AV535" s="207"/>
      <c r="AW535" s="207"/>
      <c r="AX535" s="207"/>
      <c r="AY535" s="207"/>
      <c r="AZ535" s="207"/>
      <c r="BA535" s="207"/>
    </row>
    <row r="536" ht="18.75" hidden="1" customHeight="1">
      <c r="A536" s="207"/>
      <c r="B536" s="207"/>
      <c r="C536" s="207"/>
      <c r="D536" s="207"/>
      <c r="E536" s="207"/>
      <c r="F536" s="207"/>
      <c r="G536" s="207"/>
      <c r="H536" s="207"/>
      <c r="I536" s="207"/>
      <c r="J536" s="207"/>
      <c r="K536" s="207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  <c r="AA536" s="207"/>
      <c r="AB536" s="207"/>
      <c r="AC536" s="207"/>
      <c r="AD536" s="207"/>
      <c r="AE536" s="207"/>
      <c r="AF536" s="207"/>
      <c r="AG536" s="207"/>
      <c r="AH536" s="207"/>
      <c r="AI536" s="207"/>
      <c r="AJ536" s="207"/>
      <c r="AK536" s="207"/>
      <c r="AL536" s="207"/>
      <c r="AM536" s="207"/>
      <c r="AN536" s="207"/>
      <c r="AO536" s="207"/>
      <c r="AP536" s="207"/>
      <c r="AQ536" s="207"/>
      <c r="AR536" s="207"/>
      <c r="AS536" s="207"/>
      <c r="AT536" s="207"/>
      <c r="AU536" s="207"/>
      <c r="AV536" s="207"/>
      <c r="AW536" s="207"/>
      <c r="AX536" s="207"/>
      <c r="AY536" s="207"/>
      <c r="AZ536" s="207"/>
      <c r="BA536" s="207"/>
    </row>
    <row r="537" ht="18.75" hidden="1" customHeight="1">
      <c r="A537" s="207"/>
      <c r="B537" s="207"/>
      <c r="C537" s="207"/>
      <c r="D537" s="207"/>
      <c r="E537" s="207"/>
      <c r="F537" s="207"/>
      <c r="G537" s="207"/>
      <c r="H537" s="207"/>
      <c r="I537" s="207"/>
      <c r="J537" s="207"/>
      <c r="K537" s="207"/>
      <c r="L537" s="207"/>
      <c r="M537" s="207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  <c r="AA537" s="207"/>
      <c r="AB537" s="207"/>
      <c r="AC537" s="207"/>
      <c r="AD537" s="207"/>
      <c r="AE537" s="207"/>
      <c r="AF537" s="207"/>
      <c r="AG537" s="207"/>
      <c r="AH537" s="207"/>
      <c r="AI537" s="207"/>
      <c r="AJ537" s="207"/>
      <c r="AK537" s="207"/>
      <c r="AL537" s="207"/>
      <c r="AM537" s="207"/>
      <c r="AN537" s="207"/>
      <c r="AO537" s="207"/>
      <c r="AP537" s="207"/>
      <c r="AQ537" s="207"/>
      <c r="AR537" s="207"/>
      <c r="AS537" s="207"/>
      <c r="AT537" s="207"/>
      <c r="AU537" s="207"/>
      <c r="AV537" s="207"/>
      <c r="AW537" s="207"/>
      <c r="AX537" s="207"/>
      <c r="AY537" s="207"/>
      <c r="AZ537" s="207"/>
      <c r="BA537" s="207"/>
    </row>
    <row r="538" ht="18.75" hidden="1" customHeight="1">
      <c r="A538" s="207"/>
      <c r="B538" s="207"/>
      <c r="C538" s="207"/>
      <c r="D538" s="207"/>
      <c r="E538" s="207"/>
      <c r="F538" s="207"/>
      <c r="G538" s="207"/>
      <c r="H538" s="207"/>
      <c r="I538" s="207"/>
      <c r="J538" s="207"/>
      <c r="K538" s="207"/>
      <c r="L538" s="207"/>
      <c r="M538" s="207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  <c r="AA538" s="207"/>
      <c r="AB538" s="207"/>
      <c r="AC538" s="207"/>
      <c r="AD538" s="207"/>
      <c r="AE538" s="207"/>
      <c r="AF538" s="207"/>
      <c r="AG538" s="207"/>
      <c r="AH538" s="207"/>
      <c r="AI538" s="207"/>
      <c r="AJ538" s="207"/>
      <c r="AK538" s="207"/>
      <c r="AL538" s="207"/>
      <c r="AM538" s="207"/>
      <c r="AN538" s="207"/>
      <c r="AO538" s="207"/>
      <c r="AP538" s="207"/>
      <c r="AQ538" s="207"/>
      <c r="AR538" s="207"/>
      <c r="AS538" s="207"/>
      <c r="AT538" s="207"/>
      <c r="AU538" s="207"/>
      <c r="AV538" s="207"/>
      <c r="AW538" s="207"/>
      <c r="AX538" s="207"/>
      <c r="AY538" s="207"/>
      <c r="AZ538" s="207"/>
      <c r="BA538" s="207"/>
    </row>
    <row r="539" ht="18.75" hidden="1" customHeight="1">
      <c r="A539" s="207"/>
      <c r="B539" s="207"/>
      <c r="C539" s="207"/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  <c r="AA539" s="207"/>
      <c r="AB539" s="207"/>
      <c r="AC539" s="207"/>
      <c r="AD539" s="207"/>
      <c r="AE539" s="207"/>
      <c r="AF539" s="207"/>
      <c r="AG539" s="207"/>
      <c r="AH539" s="207"/>
      <c r="AI539" s="207"/>
      <c r="AJ539" s="207"/>
      <c r="AK539" s="207"/>
      <c r="AL539" s="207"/>
      <c r="AM539" s="207"/>
      <c r="AN539" s="207"/>
      <c r="AO539" s="207"/>
      <c r="AP539" s="207"/>
      <c r="AQ539" s="207"/>
      <c r="AR539" s="207"/>
      <c r="AS539" s="207"/>
      <c r="AT539" s="207"/>
      <c r="AU539" s="207"/>
      <c r="AV539" s="207"/>
      <c r="AW539" s="207"/>
      <c r="AX539" s="207"/>
      <c r="AY539" s="207"/>
      <c r="AZ539" s="207"/>
      <c r="BA539" s="207"/>
    </row>
    <row r="540" ht="18.75" hidden="1" customHeight="1">
      <c r="A540" s="207"/>
      <c r="B540" s="207"/>
      <c r="C540" s="207"/>
      <c r="D540" s="207"/>
      <c r="E540" s="207"/>
      <c r="F540" s="207"/>
      <c r="G540" s="207"/>
      <c r="H540" s="207"/>
      <c r="I540" s="207"/>
      <c r="J540" s="207"/>
      <c r="K540" s="207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  <c r="AA540" s="207"/>
      <c r="AB540" s="207"/>
      <c r="AC540" s="207"/>
      <c r="AD540" s="207"/>
      <c r="AE540" s="207"/>
      <c r="AF540" s="207"/>
      <c r="AG540" s="207"/>
      <c r="AH540" s="207"/>
      <c r="AI540" s="207"/>
      <c r="AJ540" s="207"/>
      <c r="AK540" s="207"/>
      <c r="AL540" s="207"/>
      <c r="AM540" s="207"/>
      <c r="AN540" s="207"/>
      <c r="AO540" s="207"/>
      <c r="AP540" s="207"/>
      <c r="AQ540" s="207"/>
      <c r="AR540" s="207"/>
      <c r="AS540" s="207"/>
      <c r="AT540" s="207"/>
      <c r="AU540" s="207"/>
      <c r="AV540" s="207"/>
      <c r="AW540" s="207"/>
      <c r="AX540" s="207"/>
      <c r="AY540" s="207"/>
      <c r="AZ540" s="207"/>
      <c r="BA540" s="207"/>
    </row>
    <row r="541" ht="18.75" hidden="1" customHeight="1">
      <c r="A541" s="207"/>
      <c r="B541" s="207"/>
      <c r="C541" s="207"/>
      <c r="D541" s="207"/>
      <c r="E541" s="207"/>
      <c r="F541" s="207"/>
      <c r="G541" s="207"/>
      <c r="H541" s="207"/>
      <c r="I541" s="207"/>
      <c r="J541" s="207"/>
      <c r="K541" s="207"/>
      <c r="L541" s="207"/>
      <c r="M541" s="207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  <c r="AA541" s="207"/>
      <c r="AB541" s="207"/>
      <c r="AC541" s="207"/>
      <c r="AD541" s="207"/>
      <c r="AE541" s="207"/>
      <c r="AF541" s="207"/>
      <c r="AG541" s="207"/>
      <c r="AH541" s="207"/>
      <c r="AI541" s="207"/>
      <c r="AJ541" s="207"/>
      <c r="AK541" s="207"/>
      <c r="AL541" s="207"/>
      <c r="AM541" s="207"/>
      <c r="AN541" s="207"/>
      <c r="AO541" s="207"/>
      <c r="AP541" s="207"/>
      <c r="AQ541" s="207"/>
      <c r="AR541" s="207"/>
      <c r="AS541" s="207"/>
      <c r="AT541" s="207"/>
      <c r="AU541" s="207"/>
      <c r="AV541" s="207"/>
      <c r="AW541" s="207"/>
      <c r="AX541" s="207"/>
      <c r="AY541" s="207"/>
      <c r="AZ541" s="207"/>
      <c r="BA541" s="207"/>
    </row>
    <row r="542" ht="18.75" hidden="1" customHeight="1">
      <c r="A542" s="207"/>
      <c r="B542" s="207"/>
      <c r="C542" s="207"/>
      <c r="D542" s="207"/>
      <c r="E542" s="207"/>
      <c r="F542" s="207"/>
      <c r="G542" s="207"/>
      <c r="H542" s="207"/>
      <c r="I542" s="207"/>
      <c r="J542" s="207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  <c r="AA542" s="207"/>
      <c r="AB542" s="207"/>
      <c r="AC542" s="207"/>
      <c r="AD542" s="207"/>
      <c r="AE542" s="207"/>
      <c r="AF542" s="207"/>
      <c r="AG542" s="207"/>
      <c r="AH542" s="207"/>
      <c r="AI542" s="207"/>
      <c r="AJ542" s="207"/>
      <c r="AK542" s="207"/>
      <c r="AL542" s="207"/>
      <c r="AM542" s="207"/>
      <c r="AN542" s="207"/>
      <c r="AO542" s="207"/>
      <c r="AP542" s="207"/>
      <c r="AQ542" s="207"/>
      <c r="AR542" s="207"/>
      <c r="AS542" s="207"/>
      <c r="AT542" s="207"/>
      <c r="AU542" s="207"/>
      <c r="AV542" s="207"/>
      <c r="AW542" s="207"/>
      <c r="AX542" s="207"/>
      <c r="AY542" s="207"/>
      <c r="AZ542" s="207"/>
      <c r="BA542" s="207"/>
    </row>
    <row r="543" ht="18.75" hidden="1" customHeight="1">
      <c r="A543" s="207"/>
      <c r="B543" s="207"/>
      <c r="C543" s="207"/>
      <c r="D543" s="207"/>
      <c r="E543" s="207"/>
      <c r="F543" s="207"/>
      <c r="G543" s="207"/>
      <c r="H543" s="207"/>
      <c r="I543" s="207"/>
      <c r="J543" s="207"/>
      <c r="K543" s="207"/>
      <c r="L543" s="207"/>
      <c r="M543" s="207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  <c r="AA543" s="207"/>
      <c r="AB543" s="207"/>
      <c r="AC543" s="207"/>
      <c r="AD543" s="207"/>
      <c r="AE543" s="207"/>
      <c r="AF543" s="207"/>
      <c r="AG543" s="207"/>
      <c r="AH543" s="207"/>
      <c r="AI543" s="207"/>
      <c r="AJ543" s="207"/>
      <c r="AK543" s="207"/>
      <c r="AL543" s="207"/>
      <c r="AM543" s="207"/>
      <c r="AN543" s="207"/>
      <c r="AO543" s="207"/>
      <c r="AP543" s="207"/>
      <c r="AQ543" s="207"/>
      <c r="AR543" s="207"/>
      <c r="AS543" s="207"/>
      <c r="AT543" s="207"/>
      <c r="AU543" s="207"/>
      <c r="AV543" s="207"/>
      <c r="AW543" s="207"/>
      <c r="AX543" s="207"/>
      <c r="AY543" s="207"/>
      <c r="AZ543" s="207"/>
      <c r="BA543" s="207"/>
    </row>
    <row r="544" ht="18.75" hidden="1" customHeight="1">
      <c r="A544" s="207"/>
      <c r="B544" s="207"/>
      <c r="C544" s="207"/>
      <c r="D544" s="207"/>
      <c r="E544" s="207"/>
      <c r="F544" s="207"/>
      <c r="G544" s="207"/>
      <c r="H544" s="207"/>
      <c r="I544" s="207"/>
      <c r="J544" s="207"/>
      <c r="K544" s="207"/>
      <c r="L544" s="207"/>
      <c r="M544" s="207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  <c r="AA544" s="207"/>
      <c r="AB544" s="207"/>
      <c r="AC544" s="207"/>
      <c r="AD544" s="207"/>
      <c r="AE544" s="207"/>
      <c r="AF544" s="207"/>
      <c r="AG544" s="207"/>
      <c r="AH544" s="207"/>
      <c r="AI544" s="207"/>
      <c r="AJ544" s="207"/>
      <c r="AK544" s="207"/>
      <c r="AL544" s="207"/>
      <c r="AM544" s="207"/>
      <c r="AN544" s="207"/>
      <c r="AO544" s="207"/>
      <c r="AP544" s="207"/>
      <c r="AQ544" s="207"/>
      <c r="AR544" s="207"/>
      <c r="AS544" s="207"/>
      <c r="AT544" s="207"/>
      <c r="AU544" s="207"/>
      <c r="AV544" s="207"/>
      <c r="AW544" s="207"/>
      <c r="AX544" s="207"/>
      <c r="AY544" s="207"/>
      <c r="AZ544" s="207"/>
      <c r="BA544" s="207"/>
    </row>
    <row r="545" ht="18.75" hidden="1" customHeight="1">
      <c r="A545" s="207"/>
      <c r="B545" s="207"/>
      <c r="C545" s="207"/>
      <c r="D545" s="207"/>
      <c r="E545" s="207"/>
      <c r="F545" s="207"/>
      <c r="G545" s="207"/>
      <c r="H545" s="207"/>
      <c r="I545" s="207"/>
      <c r="J545" s="207"/>
      <c r="K545" s="207"/>
      <c r="L545" s="207"/>
      <c r="M545" s="207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  <c r="AA545" s="207"/>
      <c r="AB545" s="207"/>
      <c r="AC545" s="207"/>
      <c r="AD545" s="207"/>
      <c r="AE545" s="207"/>
      <c r="AF545" s="207"/>
      <c r="AG545" s="207"/>
      <c r="AH545" s="207"/>
      <c r="AI545" s="207"/>
      <c r="AJ545" s="207"/>
      <c r="AK545" s="207"/>
      <c r="AL545" s="207"/>
      <c r="AM545" s="207"/>
      <c r="AN545" s="207"/>
      <c r="AO545" s="207"/>
      <c r="AP545" s="207"/>
      <c r="AQ545" s="207"/>
      <c r="AR545" s="207"/>
      <c r="AS545" s="207"/>
      <c r="AT545" s="207"/>
      <c r="AU545" s="207"/>
      <c r="AV545" s="207"/>
      <c r="AW545" s="207"/>
      <c r="AX545" s="207"/>
      <c r="AY545" s="207"/>
      <c r="AZ545" s="207"/>
      <c r="BA545" s="207"/>
    </row>
    <row r="546" ht="18.75" hidden="1" customHeight="1">
      <c r="A546" s="207"/>
      <c r="B546" s="207"/>
      <c r="C546" s="207"/>
      <c r="D546" s="207"/>
      <c r="E546" s="207"/>
      <c r="F546" s="207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  <c r="AA546" s="207"/>
      <c r="AB546" s="207"/>
      <c r="AC546" s="207"/>
      <c r="AD546" s="207"/>
      <c r="AE546" s="207"/>
      <c r="AF546" s="207"/>
      <c r="AG546" s="207"/>
      <c r="AH546" s="207"/>
      <c r="AI546" s="207"/>
      <c r="AJ546" s="207"/>
      <c r="AK546" s="207"/>
      <c r="AL546" s="207"/>
      <c r="AM546" s="207"/>
      <c r="AN546" s="207"/>
      <c r="AO546" s="207"/>
      <c r="AP546" s="207"/>
      <c r="AQ546" s="207"/>
      <c r="AR546" s="207"/>
      <c r="AS546" s="207"/>
      <c r="AT546" s="207"/>
      <c r="AU546" s="207"/>
      <c r="AV546" s="207"/>
      <c r="AW546" s="207"/>
      <c r="AX546" s="207"/>
      <c r="AY546" s="207"/>
      <c r="AZ546" s="207"/>
      <c r="BA546" s="207"/>
    </row>
    <row r="547" ht="18.75" hidden="1" customHeight="1">
      <c r="A547" s="207"/>
      <c r="B547" s="207"/>
      <c r="C547" s="207"/>
      <c r="D547" s="207"/>
      <c r="E547" s="207"/>
      <c r="F547" s="207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  <c r="AA547" s="207"/>
      <c r="AB547" s="207"/>
      <c r="AC547" s="207"/>
      <c r="AD547" s="207"/>
      <c r="AE547" s="207"/>
      <c r="AF547" s="207"/>
      <c r="AG547" s="207"/>
      <c r="AH547" s="207"/>
      <c r="AI547" s="207"/>
      <c r="AJ547" s="207"/>
      <c r="AK547" s="207"/>
      <c r="AL547" s="207"/>
      <c r="AM547" s="207"/>
      <c r="AN547" s="207"/>
      <c r="AO547" s="207"/>
      <c r="AP547" s="207"/>
      <c r="AQ547" s="207"/>
      <c r="AR547" s="207"/>
      <c r="AS547" s="207"/>
      <c r="AT547" s="207"/>
      <c r="AU547" s="207"/>
      <c r="AV547" s="207"/>
      <c r="AW547" s="207"/>
      <c r="AX547" s="207"/>
      <c r="AY547" s="207"/>
      <c r="AZ547" s="207"/>
      <c r="BA547" s="207"/>
    </row>
    <row r="548" ht="18.75" hidden="1" customHeight="1">
      <c r="A548" s="207"/>
      <c r="B548" s="207"/>
      <c r="C548" s="207"/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  <c r="AA548" s="207"/>
      <c r="AB548" s="207"/>
      <c r="AC548" s="207"/>
      <c r="AD548" s="207"/>
      <c r="AE548" s="207"/>
      <c r="AF548" s="207"/>
      <c r="AG548" s="207"/>
      <c r="AH548" s="207"/>
      <c r="AI548" s="207"/>
      <c r="AJ548" s="207"/>
      <c r="AK548" s="207"/>
      <c r="AL548" s="207"/>
      <c r="AM548" s="207"/>
      <c r="AN548" s="207"/>
      <c r="AO548" s="207"/>
      <c r="AP548" s="207"/>
      <c r="AQ548" s="207"/>
      <c r="AR548" s="207"/>
      <c r="AS548" s="207"/>
      <c r="AT548" s="207"/>
      <c r="AU548" s="207"/>
      <c r="AV548" s="207"/>
      <c r="AW548" s="207"/>
      <c r="AX548" s="207"/>
      <c r="AY548" s="207"/>
      <c r="AZ548" s="207"/>
      <c r="BA548" s="207"/>
    </row>
    <row r="549" ht="18.75" hidden="1" customHeight="1">
      <c r="A549" s="207"/>
      <c r="B549" s="207"/>
      <c r="C549" s="207"/>
      <c r="D549" s="207"/>
      <c r="E549" s="207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  <c r="AA549" s="207"/>
      <c r="AB549" s="207"/>
      <c r="AC549" s="207"/>
      <c r="AD549" s="207"/>
      <c r="AE549" s="207"/>
      <c r="AF549" s="207"/>
      <c r="AG549" s="207"/>
      <c r="AH549" s="207"/>
      <c r="AI549" s="207"/>
      <c r="AJ549" s="207"/>
      <c r="AK549" s="207"/>
      <c r="AL549" s="207"/>
      <c r="AM549" s="207"/>
      <c r="AN549" s="207"/>
      <c r="AO549" s="207"/>
      <c r="AP549" s="207"/>
      <c r="AQ549" s="207"/>
      <c r="AR549" s="207"/>
      <c r="AS549" s="207"/>
      <c r="AT549" s="207"/>
      <c r="AU549" s="207"/>
      <c r="AV549" s="207"/>
      <c r="AW549" s="207"/>
      <c r="AX549" s="207"/>
      <c r="AY549" s="207"/>
      <c r="AZ549" s="207"/>
      <c r="BA549" s="207"/>
    </row>
    <row r="550" ht="18.75" hidden="1" customHeight="1">
      <c r="A550" s="207"/>
      <c r="B550" s="207"/>
      <c r="C550" s="207"/>
      <c r="D550" s="207"/>
      <c r="E550" s="207"/>
      <c r="F550" s="207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  <c r="AA550" s="207"/>
      <c r="AB550" s="207"/>
      <c r="AC550" s="207"/>
      <c r="AD550" s="207"/>
      <c r="AE550" s="207"/>
      <c r="AF550" s="207"/>
      <c r="AG550" s="207"/>
      <c r="AH550" s="207"/>
      <c r="AI550" s="207"/>
      <c r="AJ550" s="207"/>
      <c r="AK550" s="207"/>
      <c r="AL550" s="207"/>
      <c r="AM550" s="207"/>
      <c r="AN550" s="207"/>
      <c r="AO550" s="207"/>
      <c r="AP550" s="207"/>
      <c r="AQ550" s="207"/>
      <c r="AR550" s="207"/>
      <c r="AS550" s="207"/>
      <c r="AT550" s="207"/>
      <c r="AU550" s="207"/>
      <c r="AV550" s="207"/>
      <c r="AW550" s="207"/>
      <c r="AX550" s="207"/>
      <c r="AY550" s="207"/>
      <c r="AZ550" s="207"/>
      <c r="BA550" s="207"/>
    </row>
    <row r="551" ht="18.75" hidden="1" customHeight="1">
      <c r="A551" s="207"/>
      <c r="B551" s="207"/>
      <c r="C551" s="207"/>
      <c r="D551" s="207"/>
      <c r="E551" s="207"/>
      <c r="F551" s="207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  <c r="AA551" s="207"/>
      <c r="AB551" s="207"/>
      <c r="AC551" s="207"/>
      <c r="AD551" s="207"/>
      <c r="AE551" s="207"/>
      <c r="AF551" s="207"/>
      <c r="AG551" s="207"/>
      <c r="AH551" s="207"/>
      <c r="AI551" s="207"/>
      <c r="AJ551" s="207"/>
      <c r="AK551" s="207"/>
      <c r="AL551" s="207"/>
      <c r="AM551" s="207"/>
      <c r="AN551" s="207"/>
      <c r="AO551" s="207"/>
      <c r="AP551" s="207"/>
      <c r="AQ551" s="207"/>
      <c r="AR551" s="207"/>
      <c r="AS551" s="207"/>
      <c r="AT551" s="207"/>
      <c r="AU551" s="207"/>
      <c r="AV551" s="207"/>
      <c r="AW551" s="207"/>
      <c r="AX551" s="207"/>
      <c r="AY551" s="207"/>
      <c r="AZ551" s="207"/>
      <c r="BA551" s="207"/>
    </row>
    <row r="552" ht="18.75" hidden="1" customHeight="1">
      <c r="A552" s="207"/>
      <c r="B552" s="207"/>
      <c r="C552" s="207"/>
      <c r="D552" s="207"/>
      <c r="E552" s="207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  <c r="AA552" s="207"/>
      <c r="AB552" s="207"/>
      <c r="AC552" s="207"/>
      <c r="AD552" s="207"/>
      <c r="AE552" s="207"/>
      <c r="AF552" s="207"/>
      <c r="AG552" s="207"/>
      <c r="AH552" s="207"/>
      <c r="AI552" s="207"/>
      <c r="AJ552" s="207"/>
      <c r="AK552" s="207"/>
      <c r="AL552" s="207"/>
      <c r="AM552" s="207"/>
      <c r="AN552" s="207"/>
      <c r="AO552" s="207"/>
      <c r="AP552" s="207"/>
      <c r="AQ552" s="207"/>
      <c r="AR552" s="207"/>
      <c r="AS552" s="207"/>
      <c r="AT552" s="207"/>
      <c r="AU552" s="207"/>
      <c r="AV552" s="207"/>
      <c r="AW552" s="207"/>
      <c r="AX552" s="207"/>
      <c r="AY552" s="207"/>
      <c r="AZ552" s="207"/>
      <c r="BA552" s="207"/>
    </row>
    <row r="553" ht="18.75" hidden="1" customHeight="1">
      <c r="A553" s="207"/>
      <c r="B553" s="207"/>
      <c r="C553" s="207"/>
      <c r="D553" s="207"/>
      <c r="E553" s="207"/>
      <c r="F553" s="207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  <c r="AA553" s="207"/>
      <c r="AB553" s="207"/>
      <c r="AC553" s="207"/>
      <c r="AD553" s="207"/>
      <c r="AE553" s="207"/>
      <c r="AF553" s="207"/>
      <c r="AG553" s="207"/>
      <c r="AH553" s="207"/>
      <c r="AI553" s="207"/>
      <c r="AJ553" s="207"/>
      <c r="AK553" s="207"/>
      <c r="AL553" s="207"/>
      <c r="AM553" s="207"/>
      <c r="AN553" s="207"/>
      <c r="AO553" s="207"/>
      <c r="AP553" s="207"/>
      <c r="AQ553" s="207"/>
      <c r="AR553" s="207"/>
      <c r="AS553" s="207"/>
      <c r="AT553" s="207"/>
      <c r="AU553" s="207"/>
      <c r="AV553" s="207"/>
      <c r="AW553" s="207"/>
      <c r="AX553" s="207"/>
      <c r="AY553" s="207"/>
      <c r="AZ553" s="207"/>
      <c r="BA553" s="207"/>
    </row>
    <row r="554" ht="18.75" hidden="1" customHeight="1">
      <c r="A554" s="207"/>
      <c r="B554" s="207"/>
      <c r="C554" s="207"/>
      <c r="D554" s="207"/>
      <c r="E554" s="207"/>
      <c r="F554" s="207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  <c r="AA554" s="207"/>
      <c r="AB554" s="207"/>
      <c r="AC554" s="207"/>
      <c r="AD554" s="207"/>
      <c r="AE554" s="207"/>
      <c r="AF554" s="207"/>
      <c r="AG554" s="207"/>
      <c r="AH554" s="207"/>
      <c r="AI554" s="207"/>
      <c r="AJ554" s="207"/>
      <c r="AK554" s="207"/>
      <c r="AL554" s="207"/>
      <c r="AM554" s="207"/>
      <c r="AN554" s="207"/>
      <c r="AO554" s="207"/>
      <c r="AP554" s="207"/>
      <c r="AQ554" s="207"/>
      <c r="AR554" s="207"/>
      <c r="AS554" s="207"/>
      <c r="AT554" s="207"/>
      <c r="AU554" s="207"/>
      <c r="AV554" s="207"/>
      <c r="AW554" s="207"/>
      <c r="AX554" s="207"/>
      <c r="AY554" s="207"/>
      <c r="AZ554" s="207"/>
      <c r="BA554" s="207"/>
    </row>
    <row r="555" ht="18.75" hidden="1" customHeight="1">
      <c r="A555" s="207"/>
      <c r="B555" s="207"/>
      <c r="C555" s="207"/>
      <c r="D555" s="207"/>
      <c r="E555" s="207"/>
      <c r="F555" s="207"/>
      <c r="G555" s="207"/>
      <c r="H555" s="207"/>
      <c r="I555" s="207"/>
      <c r="J555" s="207"/>
      <c r="K555" s="207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  <c r="AA555" s="207"/>
      <c r="AB555" s="207"/>
      <c r="AC555" s="207"/>
      <c r="AD555" s="207"/>
      <c r="AE555" s="207"/>
      <c r="AF555" s="207"/>
      <c r="AG555" s="207"/>
      <c r="AH555" s="207"/>
      <c r="AI555" s="207"/>
      <c r="AJ555" s="207"/>
      <c r="AK555" s="207"/>
      <c r="AL555" s="207"/>
      <c r="AM555" s="207"/>
      <c r="AN555" s="207"/>
      <c r="AO555" s="207"/>
      <c r="AP555" s="207"/>
      <c r="AQ555" s="207"/>
      <c r="AR555" s="207"/>
      <c r="AS555" s="207"/>
      <c r="AT555" s="207"/>
      <c r="AU555" s="207"/>
      <c r="AV555" s="207"/>
      <c r="AW555" s="207"/>
      <c r="AX555" s="207"/>
      <c r="AY555" s="207"/>
      <c r="AZ555" s="207"/>
      <c r="BA555" s="207"/>
    </row>
    <row r="556" ht="18.75" hidden="1" customHeight="1">
      <c r="A556" s="207"/>
      <c r="B556" s="207"/>
      <c r="C556" s="207"/>
      <c r="D556" s="207"/>
      <c r="E556" s="207"/>
      <c r="F556" s="207"/>
      <c r="G556" s="207"/>
      <c r="H556" s="207"/>
      <c r="I556" s="207"/>
      <c r="J556" s="207"/>
      <c r="K556" s="207"/>
      <c r="L556" s="207"/>
      <c r="M556" s="207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  <c r="AA556" s="207"/>
      <c r="AB556" s="207"/>
      <c r="AC556" s="207"/>
      <c r="AD556" s="207"/>
      <c r="AE556" s="207"/>
      <c r="AF556" s="207"/>
      <c r="AG556" s="207"/>
      <c r="AH556" s="207"/>
      <c r="AI556" s="207"/>
      <c r="AJ556" s="207"/>
      <c r="AK556" s="207"/>
      <c r="AL556" s="207"/>
      <c r="AM556" s="207"/>
      <c r="AN556" s="207"/>
      <c r="AO556" s="207"/>
      <c r="AP556" s="207"/>
      <c r="AQ556" s="207"/>
      <c r="AR556" s="207"/>
      <c r="AS556" s="207"/>
      <c r="AT556" s="207"/>
      <c r="AU556" s="207"/>
      <c r="AV556" s="207"/>
      <c r="AW556" s="207"/>
      <c r="AX556" s="207"/>
      <c r="AY556" s="207"/>
      <c r="AZ556" s="207"/>
      <c r="BA556" s="207"/>
    </row>
    <row r="557" ht="18.75" hidden="1" customHeight="1">
      <c r="A557" s="207"/>
      <c r="B557" s="207"/>
      <c r="C557" s="207"/>
      <c r="D557" s="207"/>
      <c r="E557" s="207"/>
      <c r="F557" s="207"/>
      <c r="G557" s="207"/>
      <c r="H557" s="207"/>
      <c r="I557" s="207"/>
      <c r="J557" s="207"/>
      <c r="K557" s="207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  <c r="AA557" s="207"/>
      <c r="AB557" s="207"/>
      <c r="AC557" s="207"/>
      <c r="AD557" s="207"/>
      <c r="AE557" s="207"/>
      <c r="AF557" s="207"/>
      <c r="AG557" s="207"/>
      <c r="AH557" s="207"/>
      <c r="AI557" s="207"/>
      <c r="AJ557" s="207"/>
      <c r="AK557" s="207"/>
      <c r="AL557" s="207"/>
      <c r="AM557" s="207"/>
      <c r="AN557" s="207"/>
      <c r="AO557" s="207"/>
      <c r="AP557" s="207"/>
      <c r="AQ557" s="207"/>
      <c r="AR557" s="207"/>
      <c r="AS557" s="207"/>
      <c r="AT557" s="207"/>
      <c r="AU557" s="207"/>
      <c r="AV557" s="207"/>
      <c r="AW557" s="207"/>
      <c r="AX557" s="207"/>
      <c r="AY557" s="207"/>
      <c r="AZ557" s="207"/>
      <c r="BA557" s="207"/>
    </row>
    <row r="558" ht="18.75" hidden="1" customHeight="1">
      <c r="A558" s="207"/>
      <c r="B558" s="207"/>
      <c r="C558" s="207"/>
      <c r="D558" s="207"/>
      <c r="E558" s="207"/>
      <c r="F558" s="207"/>
      <c r="G558" s="207"/>
      <c r="H558" s="207"/>
      <c r="I558" s="207"/>
      <c r="J558" s="207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  <c r="AA558" s="207"/>
      <c r="AB558" s="207"/>
      <c r="AC558" s="207"/>
      <c r="AD558" s="207"/>
      <c r="AE558" s="207"/>
      <c r="AF558" s="207"/>
      <c r="AG558" s="207"/>
      <c r="AH558" s="207"/>
      <c r="AI558" s="207"/>
      <c r="AJ558" s="207"/>
      <c r="AK558" s="207"/>
      <c r="AL558" s="207"/>
      <c r="AM558" s="207"/>
      <c r="AN558" s="207"/>
      <c r="AO558" s="207"/>
      <c r="AP558" s="207"/>
      <c r="AQ558" s="207"/>
      <c r="AR558" s="207"/>
      <c r="AS558" s="207"/>
      <c r="AT558" s="207"/>
      <c r="AU558" s="207"/>
      <c r="AV558" s="207"/>
      <c r="AW558" s="207"/>
      <c r="AX558" s="207"/>
      <c r="AY558" s="207"/>
      <c r="AZ558" s="207"/>
      <c r="BA558" s="207"/>
    </row>
    <row r="559" ht="18.75" hidden="1" customHeight="1">
      <c r="A559" s="207"/>
      <c r="B559" s="207"/>
      <c r="C559" s="207"/>
      <c r="D559" s="207"/>
      <c r="E559" s="207"/>
      <c r="F559" s="207"/>
      <c r="G559" s="207"/>
      <c r="H559" s="207"/>
      <c r="I559" s="207"/>
      <c r="J559" s="207"/>
      <c r="K559" s="207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  <c r="AA559" s="207"/>
      <c r="AB559" s="207"/>
      <c r="AC559" s="207"/>
      <c r="AD559" s="207"/>
      <c r="AE559" s="207"/>
      <c r="AF559" s="207"/>
      <c r="AG559" s="207"/>
      <c r="AH559" s="207"/>
      <c r="AI559" s="207"/>
      <c r="AJ559" s="207"/>
      <c r="AK559" s="207"/>
      <c r="AL559" s="207"/>
      <c r="AM559" s="207"/>
      <c r="AN559" s="207"/>
      <c r="AO559" s="207"/>
      <c r="AP559" s="207"/>
      <c r="AQ559" s="207"/>
      <c r="AR559" s="207"/>
      <c r="AS559" s="207"/>
      <c r="AT559" s="207"/>
      <c r="AU559" s="207"/>
      <c r="AV559" s="207"/>
      <c r="AW559" s="207"/>
      <c r="AX559" s="207"/>
      <c r="AY559" s="207"/>
      <c r="AZ559" s="207"/>
      <c r="BA559" s="207"/>
    </row>
    <row r="560" ht="18.75" hidden="1" customHeight="1">
      <c r="A560" s="207"/>
      <c r="B560" s="207"/>
      <c r="C560" s="207"/>
      <c r="D560" s="207"/>
      <c r="E560" s="207"/>
      <c r="F560" s="207"/>
      <c r="G560" s="207"/>
      <c r="H560" s="207"/>
      <c r="I560" s="207"/>
      <c r="J560" s="207"/>
      <c r="K560" s="207"/>
      <c r="L560" s="207"/>
      <c r="M560" s="207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  <c r="AA560" s="207"/>
      <c r="AB560" s="207"/>
      <c r="AC560" s="207"/>
      <c r="AD560" s="207"/>
      <c r="AE560" s="207"/>
      <c r="AF560" s="207"/>
      <c r="AG560" s="207"/>
      <c r="AH560" s="207"/>
      <c r="AI560" s="207"/>
      <c r="AJ560" s="207"/>
      <c r="AK560" s="207"/>
      <c r="AL560" s="207"/>
      <c r="AM560" s="207"/>
      <c r="AN560" s="207"/>
      <c r="AO560" s="207"/>
      <c r="AP560" s="207"/>
      <c r="AQ560" s="207"/>
      <c r="AR560" s="207"/>
      <c r="AS560" s="207"/>
      <c r="AT560" s="207"/>
      <c r="AU560" s="207"/>
      <c r="AV560" s="207"/>
      <c r="AW560" s="207"/>
      <c r="AX560" s="207"/>
      <c r="AY560" s="207"/>
      <c r="AZ560" s="207"/>
      <c r="BA560" s="207"/>
    </row>
    <row r="561" ht="18.75" hidden="1" customHeight="1">
      <c r="A561" s="207"/>
      <c r="B561" s="207"/>
      <c r="C561" s="207"/>
      <c r="D561" s="207"/>
      <c r="E561" s="207"/>
      <c r="F561" s="207"/>
      <c r="G561" s="207"/>
      <c r="H561" s="207"/>
      <c r="I561" s="207"/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  <c r="AA561" s="207"/>
      <c r="AB561" s="207"/>
      <c r="AC561" s="207"/>
      <c r="AD561" s="207"/>
      <c r="AE561" s="207"/>
      <c r="AF561" s="207"/>
      <c r="AG561" s="207"/>
      <c r="AH561" s="207"/>
      <c r="AI561" s="207"/>
      <c r="AJ561" s="207"/>
      <c r="AK561" s="207"/>
      <c r="AL561" s="207"/>
      <c r="AM561" s="207"/>
      <c r="AN561" s="207"/>
      <c r="AO561" s="207"/>
      <c r="AP561" s="207"/>
      <c r="AQ561" s="207"/>
      <c r="AR561" s="207"/>
      <c r="AS561" s="207"/>
      <c r="AT561" s="207"/>
      <c r="AU561" s="207"/>
      <c r="AV561" s="207"/>
      <c r="AW561" s="207"/>
      <c r="AX561" s="207"/>
      <c r="AY561" s="207"/>
      <c r="AZ561" s="207"/>
      <c r="BA561" s="207"/>
    </row>
    <row r="562" ht="18.75" hidden="1" customHeight="1">
      <c r="A562" s="207"/>
      <c r="B562" s="207"/>
      <c r="C562" s="207"/>
      <c r="D562" s="207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  <c r="AA562" s="207"/>
      <c r="AB562" s="207"/>
      <c r="AC562" s="207"/>
      <c r="AD562" s="207"/>
      <c r="AE562" s="207"/>
      <c r="AF562" s="207"/>
      <c r="AG562" s="207"/>
      <c r="AH562" s="207"/>
      <c r="AI562" s="207"/>
      <c r="AJ562" s="207"/>
      <c r="AK562" s="207"/>
      <c r="AL562" s="207"/>
      <c r="AM562" s="207"/>
      <c r="AN562" s="207"/>
      <c r="AO562" s="207"/>
      <c r="AP562" s="207"/>
      <c r="AQ562" s="207"/>
      <c r="AR562" s="207"/>
      <c r="AS562" s="207"/>
      <c r="AT562" s="207"/>
      <c r="AU562" s="207"/>
      <c r="AV562" s="207"/>
      <c r="AW562" s="207"/>
      <c r="AX562" s="207"/>
      <c r="AY562" s="207"/>
      <c r="AZ562" s="207"/>
      <c r="BA562" s="207"/>
    </row>
    <row r="563" ht="18.75" hidden="1" customHeight="1">
      <c r="A563" s="207"/>
      <c r="B563" s="207"/>
      <c r="C563" s="207"/>
      <c r="D563" s="207"/>
      <c r="E563" s="207"/>
      <c r="F563" s="207"/>
      <c r="G563" s="207"/>
      <c r="H563" s="207"/>
      <c r="I563" s="207"/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  <c r="AA563" s="207"/>
      <c r="AB563" s="207"/>
      <c r="AC563" s="207"/>
      <c r="AD563" s="207"/>
      <c r="AE563" s="207"/>
      <c r="AF563" s="207"/>
      <c r="AG563" s="207"/>
      <c r="AH563" s="207"/>
      <c r="AI563" s="207"/>
      <c r="AJ563" s="207"/>
      <c r="AK563" s="207"/>
      <c r="AL563" s="207"/>
      <c r="AM563" s="207"/>
      <c r="AN563" s="207"/>
      <c r="AO563" s="207"/>
      <c r="AP563" s="207"/>
      <c r="AQ563" s="207"/>
      <c r="AR563" s="207"/>
      <c r="AS563" s="207"/>
      <c r="AT563" s="207"/>
      <c r="AU563" s="207"/>
      <c r="AV563" s="207"/>
      <c r="AW563" s="207"/>
      <c r="AX563" s="207"/>
      <c r="AY563" s="207"/>
      <c r="AZ563" s="207"/>
      <c r="BA563" s="207"/>
    </row>
    <row r="564" ht="18.75" hidden="1" customHeight="1">
      <c r="A564" s="207"/>
      <c r="B564" s="207"/>
      <c r="C564" s="207"/>
      <c r="D564" s="207"/>
      <c r="E564" s="207"/>
      <c r="F564" s="207"/>
      <c r="G564" s="207"/>
      <c r="H564" s="207"/>
      <c r="I564" s="207"/>
      <c r="J564" s="207"/>
      <c r="K564" s="207"/>
      <c r="L564" s="207"/>
      <c r="M564" s="207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  <c r="AA564" s="207"/>
      <c r="AB564" s="207"/>
      <c r="AC564" s="207"/>
      <c r="AD564" s="207"/>
      <c r="AE564" s="207"/>
      <c r="AF564" s="207"/>
      <c r="AG564" s="207"/>
      <c r="AH564" s="207"/>
      <c r="AI564" s="207"/>
      <c r="AJ564" s="207"/>
      <c r="AK564" s="207"/>
      <c r="AL564" s="207"/>
      <c r="AM564" s="207"/>
      <c r="AN564" s="207"/>
      <c r="AO564" s="207"/>
      <c r="AP564" s="207"/>
      <c r="AQ564" s="207"/>
      <c r="AR564" s="207"/>
      <c r="AS564" s="207"/>
      <c r="AT564" s="207"/>
      <c r="AU564" s="207"/>
      <c r="AV564" s="207"/>
      <c r="AW564" s="207"/>
      <c r="AX564" s="207"/>
      <c r="AY564" s="207"/>
      <c r="AZ564" s="207"/>
      <c r="BA564" s="207"/>
    </row>
    <row r="565" ht="18.75" hidden="1" customHeight="1">
      <c r="A565" s="207"/>
      <c r="B565" s="207"/>
      <c r="C565" s="207"/>
      <c r="D565" s="207"/>
      <c r="E565" s="207"/>
      <c r="F565" s="207"/>
      <c r="G565" s="207"/>
      <c r="H565" s="207"/>
      <c r="I565" s="207"/>
      <c r="J565" s="207"/>
      <c r="K565" s="207"/>
      <c r="L565" s="207"/>
      <c r="M565" s="207"/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  <c r="AA565" s="207"/>
      <c r="AB565" s="207"/>
      <c r="AC565" s="207"/>
      <c r="AD565" s="207"/>
      <c r="AE565" s="207"/>
      <c r="AF565" s="207"/>
      <c r="AG565" s="207"/>
      <c r="AH565" s="207"/>
      <c r="AI565" s="207"/>
      <c r="AJ565" s="207"/>
      <c r="AK565" s="207"/>
      <c r="AL565" s="207"/>
      <c r="AM565" s="207"/>
      <c r="AN565" s="207"/>
      <c r="AO565" s="207"/>
      <c r="AP565" s="207"/>
      <c r="AQ565" s="207"/>
      <c r="AR565" s="207"/>
      <c r="AS565" s="207"/>
      <c r="AT565" s="207"/>
      <c r="AU565" s="207"/>
      <c r="AV565" s="207"/>
      <c r="AW565" s="207"/>
      <c r="AX565" s="207"/>
      <c r="AY565" s="207"/>
      <c r="AZ565" s="207"/>
      <c r="BA565" s="207"/>
    </row>
    <row r="566" ht="18.75" hidden="1" customHeight="1">
      <c r="A566" s="207"/>
      <c r="B566" s="207"/>
      <c r="C566" s="207"/>
      <c r="D566" s="207"/>
      <c r="E566" s="207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  <c r="AA566" s="207"/>
      <c r="AB566" s="207"/>
      <c r="AC566" s="207"/>
      <c r="AD566" s="207"/>
      <c r="AE566" s="207"/>
      <c r="AF566" s="207"/>
      <c r="AG566" s="207"/>
      <c r="AH566" s="207"/>
      <c r="AI566" s="207"/>
      <c r="AJ566" s="207"/>
      <c r="AK566" s="207"/>
      <c r="AL566" s="207"/>
      <c r="AM566" s="207"/>
      <c r="AN566" s="207"/>
      <c r="AO566" s="207"/>
      <c r="AP566" s="207"/>
      <c r="AQ566" s="207"/>
      <c r="AR566" s="207"/>
      <c r="AS566" s="207"/>
      <c r="AT566" s="207"/>
      <c r="AU566" s="207"/>
      <c r="AV566" s="207"/>
      <c r="AW566" s="207"/>
      <c r="AX566" s="207"/>
      <c r="AY566" s="207"/>
      <c r="AZ566" s="207"/>
      <c r="BA566" s="207"/>
    </row>
    <row r="567" ht="18.75" hidden="1" customHeight="1">
      <c r="A567" s="207"/>
      <c r="B567" s="207"/>
      <c r="C567" s="207"/>
      <c r="D567" s="207"/>
      <c r="E567" s="207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  <c r="AA567" s="207"/>
      <c r="AB567" s="207"/>
      <c r="AC567" s="207"/>
      <c r="AD567" s="207"/>
      <c r="AE567" s="207"/>
      <c r="AF567" s="207"/>
      <c r="AG567" s="207"/>
      <c r="AH567" s="207"/>
      <c r="AI567" s="207"/>
      <c r="AJ567" s="207"/>
      <c r="AK567" s="207"/>
      <c r="AL567" s="207"/>
      <c r="AM567" s="207"/>
      <c r="AN567" s="207"/>
      <c r="AO567" s="207"/>
      <c r="AP567" s="207"/>
      <c r="AQ567" s="207"/>
      <c r="AR567" s="207"/>
      <c r="AS567" s="207"/>
      <c r="AT567" s="207"/>
      <c r="AU567" s="207"/>
      <c r="AV567" s="207"/>
      <c r="AW567" s="207"/>
      <c r="AX567" s="207"/>
      <c r="AY567" s="207"/>
      <c r="AZ567" s="207"/>
      <c r="BA567" s="207"/>
    </row>
    <row r="568" ht="18.75" hidden="1" customHeight="1">
      <c r="A568" s="207"/>
      <c r="B568" s="207"/>
      <c r="C568" s="207"/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  <c r="AA568" s="207"/>
      <c r="AB568" s="207"/>
      <c r="AC568" s="207"/>
      <c r="AD568" s="207"/>
      <c r="AE568" s="207"/>
      <c r="AF568" s="207"/>
      <c r="AG568" s="207"/>
      <c r="AH568" s="207"/>
      <c r="AI568" s="207"/>
      <c r="AJ568" s="207"/>
      <c r="AK568" s="207"/>
      <c r="AL568" s="207"/>
      <c r="AM568" s="207"/>
      <c r="AN568" s="207"/>
      <c r="AO568" s="207"/>
      <c r="AP568" s="207"/>
      <c r="AQ568" s="207"/>
      <c r="AR568" s="207"/>
      <c r="AS568" s="207"/>
      <c r="AT568" s="207"/>
      <c r="AU568" s="207"/>
      <c r="AV568" s="207"/>
      <c r="AW568" s="207"/>
      <c r="AX568" s="207"/>
      <c r="AY568" s="207"/>
      <c r="AZ568" s="207"/>
      <c r="BA568" s="207"/>
    </row>
    <row r="569" ht="18.75" hidden="1" customHeight="1">
      <c r="A569" s="207"/>
      <c r="B569" s="207"/>
      <c r="C569" s="207"/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  <c r="AA569" s="207"/>
      <c r="AB569" s="207"/>
      <c r="AC569" s="207"/>
      <c r="AD569" s="207"/>
      <c r="AE569" s="207"/>
      <c r="AF569" s="207"/>
      <c r="AG569" s="207"/>
      <c r="AH569" s="207"/>
      <c r="AI569" s="207"/>
      <c r="AJ569" s="207"/>
      <c r="AK569" s="207"/>
      <c r="AL569" s="207"/>
      <c r="AM569" s="207"/>
      <c r="AN569" s="207"/>
      <c r="AO569" s="207"/>
      <c r="AP569" s="207"/>
      <c r="AQ569" s="207"/>
      <c r="AR569" s="207"/>
      <c r="AS569" s="207"/>
      <c r="AT569" s="207"/>
      <c r="AU569" s="207"/>
      <c r="AV569" s="207"/>
      <c r="AW569" s="207"/>
      <c r="AX569" s="207"/>
      <c r="AY569" s="207"/>
      <c r="AZ569" s="207"/>
      <c r="BA569" s="207"/>
    </row>
    <row r="570" ht="18.75" hidden="1" customHeight="1">
      <c r="A570" s="207"/>
      <c r="B570" s="207"/>
      <c r="C570" s="207"/>
      <c r="D570" s="207"/>
      <c r="E570" s="207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  <c r="AA570" s="207"/>
      <c r="AB570" s="207"/>
      <c r="AC570" s="207"/>
      <c r="AD570" s="207"/>
      <c r="AE570" s="207"/>
      <c r="AF570" s="207"/>
      <c r="AG570" s="207"/>
      <c r="AH570" s="207"/>
      <c r="AI570" s="207"/>
      <c r="AJ570" s="207"/>
      <c r="AK570" s="207"/>
      <c r="AL570" s="207"/>
      <c r="AM570" s="207"/>
      <c r="AN570" s="207"/>
      <c r="AO570" s="207"/>
      <c r="AP570" s="207"/>
      <c r="AQ570" s="207"/>
      <c r="AR570" s="207"/>
      <c r="AS570" s="207"/>
      <c r="AT570" s="207"/>
      <c r="AU570" s="207"/>
      <c r="AV570" s="207"/>
      <c r="AW570" s="207"/>
      <c r="AX570" s="207"/>
      <c r="AY570" s="207"/>
      <c r="AZ570" s="207"/>
      <c r="BA570" s="207"/>
    </row>
    <row r="571" ht="18.75" hidden="1" customHeight="1">
      <c r="A571" s="207"/>
      <c r="B571" s="207"/>
      <c r="C571" s="207"/>
      <c r="D571" s="207"/>
      <c r="E571" s="207"/>
      <c r="F571" s="207"/>
      <c r="G571" s="207"/>
      <c r="H571" s="207"/>
      <c r="I571" s="207"/>
      <c r="J571" s="207"/>
      <c r="K571" s="207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  <c r="AA571" s="207"/>
      <c r="AB571" s="207"/>
      <c r="AC571" s="207"/>
      <c r="AD571" s="207"/>
      <c r="AE571" s="207"/>
      <c r="AF571" s="207"/>
      <c r="AG571" s="207"/>
      <c r="AH571" s="207"/>
      <c r="AI571" s="207"/>
      <c r="AJ571" s="207"/>
      <c r="AK571" s="207"/>
      <c r="AL571" s="207"/>
      <c r="AM571" s="207"/>
      <c r="AN571" s="207"/>
      <c r="AO571" s="207"/>
      <c r="AP571" s="207"/>
      <c r="AQ571" s="207"/>
      <c r="AR571" s="207"/>
      <c r="AS571" s="207"/>
      <c r="AT571" s="207"/>
      <c r="AU571" s="207"/>
      <c r="AV571" s="207"/>
      <c r="AW571" s="207"/>
      <c r="AX571" s="207"/>
      <c r="AY571" s="207"/>
      <c r="AZ571" s="207"/>
      <c r="BA571" s="207"/>
    </row>
    <row r="572" ht="18.75" hidden="1" customHeight="1">
      <c r="A572" s="207"/>
      <c r="B572" s="207"/>
      <c r="C572" s="207"/>
      <c r="D572" s="207"/>
      <c r="E572" s="207"/>
      <c r="F572" s="207"/>
      <c r="G572" s="207"/>
      <c r="H572" s="207"/>
      <c r="I572" s="207"/>
      <c r="J572" s="207"/>
      <c r="K572" s="207"/>
      <c r="L572" s="207"/>
      <c r="M572" s="207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  <c r="AA572" s="207"/>
      <c r="AB572" s="207"/>
      <c r="AC572" s="207"/>
      <c r="AD572" s="207"/>
      <c r="AE572" s="207"/>
      <c r="AF572" s="207"/>
      <c r="AG572" s="207"/>
      <c r="AH572" s="207"/>
      <c r="AI572" s="207"/>
      <c r="AJ572" s="207"/>
      <c r="AK572" s="207"/>
      <c r="AL572" s="207"/>
      <c r="AM572" s="207"/>
      <c r="AN572" s="207"/>
      <c r="AO572" s="207"/>
      <c r="AP572" s="207"/>
      <c r="AQ572" s="207"/>
      <c r="AR572" s="207"/>
      <c r="AS572" s="207"/>
      <c r="AT572" s="207"/>
      <c r="AU572" s="207"/>
      <c r="AV572" s="207"/>
      <c r="AW572" s="207"/>
      <c r="AX572" s="207"/>
      <c r="AY572" s="207"/>
      <c r="AZ572" s="207"/>
      <c r="BA572" s="207"/>
    </row>
    <row r="573" ht="18.75" hidden="1" customHeight="1">
      <c r="A573" s="207"/>
      <c r="B573" s="207"/>
      <c r="C573" s="207"/>
      <c r="D573" s="207"/>
      <c r="E573" s="207"/>
      <c r="F573" s="207"/>
      <c r="G573" s="207"/>
      <c r="H573" s="207"/>
      <c r="I573" s="207"/>
      <c r="J573" s="207"/>
      <c r="K573" s="207"/>
      <c r="L573" s="207"/>
      <c r="M573" s="207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  <c r="AA573" s="207"/>
      <c r="AB573" s="207"/>
      <c r="AC573" s="207"/>
      <c r="AD573" s="207"/>
      <c r="AE573" s="207"/>
      <c r="AF573" s="207"/>
      <c r="AG573" s="207"/>
      <c r="AH573" s="207"/>
      <c r="AI573" s="207"/>
      <c r="AJ573" s="207"/>
      <c r="AK573" s="207"/>
      <c r="AL573" s="207"/>
      <c r="AM573" s="207"/>
      <c r="AN573" s="207"/>
      <c r="AO573" s="207"/>
      <c r="AP573" s="207"/>
      <c r="AQ573" s="207"/>
      <c r="AR573" s="207"/>
      <c r="AS573" s="207"/>
      <c r="AT573" s="207"/>
      <c r="AU573" s="207"/>
      <c r="AV573" s="207"/>
      <c r="AW573" s="207"/>
      <c r="AX573" s="207"/>
      <c r="AY573" s="207"/>
      <c r="AZ573" s="207"/>
      <c r="BA573" s="207"/>
    </row>
    <row r="574" ht="18.75" hidden="1" customHeight="1">
      <c r="A574" s="207"/>
      <c r="B574" s="207"/>
      <c r="C574" s="207"/>
      <c r="D574" s="207"/>
      <c r="E574" s="207"/>
      <c r="F574" s="207"/>
      <c r="G574" s="207"/>
      <c r="H574" s="207"/>
      <c r="I574" s="207"/>
      <c r="J574" s="207"/>
      <c r="K574" s="207"/>
      <c r="L574" s="207"/>
      <c r="M574" s="207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  <c r="AA574" s="207"/>
      <c r="AB574" s="207"/>
      <c r="AC574" s="207"/>
      <c r="AD574" s="207"/>
      <c r="AE574" s="207"/>
      <c r="AF574" s="207"/>
      <c r="AG574" s="207"/>
      <c r="AH574" s="207"/>
      <c r="AI574" s="207"/>
      <c r="AJ574" s="207"/>
      <c r="AK574" s="207"/>
      <c r="AL574" s="207"/>
      <c r="AM574" s="207"/>
      <c r="AN574" s="207"/>
      <c r="AO574" s="207"/>
      <c r="AP574" s="207"/>
      <c r="AQ574" s="207"/>
      <c r="AR574" s="207"/>
      <c r="AS574" s="207"/>
      <c r="AT574" s="207"/>
      <c r="AU574" s="207"/>
      <c r="AV574" s="207"/>
      <c r="AW574" s="207"/>
      <c r="AX574" s="207"/>
      <c r="AY574" s="207"/>
      <c r="AZ574" s="207"/>
      <c r="BA574" s="207"/>
    </row>
    <row r="575" ht="18.75" hidden="1" customHeight="1">
      <c r="A575" s="207"/>
      <c r="B575" s="207"/>
      <c r="C575" s="207"/>
      <c r="D575" s="207"/>
      <c r="E575" s="207"/>
      <c r="F575" s="207"/>
      <c r="G575" s="207"/>
      <c r="H575" s="207"/>
      <c r="I575" s="207"/>
      <c r="J575" s="207"/>
      <c r="K575" s="207"/>
      <c r="L575" s="207"/>
      <c r="M575" s="207"/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  <c r="AA575" s="207"/>
      <c r="AB575" s="207"/>
      <c r="AC575" s="207"/>
      <c r="AD575" s="207"/>
      <c r="AE575" s="207"/>
      <c r="AF575" s="207"/>
      <c r="AG575" s="207"/>
      <c r="AH575" s="207"/>
      <c r="AI575" s="207"/>
      <c r="AJ575" s="207"/>
      <c r="AK575" s="207"/>
      <c r="AL575" s="207"/>
      <c r="AM575" s="207"/>
      <c r="AN575" s="207"/>
      <c r="AO575" s="207"/>
      <c r="AP575" s="207"/>
      <c r="AQ575" s="207"/>
      <c r="AR575" s="207"/>
      <c r="AS575" s="207"/>
      <c r="AT575" s="207"/>
      <c r="AU575" s="207"/>
      <c r="AV575" s="207"/>
      <c r="AW575" s="207"/>
      <c r="AX575" s="207"/>
      <c r="AY575" s="207"/>
      <c r="AZ575" s="207"/>
      <c r="BA575" s="207"/>
    </row>
    <row r="576" ht="18.75" hidden="1" customHeight="1">
      <c r="A576" s="207"/>
      <c r="B576" s="207"/>
      <c r="C576" s="207"/>
      <c r="D576" s="207"/>
      <c r="E576" s="207"/>
      <c r="F576" s="207"/>
      <c r="G576" s="207"/>
      <c r="H576" s="207"/>
      <c r="I576" s="207"/>
      <c r="J576" s="207"/>
      <c r="K576" s="207"/>
      <c r="L576" s="207"/>
      <c r="M576" s="207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  <c r="AA576" s="207"/>
      <c r="AB576" s="207"/>
      <c r="AC576" s="207"/>
      <c r="AD576" s="207"/>
      <c r="AE576" s="207"/>
      <c r="AF576" s="207"/>
      <c r="AG576" s="207"/>
      <c r="AH576" s="207"/>
      <c r="AI576" s="207"/>
      <c r="AJ576" s="207"/>
      <c r="AK576" s="207"/>
      <c r="AL576" s="207"/>
      <c r="AM576" s="207"/>
      <c r="AN576" s="207"/>
      <c r="AO576" s="207"/>
      <c r="AP576" s="207"/>
      <c r="AQ576" s="207"/>
      <c r="AR576" s="207"/>
      <c r="AS576" s="207"/>
      <c r="AT576" s="207"/>
      <c r="AU576" s="207"/>
      <c r="AV576" s="207"/>
      <c r="AW576" s="207"/>
      <c r="AX576" s="207"/>
      <c r="AY576" s="207"/>
      <c r="AZ576" s="207"/>
      <c r="BA576" s="207"/>
    </row>
    <row r="577" ht="18.75" hidden="1" customHeight="1">
      <c r="A577" s="207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  <c r="AA577" s="207"/>
      <c r="AB577" s="207"/>
      <c r="AC577" s="207"/>
      <c r="AD577" s="207"/>
      <c r="AE577" s="207"/>
      <c r="AF577" s="207"/>
      <c r="AG577" s="207"/>
      <c r="AH577" s="207"/>
      <c r="AI577" s="207"/>
      <c r="AJ577" s="207"/>
      <c r="AK577" s="207"/>
      <c r="AL577" s="207"/>
      <c r="AM577" s="207"/>
      <c r="AN577" s="207"/>
      <c r="AO577" s="207"/>
      <c r="AP577" s="207"/>
      <c r="AQ577" s="207"/>
      <c r="AR577" s="207"/>
      <c r="AS577" s="207"/>
      <c r="AT577" s="207"/>
      <c r="AU577" s="207"/>
      <c r="AV577" s="207"/>
      <c r="AW577" s="207"/>
      <c r="AX577" s="207"/>
      <c r="AY577" s="207"/>
      <c r="AZ577" s="207"/>
      <c r="BA577" s="207"/>
    </row>
    <row r="578" ht="18.75" hidden="1" customHeight="1">
      <c r="A578" s="207"/>
      <c r="B578" s="207"/>
      <c r="C578" s="207"/>
      <c r="D578" s="207"/>
      <c r="E578" s="207"/>
      <c r="F578" s="207"/>
      <c r="G578" s="207"/>
      <c r="H578" s="207"/>
      <c r="I578" s="207"/>
      <c r="J578" s="207"/>
      <c r="K578" s="207"/>
      <c r="L578" s="207"/>
      <c r="M578" s="207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  <c r="AA578" s="207"/>
      <c r="AB578" s="207"/>
      <c r="AC578" s="207"/>
      <c r="AD578" s="207"/>
      <c r="AE578" s="207"/>
      <c r="AF578" s="207"/>
      <c r="AG578" s="207"/>
      <c r="AH578" s="207"/>
      <c r="AI578" s="207"/>
      <c r="AJ578" s="207"/>
      <c r="AK578" s="207"/>
      <c r="AL578" s="207"/>
      <c r="AM578" s="207"/>
      <c r="AN578" s="207"/>
      <c r="AO578" s="207"/>
      <c r="AP578" s="207"/>
      <c r="AQ578" s="207"/>
      <c r="AR578" s="207"/>
      <c r="AS578" s="207"/>
      <c r="AT578" s="207"/>
      <c r="AU578" s="207"/>
      <c r="AV578" s="207"/>
      <c r="AW578" s="207"/>
      <c r="AX578" s="207"/>
      <c r="AY578" s="207"/>
      <c r="AZ578" s="207"/>
      <c r="BA578" s="207"/>
    </row>
    <row r="579" ht="18.75" hidden="1" customHeight="1">
      <c r="A579" s="207"/>
      <c r="B579" s="207"/>
      <c r="C579" s="207"/>
      <c r="D579" s="207"/>
      <c r="E579" s="207"/>
      <c r="F579" s="207"/>
      <c r="G579" s="207"/>
      <c r="H579" s="207"/>
      <c r="I579" s="207"/>
      <c r="J579" s="207"/>
      <c r="K579" s="207"/>
      <c r="L579" s="207"/>
      <c r="M579" s="207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  <c r="AA579" s="207"/>
      <c r="AB579" s="207"/>
      <c r="AC579" s="207"/>
      <c r="AD579" s="207"/>
      <c r="AE579" s="207"/>
      <c r="AF579" s="207"/>
      <c r="AG579" s="207"/>
      <c r="AH579" s="207"/>
      <c r="AI579" s="207"/>
      <c r="AJ579" s="207"/>
      <c r="AK579" s="207"/>
      <c r="AL579" s="207"/>
      <c r="AM579" s="207"/>
      <c r="AN579" s="207"/>
      <c r="AO579" s="207"/>
      <c r="AP579" s="207"/>
      <c r="AQ579" s="207"/>
      <c r="AR579" s="207"/>
      <c r="AS579" s="207"/>
      <c r="AT579" s="207"/>
      <c r="AU579" s="207"/>
      <c r="AV579" s="207"/>
      <c r="AW579" s="207"/>
      <c r="AX579" s="207"/>
      <c r="AY579" s="207"/>
      <c r="AZ579" s="207"/>
      <c r="BA579" s="207"/>
    </row>
    <row r="580" ht="18.75" hidden="1" customHeight="1">
      <c r="A580" s="207"/>
      <c r="B580" s="207"/>
      <c r="C580" s="207"/>
      <c r="D580" s="207"/>
      <c r="E580" s="207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  <c r="AA580" s="207"/>
      <c r="AB580" s="207"/>
      <c r="AC580" s="207"/>
      <c r="AD580" s="207"/>
      <c r="AE580" s="207"/>
      <c r="AF580" s="207"/>
      <c r="AG580" s="207"/>
      <c r="AH580" s="207"/>
      <c r="AI580" s="207"/>
      <c r="AJ580" s="207"/>
      <c r="AK580" s="207"/>
      <c r="AL580" s="207"/>
      <c r="AM580" s="207"/>
      <c r="AN580" s="207"/>
      <c r="AO580" s="207"/>
      <c r="AP580" s="207"/>
      <c r="AQ580" s="207"/>
      <c r="AR580" s="207"/>
      <c r="AS580" s="207"/>
      <c r="AT580" s="207"/>
      <c r="AU580" s="207"/>
      <c r="AV580" s="207"/>
      <c r="AW580" s="207"/>
      <c r="AX580" s="207"/>
      <c r="AY580" s="207"/>
      <c r="AZ580" s="207"/>
      <c r="BA580" s="207"/>
    </row>
    <row r="581" ht="18.75" hidden="1" customHeight="1">
      <c r="A581" s="207"/>
      <c r="B581" s="207"/>
      <c r="C581" s="207"/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  <c r="AA581" s="207"/>
      <c r="AB581" s="207"/>
      <c r="AC581" s="207"/>
      <c r="AD581" s="207"/>
      <c r="AE581" s="207"/>
      <c r="AF581" s="207"/>
      <c r="AG581" s="207"/>
      <c r="AH581" s="207"/>
      <c r="AI581" s="207"/>
      <c r="AJ581" s="207"/>
      <c r="AK581" s="207"/>
      <c r="AL581" s="207"/>
      <c r="AM581" s="207"/>
      <c r="AN581" s="207"/>
      <c r="AO581" s="207"/>
      <c r="AP581" s="207"/>
      <c r="AQ581" s="207"/>
      <c r="AR581" s="207"/>
      <c r="AS581" s="207"/>
      <c r="AT581" s="207"/>
      <c r="AU581" s="207"/>
      <c r="AV581" s="207"/>
      <c r="AW581" s="207"/>
      <c r="AX581" s="207"/>
      <c r="AY581" s="207"/>
      <c r="AZ581" s="207"/>
      <c r="BA581" s="207"/>
    </row>
    <row r="582" ht="18.75" hidden="1" customHeight="1">
      <c r="A582" s="207"/>
      <c r="B582" s="207"/>
      <c r="C582" s="207"/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  <c r="AA582" s="207"/>
      <c r="AB582" s="207"/>
      <c r="AC582" s="207"/>
      <c r="AD582" s="207"/>
      <c r="AE582" s="207"/>
      <c r="AF582" s="207"/>
      <c r="AG582" s="207"/>
      <c r="AH582" s="207"/>
      <c r="AI582" s="207"/>
      <c r="AJ582" s="207"/>
      <c r="AK582" s="207"/>
      <c r="AL582" s="207"/>
      <c r="AM582" s="207"/>
      <c r="AN582" s="207"/>
      <c r="AO582" s="207"/>
      <c r="AP582" s="207"/>
      <c r="AQ582" s="207"/>
      <c r="AR582" s="207"/>
      <c r="AS582" s="207"/>
      <c r="AT582" s="207"/>
      <c r="AU582" s="207"/>
      <c r="AV582" s="207"/>
      <c r="AW582" s="207"/>
      <c r="AX582" s="207"/>
      <c r="AY582" s="207"/>
      <c r="AZ582" s="207"/>
      <c r="BA582" s="207"/>
    </row>
    <row r="583" ht="18.75" hidden="1" customHeight="1">
      <c r="A583" s="207"/>
      <c r="B583" s="207"/>
      <c r="C583" s="207"/>
      <c r="D583" s="207"/>
      <c r="E583" s="207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  <c r="AA583" s="207"/>
      <c r="AB583" s="207"/>
      <c r="AC583" s="207"/>
      <c r="AD583" s="207"/>
      <c r="AE583" s="207"/>
      <c r="AF583" s="207"/>
      <c r="AG583" s="207"/>
      <c r="AH583" s="207"/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7"/>
    </row>
    <row r="584" ht="18.75" hidden="1" customHeight="1">
      <c r="A584" s="207"/>
      <c r="B584" s="207"/>
      <c r="C584" s="207"/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  <c r="AB584" s="207"/>
      <c r="AC584" s="207"/>
      <c r="AD584" s="207"/>
      <c r="AE584" s="207"/>
      <c r="AF584" s="207"/>
      <c r="AG584" s="207"/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</row>
    <row r="585" ht="18.75" hidden="1" customHeight="1">
      <c r="A585" s="207"/>
      <c r="B585" s="207"/>
      <c r="C585" s="207"/>
      <c r="D585" s="207"/>
      <c r="E585" s="207"/>
      <c r="F585" s="207"/>
      <c r="G585" s="207"/>
      <c r="H585" s="207"/>
      <c r="I585" s="207"/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  <c r="AA585" s="207"/>
      <c r="AB585" s="207"/>
      <c r="AC585" s="207"/>
      <c r="AD585" s="207"/>
      <c r="AE585" s="207"/>
      <c r="AF585" s="207"/>
      <c r="AG585" s="207"/>
      <c r="AH585" s="207"/>
      <c r="AI585" s="207"/>
      <c r="AJ585" s="207"/>
      <c r="AK585" s="207"/>
      <c r="AL585" s="207"/>
      <c r="AM585" s="207"/>
      <c r="AN585" s="207"/>
      <c r="AO585" s="207"/>
      <c r="AP585" s="207"/>
      <c r="AQ585" s="207"/>
      <c r="AR585" s="207"/>
      <c r="AS585" s="207"/>
      <c r="AT585" s="207"/>
      <c r="AU585" s="207"/>
      <c r="AV585" s="207"/>
      <c r="AW585" s="207"/>
      <c r="AX585" s="207"/>
      <c r="AY585" s="207"/>
      <c r="AZ585" s="207"/>
      <c r="BA585" s="207"/>
    </row>
    <row r="586" ht="18.75" hidden="1" customHeight="1">
      <c r="A586" s="207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  <c r="AA586" s="207"/>
      <c r="AB586" s="207"/>
      <c r="AC586" s="207"/>
      <c r="AD586" s="207"/>
      <c r="AE586" s="207"/>
      <c r="AF586" s="207"/>
      <c r="AG586" s="207"/>
      <c r="AH586" s="207"/>
      <c r="AI586" s="207"/>
      <c r="AJ586" s="207"/>
      <c r="AK586" s="207"/>
      <c r="AL586" s="207"/>
      <c r="AM586" s="207"/>
      <c r="AN586" s="207"/>
      <c r="AO586" s="207"/>
      <c r="AP586" s="207"/>
      <c r="AQ586" s="207"/>
      <c r="AR586" s="207"/>
      <c r="AS586" s="207"/>
      <c r="AT586" s="207"/>
      <c r="AU586" s="207"/>
      <c r="AV586" s="207"/>
      <c r="AW586" s="207"/>
      <c r="AX586" s="207"/>
      <c r="AY586" s="207"/>
      <c r="AZ586" s="207"/>
      <c r="BA586" s="207"/>
    </row>
    <row r="587" ht="18.75" hidden="1" customHeight="1">
      <c r="A587" s="207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  <c r="AA587" s="207"/>
      <c r="AB587" s="207"/>
      <c r="AC587" s="207"/>
      <c r="AD587" s="207"/>
      <c r="AE587" s="207"/>
      <c r="AF587" s="207"/>
      <c r="AG587" s="207"/>
      <c r="AH587" s="207"/>
      <c r="AI587" s="207"/>
      <c r="AJ587" s="207"/>
      <c r="AK587" s="207"/>
      <c r="AL587" s="207"/>
      <c r="AM587" s="207"/>
      <c r="AN587" s="207"/>
      <c r="AO587" s="207"/>
      <c r="AP587" s="207"/>
      <c r="AQ587" s="207"/>
      <c r="AR587" s="207"/>
      <c r="AS587" s="207"/>
      <c r="AT587" s="207"/>
      <c r="AU587" s="207"/>
      <c r="AV587" s="207"/>
      <c r="AW587" s="207"/>
      <c r="AX587" s="207"/>
      <c r="AY587" s="207"/>
      <c r="AZ587" s="207"/>
      <c r="BA587" s="207"/>
    </row>
    <row r="588" ht="18.75" hidden="1" customHeight="1">
      <c r="A588" s="207"/>
      <c r="B588" s="207"/>
      <c r="C588" s="20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  <c r="AA588" s="207"/>
      <c r="AB588" s="207"/>
      <c r="AC588" s="207"/>
      <c r="AD588" s="207"/>
      <c r="AE588" s="207"/>
      <c r="AF588" s="207"/>
      <c r="AG588" s="207"/>
      <c r="AH588" s="207"/>
      <c r="AI588" s="207"/>
      <c r="AJ588" s="207"/>
      <c r="AK588" s="207"/>
      <c r="AL588" s="207"/>
      <c r="AM588" s="207"/>
      <c r="AN588" s="207"/>
      <c r="AO588" s="207"/>
      <c r="AP588" s="207"/>
      <c r="AQ588" s="207"/>
      <c r="AR588" s="207"/>
      <c r="AS588" s="207"/>
      <c r="AT588" s="207"/>
      <c r="AU588" s="207"/>
      <c r="AV588" s="207"/>
      <c r="AW588" s="207"/>
      <c r="AX588" s="207"/>
      <c r="AY588" s="207"/>
      <c r="AZ588" s="207"/>
      <c r="BA588" s="207"/>
    </row>
    <row r="589" ht="18.75" hidden="1" customHeight="1">
      <c r="A589" s="207"/>
      <c r="B589" s="207"/>
      <c r="C589" s="207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  <c r="AA589" s="207"/>
      <c r="AB589" s="207"/>
      <c r="AC589" s="207"/>
      <c r="AD589" s="207"/>
      <c r="AE589" s="207"/>
      <c r="AF589" s="207"/>
      <c r="AG589" s="207"/>
      <c r="AH589" s="207"/>
      <c r="AI589" s="207"/>
      <c r="AJ589" s="207"/>
      <c r="AK589" s="207"/>
      <c r="AL589" s="207"/>
      <c r="AM589" s="207"/>
      <c r="AN589" s="207"/>
      <c r="AO589" s="207"/>
      <c r="AP589" s="207"/>
      <c r="AQ589" s="207"/>
      <c r="AR589" s="207"/>
      <c r="AS589" s="207"/>
      <c r="AT589" s="207"/>
      <c r="AU589" s="207"/>
      <c r="AV589" s="207"/>
      <c r="AW589" s="207"/>
      <c r="AX589" s="207"/>
      <c r="AY589" s="207"/>
      <c r="AZ589" s="207"/>
      <c r="BA589" s="207"/>
    </row>
    <row r="590" ht="18.75" hidden="1" customHeight="1">
      <c r="A590" s="207"/>
      <c r="B590" s="207"/>
      <c r="C590" s="207"/>
      <c r="D590" s="207"/>
      <c r="E590" s="207"/>
      <c r="F590" s="207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  <c r="AA590" s="207"/>
      <c r="AB590" s="207"/>
      <c r="AC590" s="207"/>
      <c r="AD590" s="207"/>
      <c r="AE590" s="207"/>
      <c r="AF590" s="207"/>
      <c r="AG590" s="207"/>
      <c r="AH590" s="207"/>
      <c r="AI590" s="207"/>
      <c r="AJ590" s="207"/>
      <c r="AK590" s="207"/>
      <c r="AL590" s="207"/>
      <c r="AM590" s="207"/>
      <c r="AN590" s="207"/>
      <c r="AO590" s="207"/>
      <c r="AP590" s="207"/>
      <c r="AQ590" s="207"/>
      <c r="AR590" s="207"/>
      <c r="AS590" s="207"/>
      <c r="AT590" s="207"/>
      <c r="AU590" s="207"/>
      <c r="AV590" s="207"/>
      <c r="AW590" s="207"/>
      <c r="AX590" s="207"/>
      <c r="AY590" s="207"/>
      <c r="AZ590" s="207"/>
      <c r="BA590" s="207"/>
    </row>
    <row r="591" ht="18.75" hidden="1" customHeight="1">
      <c r="A591" s="207"/>
      <c r="B591" s="207"/>
      <c r="C591" s="207"/>
      <c r="D591" s="207"/>
      <c r="E591" s="207"/>
      <c r="F591" s="207"/>
      <c r="G591" s="207"/>
      <c r="H591" s="207"/>
      <c r="I591" s="207"/>
      <c r="J591" s="207"/>
      <c r="K591" s="207"/>
      <c r="L591" s="207"/>
      <c r="M591" s="207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  <c r="AA591" s="207"/>
      <c r="AB591" s="207"/>
      <c r="AC591" s="207"/>
      <c r="AD591" s="207"/>
      <c r="AE591" s="207"/>
      <c r="AF591" s="207"/>
      <c r="AG591" s="207"/>
      <c r="AH591" s="207"/>
      <c r="AI591" s="207"/>
      <c r="AJ591" s="207"/>
      <c r="AK591" s="207"/>
      <c r="AL591" s="207"/>
      <c r="AM591" s="207"/>
      <c r="AN591" s="207"/>
      <c r="AO591" s="207"/>
      <c r="AP591" s="207"/>
      <c r="AQ591" s="207"/>
      <c r="AR591" s="207"/>
      <c r="AS591" s="207"/>
      <c r="AT591" s="207"/>
      <c r="AU591" s="207"/>
      <c r="AV591" s="207"/>
      <c r="AW591" s="207"/>
      <c r="AX591" s="207"/>
      <c r="AY591" s="207"/>
      <c r="AZ591" s="207"/>
      <c r="BA591" s="207"/>
    </row>
    <row r="592" ht="18.75" hidden="1" customHeight="1">
      <c r="A592" s="207"/>
      <c r="B592" s="207"/>
      <c r="C592" s="207"/>
      <c r="D592" s="207"/>
      <c r="E592" s="207"/>
      <c r="F592" s="207"/>
      <c r="G592" s="207"/>
      <c r="H592" s="207"/>
      <c r="I592" s="207"/>
      <c r="J592" s="207"/>
      <c r="K592" s="207"/>
      <c r="L592" s="207"/>
      <c r="M592" s="207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  <c r="AA592" s="207"/>
      <c r="AB592" s="207"/>
      <c r="AC592" s="207"/>
      <c r="AD592" s="207"/>
      <c r="AE592" s="207"/>
      <c r="AF592" s="207"/>
      <c r="AG592" s="207"/>
      <c r="AH592" s="207"/>
      <c r="AI592" s="207"/>
      <c r="AJ592" s="207"/>
      <c r="AK592" s="207"/>
      <c r="AL592" s="207"/>
      <c r="AM592" s="207"/>
      <c r="AN592" s="207"/>
      <c r="AO592" s="207"/>
      <c r="AP592" s="207"/>
      <c r="AQ592" s="207"/>
      <c r="AR592" s="207"/>
      <c r="AS592" s="207"/>
      <c r="AT592" s="207"/>
      <c r="AU592" s="207"/>
      <c r="AV592" s="207"/>
      <c r="AW592" s="207"/>
      <c r="AX592" s="207"/>
      <c r="AY592" s="207"/>
      <c r="AZ592" s="207"/>
      <c r="BA592" s="207"/>
    </row>
    <row r="593" ht="18.75" hidden="1" customHeight="1">
      <c r="A593" s="207"/>
      <c r="B593" s="207"/>
      <c r="C593" s="207"/>
      <c r="D593" s="207"/>
      <c r="E593" s="207"/>
      <c r="F593" s="207"/>
      <c r="G593" s="207"/>
      <c r="H593" s="207"/>
      <c r="I593" s="207"/>
      <c r="J593" s="207"/>
      <c r="K593" s="207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  <c r="AA593" s="207"/>
      <c r="AB593" s="207"/>
      <c r="AC593" s="207"/>
      <c r="AD593" s="207"/>
      <c r="AE593" s="207"/>
      <c r="AF593" s="207"/>
      <c r="AG593" s="207"/>
      <c r="AH593" s="207"/>
      <c r="AI593" s="207"/>
      <c r="AJ593" s="207"/>
      <c r="AK593" s="207"/>
      <c r="AL593" s="207"/>
      <c r="AM593" s="207"/>
      <c r="AN593" s="207"/>
      <c r="AO593" s="207"/>
      <c r="AP593" s="207"/>
      <c r="AQ593" s="207"/>
      <c r="AR593" s="207"/>
      <c r="AS593" s="207"/>
      <c r="AT593" s="207"/>
      <c r="AU593" s="207"/>
      <c r="AV593" s="207"/>
      <c r="AW593" s="207"/>
      <c r="AX593" s="207"/>
      <c r="AY593" s="207"/>
      <c r="AZ593" s="207"/>
      <c r="BA593" s="207"/>
    </row>
    <row r="594" ht="18.75" hidden="1" customHeight="1">
      <c r="A594" s="207"/>
      <c r="B594" s="207"/>
      <c r="C594" s="207"/>
      <c r="D594" s="207"/>
      <c r="E594" s="207"/>
      <c r="F594" s="207"/>
      <c r="G594" s="207"/>
      <c r="H594" s="207"/>
      <c r="I594" s="207"/>
      <c r="J594" s="207"/>
      <c r="K594" s="207"/>
      <c r="L594" s="207"/>
      <c r="M594" s="207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  <c r="AA594" s="207"/>
      <c r="AB594" s="207"/>
      <c r="AC594" s="207"/>
      <c r="AD594" s="207"/>
      <c r="AE594" s="207"/>
      <c r="AF594" s="207"/>
      <c r="AG594" s="207"/>
      <c r="AH594" s="207"/>
      <c r="AI594" s="207"/>
      <c r="AJ594" s="207"/>
      <c r="AK594" s="207"/>
      <c r="AL594" s="207"/>
      <c r="AM594" s="207"/>
      <c r="AN594" s="207"/>
      <c r="AO594" s="207"/>
      <c r="AP594" s="207"/>
      <c r="AQ594" s="207"/>
      <c r="AR594" s="207"/>
      <c r="AS594" s="207"/>
      <c r="AT594" s="207"/>
      <c r="AU594" s="207"/>
      <c r="AV594" s="207"/>
      <c r="AW594" s="207"/>
      <c r="AX594" s="207"/>
      <c r="AY594" s="207"/>
      <c r="AZ594" s="207"/>
      <c r="BA594" s="207"/>
    </row>
    <row r="595" ht="18.75" hidden="1" customHeight="1">
      <c r="A595" s="207"/>
      <c r="B595" s="207"/>
      <c r="C595" s="207"/>
      <c r="D595" s="207"/>
      <c r="E595" s="207"/>
      <c r="F595" s="207"/>
      <c r="G595" s="207"/>
      <c r="H595" s="207"/>
      <c r="I595" s="207"/>
      <c r="J595" s="207"/>
      <c r="K595" s="207"/>
      <c r="L595" s="207"/>
      <c r="M595" s="207"/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  <c r="AA595" s="207"/>
      <c r="AB595" s="207"/>
      <c r="AC595" s="207"/>
      <c r="AD595" s="207"/>
      <c r="AE595" s="207"/>
      <c r="AF595" s="207"/>
      <c r="AG595" s="207"/>
      <c r="AH595" s="207"/>
      <c r="AI595" s="207"/>
      <c r="AJ595" s="207"/>
      <c r="AK595" s="207"/>
      <c r="AL595" s="207"/>
      <c r="AM595" s="207"/>
      <c r="AN595" s="207"/>
      <c r="AO595" s="207"/>
      <c r="AP595" s="207"/>
      <c r="AQ595" s="207"/>
      <c r="AR595" s="207"/>
      <c r="AS595" s="207"/>
      <c r="AT595" s="207"/>
      <c r="AU595" s="207"/>
      <c r="AV595" s="207"/>
      <c r="AW595" s="207"/>
      <c r="AX595" s="207"/>
      <c r="AY595" s="207"/>
      <c r="AZ595" s="207"/>
      <c r="BA595" s="207"/>
    </row>
    <row r="596" ht="18.75" hidden="1" customHeight="1">
      <c r="A596" s="207"/>
      <c r="B596" s="207"/>
      <c r="C596" s="207"/>
      <c r="D596" s="207"/>
      <c r="E596" s="207"/>
      <c r="F596" s="207"/>
      <c r="G596" s="207"/>
      <c r="H596" s="207"/>
      <c r="I596" s="207"/>
      <c r="J596" s="207"/>
      <c r="K596" s="207"/>
      <c r="L596" s="207"/>
      <c r="M596" s="207"/>
      <c r="N596" s="207"/>
      <c r="O596" s="207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  <c r="AA596" s="207"/>
      <c r="AB596" s="207"/>
      <c r="AC596" s="207"/>
      <c r="AD596" s="207"/>
      <c r="AE596" s="207"/>
      <c r="AF596" s="207"/>
      <c r="AG596" s="207"/>
      <c r="AH596" s="207"/>
      <c r="AI596" s="207"/>
      <c r="AJ596" s="207"/>
      <c r="AK596" s="207"/>
      <c r="AL596" s="207"/>
      <c r="AM596" s="207"/>
      <c r="AN596" s="207"/>
      <c r="AO596" s="207"/>
      <c r="AP596" s="207"/>
      <c r="AQ596" s="207"/>
      <c r="AR596" s="207"/>
      <c r="AS596" s="207"/>
      <c r="AT596" s="207"/>
      <c r="AU596" s="207"/>
      <c r="AV596" s="207"/>
      <c r="AW596" s="207"/>
      <c r="AX596" s="207"/>
      <c r="AY596" s="207"/>
      <c r="AZ596" s="207"/>
      <c r="BA596" s="207"/>
    </row>
    <row r="597" ht="18.75" hidden="1" customHeight="1">
      <c r="A597" s="207"/>
      <c r="B597" s="207"/>
      <c r="C597" s="207"/>
      <c r="D597" s="207"/>
      <c r="E597" s="207"/>
      <c r="F597" s="207"/>
      <c r="G597" s="207"/>
      <c r="H597" s="207"/>
      <c r="I597" s="207"/>
      <c r="J597" s="207"/>
      <c r="K597" s="207"/>
      <c r="L597" s="207"/>
      <c r="M597" s="207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  <c r="AA597" s="207"/>
      <c r="AB597" s="207"/>
      <c r="AC597" s="207"/>
      <c r="AD597" s="207"/>
      <c r="AE597" s="207"/>
      <c r="AF597" s="207"/>
      <c r="AG597" s="207"/>
      <c r="AH597" s="207"/>
      <c r="AI597" s="207"/>
      <c r="AJ597" s="207"/>
      <c r="AK597" s="207"/>
      <c r="AL597" s="207"/>
      <c r="AM597" s="207"/>
      <c r="AN597" s="207"/>
      <c r="AO597" s="207"/>
      <c r="AP597" s="207"/>
      <c r="AQ597" s="207"/>
      <c r="AR597" s="207"/>
      <c r="AS597" s="207"/>
      <c r="AT597" s="207"/>
      <c r="AU597" s="207"/>
      <c r="AV597" s="207"/>
      <c r="AW597" s="207"/>
      <c r="AX597" s="207"/>
      <c r="AY597" s="207"/>
      <c r="AZ597" s="207"/>
      <c r="BA597" s="207"/>
    </row>
    <row r="598" ht="18.75" hidden="1" customHeight="1">
      <c r="A598" s="207"/>
      <c r="B598" s="207"/>
      <c r="C598" s="207"/>
      <c r="D598" s="207"/>
      <c r="E598" s="207"/>
      <c r="F598" s="207"/>
      <c r="G598" s="207"/>
      <c r="H598" s="207"/>
      <c r="I598" s="207"/>
      <c r="J598" s="207"/>
      <c r="K598" s="207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  <c r="AA598" s="207"/>
      <c r="AB598" s="207"/>
      <c r="AC598" s="207"/>
      <c r="AD598" s="207"/>
      <c r="AE598" s="207"/>
      <c r="AF598" s="207"/>
      <c r="AG598" s="207"/>
      <c r="AH598" s="207"/>
      <c r="AI598" s="207"/>
      <c r="AJ598" s="207"/>
      <c r="AK598" s="207"/>
      <c r="AL598" s="207"/>
      <c r="AM598" s="207"/>
      <c r="AN598" s="207"/>
      <c r="AO598" s="207"/>
      <c r="AP598" s="207"/>
      <c r="AQ598" s="207"/>
      <c r="AR598" s="207"/>
      <c r="AS598" s="207"/>
      <c r="AT598" s="207"/>
      <c r="AU598" s="207"/>
      <c r="AV598" s="207"/>
      <c r="AW598" s="207"/>
      <c r="AX598" s="207"/>
      <c r="AY598" s="207"/>
      <c r="AZ598" s="207"/>
      <c r="BA598" s="207"/>
    </row>
    <row r="599" ht="18.75" hidden="1" customHeight="1">
      <c r="A599" s="207"/>
      <c r="B599" s="207"/>
      <c r="C599" s="207"/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  <c r="AA599" s="207"/>
      <c r="AB599" s="207"/>
      <c r="AC599" s="207"/>
      <c r="AD599" s="207"/>
      <c r="AE599" s="207"/>
      <c r="AF599" s="207"/>
      <c r="AG599" s="207"/>
      <c r="AH599" s="207"/>
      <c r="AI599" s="207"/>
      <c r="AJ599" s="207"/>
      <c r="AK599" s="207"/>
      <c r="AL599" s="207"/>
      <c r="AM599" s="207"/>
      <c r="AN599" s="207"/>
      <c r="AO599" s="207"/>
      <c r="AP599" s="207"/>
      <c r="AQ599" s="207"/>
      <c r="AR599" s="207"/>
      <c r="AS599" s="207"/>
      <c r="AT599" s="207"/>
      <c r="AU599" s="207"/>
      <c r="AV599" s="207"/>
      <c r="AW599" s="207"/>
      <c r="AX599" s="207"/>
      <c r="AY599" s="207"/>
      <c r="AZ599" s="207"/>
      <c r="BA599" s="207"/>
    </row>
    <row r="600" ht="18.75" hidden="1" customHeight="1">
      <c r="A600" s="207"/>
      <c r="B600" s="207"/>
      <c r="C600" s="207"/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  <c r="AA600" s="207"/>
      <c r="AB600" s="207"/>
      <c r="AC600" s="207"/>
      <c r="AD600" s="207"/>
      <c r="AE600" s="207"/>
      <c r="AF600" s="207"/>
      <c r="AG600" s="207"/>
      <c r="AH600" s="207"/>
      <c r="AI600" s="207"/>
      <c r="AJ600" s="207"/>
      <c r="AK600" s="207"/>
      <c r="AL600" s="207"/>
      <c r="AM600" s="207"/>
      <c r="AN600" s="207"/>
      <c r="AO600" s="207"/>
      <c r="AP600" s="207"/>
      <c r="AQ600" s="207"/>
      <c r="AR600" s="207"/>
      <c r="AS600" s="207"/>
      <c r="AT600" s="207"/>
      <c r="AU600" s="207"/>
      <c r="AV600" s="207"/>
      <c r="AW600" s="207"/>
      <c r="AX600" s="207"/>
      <c r="AY600" s="207"/>
      <c r="AZ600" s="207"/>
      <c r="BA600" s="207"/>
    </row>
    <row r="601" ht="18.75" hidden="1" customHeight="1">
      <c r="A601" s="207"/>
      <c r="B601" s="207"/>
      <c r="C601" s="207"/>
      <c r="D601" s="207"/>
      <c r="E601" s="207"/>
      <c r="F601" s="207"/>
      <c r="G601" s="207"/>
      <c r="H601" s="207"/>
      <c r="I601" s="207"/>
      <c r="J601" s="207"/>
      <c r="K601" s="207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  <c r="AA601" s="207"/>
      <c r="AB601" s="207"/>
      <c r="AC601" s="207"/>
      <c r="AD601" s="207"/>
      <c r="AE601" s="207"/>
      <c r="AF601" s="207"/>
      <c r="AG601" s="207"/>
      <c r="AH601" s="207"/>
      <c r="AI601" s="207"/>
      <c r="AJ601" s="207"/>
      <c r="AK601" s="207"/>
      <c r="AL601" s="207"/>
      <c r="AM601" s="207"/>
      <c r="AN601" s="207"/>
      <c r="AO601" s="207"/>
      <c r="AP601" s="207"/>
      <c r="AQ601" s="207"/>
      <c r="AR601" s="207"/>
      <c r="AS601" s="207"/>
      <c r="AT601" s="207"/>
      <c r="AU601" s="207"/>
      <c r="AV601" s="207"/>
      <c r="AW601" s="207"/>
      <c r="AX601" s="207"/>
      <c r="AY601" s="207"/>
      <c r="AZ601" s="207"/>
      <c r="BA601" s="207"/>
    </row>
    <row r="602" ht="18.75" hidden="1" customHeight="1">
      <c r="A602" s="207"/>
      <c r="B602" s="207"/>
      <c r="C602" s="207"/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  <c r="AA602" s="207"/>
      <c r="AB602" s="207"/>
      <c r="AC602" s="207"/>
      <c r="AD602" s="207"/>
      <c r="AE602" s="207"/>
      <c r="AF602" s="207"/>
      <c r="AG602" s="207"/>
      <c r="AH602" s="207"/>
      <c r="AI602" s="207"/>
      <c r="AJ602" s="207"/>
      <c r="AK602" s="207"/>
      <c r="AL602" s="207"/>
      <c r="AM602" s="207"/>
      <c r="AN602" s="207"/>
      <c r="AO602" s="207"/>
      <c r="AP602" s="207"/>
      <c r="AQ602" s="207"/>
      <c r="AR602" s="207"/>
      <c r="AS602" s="207"/>
      <c r="AT602" s="207"/>
      <c r="AU602" s="207"/>
      <c r="AV602" s="207"/>
      <c r="AW602" s="207"/>
      <c r="AX602" s="207"/>
      <c r="AY602" s="207"/>
      <c r="AZ602" s="207"/>
      <c r="BA602" s="207"/>
    </row>
    <row r="603" ht="18.75" hidden="1" customHeight="1">
      <c r="A603" s="207"/>
      <c r="B603" s="207"/>
      <c r="C603" s="207"/>
      <c r="D603" s="207"/>
      <c r="E603" s="207"/>
      <c r="F603" s="207"/>
      <c r="G603" s="207"/>
      <c r="H603" s="207"/>
      <c r="I603" s="207"/>
      <c r="J603" s="207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  <c r="AA603" s="207"/>
      <c r="AB603" s="207"/>
      <c r="AC603" s="207"/>
      <c r="AD603" s="207"/>
      <c r="AE603" s="207"/>
      <c r="AF603" s="207"/>
      <c r="AG603" s="207"/>
      <c r="AH603" s="207"/>
      <c r="AI603" s="207"/>
      <c r="AJ603" s="207"/>
      <c r="AK603" s="207"/>
      <c r="AL603" s="207"/>
      <c r="AM603" s="207"/>
      <c r="AN603" s="207"/>
      <c r="AO603" s="207"/>
      <c r="AP603" s="207"/>
      <c r="AQ603" s="207"/>
      <c r="AR603" s="207"/>
      <c r="AS603" s="207"/>
      <c r="AT603" s="207"/>
      <c r="AU603" s="207"/>
      <c r="AV603" s="207"/>
      <c r="AW603" s="207"/>
      <c r="AX603" s="207"/>
      <c r="AY603" s="207"/>
      <c r="AZ603" s="207"/>
      <c r="BA603" s="207"/>
    </row>
    <row r="604" ht="18.75" hidden="1" customHeight="1">
      <c r="A604" s="207"/>
      <c r="B604" s="207"/>
      <c r="C604" s="207"/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  <c r="AA604" s="207"/>
      <c r="AB604" s="207"/>
      <c r="AC604" s="207"/>
      <c r="AD604" s="207"/>
      <c r="AE604" s="207"/>
      <c r="AF604" s="207"/>
      <c r="AG604" s="207"/>
      <c r="AH604" s="207"/>
      <c r="AI604" s="207"/>
      <c r="AJ604" s="207"/>
      <c r="AK604" s="207"/>
      <c r="AL604" s="207"/>
      <c r="AM604" s="207"/>
      <c r="AN604" s="207"/>
      <c r="AO604" s="207"/>
      <c r="AP604" s="207"/>
      <c r="AQ604" s="207"/>
      <c r="AR604" s="207"/>
      <c r="AS604" s="207"/>
      <c r="AT604" s="207"/>
      <c r="AU604" s="207"/>
      <c r="AV604" s="207"/>
      <c r="AW604" s="207"/>
      <c r="AX604" s="207"/>
      <c r="AY604" s="207"/>
      <c r="AZ604" s="207"/>
      <c r="BA604" s="207"/>
    </row>
    <row r="605" ht="18.75" hidden="1" customHeight="1">
      <c r="A605" s="207"/>
      <c r="B605" s="207"/>
      <c r="C605" s="207"/>
      <c r="D605" s="207"/>
      <c r="E605" s="207"/>
      <c r="F605" s="207"/>
      <c r="G605" s="207"/>
      <c r="H605" s="207"/>
      <c r="I605" s="207"/>
      <c r="J605" s="207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  <c r="AA605" s="207"/>
      <c r="AB605" s="207"/>
      <c r="AC605" s="207"/>
      <c r="AD605" s="207"/>
      <c r="AE605" s="207"/>
      <c r="AF605" s="207"/>
      <c r="AG605" s="207"/>
      <c r="AH605" s="207"/>
      <c r="AI605" s="207"/>
      <c r="AJ605" s="207"/>
      <c r="AK605" s="207"/>
      <c r="AL605" s="207"/>
      <c r="AM605" s="207"/>
      <c r="AN605" s="207"/>
      <c r="AO605" s="207"/>
      <c r="AP605" s="207"/>
      <c r="AQ605" s="207"/>
      <c r="AR605" s="207"/>
      <c r="AS605" s="207"/>
      <c r="AT605" s="207"/>
      <c r="AU605" s="207"/>
      <c r="AV605" s="207"/>
      <c r="AW605" s="207"/>
      <c r="AX605" s="207"/>
      <c r="AY605" s="207"/>
      <c r="AZ605" s="207"/>
      <c r="BA605" s="207"/>
    </row>
    <row r="606" ht="18.75" hidden="1" customHeight="1">
      <c r="A606" s="207"/>
      <c r="B606" s="207"/>
      <c r="C606" s="207"/>
      <c r="D606" s="207"/>
      <c r="E606" s="207"/>
      <c r="F606" s="207"/>
      <c r="G606" s="207"/>
      <c r="H606" s="207"/>
      <c r="I606" s="207"/>
      <c r="J606" s="207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  <c r="AA606" s="207"/>
      <c r="AB606" s="207"/>
      <c r="AC606" s="207"/>
      <c r="AD606" s="207"/>
      <c r="AE606" s="207"/>
      <c r="AF606" s="207"/>
      <c r="AG606" s="207"/>
      <c r="AH606" s="207"/>
      <c r="AI606" s="207"/>
      <c r="AJ606" s="207"/>
      <c r="AK606" s="207"/>
      <c r="AL606" s="207"/>
      <c r="AM606" s="207"/>
      <c r="AN606" s="207"/>
      <c r="AO606" s="207"/>
      <c r="AP606" s="207"/>
      <c r="AQ606" s="207"/>
      <c r="AR606" s="207"/>
      <c r="AS606" s="207"/>
      <c r="AT606" s="207"/>
      <c r="AU606" s="207"/>
      <c r="AV606" s="207"/>
      <c r="AW606" s="207"/>
      <c r="AX606" s="207"/>
      <c r="AY606" s="207"/>
      <c r="AZ606" s="207"/>
      <c r="BA606" s="207"/>
    </row>
    <row r="607" ht="18.75" hidden="1" customHeight="1">
      <c r="A607" s="207"/>
      <c r="B607" s="207"/>
      <c r="C607" s="207"/>
      <c r="D607" s="207"/>
      <c r="E607" s="207"/>
      <c r="F607" s="207"/>
      <c r="G607" s="207"/>
      <c r="H607" s="207"/>
      <c r="I607" s="207"/>
      <c r="J607" s="207"/>
      <c r="K607" s="207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  <c r="AA607" s="207"/>
      <c r="AB607" s="207"/>
      <c r="AC607" s="207"/>
      <c r="AD607" s="207"/>
      <c r="AE607" s="207"/>
      <c r="AF607" s="207"/>
      <c r="AG607" s="207"/>
      <c r="AH607" s="207"/>
      <c r="AI607" s="207"/>
      <c r="AJ607" s="207"/>
      <c r="AK607" s="207"/>
      <c r="AL607" s="207"/>
      <c r="AM607" s="207"/>
      <c r="AN607" s="207"/>
      <c r="AO607" s="207"/>
      <c r="AP607" s="207"/>
      <c r="AQ607" s="207"/>
      <c r="AR607" s="207"/>
      <c r="AS607" s="207"/>
      <c r="AT607" s="207"/>
      <c r="AU607" s="207"/>
      <c r="AV607" s="207"/>
      <c r="AW607" s="207"/>
      <c r="AX607" s="207"/>
      <c r="AY607" s="207"/>
      <c r="AZ607" s="207"/>
      <c r="BA607" s="207"/>
    </row>
    <row r="608" ht="18.75" hidden="1" customHeight="1">
      <c r="A608" s="207"/>
      <c r="B608" s="207"/>
      <c r="C608" s="207"/>
      <c r="D608" s="207"/>
      <c r="E608" s="207"/>
      <c r="F608" s="207"/>
      <c r="G608" s="207"/>
      <c r="H608" s="207"/>
      <c r="I608" s="207"/>
      <c r="J608" s="207"/>
      <c r="K608" s="207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  <c r="AA608" s="207"/>
      <c r="AB608" s="207"/>
      <c r="AC608" s="207"/>
      <c r="AD608" s="207"/>
      <c r="AE608" s="207"/>
      <c r="AF608" s="207"/>
      <c r="AG608" s="207"/>
      <c r="AH608" s="207"/>
      <c r="AI608" s="207"/>
      <c r="AJ608" s="207"/>
      <c r="AK608" s="207"/>
      <c r="AL608" s="207"/>
      <c r="AM608" s="207"/>
      <c r="AN608" s="207"/>
      <c r="AO608" s="207"/>
      <c r="AP608" s="207"/>
      <c r="AQ608" s="207"/>
      <c r="AR608" s="207"/>
      <c r="AS608" s="207"/>
      <c r="AT608" s="207"/>
      <c r="AU608" s="207"/>
      <c r="AV608" s="207"/>
      <c r="AW608" s="207"/>
      <c r="AX608" s="207"/>
      <c r="AY608" s="207"/>
      <c r="AZ608" s="207"/>
      <c r="BA608" s="207"/>
    </row>
    <row r="609" ht="18.75" hidden="1" customHeight="1">
      <c r="A609" s="207"/>
      <c r="B609" s="207"/>
      <c r="C609" s="207"/>
      <c r="D609" s="207"/>
      <c r="E609" s="207"/>
      <c r="F609" s="207"/>
      <c r="G609" s="207"/>
      <c r="H609" s="207"/>
      <c r="I609" s="207"/>
      <c r="J609" s="207"/>
      <c r="K609" s="207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  <c r="AA609" s="207"/>
      <c r="AB609" s="207"/>
      <c r="AC609" s="207"/>
      <c r="AD609" s="207"/>
      <c r="AE609" s="207"/>
      <c r="AF609" s="207"/>
      <c r="AG609" s="207"/>
      <c r="AH609" s="207"/>
      <c r="AI609" s="207"/>
      <c r="AJ609" s="207"/>
      <c r="AK609" s="207"/>
      <c r="AL609" s="207"/>
      <c r="AM609" s="207"/>
      <c r="AN609" s="207"/>
      <c r="AO609" s="207"/>
      <c r="AP609" s="207"/>
      <c r="AQ609" s="207"/>
      <c r="AR609" s="207"/>
      <c r="AS609" s="207"/>
      <c r="AT609" s="207"/>
      <c r="AU609" s="207"/>
      <c r="AV609" s="207"/>
      <c r="AW609" s="207"/>
      <c r="AX609" s="207"/>
      <c r="AY609" s="207"/>
      <c r="AZ609" s="207"/>
      <c r="BA609" s="207"/>
    </row>
    <row r="610" ht="18.75" hidden="1" customHeight="1">
      <c r="A610" s="207"/>
      <c r="B610" s="207"/>
      <c r="C610" s="207"/>
      <c r="D610" s="207"/>
      <c r="E610" s="207"/>
      <c r="F610" s="207"/>
      <c r="G610" s="207"/>
      <c r="H610" s="207"/>
      <c r="I610" s="207"/>
      <c r="J610" s="207"/>
      <c r="K610" s="207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  <c r="AA610" s="207"/>
      <c r="AB610" s="207"/>
      <c r="AC610" s="207"/>
      <c r="AD610" s="207"/>
      <c r="AE610" s="207"/>
      <c r="AF610" s="207"/>
      <c r="AG610" s="207"/>
      <c r="AH610" s="207"/>
      <c r="AI610" s="207"/>
      <c r="AJ610" s="207"/>
      <c r="AK610" s="207"/>
      <c r="AL610" s="207"/>
      <c r="AM610" s="207"/>
      <c r="AN610" s="207"/>
      <c r="AO610" s="207"/>
      <c r="AP610" s="207"/>
      <c r="AQ610" s="207"/>
      <c r="AR610" s="207"/>
      <c r="AS610" s="207"/>
      <c r="AT610" s="207"/>
      <c r="AU610" s="207"/>
      <c r="AV610" s="207"/>
      <c r="AW610" s="207"/>
      <c r="AX610" s="207"/>
      <c r="AY610" s="207"/>
      <c r="AZ610" s="207"/>
      <c r="BA610" s="207"/>
    </row>
    <row r="611" ht="18.75" hidden="1" customHeight="1">
      <c r="A611" s="207"/>
      <c r="B611" s="207"/>
      <c r="C611" s="207"/>
      <c r="D611" s="207"/>
      <c r="E611" s="207"/>
      <c r="F611" s="207"/>
      <c r="G611" s="207"/>
      <c r="H611" s="207"/>
      <c r="I611" s="207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  <c r="AA611" s="207"/>
      <c r="AB611" s="207"/>
      <c r="AC611" s="207"/>
      <c r="AD611" s="207"/>
      <c r="AE611" s="207"/>
      <c r="AF611" s="207"/>
      <c r="AG611" s="207"/>
      <c r="AH611" s="207"/>
      <c r="AI611" s="207"/>
      <c r="AJ611" s="207"/>
      <c r="AK611" s="207"/>
      <c r="AL611" s="207"/>
      <c r="AM611" s="207"/>
      <c r="AN611" s="207"/>
      <c r="AO611" s="207"/>
      <c r="AP611" s="207"/>
      <c r="AQ611" s="207"/>
      <c r="AR611" s="207"/>
      <c r="AS611" s="207"/>
      <c r="AT611" s="207"/>
      <c r="AU611" s="207"/>
      <c r="AV611" s="207"/>
      <c r="AW611" s="207"/>
      <c r="AX611" s="207"/>
      <c r="AY611" s="207"/>
      <c r="AZ611" s="207"/>
      <c r="BA611" s="207"/>
    </row>
    <row r="612" ht="18.75" hidden="1" customHeight="1">
      <c r="A612" s="207"/>
      <c r="B612" s="207"/>
      <c r="C612" s="207"/>
      <c r="D612" s="207"/>
      <c r="E612" s="207"/>
      <c r="F612" s="207"/>
      <c r="G612" s="207"/>
      <c r="H612" s="207"/>
      <c r="I612" s="207"/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  <c r="AA612" s="207"/>
      <c r="AB612" s="207"/>
      <c r="AC612" s="207"/>
      <c r="AD612" s="207"/>
      <c r="AE612" s="207"/>
      <c r="AF612" s="207"/>
      <c r="AG612" s="207"/>
      <c r="AH612" s="207"/>
      <c r="AI612" s="207"/>
      <c r="AJ612" s="207"/>
      <c r="AK612" s="207"/>
      <c r="AL612" s="207"/>
      <c r="AM612" s="207"/>
      <c r="AN612" s="207"/>
      <c r="AO612" s="207"/>
      <c r="AP612" s="207"/>
      <c r="AQ612" s="207"/>
      <c r="AR612" s="207"/>
      <c r="AS612" s="207"/>
      <c r="AT612" s="207"/>
      <c r="AU612" s="207"/>
      <c r="AV612" s="207"/>
      <c r="AW612" s="207"/>
      <c r="AX612" s="207"/>
      <c r="AY612" s="207"/>
      <c r="AZ612" s="207"/>
      <c r="BA612" s="207"/>
    </row>
    <row r="613" ht="18.75" hidden="1" customHeight="1">
      <c r="A613" s="207"/>
      <c r="B613" s="207"/>
      <c r="C613" s="207"/>
      <c r="D613" s="207"/>
      <c r="E613" s="207"/>
      <c r="F613" s="207"/>
      <c r="G613" s="207"/>
      <c r="H613" s="207"/>
      <c r="I613" s="207"/>
      <c r="J613" s="207"/>
      <c r="K613" s="207"/>
      <c r="L613" s="207"/>
      <c r="M613" s="207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  <c r="AA613" s="207"/>
      <c r="AB613" s="207"/>
      <c r="AC613" s="207"/>
      <c r="AD613" s="207"/>
      <c r="AE613" s="207"/>
      <c r="AF613" s="207"/>
      <c r="AG613" s="207"/>
      <c r="AH613" s="207"/>
      <c r="AI613" s="207"/>
      <c r="AJ613" s="207"/>
      <c r="AK613" s="207"/>
      <c r="AL613" s="207"/>
      <c r="AM613" s="207"/>
      <c r="AN613" s="207"/>
      <c r="AO613" s="207"/>
      <c r="AP613" s="207"/>
      <c r="AQ613" s="207"/>
      <c r="AR613" s="207"/>
      <c r="AS613" s="207"/>
      <c r="AT613" s="207"/>
      <c r="AU613" s="207"/>
      <c r="AV613" s="207"/>
      <c r="AW613" s="207"/>
      <c r="AX613" s="207"/>
      <c r="AY613" s="207"/>
      <c r="AZ613" s="207"/>
      <c r="BA613" s="207"/>
    </row>
    <row r="614" ht="18.75" hidden="1" customHeight="1">
      <c r="A614" s="207"/>
      <c r="B614" s="207"/>
      <c r="C614" s="207"/>
      <c r="D614" s="207"/>
      <c r="E614" s="207"/>
      <c r="F614" s="207"/>
      <c r="G614" s="207"/>
      <c r="H614" s="207"/>
      <c r="I614" s="207"/>
      <c r="J614" s="207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  <c r="Z614" s="207"/>
      <c r="AA614" s="207"/>
      <c r="AB614" s="207"/>
      <c r="AC614" s="207"/>
      <c r="AD614" s="207"/>
      <c r="AE614" s="207"/>
      <c r="AF614" s="207"/>
      <c r="AG614" s="207"/>
      <c r="AH614" s="207"/>
      <c r="AI614" s="207"/>
      <c r="AJ614" s="207"/>
      <c r="AK614" s="207"/>
      <c r="AL614" s="207"/>
      <c r="AM614" s="207"/>
      <c r="AN614" s="207"/>
      <c r="AO614" s="207"/>
      <c r="AP614" s="207"/>
      <c r="AQ614" s="207"/>
      <c r="AR614" s="207"/>
      <c r="AS614" s="207"/>
      <c r="AT614" s="207"/>
      <c r="AU614" s="207"/>
      <c r="AV614" s="207"/>
      <c r="AW614" s="207"/>
      <c r="AX614" s="207"/>
      <c r="AY614" s="207"/>
      <c r="AZ614" s="207"/>
      <c r="BA614" s="207"/>
    </row>
    <row r="615" ht="18.75" hidden="1" customHeight="1">
      <c r="A615" s="207"/>
      <c r="B615" s="207"/>
      <c r="C615" s="207"/>
      <c r="D615" s="207"/>
      <c r="E615" s="207"/>
      <c r="F615" s="207"/>
      <c r="G615" s="207"/>
      <c r="H615" s="207"/>
      <c r="I615" s="207"/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  <c r="AA615" s="207"/>
      <c r="AB615" s="207"/>
      <c r="AC615" s="207"/>
      <c r="AD615" s="207"/>
      <c r="AE615" s="207"/>
      <c r="AF615" s="207"/>
      <c r="AG615" s="207"/>
      <c r="AH615" s="207"/>
      <c r="AI615" s="207"/>
      <c r="AJ615" s="207"/>
      <c r="AK615" s="207"/>
      <c r="AL615" s="207"/>
      <c r="AM615" s="207"/>
      <c r="AN615" s="207"/>
      <c r="AO615" s="207"/>
      <c r="AP615" s="207"/>
      <c r="AQ615" s="207"/>
      <c r="AR615" s="207"/>
      <c r="AS615" s="207"/>
      <c r="AT615" s="207"/>
      <c r="AU615" s="207"/>
      <c r="AV615" s="207"/>
      <c r="AW615" s="207"/>
      <c r="AX615" s="207"/>
      <c r="AY615" s="207"/>
      <c r="AZ615" s="207"/>
      <c r="BA615" s="207"/>
    </row>
    <row r="616" ht="18.75" hidden="1" customHeight="1">
      <c r="A616" s="207"/>
      <c r="B616" s="207"/>
      <c r="C616" s="207"/>
      <c r="D616" s="207"/>
      <c r="E616" s="207"/>
      <c r="F616" s="207"/>
      <c r="G616" s="207"/>
      <c r="H616" s="207"/>
      <c r="I616" s="207"/>
      <c r="J616" s="207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  <c r="AA616" s="207"/>
      <c r="AB616" s="207"/>
      <c r="AC616" s="207"/>
      <c r="AD616" s="207"/>
      <c r="AE616" s="207"/>
      <c r="AF616" s="207"/>
      <c r="AG616" s="207"/>
      <c r="AH616" s="207"/>
      <c r="AI616" s="207"/>
      <c r="AJ616" s="207"/>
      <c r="AK616" s="207"/>
      <c r="AL616" s="207"/>
      <c r="AM616" s="207"/>
      <c r="AN616" s="207"/>
      <c r="AO616" s="207"/>
      <c r="AP616" s="207"/>
      <c r="AQ616" s="207"/>
      <c r="AR616" s="207"/>
      <c r="AS616" s="207"/>
      <c r="AT616" s="207"/>
      <c r="AU616" s="207"/>
      <c r="AV616" s="207"/>
      <c r="AW616" s="207"/>
      <c r="AX616" s="207"/>
      <c r="AY616" s="207"/>
      <c r="AZ616" s="207"/>
      <c r="BA616" s="207"/>
    </row>
    <row r="617" ht="18.75" hidden="1" customHeight="1">
      <c r="A617" s="207"/>
      <c r="B617" s="207"/>
      <c r="C617" s="207"/>
      <c r="D617" s="207"/>
      <c r="E617" s="207"/>
      <c r="F617" s="207"/>
      <c r="G617" s="207"/>
      <c r="H617" s="207"/>
      <c r="I617" s="207"/>
      <c r="J617" s="207"/>
      <c r="K617" s="207"/>
      <c r="L617" s="207"/>
      <c r="M617" s="207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  <c r="AA617" s="207"/>
      <c r="AB617" s="207"/>
      <c r="AC617" s="207"/>
      <c r="AD617" s="207"/>
      <c r="AE617" s="207"/>
      <c r="AF617" s="207"/>
      <c r="AG617" s="207"/>
      <c r="AH617" s="207"/>
      <c r="AI617" s="207"/>
      <c r="AJ617" s="207"/>
      <c r="AK617" s="207"/>
      <c r="AL617" s="207"/>
      <c r="AM617" s="207"/>
      <c r="AN617" s="207"/>
      <c r="AO617" s="207"/>
      <c r="AP617" s="207"/>
      <c r="AQ617" s="207"/>
      <c r="AR617" s="207"/>
      <c r="AS617" s="207"/>
      <c r="AT617" s="207"/>
      <c r="AU617" s="207"/>
      <c r="AV617" s="207"/>
      <c r="AW617" s="207"/>
      <c r="AX617" s="207"/>
      <c r="AY617" s="207"/>
      <c r="AZ617" s="207"/>
      <c r="BA617" s="207"/>
    </row>
    <row r="618" ht="18.75" hidden="1" customHeight="1">
      <c r="A618" s="207"/>
      <c r="B618" s="207"/>
      <c r="C618" s="207"/>
      <c r="D618" s="207"/>
      <c r="E618" s="207"/>
      <c r="F618" s="207"/>
      <c r="G618" s="207"/>
      <c r="H618" s="207"/>
      <c r="I618" s="207"/>
      <c r="J618" s="207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  <c r="AA618" s="207"/>
      <c r="AB618" s="207"/>
      <c r="AC618" s="207"/>
      <c r="AD618" s="207"/>
      <c r="AE618" s="207"/>
      <c r="AF618" s="207"/>
      <c r="AG618" s="207"/>
      <c r="AH618" s="207"/>
      <c r="AI618" s="207"/>
      <c r="AJ618" s="207"/>
      <c r="AK618" s="207"/>
      <c r="AL618" s="207"/>
      <c r="AM618" s="207"/>
      <c r="AN618" s="207"/>
      <c r="AO618" s="207"/>
      <c r="AP618" s="207"/>
      <c r="AQ618" s="207"/>
      <c r="AR618" s="207"/>
      <c r="AS618" s="207"/>
      <c r="AT618" s="207"/>
      <c r="AU618" s="207"/>
      <c r="AV618" s="207"/>
      <c r="AW618" s="207"/>
      <c r="AX618" s="207"/>
      <c r="AY618" s="207"/>
      <c r="AZ618" s="207"/>
      <c r="BA618" s="207"/>
    </row>
    <row r="619" ht="18.75" hidden="1" customHeight="1">
      <c r="A619" s="207"/>
      <c r="B619" s="207"/>
      <c r="C619" s="207"/>
      <c r="D619" s="207"/>
      <c r="E619" s="207"/>
      <c r="F619" s="207"/>
      <c r="G619" s="207"/>
      <c r="H619" s="207"/>
      <c r="I619" s="207"/>
      <c r="J619" s="207"/>
      <c r="K619" s="207"/>
      <c r="L619" s="207"/>
      <c r="M619" s="207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  <c r="AA619" s="207"/>
      <c r="AB619" s="207"/>
      <c r="AC619" s="207"/>
      <c r="AD619" s="207"/>
      <c r="AE619" s="207"/>
      <c r="AF619" s="207"/>
      <c r="AG619" s="207"/>
      <c r="AH619" s="207"/>
      <c r="AI619" s="207"/>
      <c r="AJ619" s="207"/>
      <c r="AK619" s="207"/>
      <c r="AL619" s="207"/>
      <c r="AM619" s="207"/>
      <c r="AN619" s="207"/>
      <c r="AO619" s="207"/>
      <c r="AP619" s="207"/>
      <c r="AQ619" s="207"/>
      <c r="AR619" s="207"/>
      <c r="AS619" s="207"/>
      <c r="AT619" s="207"/>
      <c r="AU619" s="207"/>
      <c r="AV619" s="207"/>
      <c r="AW619" s="207"/>
      <c r="AX619" s="207"/>
      <c r="AY619" s="207"/>
      <c r="AZ619" s="207"/>
      <c r="BA619" s="207"/>
    </row>
    <row r="620" ht="18.75" hidden="1" customHeight="1">
      <c r="A620" s="207"/>
      <c r="B620" s="207"/>
      <c r="C620" s="207"/>
      <c r="D620" s="207"/>
      <c r="E620" s="207"/>
      <c r="F620" s="207"/>
      <c r="G620" s="207"/>
      <c r="H620" s="207"/>
      <c r="I620" s="207"/>
      <c r="J620" s="207"/>
      <c r="K620" s="207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  <c r="AA620" s="207"/>
      <c r="AB620" s="207"/>
      <c r="AC620" s="207"/>
      <c r="AD620" s="207"/>
      <c r="AE620" s="207"/>
      <c r="AF620" s="207"/>
      <c r="AG620" s="207"/>
      <c r="AH620" s="207"/>
      <c r="AI620" s="207"/>
      <c r="AJ620" s="207"/>
      <c r="AK620" s="207"/>
      <c r="AL620" s="207"/>
      <c r="AM620" s="207"/>
      <c r="AN620" s="207"/>
      <c r="AO620" s="207"/>
      <c r="AP620" s="207"/>
      <c r="AQ620" s="207"/>
      <c r="AR620" s="207"/>
      <c r="AS620" s="207"/>
      <c r="AT620" s="207"/>
      <c r="AU620" s="207"/>
      <c r="AV620" s="207"/>
      <c r="AW620" s="207"/>
      <c r="AX620" s="207"/>
      <c r="AY620" s="207"/>
      <c r="AZ620" s="207"/>
      <c r="BA620" s="207"/>
    </row>
    <row r="621" ht="18.75" hidden="1" customHeight="1">
      <c r="A621" s="207"/>
      <c r="B621" s="207"/>
      <c r="C621" s="207"/>
      <c r="D621" s="207"/>
      <c r="E621" s="207"/>
      <c r="F621" s="207"/>
      <c r="G621" s="207"/>
      <c r="H621" s="207"/>
      <c r="I621" s="207"/>
      <c r="J621" s="207"/>
      <c r="K621" s="207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  <c r="AA621" s="207"/>
      <c r="AB621" s="207"/>
      <c r="AC621" s="207"/>
      <c r="AD621" s="207"/>
      <c r="AE621" s="207"/>
      <c r="AF621" s="207"/>
      <c r="AG621" s="207"/>
      <c r="AH621" s="207"/>
      <c r="AI621" s="207"/>
      <c r="AJ621" s="207"/>
      <c r="AK621" s="207"/>
      <c r="AL621" s="207"/>
      <c r="AM621" s="207"/>
      <c r="AN621" s="207"/>
      <c r="AO621" s="207"/>
      <c r="AP621" s="207"/>
      <c r="AQ621" s="207"/>
      <c r="AR621" s="207"/>
      <c r="AS621" s="207"/>
      <c r="AT621" s="207"/>
      <c r="AU621" s="207"/>
      <c r="AV621" s="207"/>
      <c r="AW621" s="207"/>
      <c r="AX621" s="207"/>
      <c r="AY621" s="207"/>
      <c r="AZ621" s="207"/>
      <c r="BA621" s="207"/>
    </row>
    <row r="622" ht="18.75" hidden="1" customHeight="1">
      <c r="A622" s="207"/>
      <c r="B622" s="207"/>
      <c r="C622" s="207"/>
      <c r="D622" s="207"/>
      <c r="E622" s="207"/>
      <c r="F622" s="207"/>
      <c r="G622" s="207"/>
      <c r="H622" s="207"/>
      <c r="I622" s="207"/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  <c r="AA622" s="207"/>
      <c r="AB622" s="207"/>
      <c r="AC622" s="207"/>
      <c r="AD622" s="207"/>
      <c r="AE622" s="207"/>
      <c r="AF622" s="207"/>
      <c r="AG622" s="207"/>
      <c r="AH622" s="207"/>
      <c r="AI622" s="207"/>
      <c r="AJ622" s="207"/>
      <c r="AK622" s="207"/>
      <c r="AL622" s="207"/>
      <c r="AM622" s="207"/>
      <c r="AN622" s="207"/>
      <c r="AO622" s="207"/>
      <c r="AP622" s="207"/>
      <c r="AQ622" s="207"/>
      <c r="AR622" s="207"/>
      <c r="AS622" s="207"/>
      <c r="AT622" s="207"/>
      <c r="AU622" s="207"/>
      <c r="AV622" s="207"/>
      <c r="AW622" s="207"/>
      <c r="AX622" s="207"/>
      <c r="AY622" s="207"/>
      <c r="AZ622" s="207"/>
      <c r="BA622" s="207"/>
    </row>
    <row r="623" ht="18.75" hidden="1" customHeight="1">
      <c r="A623" s="207"/>
      <c r="B623" s="207"/>
      <c r="C623" s="207"/>
      <c r="D623" s="207"/>
      <c r="E623" s="207"/>
      <c r="F623" s="207"/>
      <c r="G623" s="207"/>
      <c r="H623" s="207"/>
      <c r="I623" s="207"/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  <c r="AA623" s="207"/>
      <c r="AB623" s="207"/>
      <c r="AC623" s="207"/>
      <c r="AD623" s="207"/>
      <c r="AE623" s="207"/>
      <c r="AF623" s="207"/>
      <c r="AG623" s="207"/>
      <c r="AH623" s="207"/>
      <c r="AI623" s="207"/>
      <c r="AJ623" s="207"/>
      <c r="AK623" s="207"/>
      <c r="AL623" s="207"/>
      <c r="AM623" s="207"/>
      <c r="AN623" s="207"/>
      <c r="AO623" s="207"/>
      <c r="AP623" s="207"/>
      <c r="AQ623" s="207"/>
      <c r="AR623" s="207"/>
      <c r="AS623" s="207"/>
      <c r="AT623" s="207"/>
      <c r="AU623" s="207"/>
      <c r="AV623" s="207"/>
      <c r="AW623" s="207"/>
      <c r="AX623" s="207"/>
      <c r="AY623" s="207"/>
      <c r="AZ623" s="207"/>
      <c r="BA623" s="207"/>
    </row>
    <row r="624" ht="18.75" hidden="1" customHeight="1">
      <c r="A624" s="207"/>
      <c r="B624" s="207"/>
      <c r="C624" s="207"/>
      <c r="D624" s="207"/>
      <c r="E624" s="207"/>
      <c r="F624" s="207"/>
      <c r="G624" s="207"/>
      <c r="H624" s="207"/>
      <c r="I624" s="207"/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  <c r="AA624" s="207"/>
      <c r="AB624" s="207"/>
      <c r="AC624" s="207"/>
      <c r="AD624" s="207"/>
      <c r="AE624" s="207"/>
      <c r="AF624" s="207"/>
      <c r="AG624" s="207"/>
      <c r="AH624" s="207"/>
      <c r="AI624" s="207"/>
      <c r="AJ624" s="207"/>
      <c r="AK624" s="207"/>
      <c r="AL624" s="207"/>
      <c r="AM624" s="207"/>
      <c r="AN624" s="207"/>
      <c r="AO624" s="207"/>
      <c r="AP624" s="207"/>
      <c r="AQ624" s="207"/>
      <c r="AR624" s="207"/>
      <c r="AS624" s="207"/>
      <c r="AT624" s="207"/>
      <c r="AU624" s="207"/>
      <c r="AV624" s="207"/>
      <c r="AW624" s="207"/>
      <c r="AX624" s="207"/>
      <c r="AY624" s="207"/>
      <c r="AZ624" s="207"/>
      <c r="BA624" s="207"/>
    </row>
    <row r="625" ht="18.75" hidden="1" customHeight="1">
      <c r="A625" s="207"/>
      <c r="B625" s="207"/>
      <c r="C625" s="207"/>
      <c r="D625" s="207"/>
      <c r="E625" s="207"/>
      <c r="F625" s="207"/>
      <c r="G625" s="207"/>
      <c r="H625" s="207"/>
      <c r="I625" s="207"/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  <c r="AA625" s="207"/>
      <c r="AB625" s="207"/>
      <c r="AC625" s="207"/>
      <c r="AD625" s="207"/>
      <c r="AE625" s="207"/>
      <c r="AF625" s="207"/>
      <c r="AG625" s="207"/>
      <c r="AH625" s="207"/>
      <c r="AI625" s="207"/>
      <c r="AJ625" s="207"/>
      <c r="AK625" s="207"/>
      <c r="AL625" s="207"/>
      <c r="AM625" s="207"/>
      <c r="AN625" s="207"/>
      <c r="AO625" s="207"/>
      <c r="AP625" s="207"/>
      <c r="AQ625" s="207"/>
      <c r="AR625" s="207"/>
      <c r="AS625" s="207"/>
      <c r="AT625" s="207"/>
      <c r="AU625" s="207"/>
      <c r="AV625" s="207"/>
      <c r="AW625" s="207"/>
      <c r="AX625" s="207"/>
      <c r="AY625" s="207"/>
      <c r="AZ625" s="207"/>
      <c r="BA625" s="207"/>
    </row>
    <row r="626" ht="18.75" hidden="1" customHeight="1">
      <c r="A626" s="207"/>
      <c r="B626" s="207"/>
      <c r="C626" s="207"/>
      <c r="D626" s="207"/>
      <c r="E626" s="207"/>
      <c r="F626" s="207"/>
      <c r="G626" s="207"/>
      <c r="H626" s="207"/>
      <c r="I626" s="207"/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  <c r="AA626" s="207"/>
      <c r="AB626" s="207"/>
      <c r="AC626" s="207"/>
      <c r="AD626" s="207"/>
      <c r="AE626" s="207"/>
      <c r="AF626" s="207"/>
      <c r="AG626" s="207"/>
      <c r="AH626" s="207"/>
      <c r="AI626" s="207"/>
      <c r="AJ626" s="207"/>
      <c r="AK626" s="207"/>
      <c r="AL626" s="207"/>
      <c r="AM626" s="207"/>
      <c r="AN626" s="207"/>
      <c r="AO626" s="207"/>
      <c r="AP626" s="207"/>
      <c r="AQ626" s="207"/>
      <c r="AR626" s="207"/>
      <c r="AS626" s="207"/>
      <c r="AT626" s="207"/>
      <c r="AU626" s="207"/>
      <c r="AV626" s="207"/>
      <c r="AW626" s="207"/>
      <c r="AX626" s="207"/>
      <c r="AY626" s="207"/>
      <c r="AZ626" s="207"/>
      <c r="BA626" s="207"/>
    </row>
    <row r="627" ht="18.75" hidden="1" customHeight="1">
      <c r="A627" s="207"/>
      <c r="B627" s="207"/>
      <c r="C627" s="207"/>
      <c r="D627" s="207"/>
      <c r="E627" s="207"/>
      <c r="F627" s="207"/>
      <c r="G627" s="207"/>
      <c r="H627" s="207"/>
      <c r="I627" s="207"/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  <c r="AA627" s="207"/>
      <c r="AB627" s="207"/>
      <c r="AC627" s="207"/>
      <c r="AD627" s="207"/>
      <c r="AE627" s="207"/>
      <c r="AF627" s="207"/>
      <c r="AG627" s="207"/>
      <c r="AH627" s="207"/>
      <c r="AI627" s="207"/>
      <c r="AJ627" s="207"/>
      <c r="AK627" s="207"/>
      <c r="AL627" s="207"/>
      <c r="AM627" s="207"/>
      <c r="AN627" s="207"/>
      <c r="AO627" s="207"/>
      <c r="AP627" s="207"/>
      <c r="AQ627" s="207"/>
      <c r="AR627" s="207"/>
      <c r="AS627" s="207"/>
      <c r="AT627" s="207"/>
      <c r="AU627" s="207"/>
      <c r="AV627" s="207"/>
      <c r="AW627" s="207"/>
      <c r="AX627" s="207"/>
      <c r="AY627" s="207"/>
      <c r="AZ627" s="207"/>
      <c r="BA627" s="207"/>
    </row>
    <row r="628" ht="18.75" hidden="1" customHeight="1">
      <c r="A628" s="207"/>
      <c r="B628" s="207"/>
      <c r="C628" s="207"/>
      <c r="D628" s="207"/>
      <c r="E628" s="207"/>
      <c r="F628" s="207"/>
      <c r="G628" s="207"/>
      <c r="H628" s="207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  <c r="AA628" s="207"/>
      <c r="AB628" s="207"/>
      <c r="AC628" s="207"/>
      <c r="AD628" s="207"/>
      <c r="AE628" s="207"/>
      <c r="AF628" s="207"/>
      <c r="AG628" s="207"/>
      <c r="AH628" s="207"/>
      <c r="AI628" s="207"/>
      <c r="AJ628" s="207"/>
      <c r="AK628" s="207"/>
      <c r="AL628" s="207"/>
      <c r="AM628" s="207"/>
      <c r="AN628" s="207"/>
      <c r="AO628" s="207"/>
      <c r="AP628" s="207"/>
      <c r="AQ628" s="207"/>
      <c r="AR628" s="207"/>
      <c r="AS628" s="207"/>
      <c r="AT628" s="207"/>
      <c r="AU628" s="207"/>
      <c r="AV628" s="207"/>
      <c r="AW628" s="207"/>
      <c r="AX628" s="207"/>
      <c r="AY628" s="207"/>
      <c r="AZ628" s="207"/>
      <c r="BA628" s="207"/>
    </row>
    <row r="629" ht="18.75" hidden="1" customHeight="1">
      <c r="A629" s="207"/>
      <c r="B629" s="207"/>
      <c r="C629" s="207"/>
      <c r="D629" s="207"/>
      <c r="E629" s="207"/>
      <c r="F629" s="207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  <c r="AA629" s="207"/>
      <c r="AB629" s="207"/>
      <c r="AC629" s="207"/>
      <c r="AD629" s="207"/>
      <c r="AE629" s="207"/>
      <c r="AF629" s="207"/>
      <c r="AG629" s="207"/>
      <c r="AH629" s="207"/>
      <c r="AI629" s="207"/>
      <c r="AJ629" s="207"/>
      <c r="AK629" s="207"/>
      <c r="AL629" s="207"/>
      <c r="AM629" s="207"/>
      <c r="AN629" s="207"/>
      <c r="AO629" s="207"/>
      <c r="AP629" s="207"/>
      <c r="AQ629" s="207"/>
      <c r="AR629" s="207"/>
      <c r="AS629" s="207"/>
      <c r="AT629" s="207"/>
      <c r="AU629" s="207"/>
      <c r="AV629" s="207"/>
      <c r="AW629" s="207"/>
      <c r="AX629" s="207"/>
      <c r="AY629" s="207"/>
      <c r="AZ629" s="207"/>
      <c r="BA629" s="207"/>
    </row>
    <row r="630" ht="18.75" hidden="1" customHeight="1">
      <c r="A630" s="207"/>
      <c r="B630" s="207"/>
      <c r="C630" s="207"/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  <c r="AA630" s="207"/>
      <c r="AB630" s="207"/>
      <c r="AC630" s="207"/>
      <c r="AD630" s="207"/>
      <c r="AE630" s="207"/>
      <c r="AF630" s="207"/>
      <c r="AG630" s="207"/>
      <c r="AH630" s="207"/>
      <c r="AI630" s="207"/>
      <c r="AJ630" s="207"/>
      <c r="AK630" s="207"/>
      <c r="AL630" s="207"/>
      <c r="AM630" s="207"/>
      <c r="AN630" s="207"/>
      <c r="AO630" s="207"/>
      <c r="AP630" s="207"/>
      <c r="AQ630" s="207"/>
      <c r="AR630" s="207"/>
      <c r="AS630" s="207"/>
      <c r="AT630" s="207"/>
      <c r="AU630" s="207"/>
      <c r="AV630" s="207"/>
      <c r="AW630" s="207"/>
      <c r="AX630" s="207"/>
      <c r="AY630" s="207"/>
      <c r="AZ630" s="207"/>
      <c r="BA630" s="207"/>
    </row>
    <row r="631" ht="18.75" hidden="1" customHeight="1">
      <c r="A631" s="207"/>
      <c r="B631" s="207"/>
      <c r="C631" s="207"/>
      <c r="D631" s="207"/>
      <c r="E631" s="207"/>
      <c r="F631" s="207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  <c r="AA631" s="207"/>
      <c r="AB631" s="207"/>
      <c r="AC631" s="207"/>
      <c r="AD631" s="207"/>
      <c r="AE631" s="207"/>
      <c r="AF631" s="207"/>
      <c r="AG631" s="207"/>
      <c r="AH631" s="207"/>
      <c r="AI631" s="207"/>
      <c r="AJ631" s="207"/>
      <c r="AK631" s="207"/>
      <c r="AL631" s="207"/>
      <c r="AM631" s="207"/>
      <c r="AN631" s="207"/>
      <c r="AO631" s="207"/>
      <c r="AP631" s="207"/>
      <c r="AQ631" s="207"/>
      <c r="AR631" s="207"/>
      <c r="AS631" s="207"/>
      <c r="AT631" s="207"/>
      <c r="AU631" s="207"/>
      <c r="AV631" s="207"/>
      <c r="AW631" s="207"/>
      <c r="AX631" s="207"/>
      <c r="AY631" s="207"/>
      <c r="AZ631" s="207"/>
      <c r="BA631" s="207"/>
    </row>
    <row r="632" ht="18.75" hidden="1" customHeight="1">
      <c r="A632" s="207"/>
      <c r="B632" s="207"/>
      <c r="C632" s="207"/>
      <c r="D632" s="207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  <c r="AA632" s="207"/>
      <c r="AB632" s="207"/>
      <c r="AC632" s="207"/>
      <c r="AD632" s="207"/>
      <c r="AE632" s="207"/>
      <c r="AF632" s="207"/>
      <c r="AG632" s="207"/>
      <c r="AH632" s="207"/>
      <c r="AI632" s="207"/>
      <c r="AJ632" s="207"/>
      <c r="AK632" s="207"/>
      <c r="AL632" s="207"/>
      <c r="AM632" s="207"/>
      <c r="AN632" s="207"/>
      <c r="AO632" s="207"/>
      <c r="AP632" s="207"/>
      <c r="AQ632" s="207"/>
      <c r="AR632" s="207"/>
      <c r="AS632" s="207"/>
      <c r="AT632" s="207"/>
      <c r="AU632" s="207"/>
      <c r="AV632" s="207"/>
      <c r="AW632" s="207"/>
      <c r="AX632" s="207"/>
      <c r="AY632" s="207"/>
      <c r="AZ632" s="207"/>
      <c r="BA632" s="207"/>
    </row>
    <row r="633" ht="18.75" hidden="1" customHeight="1">
      <c r="A633" s="207"/>
      <c r="B633" s="207"/>
      <c r="C633" s="207"/>
      <c r="D633" s="207"/>
      <c r="E633" s="207"/>
      <c r="F633" s="207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  <c r="AA633" s="207"/>
      <c r="AB633" s="207"/>
      <c r="AC633" s="207"/>
      <c r="AD633" s="207"/>
      <c r="AE633" s="207"/>
      <c r="AF633" s="207"/>
      <c r="AG633" s="207"/>
      <c r="AH633" s="207"/>
      <c r="AI633" s="207"/>
      <c r="AJ633" s="207"/>
      <c r="AK633" s="207"/>
      <c r="AL633" s="207"/>
      <c r="AM633" s="207"/>
      <c r="AN633" s="207"/>
      <c r="AO633" s="207"/>
      <c r="AP633" s="207"/>
      <c r="AQ633" s="207"/>
      <c r="AR633" s="207"/>
      <c r="AS633" s="207"/>
      <c r="AT633" s="207"/>
      <c r="AU633" s="207"/>
      <c r="AV633" s="207"/>
      <c r="AW633" s="207"/>
      <c r="AX633" s="207"/>
      <c r="AY633" s="207"/>
      <c r="AZ633" s="207"/>
      <c r="BA633" s="207"/>
    </row>
    <row r="634" ht="18.75" hidden="1" customHeight="1">
      <c r="A634" s="207"/>
      <c r="B634" s="207"/>
      <c r="C634" s="207"/>
      <c r="D634" s="207"/>
      <c r="E634" s="207"/>
      <c r="F634" s="207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  <c r="AA634" s="207"/>
      <c r="AB634" s="207"/>
      <c r="AC634" s="207"/>
      <c r="AD634" s="207"/>
      <c r="AE634" s="207"/>
      <c r="AF634" s="207"/>
      <c r="AG634" s="207"/>
      <c r="AH634" s="207"/>
      <c r="AI634" s="207"/>
      <c r="AJ634" s="207"/>
      <c r="AK634" s="207"/>
      <c r="AL634" s="207"/>
      <c r="AM634" s="207"/>
      <c r="AN634" s="207"/>
      <c r="AO634" s="207"/>
      <c r="AP634" s="207"/>
      <c r="AQ634" s="207"/>
      <c r="AR634" s="207"/>
      <c r="AS634" s="207"/>
      <c r="AT634" s="207"/>
      <c r="AU634" s="207"/>
      <c r="AV634" s="207"/>
      <c r="AW634" s="207"/>
      <c r="AX634" s="207"/>
      <c r="AY634" s="207"/>
      <c r="AZ634" s="207"/>
      <c r="BA634" s="207"/>
    </row>
    <row r="635" ht="18.75" hidden="1" customHeight="1">
      <c r="A635" s="207"/>
      <c r="B635" s="207"/>
      <c r="C635" s="207"/>
      <c r="D635" s="207"/>
      <c r="E635" s="207"/>
      <c r="F635" s="207"/>
      <c r="G635" s="207"/>
      <c r="H635" s="207"/>
      <c r="I635" s="207"/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  <c r="AA635" s="207"/>
      <c r="AB635" s="207"/>
      <c r="AC635" s="207"/>
      <c r="AD635" s="207"/>
      <c r="AE635" s="207"/>
      <c r="AF635" s="207"/>
      <c r="AG635" s="207"/>
      <c r="AH635" s="207"/>
      <c r="AI635" s="207"/>
      <c r="AJ635" s="207"/>
      <c r="AK635" s="207"/>
      <c r="AL635" s="207"/>
      <c r="AM635" s="207"/>
      <c r="AN635" s="207"/>
      <c r="AO635" s="207"/>
      <c r="AP635" s="207"/>
      <c r="AQ635" s="207"/>
      <c r="AR635" s="207"/>
      <c r="AS635" s="207"/>
      <c r="AT635" s="207"/>
      <c r="AU635" s="207"/>
      <c r="AV635" s="207"/>
      <c r="AW635" s="207"/>
      <c r="AX635" s="207"/>
      <c r="AY635" s="207"/>
      <c r="AZ635" s="207"/>
      <c r="BA635" s="207"/>
    </row>
    <row r="636" ht="18.75" hidden="1" customHeight="1">
      <c r="A636" s="207"/>
      <c r="B636" s="207"/>
      <c r="C636" s="207"/>
      <c r="D636" s="207"/>
      <c r="E636" s="207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  <c r="AA636" s="207"/>
      <c r="AB636" s="207"/>
      <c r="AC636" s="207"/>
      <c r="AD636" s="207"/>
      <c r="AE636" s="207"/>
      <c r="AF636" s="207"/>
      <c r="AG636" s="207"/>
      <c r="AH636" s="207"/>
      <c r="AI636" s="207"/>
      <c r="AJ636" s="207"/>
      <c r="AK636" s="207"/>
      <c r="AL636" s="207"/>
      <c r="AM636" s="207"/>
      <c r="AN636" s="207"/>
      <c r="AO636" s="207"/>
      <c r="AP636" s="207"/>
      <c r="AQ636" s="207"/>
      <c r="AR636" s="207"/>
      <c r="AS636" s="207"/>
      <c r="AT636" s="207"/>
      <c r="AU636" s="207"/>
      <c r="AV636" s="207"/>
      <c r="AW636" s="207"/>
      <c r="AX636" s="207"/>
      <c r="AY636" s="207"/>
      <c r="AZ636" s="207"/>
      <c r="BA636" s="207"/>
    </row>
    <row r="637" ht="18.75" hidden="1" customHeight="1">
      <c r="A637" s="207"/>
      <c r="B637" s="207"/>
      <c r="C637" s="207"/>
      <c r="D637" s="207"/>
      <c r="E637" s="207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  <c r="AA637" s="207"/>
      <c r="AB637" s="207"/>
      <c r="AC637" s="207"/>
      <c r="AD637" s="207"/>
      <c r="AE637" s="207"/>
      <c r="AF637" s="207"/>
      <c r="AG637" s="207"/>
      <c r="AH637" s="207"/>
      <c r="AI637" s="207"/>
      <c r="AJ637" s="207"/>
      <c r="AK637" s="207"/>
      <c r="AL637" s="207"/>
      <c r="AM637" s="207"/>
      <c r="AN637" s="207"/>
      <c r="AO637" s="207"/>
      <c r="AP637" s="207"/>
      <c r="AQ637" s="207"/>
      <c r="AR637" s="207"/>
      <c r="AS637" s="207"/>
      <c r="AT637" s="207"/>
      <c r="AU637" s="207"/>
      <c r="AV637" s="207"/>
      <c r="AW637" s="207"/>
      <c r="AX637" s="207"/>
      <c r="AY637" s="207"/>
      <c r="AZ637" s="207"/>
      <c r="BA637" s="207"/>
    </row>
    <row r="638" ht="18.75" hidden="1" customHeight="1">
      <c r="A638" s="207"/>
      <c r="B638" s="207"/>
      <c r="C638" s="207"/>
      <c r="D638" s="207"/>
      <c r="E638" s="207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  <c r="AA638" s="207"/>
      <c r="AB638" s="207"/>
      <c r="AC638" s="207"/>
      <c r="AD638" s="207"/>
      <c r="AE638" s="207"/>
      <c r="AF638" s="207"/>
      <c r="AG638" s="207"/>
      <c r="AH638" s="207"/>
      <c r="AI638" s="207"/>
      <c r="AJ638" s="207"/>
      <c r="AK638" s="207"/>
      <c r="AL638" s="207"/>
      <c r="AM638" s="207"/>
      <c r="AN638" s="207"/>
      <c r="AO638" s="207"/>
      <c r="AP638" s="207"/>
      <c r="AQ638" s="207"/>
      <c r="AR638" s="207"/>
      <c r="AS638" s="207"/>
      <c r="AT638" s="207"/>
      <c r="AU638" s="207"/>
      <c r="AV638" s="207"/>
      <c r="AW638" s="207"/>
      <c r="AX638" s="207"/>
      <c r="AY638" s="207"/>
      <c r="AZ638" s="207"/>
      <c r="BA638" s="207"/>
    </row>
    <row r="639" ht="18.75" hidden="1" customHeight="1">
      <c r="A639" s="207"/>
      <c r="B639" s="207"/>
      <c r="C639" s="207"/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  <c r="AA639" s="207"/>
      <c r="AB639" s="207"/>
      <c r="AC639" s="207"/>
      <c r="AD639" s="207"/>
      <c r="AE639" s="207"/>
      <c r="AF639" s="207"/>
      <c r="AG639" s="207"/>
      <c r="AH639" s="207"/>
      <c r="AI639" s="207"/>
      <c r="AJ639" s="207"/>
      <c r="AK639" s="207"/>
      <c r="AL639" s="207"/>
      <c r="AM639" s="207"/>
      <c r="AN639" s="207"/>
      <c r="AO639" s="207"/>
      <c r="AP639" s="207"/>
      <c r="AQ639" s="207"/>
      <c r="AR639" s="207"/>
      <c r="AS639" s="207"/>
      <c r="AT639" s="207"/>
      <c r="AU639" s="207"/>
      <c r="AV639" s="207"/>
      <c r="AW639" s="207"/>
      <c r="AX639" s="207"/>
      <c r="AY639" s="207"/>
      <c r="AZ639" s="207"/>
      <c r="BA639" s="207"/>
    </row>
    <row r="640" ht="18.75" hidden="1" customHeight="1">
      <c r="A640" s="207"/>
      <c r="B640" s="207"/>
      <c r="C640" s="207"/>
      <c r="D640" s="207"/>
      <c r="E640" s="207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  <c r="AA640" s="207"/>
      <c r="AB640" s="207"/>
      <c r="AC640" s="207"/>
      <c r="AD640" s="207"/>
      <c r="AE640" s="207"/>
      <c r="AF640" s="207"/>
      <c r="AG640" s="207"/>
      <c r="AH640" s="207"/>
      <c r="AI640" s="207"/>
      <c r="AJ640" s="207"/>
      <c r="AK640" s="207"/>
      <c r="AL640" s="207"/>
      <c r="AM640" s="207"/>
      <c r="AN640" s="207"/>
      <c r="AO640" s="207"/>
      <c r="AP640" s="207"/>
      <c r="AQ640" s="207"/>
      <c r="AR640" s="207"/>
      <c r="AS640" s="207"/>
      <c r="AT640" s="207"/>
      <c r="AU640" s="207"/>
      <c r="AV640" s="207"/>
      <c r="AW640" s="207"/>
      <c r="AX640" s="207"/>
      <c r="AY640" s="207"/>
      <c r="AZ640" s="207"/>
      <c r="BA640" s="207"/>
    </row>
    <row r="641" ht="18.75" hidden="1" customHeight="1">
      <c r="A641" s="207"/>
      <c r="B641" s="207"/>
      <c r="C641" s="207"/>
      <c r="D641" s="207"/>
      <c r="E641" s="207"/>
      <c r="F641" s="207"/>
      <c r="G641" s="207"/>
      <c r="H641" s="207"/>
      <c r="I641" s="207"/>
      <c r="J641" s="207"/>
      <c r="K641" s="207"/>
      <c r="L641" s="207"/>
      <c r="M641" s="207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  <c r="AA641" s="207"/>
      <c r="AB641" s="207"/>
      <c r="AC641" s="207"/>
      <c r="AD641" s="207"/>
      <c r="AE641" s="207"/>
      <c r="AF641" s="207"/>
      <c r="AG641" s="207"/>
      <c r="AH641" s="207"/>
      <c r="AI641" s="207"/>
      <c r="AJ641" s="207"/>
      <c r="AK641" s="207"/>
      <c r="AL641" s="207"/>
      <c r="AM641" s="207"/>
      <c r="AN641" s="207"/>
      <c r="AO641" s="207"/>
      <c r="AP641" s="207"/>
      <c r="AQ641" s="207"/>
      <c r="AR641" s="207"/>
      <c r="AS641" s="207"/>
      <c r="AT641" s="207"/>
      <c r="AU641" s="207"/>
      <c r="AV641" s="207"/>
      <c r="AW641" s="207"/>
      <c r="AX641" s="207"/>
      <c r="AY641" s="207"/>
      <c r="AZ641" s="207"/>
      <c r="BA641" s="207"/>
    </row>
    <row r="642" ht="18.75" hidden="1" customHeight="1">
      <c r="A642" s="207"/>
      <c r="B642" s="207"/>
      <c r="C642" s="207"/>
      <c r="D642" s="207"/>
      <c r="E642" s="207"/>
      <c r="F642" s="207"/>
      <c r="G642" s="207"/>
      <c r="H642" s="207"/>
      <c r="I642" s="207"/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  <c r="AA642" s="207"/>
      <c r="AB642" s="207"/>
      <c r="AC642" s="207"/>
      <c r="AD642" s="207"/>
      <c r="AE642" s="207"/>
      <c r="AF642" s="207"/>
      <c r="AG642" s="207"/>
      <c r="AH642" s="207"/>
      <c r="AI642" s="207"/>
      <c r="AJ642" s="207"/>
      <c r="AK642" s="207"/>
      <c r="AL642" s="207"/>
      <c r="AM642" s="207"/>
      <c r="AN642" s="207"/>
      <c r="AO642" s="207"/>
      <c r="AP642" s="207"/>
      <c r="AQ642" s="207"/>
      <c r="AR642" s="207"/>
      <c r="AS642" s="207"/>
      <c r="AT642" s="207"/>
      <c r="AU642" s="207"/>
      <c r="AV642" s="207"/>
      <c r="AW642" s="207"/>
      <c r="AX642" s="207"/>
      <c r="AY642" s="207"/>
      <c r="AZ642" s="207"/>
      <c r="BA642" s="207"/>
    </row>
    <row r="643" ht="18.75" hidden="1" customHeight="1">
      <c r="A643" s="207"/>
      <c r="B643" s="207"/>
      <c r="C643" s="207"/>
      <c r="D643" s="207"/>
      <c r="E643" s="207"/>
      <c r="F643" s="207"/>
      <c r="G643" s="207"/>
      <c r="H643" s="207"/>
      <c r="I643" s="207"/>
      <c r="J643" s="207"/>
      <c r="K643" s="207"/>
      <c r="L643" s="207"/>
      <c r="M643" s="207"/>
      <c r="N643" s="207"/>
      <c r="O643" s="207"/>
      <c r="P643" s="207"/>
      <c r="Q643" s="207"/>
      <c r="R643" s="207"/>
      <c r="S643" s="207"/>
      <c r="T643" s="207"/>
      <c r="U643" s="207"/>
      <c r="V643" s="207"/>
      <c r="W643" s="207"/>
      <c r="X643" s="207"/>
      <c r="Y643" s="207"/>
      <c r="Z643" s="207"/>
      <c r="AA643" s="207"/>
      <c r="AB643" s="207"/>
      <c r="AC643" s="207"/>
      <c r="AD643" s="207"/>
      <c r="AE643" s="207"/>
      <c r="AF643" s="207"/>
      <c r="AG643" s="207"/>
      <c r="AH643" s="207"/>
      <c r="AI643" s="207"/>
      <c r="AJ643" s="207"/>
      <c r="AK643" s="207"/>
      <c r="AL643" s="207"/>
      <c r="AM643" s="207"/>
      <c r="AN643" s="207"/>
      <c r="AO643" s="207"/>
      <c r="AP643" s="207"/>
      <c r="AQ643" s="207"/>
      <c r="AR643" s="207"/>
      <c r="AS643" s="207"/>
      <c r="AT643" s="207"/>
      <c r="AU643" s="207"/>
      <c r="AV643" s="207"/>
      <c r="AW643" s="207"/>
      <c r="AX643" s="207"/>
      <c r="AY643" s="207"/>
      <c r="AZ643" s="207"/>
      <c r="BA643" s="207"/>
    </row>
    <row r="644" ht="18.75" hidden="1" customHeight="1">
      <c r="A644" s="207"/>
      <c r="B644" s="207"/>
      <c r="C644" s="207"/>
      <c r="D644" s="207"/>
      <c r="E644" s="207"/>
      <c r="F644" s="207"/>
      <c r="G644" s="207"/>
      <c r="H644" s="207"/>
      <c r="I644" s="207"/>
      <c r="J644" s="207"/>
      <c r="K644" s="207"/>
      <c r="L644" s="207"/>
      <c r="M644" s="207"/>
      <c r="N644" s="207"/>
      <c r="O644" s="207"/>
      <c r="P644" s="207"/>
      <c r="Q644" s="207"/>
      <c r="R644" s="207"/>
      <c r="S644" s="207"/>
      <c r="T644" s="207"/>
      <c r="U644" s="207"/>
      <c r="V644" s="207"/>
      <c r="W644" s="207"/>
      <c r="X644" s="207"/>
      <c r="Y644" s="207"/>
      <c r="Z644" s="207"/>
      <c r="AA644" s="207"/>
      <c r="AB644" s="207"/>
      <c r="AC644" s="207"/>
      <c r="AD644" s="207"/>
      <c r="AE644" s="207"/>
      <c r="AF644" s="207"/>
      <c r="AG644" s="207"/>
      <c r="AH644" s="207"/>
      <c r="AI644" s="207"/>
      <c r="AJ644" s="207"/>
      <c r="AK644" s="207"/>
      <c r="AL644" s="207"/>
      <c r="AM644" s="207"/>
      <c r="AN644" s="207"/>
      <c r="AO644" s="207"/>
      <c r="AP644" s="207"/>
      <c r="AQ644" s="207"/>
      <c r="AR644" s="207"/>
      <c r="AS644" s="207"/>
      <c r="AT644" s="207"/>
      <c r="AU644" s="207"/>
      <c r="AV644" s="207"/>
      <c r="AW644" s="207"/>
      <c r="AX644" s="207"/>
      <c r="AY644" s="207"/>
      <c r="AZ644" s="207"/>
      <c r="BA644" s="207"/>
    </row>
    <row r="645" ht="18.75" hidden="1" customHeight="1">
      <c r="A645" s="207"/>
      <c r="B645" s="207"/>
      <c r="C645" s="207"/>
      <c r="D645" s="207"/>
      <c r="E645" s="207"/>
      <c r="F645" s="207"/>
      <c r="G645" s="207"/>
      <c r="H645" s="207"/>
      <c r="I645" s="207"/>
      <c r="J645" s="207"/>
      <c r="K645" s="207"/>
      <c r="L645" s="207"/>
      <c r="M645" s="207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  <c r="AA645" s="207"/>
      <c r="AB645" s="207"/>
      <c r="AC645" s="207"/>
      <c r="AD645" s="207"/>
      <c r="AE645" s="207"/>
      <c r="AF645" s="207"/>
      <c r="AG645" s="207"/>
      <c r="AH645" s="207"/>
      <c r="AI645" s="207"/>
      <c r="AJ645" s="207"/>
      <c r="AK645" s="207"/>
      <c r="AL645" s="207"/>
      <c r="AM645" s="207"/>
      <c r="AN645" s="207"/>
      <c r="AO645" s="207"/>
      <c r="AP645" s="207"/>
      <c r="AQ645" s="207"/>
      <c r="AR645" s="207"/>
      <c r="AS645" s="207"/>
      <c r="AT645" s="207"/>
      <c r="AU645" s="207"/>
      <c r="AV645" s="207"/>
      <c r="AW645" s="207"/>
      <c r="AX645" s="207"/>
      <c r="AY645" s="207"/>
      <c r="AZ645" s="207"/>
      <c r="BA645" s="207"/>
    </row>
    <row r="646" ht="18.75" hidden="1" customHeight="1">
      <c r="A646" s="207"/>
      <c r="B646" s="207"/>
      <c r="C646" s="207"/>
      <c r="D646" s="207"/>
      <c r="E646" s="207"/>
      <c r="F646" s="207"/>
      <c r="G646" s="207"/>
      <c r="H646" s="207"/>
      <c r="I646" s="207"/>
      <c r="J646" s="207"/>
      <c r="K646" s="207"/>
      <c r="L646" s="207"/>
      <c r="M646" s="207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  <c r="AA646" s="207"/>
      <c r="AB646" s="207"/>
      <c r="AC646" s="207"/>
      <c r="AD646" s="207"/>
      <c r="AE646" s="207"/>
      <c r="AF646" s="207"/>
      <c r="AG646" s="207"/>
      <c r="AH646" s="207"/>
      <c r="AI646" s="207"/>
      <c r="AJ646" s="207"/>
      <c r="AK646" s="207"/>
      <c r="AL646" s="207"/>
      <c r="AM646" s="207"/>
      <c r="AN646" s="207"/>
      <c r="AO646" s="207"/>
      <c r="AP646" s="207"/>
      <c r="AQ646" s="207"/>
      <c r="AR646" s="207"/>
      <c r="AS646" s="207"/>
      <c r="AT646" s="207"/>
      <c r="AU646" s="207"/>
      <c r="AV646" s="207"/>
      <c r="AW646" s="207"/>
      <c r="AX646" s="207"/>
      <c r="AY646" s="207"/>
      <c r="AZ646" s="207"/>
      <c r="BA646" s="207"/>
    </row>
    <row r="647" ht="18.75" hidden="1" customHeight="1">
      <c r="A647" s="207"/>
      <c r="B647" s="207"/>
      <c r="C647" s="207"/>
      <c r="D647" s="207"/>
      <c r="E647" s="207"/>
      <c r="F647" s="207"/>
      <c r="G647" s="207"/>
      <c r="H647" s="207"/>
      <c r="I647" s="207"/>
      <c r="J647" s="207"/>
      <c r="K647" s="207"/>
      <c r="L647" s="207"/>
      <c r="M647" s="207"/>
      <c r="N647" s="207"/>
      <c r="O647" s="207"/>
      <c r="P647" s="207"/>
      <c r="Q647" s="207"/>
      <c r="R647" s="207"/>
      <c r="S647" s="207"/>
      <c r="T647" s="207"/>
      <c r="U647" s="207"/>
      <c r="V647" s="207"/>
      <c r="W647" s="207"/>
      <c r="X647" s="207"/>
      <c r="Y647" s="207"/>
      <c r="Z647" s="207"/>
      <c r="AA647" s="207"/>
      <c r="AB647" s="207"/>
      <c r="AC647" s="207"/>
      <c r="AD647" s="207"/>
      <c r="AE647" s="207"/>
      <c r="AF647" s="207"/>
      <c r="AG647" s="207"/>
      <c r="AH647" s="207"/>
      <c r="AI647" s="207"/>
      <c r="AJ647" s="207"/>
      <c r="AK647" s="207"/>
      <c r="AL647" s="207"/>
      <c r="AM647" s="207"/>
      <c r="AN647" s="207"/>
      <c r="AO647" s="207"/>
      <c r="AP647" s="207"/>
      <c r="AQ647" s="207"/>
      <c r="AR647" s="207"/>
      <c r="AS647" s="207"/>
      <c r="AT647" s="207"/>
      <c r="AU647" s="207"/>
      <c r="AV647" s="207"/>
      <c r="AW647" s="207"/>
      <c r="AX647" s="207"/>
      <c r="AY647" s="207"/>
      <c r="AZ647" s="207"/>
      <c r="BA647" s="207"/>
    </row>
    <row r="648" ht="18.75" hidden="1" customHeight="1">
      <c r="A648" s="207"/>
      <c r="B648" s="207"/>
      <c r="C648" s="207"/>
      <c r="D648" s="207"/>
      <c r="E648" s="207"/>
      <c r="F648" s="207"/>
      <c r="G648" s="207"/>
      <c r="H648" s="207"/>
      <c r="I648" s="207"/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207"/>
      <c r="Y648" s="207"/>
      <c r="Z648" s="207"/>
      <c r="AA648" s="207"/>
      <c r="AB648" s="207"/>
      <c r="AC648" s="207"/>
      <c r="AD648" s="207"/>
      <c r="AE648" s="207"/>
      <c r="AF648" s="207"/>
      <c r="AG648" s="207"/>
      <c r="AH648" s="207"/>
      <c r="AI648" s="207"/>
      <c r="AJ648" s="207"/>
      <c r="AK648" s="207"/>
      <c r="AL648" s="207"/>
      <c r="AM648" s="207"/>
      <c r="AN648" s="207"/>
      <c r="AO648" s="207"/>
      <c r="AP648" s="207"/>
      <c r="AQ648" s="207"/>
      <c r="AR648" s="207"/>
      <c r="AS648" s="207"/>
      <c r="AT648" s="207"/>
      <c r="AU648" s="207"/>
      <c r="AV648" s="207"/>
      <c r="AW648" s="207"/>
      <c r="AX648" s="207"/>
      <c r="AY648" s="207"/>
      <c r="AZ648" s="207"/>
      <c r="BA648" s="207"/>
    </row>
    <row r="649" ht="18.75" hidden="1" customHeight="1">
      <c r="A649" s="207"/>
      <c r="B649" s="207"/>
      <c r="C649" s="207"/>
      <c r="D649" s="207"/>
      <c r="E649" s="207"/>
      <c r="F649" s="207"/>
      <c r="G649" s="207"/>
      <c r="H649" s="207"/>
      <c r="I649" s="207"/>
      <c r="J649" s="207"/>
      <c r="K649" s="207"/>
      <c r="L649" s="207"/>
      <c r="M649" s="207"/>
      <c r="N649" s="207"/>
      <c r="O649" s="207"/>
      <c r="P649" s="207"/>
      <c r="Q649" s="207"/>
      <c r="R649" s="207"/>
      <c r="S649" s="207"/>
      <c r="T649" s="207"/>
      <c r="U649" s="207"/>
      <c r="V649" s="207"/>
      <c r="W649" s="207"/>
      <c r="X649" s="207"/>
      <c r="Y649" s="207"/>
      <c r="Z649" s="207"/>
      <c r="AA649" s="207"/>
      <c r="AB649" s="207"/>
      <c r="AC649" s="207"/>
      <c r="AD649" s="207"/>
      <c r="AE649" s="207"/>
      <c r="AF649" s="207"/>
      <c r="AG649" s="207"/>
      <c r="AH649" s="207"/>
      <c r="AI649" s="207"/>
      <c r="AJ649" s="207"/>
      <c r="AK649" s="207"/>
      <c r="AL649" s="207"/>
      <c r="AM649" s="207"/>
      <c r="AN649" s="207"/>
      <c r="AO649" s="207"/>
      <c r="AP649" s="207"/>
      <c r="AQ649" s="207"/>
      <c r="AR649" s="207"/>
      <c r="AS649" s="207"/>
      <c r="AT649" s="207"/>
      <c r="AU649" s="207"/>
      <c r="AV649" s="207"/>
      <c r="AW649" s="207"/>
      <c r="AX649" s="207"/>
      <c r="AY649" s="207"/>
      <c r="AZ649" s="207"/>
      <c r="BA649" s="207"/>
    </row>
    <row r="650" ht="18.75" hidden="1" customHeight="1">
      <c r="A650" s="207"/>
      <c r="B650" s="207"/>
      <c r="C650" s="207"/>
      <c r="D650" s="207"/>
      <c r="E650" s="207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  <c r="AA650" s="207"/>
      <c r="AB650" s="207"/>
      <c r="AC650" s="207"/>
      <c r="AD650" s="207"/>
      <c r="AE650" s="207"/>
      <c r="AF650" s="207"/>
      <c r="AG650" s="207"/>
      <c r="AH650" s="207"/>
      <c r="AI650" s="207"/>
      <c r="AJ650" s="207"/>
      <c r="AK650" s="207"/>
      <c r="AL650" s="207"/>
      <c r="AM650" s="207"/>
      <c r="AN650" s="207"/>
      <c r="AO650" s="207"/>
      <c r="AP650" s="207"/>
      <c r="AQ650" s="207"/>
      <c r="AR650" s="207"/>
      <c r="AS650" s="207"/>
      <c r="AT650" s="207"/>
      <c r="AU650" s="207"/>
      <c r="AV650" s="207"/>
      <c r="AW650" s="207"/>
      <c r="AX650" s="207"/>
      <c r="AY650" s="207"/>
      <c r="AZ650" s="207"/>
      <c r="BA650" s="207"/>
    </row>
    <row r="651" ht="18.75" hidden="1" customHeight="1">
      <c r="A651" s="207"/>
      <c r="B651" s="207"/>
      <c r="C651" s="207"/>
      <c r="D651" s="207"/>
      <c r="E651" s="207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  <c r="AA651" s="207"/>
      <c r="AB651" s="207"/>
      <c r="AC651" s="207"/>
      <c r="AD651" s="207"/>
      <c r="AE651" s="207"/>
      <c r="AF651" s="207"/>
      <c r="AG651" s="207"/>
      <c r="AH651" s="207"/>
      <c r="AI651" s="207"/>
      <c r="AJ651" s="207"/>
      <c r="AK651" s="207"/>
      <c r="AL651" s="207"/>
      <c r="AM651" s="207"/>
      <c r="AN651" s="207"/>
      <c r="AO651" s="207"/>
      <c r="AP651" s="207"/>
      <c r="AQ651" s="207"/>
      <c r="AR651" s="207"/>
      <c r="AS651" s="207"/>
      <c r="AT651" s="207"/>
      <c r="AU651" s="207"/>
      <c r="AV651" s="207"/>
      <c r="AW651" s="207"/>
      <c r="AX651" s="207"/>
      <c r="AY651" s="207"/>
      <c r="AZ651" s="207"/>
      <c r="BA651" s="207"/>
    </row>
    <row r="652" ht="18.75" hidden="1" customHeight="1">
      <c r="A652" s="207"/>
      <c r="B652" s="207"/>
      <c r="C652" s="207"/>
      <c r="D652" s="207"/>
      <c r="E652" s="207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  <c r="AA652" s="207"/>
      <c r="AB652" s="207"/>
      <c r="AC652" s="207"/>
      <c r="AD652" s="207"/>
      <c r="AE652" s="207"/>
      <c r="AF652" s="207"/>
      <c r="AG652" s="207"/>
      <c r="AH652" s="207"/>
      <c r="AI652" s="207"/>
      <c r="AJ652" s="207"/>
      <c r="AK652" s="207"/>
      <c r="AL652" s="207"/>
      <c r="AM652" s="207"/>
      <c r="AN652" s="207"/>
      <c r="AO652" s="207"/>
      <c r="AP652" s="207"/>
      <c r="AQ652" s="207"/>
      <c r="AR652" s="207"/>
      <c r="AS652" s="207"/>
      <c r="AT652" s="207"/>
      <c r="AU652" s="207"/>
      <c r="AV652" s="207"/>
      <c r="AW652" s="207"/>
      <c r="AX652" s="207"/>
      <c r="AY652" s="207"/>
      <c r="AZ652" s="207"/>
      <c r="BA652" s="207"/>
    </row>
    <row r="653" ht="18.75" hidden="1" customHeight="1">
      <c r="A653" s="207"/>
      <c r="B653" s="207"/>
      <c r="C653" s="207"/>
      <c r="D653" s="207"/>
      <c r="E653" s="207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  <c r="AA653" s="207"/>
      <c r="AB653" s="207"/>
      <c r="AC653" s="207"/>
      <c r="AD653" s="207"/>
      <c r="AE653" s="207"/>
      <c r="AF653" s="207"/>
      <c r="AG653" s="207"/>
      <c r="AH653" s="207"/>
      <c r="AI653" s="207"/>
      <c r="AJ653" s="207"/>
      <c r="AK653" s="207"/>
      <c r="AL653" s="207"/>
      <c r="AM653" s="207"/>
      <c r="AN653" s="207"/>
      <c r="AO653" s="207"/>
      <c r="AP653" s="207"/>
      <c r="AQ653" s="207"/>
      <c r="AR653" s="207"/>
      <c r="AS653" s="207"/>
      <c r="AT653" s="207"/>
      <c r="AU653" s="207"/>
      <c r="AV653" s="207"/>
      <c r="AW653" s="207"/>
      <c r="AX653" s="207"/>
      <c r="AY653" s="207"/>
      <c r="AZ653" s="207"/>
      <c r="BA653" s="207"/>
    </row>
    <row r="654" ht="18.75" hidden="1" customHeight="1">
      <c r="A654" s="207"/>
      <c r="B654" s="207"/>
      <c r="C654" s="207"/>
      <c r="D654" s="207"/>
      <c r="E654" s="207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  <c r="AA654" s="207"/>
      <c r="AB654" s="207"/>
      <c r="AC654" s="207"/>
      <c r="AD654" s="207"/>
      <c r="AE654" s="207"/>
      <c r="AF654" s="207"/>
      <c r="AG654" s="207"/>
      <c r="AH654" s="207"/>
      <c r="AI654" s="207"/>
      <c r="AJ654" s="207"/>
      <c r="AK654" s="207"/>
      <c r="AL654" s="207"/>
      <c r="AM654" s="207"/>
      <c r="AN654" s="207"/>
      <c r="AO654" s="207"/>
      <c r="AP654" s="207"/>
      <c r="AQ654" s="207"/>
      <c r="AR654" s="207"/>
      <c r="AS654" s="207"/>
      <c r="AT654" s="207"/>
      <c r="AU654" s="207"/>
      <c r="AV654" s="207"/>
      <c r="AW654" s="207"/>
      <c r="AX654" s="207"/>
      <c r="AY654" s="207"/>
      <c r="AZ654" s="207"/>
      <c r="BA654" s="207"/>
    </row>
    <row r="655" ht="18.75" hidden="1" customHeight="1">
      <c r="A655" s="207"/>
      <c r="B655" s="207"/>
      <c r="C655" s="207"/>
      <c r="D655" s="207"/>
      <c r="E655" s="207"/>
      <c r="F655" s="207"/>
      <c r="G655" s="207"/>
      <c r="H655" s="207"/>
      <c r="I655" s="207"/>
      <c r="J655" s="207"/>
      <c r="K655" s="207"/>
      <c r="L655" s="207"/>
      <c r="M655" s="207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  <c r="AA655" s="207"/>
      <c r="AB655" s="207"/>
      <c r="AC655" s="207"/>
      <c r="AD655" s="207"/>
      <c r="AE655" s="207"/>
      <c r="AF655" s="207"/>
      <c r="AG655" s="207"/>
      <c r="AH655" s="207"/>
      <c r="AI655" s="207"/>
      <c r="AJ655" s="207"/>
      <c r="AK655" s="207"/>
      <c r="AL655" s="207"/>
      <c r="AM655" s="207"/>
      <c r="AN655" s="207"/>
      <c r="AO655" s="207"/>
      <c r="AP655" s="207"/>
      <c r="AQ655" s="207"/>
      <c r="AR655" s="207"/>
      <c r="AS655" s="207"/>
      <c r="AT655" s="207"/>
      <c r="AU655" s="207"/>
      <c r="AV655" s="207"/>
      <c r="AW655" s="207"/>
      <c r="AX655" s="207"/>
      <c r="AY655" s="207"/>
      <c r="AZ655" s="207"/>
      <c r="BA655" s="207"/>
    </row>
    <row r="656" ht="18.75" hidden="1" customHeight="1">
      <c r="A656" s="207"/>
      <c r="B656" s="207"/>
      <c r="C656" s="207"/>
      <c r="D656" s="207"/>
      <c r="E656" s="207"/>
      <c r="F656" s="207"/>
      <c r="G656" s="207"/>
      <c r="H656" s="207"/>
      <c r="I656" s="207"/>
      <c r="J656" s="207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  <c r="AA656" s="207"/>
      <c r="AB656" s="207"/>
      <c r="AC656" s="207"/>
      <c r="AD656" s="207"/>
      <c r="AE656" s="207"/>
      <c r="AF656" s="207"/>
      <c r="AG656" s="207"/>
      <c r="AH656" s="207"/>
      <c r="AI656" s="207"/>
      <c r="AJ656" s="207"/>
      <c r="AK656" s="207"/>
      <c r="AL656" s="207"/>
      <c r="AM656" s="207"/>
      <c r="AN656" s="207"/>
      <c r="AO656" s="207"/>
      <c r="AP656" s="207"/>
      <c r="AQ656" s="207"/>
      <c r="AR656" s="207"/>
      <c r="AS656" s="207"/>
      <c r="AT656" s="207"/>
      <c r="AU656" s="207"/>
      <c r="AV656" s="207"/>
      <c r="AW656" s="207"/>
      <c r="AX656" s="207"/>
      <c r="AY656" s="207"/>
      <c r="AZ656" s="207"/>
      <c r="BA656" s="207"/>
    </row>
    <row r="657" ht="18.75" hidden="1" customHeight="1">
      <c r="A657" s="207"/>
      <c r="B657" s="207"/>
      <c r="C657" s="207"/>
      <c r="D657" s="207"/>
      <c r="E657" s="207"/>
      <c r="F657" s="207"/>
      <c r="G657" s="207"/>
      <c r="H657" s="207"/>
      <c r="I657" s="207"/>
      <c r="J657" s="207"/>
      <c r="K657" s="207"/>
      <c r="L657" s="207"/>
      <c r="M657" s="207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207"/>
      <c r="Z657" s="207"/>
      <c r="AA657" s="207"/>
      <c r="AB657" s="207"/>
      <c r="AC657" s="207"/>
      <c r="AD657" s="207"/>
      <c r="AE657" s="207"/>
      <c r="AF657" s="207"/>
      <c r="AG657" s="207"/>
      <c r="AH657" s="207"/>
      <c r="AI657" s="207"/>
      <c r="AJ657" s="207"/>
      <c r="AK657" s="207"/>
      <c r="AL657" s="207"/>
      <c r="AM657" s="207"/>
      <c r="AN657" s="207"/>
      <c r="AO657" s="207"/>
      <c r="AP657" s="207"/>
      <c r="AQ657" s="207"/>
      <c r="AR657" s="207"/>
      <c r="AS657" s="207"/>
      <c r="AT657" s="207"/>
      <c r="AU657" s="207"/>
      <c r="AV657" s="207"/>
      <c r="AW657" s="207"/>
      <c r="AX657" s="207"/>
      <c r="AY657" s="207"/>
      <c r="AZ657" s="207"/>
      <c r="BA657" s="207"/>
    </row>
    <row r="658" ht="18.75" hidden="1" customHeight="1">
      <c r="A658" s="207"/>
      <c r="B658" s="207"/>
      <c r="C658" s="207"/>
      <c r="D658" s="207"/>
      <c r="E658" s="207"/>
      <c r="F658" s="207"/>
      <c r="G658" s="207"/>
      <c r="H658" s="207"/>
      <c r="I658" s="207"/>
      <c r="J658" s="207"/>
      <c r="K658" s="207"/>
      <c r="L658" s="207"/>
      <c r="M658" s="207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207"/>
      <c r="Z658" s="207"/>
      <c r="AA658" s="207"/>
      <c r="AB658" s="207"/>
      <c r="AC658" s="207"/>
      <c r="AD658" s="207"/>
      <c r="AE658" s="207"/>
      <c r="AF658" s="207"/>
      <c r="AG658" s="207"/>
      <c r="AH658" s="207"/>
      <c r="AI658" s="207"/>
      <c r="AJ658" s="207"/>
      <c r="AK658" s="207"/>
      <c r="AL658" s="207"/>
      <c r="AM658" s="207"/>
      <c r="AN658" s="207"/>
      <c r="AO658" s="207"/>
      <c r="AP658" s="207"/>
      <c r="AQ658" s="207"/>
      <c r="AR658" s="207"/>
      <c r="AS658" s="207"/>
      <c r="AT658" s="207"/>
      <c r="AU658" s="207"/>
      <c r="AV658" s="207"/>
      <c r="AW658" s="207"/>
      <c r="AX658" s="207"/>
      <c r="AY658" s="207"/>
      <c r="AZ658" s="207"/>
      <c r="BA658" s="207"/>
    </row>
    <row r="659" ht="18.75" hidden="1" customHeight="1">
      <c r="A659" s="207"/>
      <c r="B659" s="207"/>
      <c r="C659" s="207"/>
      <c r="D659" s="207"/>
      <c r="E659" s="207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  <c r="AA659" s="207"/>
      <c r="AB659" s="207"/>
      <c r="AC659" s="207"/>
      <c r="AD659" s="207"/>
      <c r="AE659" s="207"/>
      <c r="AF659" s="207"/>
      <c r="AG659" s="207"/>
      <c r="AH659" s="207"/>
      <c r="AI659" s="207"/>
      <c r="AJ659" s="207"/>
      <c r="AK659" s="207"/>
      <c r="AL659" s="207"/>
      <c r="AM659" s="207"/>
      <c r="AN659" s="207"/>
      <c r="AO659" s="207"/>
      <c r="AP659" s="207"/>
      <c r="AQ659" s="207"/>
      <c r="AR659" s="207"/>
      <c r="AS659" s="207"/>
      <c r="AT659" s="207"/>
      <c r="AU659" s="207"/>
      <c r="AV659" s="207"/>
      <c r="AW659" s="207"/>
      <c r="AX659" s="207"/>
      <c r="AY659" s="207"/>
      <c r="AZ659" s="207"/>
      <c r="BA659" s="207"/>
    </row>
    <row r="660" ht="18.75" hidden="1" customHeight="1">
      <c r="A660" s="207"/>
      <c r="B660" s="207"/>
      <c r="C660" s="207"/>
      <c r="D660" s="207"/>
      <c r="E660" s="207"/>
      <c r="F660" s="207"/>
      <c r="G660" s="207"/>
      <c r="H660" s="207"/>
      <c r="I660" s="207"/>
      <c r="J660" s="207"/>
      <c r="K660" s="207"/>
      <c r="L660" s="207"/>
      <c r="M660" s="207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  <c r="AA660" s="207"/>
      <c r="AB660" s="207"/>
      <c r="AC660" s="207"/>
      <c r="AD660" s="207"/>
      <c r="AE660" s="207"/>
      <c r="AF660" s="207"/>
      <c r="AG660" s="207"/>
      <c r="AH660" s="207"/>
      <c r="AI660" s="207"/>
      <c r="AJ660" s="207"/>
      <c r="AK660" s="207"/>
      <c r="AL660" s="207"/>
      <c r="AM660" s="207"/>
      <c r="AN660" s="207"/>
      <c r="AO660" s="207"/>
      <c r="AP660" s="207"/>
      <c r="AQ660" s="207"/>
      <c r="AR660" s="207"/>
      <c r="AS660" s="207"/>
      <c r="AT660" s="207"/>
      <c r="AU660" s="207"/>
      <c r="AV660" s="207"/>
      <c r="AW660" s="207"/>
      <c r="AX660" s="207"/>
      <c r="AY660" s="207"/>
      <c r="AZ660" s="207"/>
      <c r="BA660" s="207"/>
    </row>
    <row r="661" ht="18.75" hidden="1" customHeight="1">
      <c r="A661" s="207"/>
      <c r="B661" s="207"/>
      <c r="C661" s="207"/>
      <c r="D661" s="207"/>
      <c r="E661" s="207"/>
      <c r="F661" s="207"/>
      <c r="G661" s="207"/>
      <c r="H661" s="207"/>
      <c r="I661" s="207"/>
      <c r="J661" s="207"/>
      <c r="K661" s="207"/>
      <c r="L661" s="207"/>
      <c r="M661" s="207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/>
      <c r="Y661" s="207"/>
      <c r="Z661" s="207"/>
      <c r="AA661" s="207"/>
      <c r="AB661" s="207"/>
      <c r="AC661" s="207"/>
      <c r="AD661" s="207"/>
      <c r="AE661" s="207"/>
      <c r="AF661" s="207"/>
      <c r="AG661" s="207"/>
      <c r="AH661" s="207"/>
      <c r="AI661" s="207"/>
      <c r="AJ661" s="207"/>
      <c r="AK661" s="207"/>
      <c r="AL661" s="207"/>
      <c r="AM661" s="207"/>
      <c r="AN661" s="207"/>
      <c r="AO661" s="207"/>
      <c r="AP661" s="207"/>
      <c r="AQ661" s="207"/>
      <c r="AR661" s="207"/>
      <c r="AS661" s="207"/>
      <c r="AT661" s="207"/>
      <c r="AU661" s="207"/>
      <c r="AV661" s="207"/>
      <c r="AW661" s="207"/>
      <c r="AX661" s="207"/>
      <c r="AY661" s="207"/>
      <c r="AZ661" s="207"/>
      <c r="BA661" s="207"/>
    </row>
    <row r="662" ht="18.75" hidden="1" customHeight="1">
      <c r="A662" s="207"/>
      <c r="B662" s="207"/>
      <c r="C662" s="207"/>
      <c r="D662" s="207"/>
      <c r="E662" s="207"/>
      <c r="F662" s="207"/>
      <c r="G662" s="207"/>
      <c r="H662" s="207"/>
      <c r="I662" s="207"/>
      <c r="J662" s="207"/>
      <c r="K662" s="207"/>
      <c r="L662" s="207"/>
      <c r="M662" s="207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/>
      <c r="Y662" s="207"/>
      <c r="Z662" s="207"/>
      <c r="AA662" s="207"/>
      <c r="AB662" s="207"/>
      <c r="AC662" s="207"/>
      <c r="AD662" s="207"/>
      <c r="AE662" s="207"/>
      <c r="AF662" s="207"/>
      <c r="AG662" s="207"/>
      <c r="AH662" s="207"/>
      <c r="AI662" s="207"/>
      <c r="AJ662" s="207"/>
      <c r="AK662" s="207"/>
      <c r="AL662" s="207"/>
      <c r="AM662" s="207"/>
      <c r="AN662" s="207"/>
      <c r="AO662" s="207"/>
      <c r="AP662" s="207"/>
      <c r="AQ662" s="207"/>
      <c r="AR662" s="207"/>
      <c r="AS662" s="207"/>
      <c r="AT662" s="207"/>
      <c r="AU662" s="207"/>
      <c r="AV662" s="207"/>
      <c r="AW662" s="207"/>
      <c r="AX662" s="207"/>
      <c r="AY662" s="207"/>
      <c r="AZ662" s="207"/>
      <c r="BA662" s="207"/>
    </row>
    <row r="663" ht="18.75" hidden="1" customHeight="1">
      <c r="A663" s="207"/>
      <c r="B663" s="207"/>
      <c r="C663" s="207"/>
      <c r="D663" s="207"/>
      <c r="E663" s="207"/>
      <c r="F663" s="207"/>
      <c r="G663" s="207"/>
      <c r="H663" s="207"/>
      <c r="I663" s="207"/>
      <c r="J663" s="207"/>
      <c r="K663" s="207"/>
      <c r="L663" s="207"/>
      <c r="M663" s="207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  <c r="AA663" s="207"/>
      <c r="AB663" s="207"/>
      <c r="AC663" s="207"/>
      <c r="AD663" s="207"/>
      <c r="AE663" s="207"/>
      <c r="AF663" s="207"/>
      <c r="AG663" s="207"/>
      <c r="AH663" s="207"/>
      <c r="AI663" s="207"/>
      <c r="AJ663" s="207"/>
      <c r="AK663" s="207"/>
      <c r="AL663" s="207"/>
      <c r="AM663" s="207"/>
      <c r="AN663" s="207"/>
      <c r="AO663" s="207"/>
      <c r="AP663" s="207"/>
      <c r="AQ663" s="207"/>
      <c r="AR663" s="207"/>
      <c r="AS663" s="207"/>
      <c r="AT663" s="207"/>
      <c r="AU663" s="207"/>
      <c r="AV663" s="207"/>
      <c r="AW663" s="207"/>
      <c r="AX663" s="207"/>
      <c r="AY663" s="207"/>
      <c r="AZ663" s="207"/>
      <c r="BA663" s="207"/>
    </row>
    <row r="664" ht="18.75" hidden="1" customHeight="1">
      <c r="A664" s="207"/>
      <c r="B664" s="207"/>
      <c r="C664" s="207"/>
      <c r="D664" s="207"/>
      <c r="E664" s="207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  <c r="AA664" s="207"/>
      <c r="AB664" s="207"/>
      <c r="AC664" s="207"/>
      <c r="AD664" s="207"/>
      <c r="AE664" s="207"/>
      <c r="AF664" s="207"/>
      <c r="AG664" s="207"/>
      <c r="AH664" s="207"/>
      <c r="AI664" s="207"/>
      <c r="AJ664" s="207"/>
      <c r="AK664" s="207"/>
      <c r="AL664" s="207"/>
      <c r="AM664" s="207"/>
      <c r="AN664" s="207"/>
      <c r="AO664" s="207"/>
      <c r="AP664" s="207"/>
      <c r="AQ664" s="207"/>
      <c r="AR664" s="207"/>
      <c r="AS664" s="207"/>
      <c r="AT664" s="207"/>
      <c r="AU664" s="207"/>
      <c r="AV664" s="207"/>
      <c r="AW664" s="207"/>
      <c r="AX664" s="207"/>
      <c r="AY664" s="207"/>
      <c r="AZ664" s="207"/>
      <c r="BA664" s="207"/>
    </row>
    <row r="665" ht="18.75" hidden="1" customHeight="1">
      <c r="A665" s="207"/>
      <c r="B665" s="207"/>
      <c r="C665" s="207"/>
      <c r="D665" s="207"/>
      <c r="E665" s="207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  <c r="AA665" s="207"/>
      <c r="AB665" s="207"/>
      <c r="AC665" s="207"/>
      <c r="AD665" s="207"/>
      <c r="AE665" s="207"/>
      <c r="AF665" s="207"/>
      <c r="AG665" s="207"/>
      <c r="AH665" s="207"/>
      <c r="AI665" s="207"/>
      <c r="AJ665" s="207"/>
      <c r="AK665" s="207"/>
      <c r="AL665" s="207"/>
      <c r="AM665" s="207"/>
      <c r="AN665" s="207"/>
      <c r="AO665" s="207"/>
      <c r="AP665" s="207"/>
      <c r="AQ665" s="207"/>
      <c r="AR665" s="207"/>
      <c r="AS665" s="207"/>
      <c r="AT665" s="207"/>
      <c r="AU665" s="207"/>
      <c r="AV665" s="207"/>
      <c r="AW665" s="207"/>
      <c r="AX665" s="207"/>
      <c r="AY665" s="207"/>
      <c r="AZ665" s="207"/>
      <c r="BA665" s="207"/>
    </row>
    <row r="666" ht="18.75" hidden="1" customHeight="1">
      <c r="A666" s="207"/>
      <c r="B666" s="207"/>
      <c r="C666" s="207"/>
      <c r="D666" s="207"/>
      <c r="E666" s="207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  <c r="AA666" s="207"/>
      <c r="AB666" s="207"/>
      <c r="AC666" s="207"/>
      <c r="AD666" s="207"/>
      <c r="AE666" s="207"/>
      <c r="AF666" s="207"/>
      <c r="AG666" s="207"/>
      <c r="AH666" s="207"/>
      <c r="AI666" s="207"/>
      <c r="AJ666" s="207"/>
      <c r="AK666" s="207"/>
      <c r="AL666" s="207"/>
      <c r="AM666" s="207"/>
      <c r="AN666" s="207"/>
      <c r="AO666" s="207"/>
      <c r="AP666" s="207"/>
      <c r="AQ666" s="207"/>
      <c r="AR666" s="207"/>
      <c r="AS666" s="207"/>
      <c r="AT666" s="207"/>
      <c r="AU666" s="207"/>
      <c r="AV666" s="207"/>
      <c r="AW666" s="207"/>
      <c r="AX666" s="207"/>
      <c r="AY666" s="207"/>
      <c r="AZ666" s="207"/>
      <c r="BA666" s="207"/>
    </row>
    <row r="667" ht="18.75" hidden="1" customHeight="1">
      <c r="A667" s="207"/>
      <c r="B667" s="207"/>
      <c r="C667" s="207"/>
      <c r="D667" s="207"/>
      <c r="E667" s="207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  <c r="AA667" s="207"/>
      <c r="AB667" s="207"/>
      <c r="AC667" s="207"/>
      <c r="AD667" s="207"/>
      <c r="AE667" s="207"/>
      <c r="AF667" s="207"/>
      <c r="AG667" s="207"/>
      <c r="AH667" s="207"/>
      <c r="AI667" s="207"/>
      <c r="AJ667" s="207"/>
      <c r="AK667" s="207"/>
      <c r="AL667" s="207"/>
      <c r="AM667" s="207"/>
      <c r="AN667" s="207"/>
      <c r="AO667" s="207"/>
      <c r="AP667" s="207"/>
      <c r="AQ667" s="207"/>
      <c r="AR667" s="207"/>
      <c r="AS667" s="207"/>
      <c r="AT667" s="207"/>
      <c r="AU667" s="207"/>
      <c r="AV667" s="207"/>
      <c r="AW667" s="207"/>
      <c r="AX667" s="207"/>
      <c r="AY667" s="207"/>
      <c r="AZ667" s="207"/>
      <c r="BA667" s="207"/>
    </row>
    <row r="668" ht="18.75" hidden="1" customHeight="1">
      <c r="A668" s="207"/>
      <c r="B668" s="207"/>
      <c r="C668" s="207"/>
      <c r="D668" s="207"/>
      <c r="E668" s="207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  <c r="AA668" s="207"/>
      <c r="AB668" s="207"/>
      <c r="AC668" s="207"/>
      <c r="AD668" s="207"/>
      <c r="AE668" s="207"/>
      <c r="AF668" s="207"/>
      <c r="AG668" s="207"/>
      <c r="AH668" s="207"/>
      <c r="AI668" s="207"/>
      <c r="AJ668" s="207"/>
      <c r="AK668" s="207"/>
      <c r="AL668" s="207"/>
      <c r="AM668" s="207"/>
      <c r="AN668" s="207"/>
      <c r="AO668" s="207"/>
      <c r="AP668" s="207"/>
      <c r="AQ668" s="207"/>
      <c r="AR668" s="207"/>
      <c r="AS668" s="207"/>
      <c r="AT668" s="207"/>
      <c r="AU668" s="207"/>
      <c r="AV668" s="207"/>
      <c r="AW668" s="207"/>
      <c r="AX668" s="207"/>
      <c r="AY668" s="207"/>
      <c r="AZ668" s="207"/>
      <c r="BA668" s="207"/>
    </row>
    <row r="669" ht="18.75" hidden="1" customHeight="1">
      <c r="A669" s="207"/>
      <c r="B669" s="207"/>
      <c r="C669" s="207"/>
      <c r="D669" s="207"/>
      <c r="E669" s="207"/>
      <c r="F669" s="207"/>
      <c r="G669" s="207"/>
      <c r="H669" s="207"/>
      <c r="I669" s="207"/>
      <c r="J669" s="207"/>
      <c r="K669" s="207"/>
      <c r="L669" s="207"/>
      <c r="M669" s="207"/>
      <c r="N669" s="207"/>
      <c r="O669" s="207"/>
      <c r="P669" s="207"/>
      <c r="Q669" s="207"/>
      <c r="R669" s="207"/>
      <c r="S669" s="207"/>
      <c r="T669" s="207"/>
      <c r="U669" s="207"/>
      <c r="V669" s="207"/>
      <c r="W669" s="207"/>
      <c r="X669" s="207"/>
      <c r="Y669" s="207"/>
      <c r="Z669" s="207"/>
      <c r="AA669" s="207"/>
      <c r="AB669" s="207"/>
      <c r="AC669" s="207"/>
      <c r="AD669" s="207"/>
      <c r="AE669" s="207"/>
      <c r="AF669" s="207"/>
      <c r="AG669" s="207"/>
      <c r="AH669" s="207"/>
      <c r="AI669" s="207"/>
      <c r="AJ669" s="207"/>
      <c r="AK669" s="207"/>
      <c r="AL669" s="207"/>
      <c r="AM669" s="207"/>
      <c r="AN669" s="207"/>
      <c r="AO669" s="207"/>
      <c r="AP669" s="207"/>
      <c r="AQ669" s="207"/>
      <c r="AR669" s="207"/>
      <c r="AS669" s="207"/>
      <c r="AT669" s="207"/>
      <c r="AU669" s="207"/>
      <c r="AV669" s="207"/>
      <c r="AW669" s="207"/>
      <c r="AX669" s="207"/>
      <c r="AY669" s="207"/>
      <c r="AZ669" s="207"/>
      <c r="BA669" s="207"/>
    </row>
    <row r="670" ht="18.75" hidden="1" customHeight="1">
      <c r="A670" s="207"/>
      <c r="B670" s="207"/>
      <c r="C670" s="207"/>
      <c r="D670" s="207"/>
      <c r="E670" s="207"/>
      <c r="F670" s="207"/>
      <c r="G670" s="207"/>
      <c r="H670" s="207"/>
      <c r="I670" s="207"/>
      <c r="J670" s="207"/>
      <c r="K670" s="207"/>
      <c r="L670" s="207"/>
      <c r="M670" s="207"/>
      <c r="N670" s="207"/>
      <c r="O670" s="207"/>
      <c r="P670" s="207"/>
      <c r="Q670" s="207"/>
      <c r="R670" s="207"/>
      <c r="S670" s="207"/>
      <c r="T670" s="207"/>
      <c r="U670" s="207"/>
      <c r="V670" s="207"/>
      <c r="W670" s="207"/>
      <c r="X670" s="207"/>
      <c r="Y670" s="207"/>
      <c r="Z670" s="207"/>
      <c r="AA670" s="207"/>
      <c r="AB670" s="207"/>
      <c r="AC670" s="207"/>
      <c r="AD670" s="207"/>
      <c r="AE670" s="207"/>
      <c r="AF670" s="207"/>
      <c r="AG670" s="207"/>
      <c r="AH670" s="207"/>
      <c r="AI670" s="207"/>
      <c r="AJ670" s="207"/>
      <c r="AK670" s="207"/>
      <c r="AL670" s="207"/>
      <c r="AM670" s="207"/>
      <c r="AN670" s="207"/>
      <c r="AO670" s="207"/>
      <c r="AP670" s="207"/>
      <c r="AQ670" s="207"/>
      <c r="AR670" s="207"/>
      <c r="AS670" s="207"/>
      <c r="AT670" s="207"/>
      <c r="AU670" s="207"/>
      <c r="AV670" s="207"/>
      <c r="AW670" s="207"/>
      <c r="AX670" s="207"/>
      <c r="AY670" s="207"/>
      <c r="AZ670" s="207"/>
      <c r="BA670" s="207"/>
    </row>
    <row r="671" ht="18.75" hidden="1" customHeight="1">
      <c r="A671" s="207"/>
      <c r="B671" s="207"/>
      <c r="C671" s="207"/>
      <c r="D671" s="207"/>
      <c r="E671" s="207"/>
      <c r="F671" s="207"/>
      <c r="G671" s="207"/>
      <c r="H671" s="207"/>
      <c r="I671" s="207"/>
      <c r="J671" s="207"/>
      <c r="K671" s="207"/>
      <c r="L671" s="207"/>
      <c r="M671" s="207"/>
      <c r="N671" s="207"/>
      <c r="O671" s="207"/>
      <c r="P671" s="207"/>
      <c r="Q671" s="207"/>
      <c r="R671" s="207"/>
      <c r="S671" s="207"/>
      <c r="T671" s="207"/>
      <c r="U671" s="207"/>
      <c r="V671" s="207"/>
      <c r="W671" s="207"/>
      <c r="X671" s="207"/>
      <c r="Y671" s="207"/>
      <c r="Z671" s="207"/>
      <c r="AA671" s="207"/>
      <c r="AB671" s="207"/>
      <c r="AC671" s="207"/>
      <c r="AD671" s="207"/>
      <c r="AE671" s="207"/>
      <c r="AF671" s="207"/>
      <c r="AG671" s="207"/>
      <c r="AH671" s="207"/>
      <c r="AI671" s="207"/>
      <c r="AJ671" s="207"/>
      <c r="AK671" s="207"/>
      <c r="AL671" s="207"/>
      <c r="AM671" s="207"/>
      <c r="AN671" s="207"/>
      <c r="AO671" s="207"/>
      <c r="AP671" s="207"/>
      <c r="AQ671" s="207"/>
      <c r="AR671" s="207"/>
      <c r="AS671" s="207"/>
      <c r="AT671" s="207"/>
      <c r="AU671" s="207"/>
      <c r="AV671" s="207"/>
      <c r="AW671" s="207"/>
      <c r="AX671" s="207"/>
      <c r="AY671" s="207"/>
      <c r="AZ671" s="207"/>
      <c r="BA671" s="207"/>
    </row>
    <row r="672" ht="18.75" hidden="1" customHeight="1">
      <c r="A672" s="207"/>
      <c r="B672" s="207"/>
      <c r="C672" s="207"/>
      <c r="D672" s="207"/>
      <c r="E672" s="207"/>
      <c r="F672" s="207"/>
      <c r="G672" s="207"/>
      <c r="H672" s="207"/>
      <c r="I672" s="207"/>
      <c r="J672" s="207"/>
      <c r="K672" s="207"/>
      <c r="L672" s="207"/>
      <c r="M672" s="207"/>
      <c r="N672" s="207"/>
      <c r="O672" s="207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  <c r="AA672" s="207"/>
      <c r="AB672" s="207"/>
      <c r="AC672" s="207"/>
      <c r="AD672" s="207"/>
      <c r="AE672" s="207"/>
      <c r="AF672" s="207"/>
      <c r="AG672" s="207"/>
      <c r="AH672" s="207"/>
      <c r="AI672" s="207"/>
      <c r="AJ672" s="207"/>
      <c r="AK672" s="207"/>
      <c r="AL672" s="207"/>
      <c r="AM672" s="207"/>
      <c r="AN672" s="207"/>
      <c r="AO672" s="207"/>
      <c r="AP672" s="207"/>
      <c r="AQ672" s="207"/>
      <c r="AR672" s="207"/>
      <c r="AS672" s="207"/>
      <c r="AT672" s="207"/>
      <c r="AU672" s="207"/>
      <c r="AV672" s="207"/>
      <c r="AW672" s="207"/>
      <c r="AX672" s="207"/>
      <c r="AY672" s="207"/>
      <c r="AZ672" s="207"/>
      <c r="BA672" s="207"/>
    </row>
    <row r="673" ht="18.75" hidden="1" customHeight="1">
      <c r="A673" s="207"/>
      <c r="B673" s="207"/>
      <c r="C673" s="207"/>
      <c r="D673" s="207"/>
      <c r="E673" s="207"/>
      <c r="F673" s="207"/>
      <c r="G673" s="207"/>
      <c r="H673" s="207"/>
      <c r="I673" s="207"/>
      <c r="J673" s="207"/>
      <c r="K673" s="207"/>
      <c r="L673" s="207"/>
      <c r="M673" s="207"/>
      <c r="N673" s="207"/>
      <c r="O673" s="207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  <c r="AA673" s="207"/>
      <c r="AB673" s="207"/>
      <c r="AC673" s="207"/>
      <c r="AD673" s="207"/>
      <c r="AE673" s="207"/>
      <c r="AF673" s="207"/>
      <c r="AG673" s="207"/>
      <c r="AH673" s="207"/>
      <c r="AI673" s="207"/>
      <c r="AJ673" s="207"/>
      <c r="AK673" s="207"/>
      <c r="AL673" s="207"/>
      <c r="AM673" s="207"/>
      <c r="AN673" s="207"/>
      <c r="AO673" s="207"/>
      <c r="AP673" s="207"/>
      <c r="AQ673" s="207"/>
      <c r="AR673" s="207"/>
      <c r="AS673" s="207"/>
      <c r="AT673" s="207"/>
      <c r="AU673" s="207"/>
      <c r="AV673" s="207"/>
      <c r="AW673" s="207"/>
      <c r="AX673" s="207"/>
      <c r="AY673" s="207"/>
      <c r="AZ673" s="207"/>
      <c r="BA673" s="207"/>
    </row>
    <row r="674" ht="18.75" hidden="1" customHeight="1">
      <c r="A674" s="207"/>
      <c r="B674" s="207"/>
      <c r="C674" s="207"/>
      <c r="D674" s="207"/>
      <c r="E674" s="207"/>
      <c r="F674" s="207"/>
      <c r="G674" s="207"/>
      <c r="H674" s="207"/>
      <c r="I674" s="207"/>
      <c r="J674" s="207"/>
      <c r="K674" s="207"/>
      <c r="L674" s="207"/>
      <c r="M674" s="207"/>
      <c r="N674" s="207"/>
      <c r="O674" s="207"/>
      <c r="P674" s="207"/>
      <c r="Q674" s="207"/>
      <c r="R674" s="207"/>
      <c r="S674" s="207"/>
      <c r="T674" s="207"/>
      <c r="U674" s="207"/>
      <c r="V674" s="207"/>
      <c r="W674" s="207"/>
      <c r="X674" s="207"/>
      <c r="Y674" s="207"/>
      <c r="Z674" s="207"/>
      <c r="AA674" s="207"/>
      <c r="AB674" s="207"/>
      <c r="AC674" s="207"/>
      <c r="AD674" s="207"/>
      <c r="AE674" s="207"/>
      <c r="AF674" s="207"/>
      <c r="AG674" s="207"/>
      <c r="AH674" s="207"/>
      <c r="AI674" s="207"/>
      <c r="AJ674" s="207"/>
      <c r="AK674" s="207"/>
      <c r="AL674" s="207"/>
      <c r="AM674" s="207"/>
      <c r="AN674" s="207"/>
      <c r="AO674" s="207"/>
      <c r="AP674" s="207"/>
      <c r="AQ674" s="207"/>
      <c r="AR674" s="207"/>
      <c r="AS674" s="207"/>
      <c r="AT674" s="207"/>
      <c r="AU674" s="207"/>
      <c r="AV674" s="207"/>
      <c r="AW674" s="207"/>
      <c r="AX674" s="207"/>
      <c r="AY674" s="207"/>
      <c r="AZ674" s="207"/>
      <c r="BA674" s="207"/>
    </row>
    <row r="675" ht="18.75" hidden="1" customHeight="1">
      <c r="A675" s="207"/>
      <c r="B675" s="207"/>
      <c r="C675" s="207"/>
      <c r="D675" s="207"/>
      <c r="E675" s="207"/>
      <c r="F675" s="207"/>
      <c r="G675" s="207"/>
      <c r="H675" s="207"/>
      <c r="I675" s="207"/>
      <c r="J675" s="207"/>
      <c r="K675" s="207"/>
      <c r="L675" s="207"/>
      <c r="M675" s="207"/>
      <c r="N675" s="207"/>
      <c r="O675" s="207"/>
      <c r="P675" s="207"/>
      <c r="Q675" s="207"/>
      <c r="R675" s="207"/>
      <c r="S675" s="207"/>
      <c r="T675" s="207"/>
      <c r="U675" s="207"/>
      <c r="V675" s="207"/>
      <c r="W675" s="207"/>
      <c r="X675" s="207"/>
      <c r="Y675" s="207"/>
      <c r="Z675" s="207"/>
      <c r="AA675" s="207"/>
      <c r="AB675" s="207"/>
      <c r="AC675" s="207"/>
      <c r="AD675" s="207"/>
      <c r="AE675" s="207"/>
      <c r="AF675" s="207"/>
      <c r="AG675" s="207"/>
      <c r="AH675" s="207"/>
      <c r="AI675" s="207"/>
      <c r="AJ675" s="207"/>
      <c r="AK675" s="207"/>
      <c r="AL675" s="207"/>
      <c r="AM675" s="207"/>
      <c r="AN675" s="207"/>
      <c r="AO675" s="207"/>
      <c r="AP675" s="207"/>
      <c r="AQ675" s="207"/>
      <c r="AR675" s="207"/>
      <c r="AS675" s="207"/>
      <c r="AT675" s="207"/>
      <c r="AU675" s="207"/>
      <c r="AV675" s="207"/>
      <c r="AW675" s="207"/>
      <c r="AX675" s="207"/>
      <c r="AY675" s="207"/>
      <c r="AZ675" s="207"/>
      <c r="BA675" s="207"/>
    </row>
    <row r="676" ht="18.75" hidden="1" customHeight="1">
      <c r="A676" s="207"/>
      <c r="B676" s="207"/>
      <c r="C676" s="207"/>
      <c r="D676" s="207"/>
      <c r="E676" s="207"/>
      <c r="F676" s="207"/>
      <c r="G676" s="207"/>
      <c r="H676" s="207"/>
      <c r="I676" s="207"/>
      <c r="J676" s="207"/>
      <c r="K676" s="207"/>
      <c r="L676" s="207"/>
      <c r="M676" s="207"/>
      <c r="N676" s="207"/>
      <c r="O676" s="207"/>
      <c r="P676" s="207"/>
      <c r="Q676" s="207"/>
      <c r="R676" s="207"/>
      <c r="S676" s="207"/>
      <c r="T676" s="207"/>
      <c r="U676" s="207"/>
      <c r="V676" s="207"/>
      <c r="W676" s="207"/>
      <c r="X676" s="207"/>
      <c r="Y676" s="207"/>
      <c r="Z676" s="207"/>
      <c r="AA676" s="207"/>
      <c r="AB676" s="207"/>
      <c r="AC676" s="207"/>
      <c r="AD676" s="207"/>
      <c r="AE676" s="207"/>
      <c r="AF676" s="207"/>
      <c r="AG676" s="207"/>
      <c r="AH676" s="207"/>
      <c r="AI676" s="207"/>
      <c r="AJ676" s="207"/>
      <c r="AK676" s="207"/>
      <c r="AL676" s="207"/>
      <c r="AM676" s="207"/>
      <c r="AN676" s="207"/>
      <c r="AO676" s="207"/>
      <c r="AP676" s="207"/>
      <c r="AQ676" s="207"/>
      <c r="AR676" s="207"/>
      <c r="AS676" s="207"/>
      <c r="AT676" s="207"/>
      <c r="AU676" s="207"/>
      <c r="AV676" s="207"/>
      <c r="AW676" s="207"/>
      <c r="AX676" s="207"/>
      <c r="AY676" s="207"/>
      <c r="AZ676" s="207"/>
      <c r="BA676" s="207"/>
    </row>
    <row r="677" ht="18.75" hidden="1" customHeight="1">
      <c r="A677" s="207"/>
      <c r="B677" s="207"/>
      <c r="C677" s="207"/>
      <c r="D677" s="207"/>
      <c r="E677" s="207"/>
      <c r="F677" s="207"/>
      <c r="G677" s="207"/>
      <c r="H677" s="207"/>
      <c r="I677" s="207"/>
      <c r="J677" s="207"/>
      <c r="K677" s="207"/>
      <c r="L677" s="207"/>
      <c r="M677" s="207"/>
      <c r="N677" s="207"/>
      <c r="O677" s="207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  <c r="AA677" s="207"/>
      <c r="AB677" s="207"/>
      <c r="AC677" s="207"/>
      <c r="AD677" s="207"/>
      <c r="AE677" s="207"/>
      <c r="AF677" s="207"/>
      <c r="AG677" s="207"/>
      <c r="AH677" s="207"/>
      <c r="AI677" s="207"/>
      <c r="AJ677" s="207"/>
      <c r="AK677" s="207"/>
      <c r="AL677" s="207"/>
      <c r="AM677" s="207"/>
      <c r="AN677" s="207"/>
      <c r="AO677" s="207"/>
      <c r="AP677" s="207"/>
      <c r="AQ677" s="207"/>
      <c r="AR677" s="207"/>
      <c r="AS677" s="207"/>
      <c r="AT677" s="207"/>
      <c r="AU677" s="207"/>
      <c r="AV677" s="207"/>
      <c r="AW677" s="207"/>
      <c r="AX677" s="207"/>
      <c r="AY677" s="207"/>
      <c r="AZ677" s="207"/>
      <c r="BA677" s="207"/>
    </row>
    <row r="678" ht="18.75" hidden="1" customHeight="1">
      <c r="A678" s="207"/>
      <c r="B678" s="207"/>
      <c r="C678" s="207"/>
      <c r="D678" s="207"/>
      <c r="E678" s="207"/>
      <c r="F678" s="207"/>
      <c r="G678" s="207"/>
      <c r="H678" s="207"/>
      <c r="I678" s="207"/>
      <c r="J678" s="207"/>
      <c r="K678" s="207"/>
      <c r="L678" s="207"/>
      <c r="M678" s="207"/>
      <c r="N678" s="207"/>
      <c r="O678" s="207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  <c r="AA678" s="207"/>
      <c r="AB678" s="207"/>
      <c r="AC678" s="207"/>
      <c r="AD678" s="207"/>
      <c r="AE678" s="207"/>
      <c r="AF678" s="207"/>
      <c r="AG678" s="207"/>
      <c r="AH678" s="207"/>
      <c r="AI678" s="207"/>
      <c r="AJ678" s="207"/>
      <c r="AK678" s="207"/>
      <c r="AL678" s="207"/>
      <c r="AM678" s="207"/>
      <c r="AN678" s="207"/>
      <c r="AO678" s="207"/>
      <c r="AP678" s="207"/>
      <c r="AQ678" s="207"/>
      <c r="AR678" s="207"/>
      <c r="AS678" s="207"/>
      <c r="AT678" s="207"/>
      <c r="AU678" s="207"/>
      <c r="AV678" s="207"/>
      <c r="AW678" s="207"/>
      <c r="AX678" s="207"/>
      <c r="AY678" s="207"/>
      <c r="AZ678" s="207"/>
      <c r="BA678" s="207"/>
    </row>
    <row r="679" ht="18.75" hidden="1" customHeight="1">
      <c r="A679" s="207"/>
      <c r="B679" s="207"/>
      <c r="C679" s="207"/>
      <c r="D679" s="207"/>
      <c r="E679" s="207"/>
      <c r="F679" s="207"/>
      <c r="G679" s="207"/>
      <c r="H679" s="207"/>
      <c r="I679" s="207"/>
      <c r="J679" s="207"/>
      <c r="K679" s="207"/>
      <c r="L679" s="207"/>
      <c r="M679" s="207"/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  <c r="AA679" s="207"/>
      <c r="AB679" s="207"/>
      <c r="AC679" s="207"/>
      <c r="AD679" s="207"/>
      <c r="AE679" s="207"/>
      <c r="AF679" s="207"/>
      <c r="AG679" s="207"/>
      <c r="AH679" s="207"/>
      <c r="AI679" s="207"/>
      <c r="AJ679" s="207"/>
      <c r="AK679" s="207"/>
      <c r="AL679" s="207"/>
      <c r="AM679" s="207"/>
      <c r="AN679" s="207"/>
      <c r="AO679" s="207"/>
      <c r="AP679" s="207"/>
      <c r="AQ679" s="207"/>
      <c r="AR679" s="207"/>
      <c r="AS679" s="207"/>
      <c r="AT679" s="207"/>
      <c r="AU679" s="207"/>
      <c r="AV679" s="207"/>
      <c r="AW679" s="207"/>
      <c r="AX679" s="207"/>
      <c r="AY679" s="207"/>
      <c r="AZ679" s="207"/>
      <c r="BA679" s="207"/>
    </row>
    <row r="680" ht="18.75" hidden="1" customHeight="1">
      <c r="A680" s="207"/>
      <c r="B680" s="207"/>
      <c r="C680" s="207"/>
      <c r="D680" s="207"/>
      <c r="E680" s="207"/>
      <c r="F680" s="207"/>
      <c r="G680" s="207"/>
      <c r="H680" s="207"/>
      <c r="I680" s="207"/>
      <c r="J680" s="207"/>
      <c r="K680" s="207"/>
      <c r="L680" s="207"/>
      <c r="M680" s="207"/>
      <c r="N680" s="207"/>
      <c r="O680" s="20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  <c r="AA680" s="207"/>
      <c r="AB680" s="207"/>
      <c r="AC680" s="207"/>
      <c r="AD680" s="207"/>
      <c r="AE680" s="207"/>
      <c r="AF680" s="207"/>
      <c r="AG680" s="207"/>
      <c r="AH680" s="207"/>
      <c r="AI680" s="207"/>
      <c r="AJ680" s="207"/>
      <c r="AK680" s="207"/>
      <c r="AL680" s="207"/>
      <c r="AM680" s="207"/>
      <c r="AN680" s="207"/>
      <c r="AO680" s="207"/>
      <c r="AP680" s="207"/>
      <c r="AQ680" s="207"/>
      <c r="AR680" s="207"/>
      <c r="AS680" s="207"/>
      <c r="AT680" s="207"/>
      <c r="AU680" s="207"/>
      <c r="AV680" s="207"/>
      <c r="AW680" s="207"/>
      <c r="AX680" s="207"/>
      <c r="AY680" s="207"/>
      <c r="AZ680" s="207"/>
      <c r="BA680" s="207"/>
    </row>
    <row r="681" ht="18.75" hidden="1" customHeight="1">
      <c r="A681" s="207"/>
      <c r="B681" s="207"/>
      <c r="C681" s="207"/>
      <c r="D681" s="207"/>
      <c r="E681" s="207"/>
      <c r="F681" s="207"/>
      <c r="G681" s="207"/>
      <c r="H681" s="207"/>
      <c r="I681" s="207"/>
      <c r="J681" s="207"/>
      <c r="K681" s="207"/>
      <c r="L681" s="207"/>
      <c r="M681" s="207"/>
      <c r="N681" s="207"/>
      <c r="O681" s="207"/>
      <c r="P681" s="207"/>
      <c r="Q681" s="207"/>
      <c r="R681" s="207"/>
      <c r="S681" s="207"/>
      <c r="T681" s="207"/>
      <c r="U681" s="207"/>
      <c r="V681" s="207"/>
      <c r="W681" s="207"/>
      <c r="X681" s="207"/>
      <c r="Y681" s="207"/>
      <c r="Z681" s="207"/>
      <c r="AA681" s="207"/>
      <c r="AB681" s="207"/>
      <c r="AC681" s="207"/>
      <c r="AD681" s="207"/>
      <c r="AE681" s="207"/>
      <c r="AF681" s="207"/>
      <c r="AG681" s="207"/>
      <c r="AH681" s="207"/>
      <c r="AI681" s="207"/>
      <c r="AJ681" s="207"/>
      <c r="AK681" s="207"/>
      <c r="AL681" s="207"/>
      <c r="AM681" s="207"/>
      <c r="AN681" s="207"/>
      <c r="AO681" s="207"/>
      <c r="AP681" s="207"/>
      <c r="AQ681" s="207"/>
      <c r="AR681" s="207"/>
      <c r="AS681" s="207"/>
      <c r="AT681" s="207"/>
      <c r="AU681" s="207"/>
      <c r="AV681" s="207"/>
      <c r="AW681" s="207"/>
      <c r="AX681" s="207"/>
      <c r="AY681" s="207"/>
      <c r="AZ681" s="207"/>
      <c r="BA681" s="207"/>
    </row>
    <row r="682" ht="18.75" hidden="1" customHeight="1">
      <c r="A682" s="207"/>
      <c r="B682" s="207"/>
      <c r="C682" s="207"/>
      <c r="D682" s="207"/>
      <c r="E682" s="207"/>
      <c r="F682" s="207"/>
      <c r="G682" s="207"/>
      <c r="H682" s="207"/>
      <c r="I682" s="207"/>
      <c r="J682" s="207"/>
      <c r="K682" s="207"/>
      <c r="L682" s="207"/>
      <c r="M682" s="207"/>
      <c r="N682" s="207"/>
      <c r="O682" s="207"/>
      <c r="P682" s="207"/>
      <c r="Q682" s="207"/>
      <c r="R682" s="207"/>
      <c r="S682" s="207"/>
      <c r="T682" s="207"/>
      <c r="U682" s="207"/>
      <c r="V682" s="207"/>
      <c r="W682" s="207"/>
      <c r="X682" s="207"/>
      <c r="Y682" s="207"/>
      <c r="Z682" s="207"/>
      <c r="AA682" s="207"/>
      <c r="AB682" s="207"/>
      <c r="AC682" s="207"/>
      <c r="AD682" s="207"/>
      <c r="AE682" s="207"/>
      <c r="AF682" s="207"/>
      <c r="AG682" s="207"/>
      <c r="AH682" s="207"/>
      <c r="AI682" s="207"/>
      <c r="AJ682" s="207"/>
      <c r="AK682" s="207"/>
      <c r="AL682" s="207"/>
      <c r="AM682" s="207"/>
      <c r="AN682" s="207"/>
      <c r="AO682" s="207"/>
      <c r="AP682" s="207"/>
      <c r="AQ682" s="207"/>
      <c r="AR682" s="207"/>
      <c r="AS682" s="207"/>
      <c r="AT682" s="207"/>
      <c r="AU682" s="207"/>
      <c r="AV682" s="207"/>
      <c r="AW682" s="207"/>
      <c r="AX682" s="207"/>
      <c r="AY682" s="207"/>
      <c r="AZ682" s="207"/>
      <c r="BA682" s="207"/>
    </row>
    <row r="683" ht="18.75" hidden="1" customHeight="1">
      <c r="A683" s="207"/>
      <c r="B683" s="207"/>
      <c r="C683" s="207"/>
      <c r="D683" s="207"/>
      <c r="E683" s="207"/>
      <c r="F683" s="207"/>
      <c r="G683" s="207"/>
      <c r="H683" s="207"/>
      <c r="I683" s="207"/>
      <c r="J683" s="207"/>
      <c r="K683" s="207"/>
      <c r="L683" s="207"/>
      <c r="M683" s="207"/>
      <c r="N683" s="207"/>
      <c r="O683" s="207"/>
      <c r="P683" s="207"/>
      <c r="Q683" s="207"/>
      <c r="R683" s="207"/>
      <c r="S683" s="207"/>
      <c r="T683" s="207"/>
      <c r="U683" s="207"/>
      <c r="V683" s="207"/>
      <c r="W683" s="207"/>
      <c r="X683" s="207"/>
      <c r="Y683" s="207"/>
      <c r="Z683" s="207"/>
      <c r="AA683" s="207"/>
      <c r="AB683" s="207"/>
      <c r="AC683" s="207"/>
      <c r="AD683" s="207"/>
      <c r="AE683" s="207"/>
      <c r="AF683" s="207"/>
      <c r="AG683" s="207"/>
      <c r="AH683" s="207"/>
      <c r="AI683" s="207"/>
      <c r="AJ683" s="207"/>
      <c r="AK683" s="207"/>
      <c r="AL683" s="207"/>
      <c r="AM683" s="207"/>
      <c r="AN683" s="207"/>
      <c r="AO683" s="207"/>
      <c r="AP683" s="207"/>
      <c r="AQ683" s="207"/>
      <c r="AR683" s="207"/>
      <c r="AS683" s="207"/>
      <c r="AT683" s="207"/>
      <c r="AU683" s="207"/>
      <c r="AV683" s="207"/>
      <c r="AW683" s="207"/>
      <c r="AX683" s="207"/>
      <c r="AY683" s="207"/>
      <c r="AZ683" s="207"/>
      <c r="BA683" s="207"/>
    </row>
    <row r="684" ht="18.75" hidden="1" customHeight="1">
      <c r="A684" s="207"/>
      <c r="B684" s="207"/>
      <c r="C684" s="207"/>
      <c r="D684" s="207"/>
      <c r="E684" s="207"/>
      <c r="F684" s="207"/>
      <c r="G684" s="207"/>
      <c r="H684" s="207"/>
      <c r="I684" s="207"/>
      <c r="J684" s="207"/>
      <c r="K684" s="207"/>
      <c r="L684" s="207"/>
      <c r="M684" s="207"/>
      <c r="N684" s="207"/>
      <c r="O684" s="207"/>
      <c r="P684" s="207"/>
      <c r="Q684" s="207"/>
      <c r="R684" s="207"/>
      <c r="S684" s="207"/>
      <c r="T684" s="207"/>
      <c r="U684" s="207"/>
      <c r="V684" s="207"/>
      <c r="W684" s="207"/>
      <c r="X684" s="207"/>
      <c r="Y684" s="207"/>
      <c r="Z684" s="207"/>
      <c r="AA684" s="207"/>
      <c r="AB684" s="207"/>
      <c r="AC684" s="207"/>
      <c r="AD684" s="207"/>
      <c r="AE684" s="207"/>
      <c r="AF684" s="207"/>
      <c r="AG684" s="207"/>
      <c r="AH684" s="207"/>
      <c r="AI684" s="207"/>
      <c r="AJ684" s="207"/>
      <c r="AK684" s="207"/>
      <c r="AL684" s="207"/>
      <c r="AM684" s="207"/>
      <c r="AN684" s="207"/>
      <c r="AO684" s="207"/>
      <c r="AP684" s="207"/>
      <c r="AQ684" s="207"/>
      <c r="AR684" s="207"/>
      <c r="AS684" s="207"/>
      <c r="AT684" s="207"/>
      <c r="AU684" s="207"/>
      <c r="AV684" s="207"/>
      <c r="AW684" s="207"/>
      <c r="AX684" s="207"/>
      <c r="AY684" s="207"/>
      <c r="AZ684" s="207"/>
      <c r="BA684" s="207"/>
    </row>
    <row r="685" ht="18.75" hidden="1" customHeight="1">
      <c r="A685" s="207"/>
      <c r="B685" s="207"/>
      <c r="C685" s="207"/>
      <c r="D685" s="207"/>
      <c r="E685" s="207"/>
      <c r="F685" s="207"/>
      <c r="G685" s="207"/>
      <c r="H685" s="207"/>
      <c r="I685" s="207"/>
      <c r="J685" s="207"/>
      <c r="K685" s="207"/>
      <c r="L685" s="207"/>
      <c r="M685" s="207"/>
      <c r="N685" s="207"/>
      <c r="O685" s="207"/>
      <c r="P685" s="207"/>
      <c r="Q685" s="207"/>
      <c r="R685" s="207"/>
      <c r="S685" s="207"/>
      <c r="T685" s="207"/>
      <c r="U685" s="207"/>
      <c r="V685" s="207"/>
      <c r="W685" s="207"/>
      <c r="X685" s="207"/>
      <c r="Y685" s="207"/>
      <c r="Z685" s="207"/>
      <c r="AA685" s="207"/>
      <c r="AB685" s="207"/>
      <c r="AC685" s="207"/>
      <c r="AD685" s="207"/>
      <c r="AE685" s="207"/>
      <c r="AF685" s="207"/>
      <c r="AG685" s="207"/>
      <c r="AH685" s="207"/>
      <c r="AI685" s="207"/>
      <c r="AJ685" s="207"/>
      <c r="AK685" s="207"/>
      <c r="AL685" s="207"/>
      <c r="AM685" s="207"/>
      <c r="AN685" s="207"/>
      <c r="AO685" s="207"/>
      <c r="AP685" s="207"/>
      <c r="AQ685" s="207"/>
      <c r="AR685" s="207"/>
      <c r="AS685" s="207"/>
      <c r="AT685" s="207"/>
      <c r="AU685" s="207"/>
      <c r="AV685" s="207"/>
      <c r="AW685" s="207"/>
      <c r="AX685" s="207"/>
      <c r="AY685" s="207"/>
      <c r="AZ685" s="207"/>
      <c r="BA685" s="207"/>
    </row>
    <row r="686" ht="18.75" hidden="1" customHeight="1">
      <c r="A686" s="207"/>
      <c r="B686" s="207"/>
      <c r="C686" s="207"/>
      <c r="D686" s="207"/>
      <c r="E686" s="207"/>
      <c r="F686" s="207"/>
      <c r="G686" s="207"/>
      <c r="H686" s="207"/>
      <c r="I686" s="207"/>
      <c r="J686" s="207"/>
      <c r="K686" s="207"/>
      <c r="L686" s="207"/>
      <c r="M686" s="207"/>
      <c r="N686" s="207"/>
      <c r="O686" s="207"/>
      <c r="P686" s="207"/>
      <c r="Q686" s="207"/>
      <c r="R686" s="207"/>
      <c r="S686" s="207"/>
      <c r="T686" s="207"/>
      <c r="U686" s="207"/>
      <c r="V686" s="207"/>
      <c r="W686" s="207"/>
      <c r="X686" s="207"/>
      <c r="Y686" s="207"/>
      <c r="Z686" s="207"/>
      <c r="AA686" s="207"/>
      <c r="AB686" s="207"/>
      <c r="AC686" s="207"/>
      <c r="AD686" s="207"/>
      <c r="AE686" s="207"/>
      <c r="AF686" s="207"/>
      <c r="AG686" s="207"/>
      <c r="AH686" s="207"/>
      <c r="AI686" s="207"/>
      <c r="AJ686" s="207"/>
      <c r="AK686" s="207"/>
      <c r="AL686" s="207"/>
      <c r="AM686" s="207"/>
      <c r="AN686" s="207"/>
      <c r="AO686" s="207"/>
      <c r="AP686" s="207"/>
      <c r="AQ686" s="207"/>
      <c r="AR686" s="207"/>
      <c r="AS686" s="207"/>
      <c r="AT686" s="207"/>
      <c r="AU686" s="207"/>
      <c r="AV686" s="207"/>
      <c r="AW686" s="207"/>
      <c r="AX686" s="207"/>
      <c r="AY686" s="207"/>
      <c r="AZ686" s="207"/>
      <c r="BA686" s="207"/>
    </row>
    <row r="687" ht="18.75" hidden="1" customHeight="1">
      <c r="A687" s="207"/>
      <c r="B687" s="207"/>
      <c r="C687" s="207"/>
      <c r="D687" s="207"/>
      <c r="E687" s="207"/>
      <c r="F687" s="207"/>
      <c r="G687" s="207"/>
      <c r="H687" s="207"/>
      <c r="I687" s="207"/>
      <c r="J687" s="207"/>
      <c r="K687" s="207"/>
      <c r="L687" s="207"/>
      <c r="M687" s="207"/>
      <c r="N687" s="207"/>
      <c r="O687" s="207"/>
      <c r="P687" s="207"/>
      <c r="Q687" s="207"/>
      <c r="R687" s="207"/>
      <c r="S687" s="207"/>
      <c r="T687" s="207"/>
      <c r="U687" s="207"/>
      <c r="V687" s="207"/>
      <c r="W687" s="207"/>
      <c r="X687" s="207"/>
      <c r="Y687" s="207"/>
      <c r="Z687" s="207"/>
      <c r="AA687" s="207"/>
      <c r="AB687" s="207"/>
      <c r="AC687" s="207"/>
      <c r="AD687" s="207"/>
      <c r="AE687" s="207"/>
      <c r="AF687" s="207"/>
      <c r="AG687" s="207"/>
      <c r="AH687" s="207"/>
      <c r="AI687" s="207"/>
      <c r="AJ687" s="207"/>
      <c r="AK687" s="207"/>
      <c r="AL687" s="207"/>
      <c r="AM687" s="207"/>
      <c r="AN687" s="207"/>
      <c r="AO687" s="207"/>
      <c r="AP687" s="207"/>
      <c r="AQ687" s="207"/>
      <c r="AR687" s="207"/>
      <c r="AS687" s="207"/>
      <c r="AT687" s="207"/>
      <c r="AU687" s="207"/>
      <c r="AV687" s="207"/>
      <c r="AW687" s="207"/>
      <c r="AX687" s="207"/>
      <c r="AY687" s="207"/>
      <c r="AZ687" s="207"/>
      <c r="BA687" s="207"/>
    </row>
    <row r="688" ht="18.75" hidden="1" customHeight="1">
      <c r="A688" s="207"/>
      <c r="B688" s="207"/>
      <c r="C688" s="207"/>
      <c r="D688" s="207"/>
      <c r="E688" s="207"/>
      <c r="F688" s="207"/>
      <c r="G688" s="207"/>
      <c r="H688" s="207"/>
      <c r="I688" s="207"/>
      <c r="J688" s="207"/>
      <c r="K688" s="207"/>
      <c r="L688" s="207"/>
      <c r="M688" s="207"/>
      <c r="N688" s="207"/>
      <c r="O688" s="207"/>
      <c r="P688" s="207"/>
      <c r="Q688" s="207"/>
      <c r="R688" s="207"/>
      <c r="S688" s="207"/>
      <c r="T688" s="207"/>
      <c r="U688" s="207"/>
      <c r="V688" s="207"/>
      <c r="W688" s="207"/>
      <c r="X688" s="207"/>
      <c r="Y688" s="207"/>
      <c r="Z688" s="207"/>
      <c r="AA688" s="207"/>
      <c r="AB688" s="207"/>
      <c r="AC688" s="207"/>
      <c r="AD688" s="207"/>
      <c r="AE688" s="207"/>
      <c r="AF688" s="207"/>
      <c r="AG688" s="207"/>
      <c r="AH688" s="207"/>
      <c r="AI688" s="207"/>
      <c r="AJ688" s="207"/>
      <c r="AK688" s="207"/>
      <c r="AL688" s="207"/>
      <c r="AM688" s="207"/>
      <c r="AN688" s="207"/>
      <c r="AO688" s="207"/>
      <c r="AP688" s="207"/>
      <c r="AQ688" s="207"/>
      <c r="AR688" s="207"/>
      <c r="AS688" s="207"/>
      <c r="AT688" s="207"/>
      <c r="AU688" s="207"/>
      <c r="AV688" s="207"/>
      <c r="AW688" s="207"/>
      <c r="AX688" s="207"/>
      <c r="AY688" s="207"/>
      <c r="AZ688" s="207"/>
      <c r="BA688" s="207"/>
    </row>
    <row r="689" ht="18.75" hidden="1" customHeight="1">
      <c r="A689" s="207"/>
      <c r="B689" s="207"/>
      <c r="C689" s="207"/>
      <c r="D689" s="207"/>
      <c r="E689" s="207"/>
      <c r="F689" s="207"/>
      <c r="G689" s="207"/>
      <c r="H689" s="207"/>
      <c r="I689" s="207"/>
      <c r="J689" s="207"/>
      <c r="K689" s="207"/>
      <c r="L689" s="207"/>
      <c r="M689" s="207"/>
      <c r="N689" s="207"/>
      <c r="O689" s="207"/>
      <c r="P689" s="207"/>
      <c r="Q689" s="207"/>
      <c r="R689" s="207"/>
      <c r="S689" s="207"/>
      <c r="T689" s="207"/>
      <c r="U689" s="207"/>
      <c r="V689" s="207"/>
      <c r="W689" s="207"/>
      <c r="X689" s="207"/>
      <c r="Y689" s="207"/>
      <c r="Z689" s="207"/>
      <c r="AA689" s="207"/>
      <c r="AB689" s="207"/>
      <c r="AC689" s="207"/>
      <c r="AD689" s="207"/>
      <c r="AE689" s="207"/>
      <c r="AF689" s="207"/>
      <c r="AG689" s="207"/>
      <c r="AH689" s="207"/>
      <c r="AI689" s="207"/>
      <c r="AJ689" s="207"/>
      <c r="AK689" s="207"/>
      <c r="AL689" s="207"/>
      <c r="AM689" s="207"/>
      <c r="AN689" s="207"/>
      <c r="AO689" s="207"/>
      <c r="AP689" s="207"/>
      <c r="AQ689" s="207"/>
      <c r="AR689" s="207"/>
      <c r="AS689" s="207"/>
      <c r="AT689" s="207"/>
      <c r="AU689" s="207"/>
      <c r="AV689" s="207"/>
      <c r="AW689" s="207"/>
      <c r="AX689" s="207"/>
      <c r="AY689" s="207"/>
      <c r="AZ689" s="207"/>
      <c r="BA689" s="207"/>
    </row>
    <row r="690" ht="18.75" hidden="1" customHeight="1">
      <c r="A690" s="207"/>
      <c r="B690" s="207"/>
      <c r="C690" s="207"/>
      <c r="D690" s="207"/>
      <c r="E690" s="207"/>
      <c r="F690" s="207"/>
      <c r="G690" s="207"/>
      <c r="H690" s="207"/>
      <c r="I690" s="207"/>
      <c r="J690" s="207"/>
      <c r="K690" s="207"/>
      <c r="L690" s="207"/>
      <c r="M690" s="207"/>
      <c r="N690" s="207"/>
      <c r="O690" s="207"/>
      <c r="P690" s="207"/>
      <c r="Q690" s="207"/>
      <c r="R690" s="207"/>
      <c r="S690" s="207"/>
      <c r="T690" s="207"/>
      <c r="U690" s="207"/>
      <c r="V690" s="207"/>
      <c r="W690" s="207"/>
      <c r="X690" s="207"/>
      <c r="Y690" s="207"/>
      <c r="Z690" s="207"/>
      <c r="AA690" s="207"/>
      <c r="AB690" s="207"/>
      <c r="AC690" s="207"/>
      <c r="AD690" s="207"/>
      <c r="AE690" s="207"/>
      <c r="AF690" s="207"/>
      <c r="AG690" s="207"/>
      <c r="AH690" s="207"/>
      <c r="AI690" s="207"/>
      <c r="AJ690" s="207"/>
      <c r="AK690" s="207"/>
      <c r="AL690" s="207"/>
      <c r="AM690" s="207"/>
      <c r="AN690" s="207"/>
      <c r="AO690" s="207"/>
      <c r="AP690" s="207"/>
      <c r="AQ690" s="207"/>
      <c r="AR690" s="207"/>
      <c r="AS690" s="207"/>
      <c r="AT690" s="207"/>
      <c r="AU690" s="207"/>
      <c r="AV690" s="207"/>
      <c r="AW690" s="207"/>
      <c r="AX690" s="207"/>
      <c r="AY690" s="207"/>
      <c r="AZ690" s="207"/>
      <c r="BA690" s="207"/>
    </row>
    <row r="691" ht="18.75" hidden="1" customHeight="1">
      <c r="A691" s="207"/>
      <c r="B691" s="207"/>
      <c r="C691" s="207"/>
      <c r="D691" s="207"/>
      <c r="E691" s="207"/>
      <c r="F691" s="207"/>
      <c r="G691" s="207"/>
      <c r="H691" s="207"/>
      <c r="I691" s="207"/>
      <c r="J691" s="207"/>
      <c r="K691" s="207"/>
      <c r="L691" s="207"/>
      <c r="M691" s="207"/>
      <c r="N691" s="207"/>
      <c r="O691" s="207"/>
      <c r="P691" s="207"/>
      <c r="Q691" s="207"/>
      <c r="R691" s="207"/>
      <c r="S691" s="207"/>
      <c r="T691" s="207"/>
      <c r="U691" s="207"/>
      <c r="V691" s="207"/>
      <c r="W691" s="207"/>
      <c r="X691" s="207"/>
      <c r="Y691" s="207"/>
      <c r="Z691" s="207"/>
      <c r="AA691" s="207"/>
      <c r="AB691" s="207"/>
      <c r="AC691" s="207"/>
      <c r="AD691" s="207"/>
      <c r="AE691" s="207"/>
      <c r="AF691" s="207"/>
      <c r="AG691" s="207"/>
      <c r="AH691" s="207"/>
      <c r="AI691" s="207"/>
      <c r="AJ691" s="207"/>
      <c r="AK691" s="207"/>
      <c r="AL691" s="207"/>
      <c r="AM691" s="207"/>
      <c r="AN691" s="207"/>
      <c r="AO691" s="207"/>
      <c r="AP691" s="207"/>
      <c r="AQ691" s="207"/>
      <c r="AR691" s="207"/>
      <c r="AS691" s="207"/>
      <c r="AT691" s="207"/>
      <c r="AU691" s="207"/>
      <c r="AV691" s="207"/>
      <c r="AW691" s="207"/>
      <c r="AX691" s="207"/>
      <c r="AY691" s="207"/>
      <c r="AZ691" s="207"/>
      <c r="BA691" s="207"/>
    </row>
    <row r="692" ht="18.75" hidden="1" customHeight="1">
      <c r="A692" s="207"/>
      <c r="B692" s="207"/>
      <c r="C692" s="207"/>
      <c r="D692" s="207"/>
      <c r="E692" s="207"/>
      <c r="F692" s="207"/>
      <c r="G692" s="207"/>
      <c r="H692" s="207"/>
      <c r="I692" s="207"/>
      <c r="J692" s="207"/>
      <c r="K692" s="207"/>
      <c r="L692" s="207"/>
      <c r="M692" s="207"/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  <c r="AA692" s="207"/>
      <c r="AB692" s="207"/>
      <c r="AC692" s="207"/>
      <c r="AD692" s="207"/>
      <c r="AE692" s="207"/>
      <c r="AF692" s="207"/>
      <c r="AG692" s="207"/>
      <c r="AH692" s="207"/>
      <c r="AI692" s="207"/>
      <c r="AJ692" s="207"/>
      <c r="AK692" s="207"/>
      <c r="AL692" s="207"/>
      <c r="AM692" s="207"/>
      <c r="AN692" s="207"/>
      <c r="AO692" s="207"/>
      <c r="AP692" s="207"/>
      <c r="AQ692" s="207"/>
      <c r="AR692" s="207"/>
      <c r="AS692" s="207"/>
      <c r="AT692" s="207"/>
      <c r="AU692" s="207"/>
      <c r="AV692" s="207"/>
      <c r="AW692" s="207"/>
      <c r="AX692" s="207"/>
      <c r="AY692" s="207"/>
      <c r="AZ692" s="207"/>
      <c r="BA692" s="207"/>
    </row>
    <row r="693" ht="18.75" hidden="1" customHeight="1">
      <c r="A693" s="207"/>
      <c r="B693" s="207"/>
      <c r="C693" s="207"/>
      <c r="D693" s="207"/>
      <c r="E693" s="207"/>
      <c r="F693" s="207"/>
      <c r="G693" s="207"/>
      <c r="H693" s="207"/>
      <c r="I693" s="207"/>
      <c r="J693" s="207"/>
      <c r="K693" s="207"/>
      <c r="L693" s="207"/>
      <c r="M693" s="207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  <c r="AA693" s="207"/>
      <c r="AB693" s="207"/>
      <c r="AC693" s="207"/>
      <c r="AD693" s="207"/>
      <c r="AE693" s="207"/>
      <c r="AF693" s="207"/>
      <c r="AG693" s="207"/>
      <c r="AH693" s="207"/>
      <c r="AI693" s="207"/>
      <c r="AJ693" s="207"/>
      <c r="AK693" s="207"/>
      <c r="AL693" s="207"/>
      <c r="AM693" s="207"/>
      <c r="AN693" s="207"/>
      <c r="AO693" s="207"/>
      <c r="AP693" s="207"/>
      <c r="AQ693" s="207"/>
      <c r="AR693" s="207"/>
      <c r="AS693" s="207"/>
      <c r="AT693" s="207"/>
      <c r="AU693" s="207"/>
      <c r="AV693" s="207"/>
      <c r="AW693" s="207"/>
      <c r="AX693" s="207"/>
      <c r="AY693" s="207"/>
      <c r="AZ693" s="207"/>
      <c r="BA693" s="207"/>
    </row>
    <row r="694" ht="18.75" hidden="1" customHeight="1">
      <c r="A694" s="207"/>
      <c r="B694" s="207"/>
      <c r="C694" s="207"/>
      <c r="D694" s="207"/>
      <c r="E694" s="207"/>
      <c r="F694" s="207"/>
      <c r="G694" s="207"/>
      <c r="H694" s="207"/>
      <c r="I694" s="207"/>
      <c r="J694" s="207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  <c r="AA694" s="207"/>
      <c r="AB694" s="207"/>
      <c r="AC694" s="207"/>
      <c r="AD694" s="207"/>
      <c r="AE694" s="207"/>
      <c r="AF694" s="207"/>
      <c r="AG694" s="207"/>
      <c r="AH694" s="207"/>
      <c r="AI694" s="207"/>
      <c r="AJ694" s="207"/>
      <c r="AK694" s="207"/>
      <c r="AL694" s="207"/>
      <c r="AM694" s="207"/>
      <c r="AN694" s="207"/>
      <c r="AO694" s="207"/>
      <c r="AP694" s="207"/>
      <c r="AQ694" s="207"/>
      <c r="AR694" s="207"/>
      <c r="AS694" s="207"/>
      <c r="AT694" s="207"/>
      <c r="AU694" s="207"/>
      <c r="AV694" s="207"/>
      <c r="AW694" s="207"/>
      <c r="AX694" s="207"/>
      <c r="AY694" s="207"/>
      <c r="AZ694" s="207"/>
      <c r="BA694" s="207"/>
    </row>
    <row r="695" ht="18.75" hidden="1" customHeight="1">
      <c r="A695" s="207"/>
      <c r="B695" s="207"/>
      <c r="C695" s="207"/>
      <c r="D695" s="207"/>
      <c r="E695" s="207"/>
      <c r="F695" s="207"/>
      <c r="G695" s="207"/>
      <c r="H695" s="207"/>
      <c r="I695" s="207"/>
      <c r="J695" s="207"/>
      <c r="K695" s="207"/>
      <c r="L695" s="207"/>
      <c r="M695" s="207"/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  <c r="AA695" s="207"/>
      <c r="AB695" s="207"/>
      <c r="AC695" s="207"/>
      <c r="AD695" s="207"/>
      <c r="AE695" s="207"/>
      <c r="AF695" s="207"/>
      <c r="AG695" s="207"/>
      <c r="AH695" s="207"/>
      <c r="AI695" s="207"/>
      <c r="AJ695" s="207"/>
      <c r="AK695" s="207"/>
      <c r="AL695" s="207"/>
      <c r="AM695" s="207"/>
      <c r="AN695" s="207"/>
      <c r="AO695" s="207"/>
      <c r="AP695" s="207"/>
      <c r="AQ695" s="207"/>
      <c r="AR695" s="207"/>
      <c r="AS695" s="207"/>
      <c r="AT695" s="207"/>
      <c r="AU695" s="207"/>
      <c r="AV695" s="207"/>
      <c r="AW695" s="207"/>
      <c r="AX695" s="207"/>
      <c r="AY695" s="207"/>
      <c r="AZ695" s="207"/>
      <c r="BA695" s="207"/>
    </row>
    <row r="696" ht="18.75" hidden="1" customHeight="1">
      <c r="A696" s="207"/>
      <c r="B696" s="207"/>
      <c r="C696" s="207"/>
      <c r="D696" s="207"/>
      <c r="E696" s="207"/>
      <c r="F696" s="207"/>
      <c r="G696" s="207"/>
      <c r="H696" s="207"/>
      <c r="I696" s="207"/>
      <c r="J696" s="207"/>
      <c r="K696" s="207"/>
      <c r="L696" s="207"/>
      <c r="M696" s="207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  <c r="AA696" s="207"/>
      <c r="AB696" s="207"/>
      <c r="AC696" s="207"/>
      <c r="AD696" s="207"/>
      <c r="AE696" s="207"/>
      <c r="AF696" s="207"/>
      <c r="AG696" s="207"/>
      <c r="AH696" s="207"/>
      <c r="AI696" s="207"/>
      <c r="AJ696" s="207"/>
      <c r="AK696" s="207"/>
      <c r="AL696" s="207"/>
      <c r="AM696" s="207"/>
      <c r="AN696" s="207"/>
      <c r="AO696" s="207"/>
      <c r="AP696" s="207"/>
      <c r="AQ696" s="207"/>
      <c r="AR696" s="207"/>
      <c r="AS696" s="207"/>
      <c r="AT696" s="207"/>
      <c r="AU696" s="207"/>
      <c r="AV696" s="207"/>
      <c r="AW696" s="207"/>
      <c r="AX696" s="207"/>
      <c r="AY696" s="207"/>
      <c r="AZ696" s="207"/>
      <c r="BA696" s="207"/>
    </row>
    <row r="697" ht="18.75" hidden="1" customHeight="1">
      <c r="A697" s="207"/>
      <c r="B697" s="207"/>
      <c r="C697" s="207"/>
      <c r="D697" s="207"/>
      <c r="E697" s="207"/>
      <c r="F697" s="207"/>
      <c r="G697" s="207"/>
      <c r="H697" s="207"/>
      <c r="I697" s="207"/>
      <c r="J697" s="207"/>
      <c r="K697" s="207"/>
      <c r="L697" s="207"/>
      <c r="M697" s="207"/>
      <c r="N697" s="207"/>
      <c r="O697" s="207"/>
      <c r="P697" s="207"/>
      <c r="Q697" s="207"/>
      <c r="R697" s="207"/>
      <c r="S697" s="207"/>
      <c r="T697" s="207"/>
      <c r="U697" s="207"/>
      <c r="V697" s="207"/>
      <c r="W697" s="207"/>
      <c r="X697" s="207"/>
      <c r="Y697" s="207"/>
      <c r="Z697" s="207"/>
      <c r="AA697" s="207"/>
      <c r="AB697" s="207"/>
      <c r="AC697" s="207"/>
      <c r="AD697" s="207"/>
      <c r="AE697" s="207"/>
      <c r="AF697" s="207"/>
      <c r="AG697" s="207"/>
      <c r="AH697" s="207"/>
      <c r="AI697" s="207"/>
      <c r="AJ697" s="207"/>
      <c r="AK697" s="207"/>
      <c r="AL697" s="207"/>
      <c r="AM697" s="207"/>
      <c r="AN697" s="207"/>
      <c r="AO697" s="207"/>
      <c r="AP697" s="207"/>
      <c r="AQ697" s="207"/>
      <c r="AR697" s="207"/>
      <c r="AS697" s="207"/>
      <c r="AT697" s="207"/>
      <c r="AU697" s="207"/>
      <c r="AV697" s="207"/>
      <c r="AW697" s="207"/>
      <c r="AX697" s="207"/>
      <c r="AY697" s="207"/>
      <c r="AZ697" s="207"/>
      <c r="BA697" s="207"/>
    </row>
    <row r="698" ht="18.75" hidden="1" customHeight="1">
      <c r="A698" s="207"/>
      <c r="B698" s="207"/>
      <c r="C698" s="207"/>
      <c r="D698" s="207"/>
      <c r="E698" s="207"/>
      <c r="F698" s="207"/>
      <c r="G698" s="207"/>
      <c r="H698" s="207"/>
      <c r="I698" s="207"/>
      <c r="J698" s="207"/>
      <c r="K698" s="207"/>
      <c r="L698" s="207"/>
      <c r="M698" s="207"/>
      <c r="N698" s="207"/>
      <c r="O698" s="207"/>
      <c r="P698" s="207"/>
      <c r="Q698" s="207"/>
      <c r="R698" s="207"/>
      <c r="S698" s="207"/>
      <c r="T698" s="207"/>
      <c r="U698" s="207"/>
      <c r="V698" s="207"/>
      <c r="W698" s="207"/>
      <c r="X698" s="207"/>
      <c r="Y698" s="207"/>
      <c r="Z698" s="207"/>
      <c r="AA698" s="207"/>
      <c r="AB698" s="207"/>
      <c r="AC698" s="207"/>
      <c r="AD698" s="207"/>
      <c r="AE698" s="207"/>
      <c r="AF698" s="207"/>
      <c r="AG698" s="207"/>
      <c r="AH698" s="207"/>
      <c r="AI698" s="207"/>
      <c r="AJ698" s="207"/>
      <c r="AK698" s="207"/>
      <c r="AL698" s="207"/>
      <c r="AM698" s="207"/>
      <c r="AN698" s="207"/>
      <c r="AO698" s="207"/>
      <c r="AP698" s="207"/>
      <c r="AQ698" s="207"/>
      <c r="AR698" s="207"/>
      <c r="AS698" s="207"/>
      <c r="AT698" s="207"/>
      <c r="AU698" s="207"/>
      <c r="AV698" s="207"/>
      <c r="AW698" s="207"/>
      <c r="AX698" s="207"/>
      <c r="AY698" s="207"/>
      <c r="AZ698" s="207"/>
      <c r="BA698" s="207"/>
    </row>
    <row r="699" ht="18.75" hidden="1" customHeight="1">
      <c r="A699" s="207"/>
      <c r="B699" s="207"/>
      <c r="C699" s="207"/>
      <c r="D699" s="207"/>
      <c r="E699" s="207"/>
      <c r="F699" s="207"/>
      <c r="G699" s="207"/>
      <c r="H699" s="207"/>
      <c r="I699" s="207"/>
      <c r="J699" s="207"/>
      <c r="K699" s="207"/>
      <c r="L699" s="207"/>
      <c r="M699" s="207"/>
      <c r="N699" s="207"/>
      <c r="O699" s="207"/>
      <c r="P699" s="207"/>
      <c r="Q699" s="207"/>
      <c r="R699" s="207"/>
      <c r="S699" s="207"/>
      <c r="T699" s="207"/>
      <c r="U699" s="207"/>
      <c r="V699" s="207"/>
      <c r="W699" s="207"/>
      <c r="X699" s="207"/>
      <c r="Y699" s="207"/>
      <c r="Z699" s="207"/>
      <c r="AA699" s="207"/>
      <c r="AB699" s="207"/>
      <c r="AC699" s="207"/>
      <c r="AD699" s="207"/>
      <c r="AE699" s="207"/>
      <c r="AF699" s="207"/>
      <c r="AG699" s="207"/>
      <c r="AH699" s="207"/>
      <c r="AI699" s="207"/>
      <c r="AJ699" s="207"/>
      <c r="AK699" s="207"/>
      <c r="AL699" s="207"/>
      <c r="AM699" s="207"/>
      <c r="AN699" s="207"/>
      <c r="AO699" s="207"/>
      <c r="AP699" s="207"/>
      <c r="AQ699" s="207"/>
      <c r="AR699" s="207"/>
      <c r="AS699" s="207"/>
      <c r="AT699" s="207"/>
      <c r="AU699" s="207"/>
      <c r="AV699" s="207"/>
      <c r="AW699" s="207"/>
      <c r="AX699" s="207"/>
      <c r="AY699" s="207"/>
      <c r="AZ699" s="207"/>
      <c r="BA699" s="207"/>
    </row>
    <row r="700" ht="18.75" hidden="1" customHeight="1">
      <c r="A700" s="207"/>
      <c r="B700" s="207"/>
      <c r="C700" s="207"/>
      <c r="D700" s="207"/>
      <c r="E700" s="207"/>
      <c r="F700" s="207"/>
      <c r="G700" s="207"/>
      <c r="H700" s="207"/>
      <c r="I700" s="207"/>
      <c r="J700" s="207"/>
      <c r="K700" s="207"/>
      <c r="L700" s="207"/>
      <c r="M700" s="207"/>
      <c r="N700" s="207"/>
      <c r="O700" s="207"/>
      <c r="P700" s="207"/>
      <c r="Q700" s="207"/>
      <c r="R700" s="207"/>
      <c r="S700" s="207"/>
      <c r="T700" s="207"/>
      <c r="U700" s="207"/>
      <c r="V700" s="207"/>
      <c r="W700" s="207"/>
      <c r="X700" s="207"/>
      <c r="Y700" s="207"/>
      <c r="Z700" s="207"/>
      <c r="AA700" s="207"/>
      <c r="AB700" s="207"/>
      <c r="AC700" s="207"/>
      <c r="AD700" s="207"/>
      <c r="AE700" s="207"/>
      <c r="AF700" s="207"/>
      <c r="AG700" s="207"/>
      <c r="AH700" s="207"/>
      <c r="AI700" s="207"/>
      <c r="AJ700" s="207"/>
      <c r="AK700" s="207"/>
      <c r="AL700" s="207"/>
      <c r="AM700" s="207"/>
      <c r="AN700" s="207"/>
      <c r="AO700" s="207"/>
      <c r="AP700" s="207"/>
      <c r="AQ700" s="207"/>
      <c r="AR700" s="207"/>
      <c r="AS700" s="207"/>
      <c r="AT700" s="207"/>
      <c r="AU700" s="207"/>
      <c r="AV700" s="207"/>
      <c r="AW700" s="207"/>
      <c r="AX700" s="207"/>
      <c r="AY700" s="207"/>
      <c r="AZ700" s="207"/>
      <c r="BA700" s="207"/>
    </row>
    <row r="701" ht="18.75" hidden="1" customHeight="1">
      <c r="A701" s="207"/>
      <c r="B701" s="207"/>
      <c r="C701" s="207"/>
      <c r="D701" s="207"/>
      <c r="E701" s="207"/>
      <c r="F701" s="207"/>
      <c r="G701" s="207"/>
      <c r="H701" s="207"/>
      <c r="I701" s="207"/>
      <c r="J701" s="207"/>
      <c r="K701" s="207"/>
      <c r="L701" s="207"/>
      <c r="M701" s="207"/>
      <c r="N701" s="207"/>
      <c r="O701" s="207"/>
      <c r="P701" s="207"/>
      <c r="Q701" s="207"/>
      <c r="R701" s="207"/>
      <c r="S701" s="207"/>
      <c r="T701" s="207"/>
      <c r="U701" s="207"/>
      <c r="V701" s="207"/>
      <c r="W701" s="207"/>
      <c r="X701" s="207"/>
      <c r="Y701" s="207"/>
      <c r="Z701" s="207"/>
      <c r="AA701" s="207"/>
      <c r="AB701" s="207"/>
      <c r="AC701" s="207"/>
      <c r="AD701" s="207"/>
      <c r="AE701" s="207"/>
      <c r="AF701" s="207"/>
      <c r="AG701" s="207"/>
      <c r="AH701" s="207"/>
      <c r="AI701" s="207"/>
      <c r="AJ701" s="207"/>
      <c r="AK701" s="207"/>
      <c r="AL701" s="207"/>
      <c r="AM701" s="207"/>
      <c r="AN701" s="207"/>
      <c r="AO701" s="207"/>
      <c r="AP701" s="207"/>
      <c r="AQ701" s="207"/>
      <c r="AR701" s="207"/>
      <c r="AS701" s="207"/>
      <c r="AT701" s="207"/>
      <c r="AU701" s="207"/>
      <c r="AV701" s="207"/>
      <c r="AW701" s="207"/>
      <c r="AX701" s="207"/>
      <c r="AY701" s="207"/>
      <c r="AZ701" s="207"/>
      <c r="BA701" s="207"/>
    </row>
    <row r="702" ht="18.75" hidden="1" customHeight="1">
      <c r="A702" s="207"/>
      <c r="B702" s="207"/>
      <c r="C702" s="207"/>
      <c r="D702" s="207"/>
      <c r="E702" s="207"/>
      <c r="F702" s="207"/>
      <c r="G702" s="207"/>
      <c r="H702" s="207"/>
      <c r="I702" s="207"/>
      <c r="J702" s="207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  <c r="AA702" s="207"/>
      <c r="AB702" s="207"/>
      <c r="AC702" s="207"/>
      <c r="AD702" s="207"/>
      <c r="AE702" s="207"/>
      <c r="AF702" s="207"/>
      <c r="AG702" s="207"/>
      <c r="AH702" s="207"/>
      <c r="AI702" s="207"/>
      <c r="AJ702" s="207"/>
      <c r="AK702" s="207"/>
      <c r="AL702" s="207"/>
      <c r="AM702" s="207"/>
      <c r="AN702" s="207"/>
      <c r="AO702" s="207"/>
      <c r="AP702" s="207"/>
      <c r="AQ702" s="207"/>
      <c r="AR702" s="207"/>
      <c r="AS702" s="207"/>
      <c r="AT702" s="207"/>
      <c r="AU702" s="207"/>
      <c r="AV702" s="207"/>
      <c r="AW702" s="207"/>
      <c r="AX702" s="207"/>
      <c r="AY702" s="207"/>
      <c r="AZ702" s="207"/>
      <c r="BA702" s="207"/>
    </row>
    <row r="703" ht="18.75" hidden="1" customHeight="1">
      <c r="A703" s="207"/>
      <c r="B703" s="207"/>
      <c r="C703" s="207"/>
      <c r="D703" s="207"/>
      <c r="E703" s="207"/>
      <c r="F703" s="207"/>
      <c r="G703" s="207"/>
      <c r="H703" s="207"/>
      <c r="I703" s="207"/>
      <c r="J703" s="207"/>
      <c r="K703" s="207"/>
      <c r="L703" s="207"/>
      <c r="M703" s="207"/>
      <c r="N703" s="207"/>
      <c r="O703" s="207"/>
      <c r="P703" s="207"/>
      <c r="Q703" s="207"/>
      <c r="R703" s="207"/>
      <c r="S703" s="207"/>
      <c r="T703" s="207"/>
      <c r="U703" s="207"/>
      <c r="V703" s="207"/>
      <c r="W703" s="207"/>
      <c r="X703" s="207"/>
      <c r="Y703" s="207"/>
      <c r="Z703" s="207"/>
      <c r="AA703" s="207"/>
      <c r="AB703" s="207"/>
      <c r="AC703" s="207"/>
      <c r="AD703" s="207"/>
      <c r="AE703" s="207"/>
      <c r="AF703" s="207"/>
      <c r="AG703" s="207"/>
      <c r="AH703" s="207"/>
      <c r="AI703" s="207"/>
      <c r="AJ703" s="207"/>
      <c r="AK703" s="207"/>
      <c r="AL703" s="207"/>
      <c r="AM703" s="207"/>
      <c r="AN703" s="207"/>
      <c r="AO703" s="207"/>
      <c r="AP703" s="207"/>
      <c r="AQ703" s="207"/>
      <c r="AR703" s="207"/>
      <c r="AS703" s="207"/>
      <c r="AT703" s="207"/>
      <c r="AU703" s="207"/>
      <c r="AV703" s="207"/>
      <c r="AW703" s="207"/>
      <c r="AX703" s="207"/>
      <c r="AY703" s="207"/>
      <c r="AZ703" s="207"/>
      <c r="BA703" s="207"/>
    </row>
    <row r="704" ht="18.75" hidden="1" customHeight="1">
      <c r="A704" s="207"/>
      <c r="B704" s="207"/>
      <c r="C704" s="207"/>
      <c r="D704" s="207"/>
      <c r="E704" s="207"/>
      <c r="F704" s="207"/>
      <c r="G704" s="207"/>
      <c r="H704" s="207"/>
      <c r="I704" s="207"/>
      <c r="J704" s="207"/>
      <c r="K704" s="207"/>
      <c r="L704" s="207"/>
      <c r="M704" s="207"/>
      <c r="N704" s="207"/>
      <c r="O704" s="207"/>
      <c r="P704" s="207"/>
      <c r="Q704" s="207"/>
      <c r="R704" s="207"/>
      <c r="S704" s="207"/>
      <c r="T704" s="207"/>
      <c r="U704" s="207"/>
      <c r="V704" s="207"/>
      <c r="W704" s="207"/>
      <c r="X704" s="207"/>
      <c r="Y704" s="207"/>
      <c r="Z704" s="207"/>
      <c r="AA704" s="207"/>
      <c r="AB704" s="207"/>
      <c r="AC704" s="207"/>
      <c r="AD704" s="207"/>
      <c r="AE704" s="207"/>
      <c r="AF704" s="207"/>
      <c r="AG704" s="207"/>
      <c r="AH704" s="207"/>
      <c r="AI704" s="207"/>
      <c r="AJ704" s="207"/>
      <c r="AK704" s="207"/>
      <c r="AL704" s="207"/>
      <c r="AM704" s="207"/>
      <c r="AN704" s="207"/>
      <c r="AO704" s="207"/>
      <c r="AP704" s="207"/>
      <c r="AQ704" s="207"/>
      <c r="AR704" s="207"/>
      <c r="AS704" s="207"/>
      <c r="AT704" s="207"/>
      <c r="AU704" s="207"/>
      <c r="AV704" s="207"/>
      <c r="AW704" s="207"/>
      <c r="AX704" s="207"/>
      <c r="AY704" s="207"/>
      <c r="AZ704" s="207"/>
      <c r="BA704" s="207"/>
    </row>
    <row r="705" ht="18.75" hidden="1" customHeight="1">
      <c r="A705" s="207"/>
      <c r="B705" s="207"/>
      <c r="C705" s="207"/>
      <c r="D705" s="207"/>
      <c r="E705" s="207"/>
      <c r="F705" s="207"/>
      <c r="G705" s="207"/>
      <c r="H705" s="207"/>
      <c r="I705" s="207"/>
      <c r="J705" s="207"/>
      <c r="K705" s="207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  <c r="AA705" s="207"/>
      <c r="AB705" s="207"/>
      <c r="AC705" s="207"/>
      <c r="AD705" s="207"/>
      <c r="AE705" s="207"/>
      <c r="AF705" s="207"/>
      <c r="AG705" s="207"/>
      <c r="AH705" s="207"/>
      <c r="AI705" s="207"/>
      <c r="AJ705" s="207"/>
      <c r="AK705" s="207"/>
      <c r="AL705" s="207"/>
      <c r="AM705" s="207"/>
      <c r="AN705" s="207"/>
      <c r="AO705" s="207"/>
      <c r="AP705" s="207"/>
      <c r="AQ705" s="207"/>
      <c r="AR705" s="207"/>
      <c r="AS705" s="207"/>
      <c r="AT705" s="207"/>
      <c r="AU705" s="207"/>
      <c r="AV705" s="207"/>
      <c r="AW705" s="207"/>
      <c r="AX705" s="207"/>
      <c r="AY705" s="207"/>
      <c r="AZ705" s="207"/>
      <c r="BA705" s="207"/>
    </row>
    <row r="706" ht="18.75" hidden="1" customHeight="1">
      <c r="A706" s="207"/>
      <c r="B706" s="207"/>
      <c r="C706" s="207"/>
      <c r="D706" s="207"/>
      <c r="E706" s="207"/>
      <c r="F706" s="207"/>
      <c r="G706" s="207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  <c r="AA706" s="207"/>
      <c r="AB706" s="207"/>
      <c r="AC706" s="207"/>
      <c r="AD706" s="207"/>
      <c r="AE706" s="207"/>
      <c r="AF706" s="207"/>
      <c r="AG706" s="207"/>
      <c r="AH706" s="207"/>
      <c r="AI706" s="207"/>
      <c r="AJ706" s="207"/>
      <c r="AK706" s="207"/>
      <c r="AL706" s="207"/>
      <c r="AM706" s="207"/>
      <c r="AN706" s="207"/>
      <c r="AO706" s="207"/>
      <c r="AP706" s="207"/>
      <c r="AQ706" s="207"/>
      <c r="AR706" s="207"/>
      <c r="AS706" s="207"/>
      <c r="AT706" s="207"/>
      <c r="AU706" s="207"/>
      <c r="AV706" s="207"/>
      <c r="AW706" s="207"/>
      <c r="AX706" s="207"/>
      <c r="AY706" s="207"/>
      <c r="AZ706" s="207"/>
      <c r="BA706" s="207"/>
    </row>
    <row r="707" ht="18.75" hidden="1" customHeight="1">
      <c r="A707" s="207"/>
      <c r="B707" s="207"/>
      <c r="C707" s="207"/>
      <c r="D707" s="207"/>
      <c r="E707" s="207"/>
      <c r="F707" s="207"/>
      <c r="G707" s="207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  <c r="AA707" s="207"/>
      <c r="AB707" s="207"/>
      <c r="AC707" s="207"/>
      <c r="AD707" s="207"/>
      <c r="AE707" s="207"/>
      <c r="AF707" s="207"/>
      <c r="AG707" s="207"/>
      <c r="AH707" s="207"/>
      <c r="AI707" s="207"/>
      <c r="AJ707" s="207"/>
      <c r="AK707" s="207"/>
      <c r="AL707" s="207"/>
      <c r="AM707" s="207"/>
      <c r="AN707" s="207"/>
      <c r="AO707" s="207"/>
      <c r="AP707" s="207"/>
      <c r="AQ707" s="207"/>
      <c r="AR707" s="207"/>
      <c r="AS707" s="207"/>
      <c r="AT707" s="207"/>
      <c r="AU707" s="207"/>
      <c r="AV707" s="207"/>
      <c r="AW707" s="207"/>
      <c r="AX707" s="207"/>
      <c r="AY707" s="207"/>
      <c r="AZ707" s="207"/>
      <c r="BA707" s="207"/>
    </row>
    <row r="708" ht="18.75" hidden="1" customHeight="1">
      <c r="A708" s="207"/>
      <c r="B708" s="207"/>
      <c r="C708" s="207"/>
      <c r="D708" s="207"/>
      <c r="E708" s="207"/>
      <c r="F708" s="207"/>
      <c r="G708" s="207"/>
      <c r="H708" s="207"/>
      <c r="I708" s="207"/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  <c r="AA708" s="207"/>
      <c r="AB708" s="207"/>
      <c r="AC708" s="207"/>
      <c r="AD708" s="207"/>
      <c r="AE708" s="207"/>
      <c r="AF708" s="207"/>
      <c r="AG708" s="207"/>
      <c r="AH708" s="207"/>
      <c r="AI708" s="207"/>
      <c r="AJ708" s="207"/>
      <c r="AK708" s="207"/>
      <c r="AL708" s="207"/>
      <c r="AM708" s="207"/>
      <c r="AN708" s="207"/>
      <c r="AO708" s="207"/>
      <c r="AP708" s="207"/>
      <c r="AQ708" s="207"/>
      <c r="AR708" s="207"/>
      <c r="AS708" s="207"/>
      <c r="AT708" s="207"/>
      <c r="AU708" s="207"/>
      <c r="AV708" s="207"/>
      <c r="AW708" s="207"/>
      <c r="AX708" s="207"/>
      <c r="AY708" s="207"/>
      <c r="AZ708" s="207"/>
      <c r="BA708" s="207"/>
    </row>
    <row r="709" ht="18.75" hidden="1" customHeight="1">
      <c r="A709" s="207"/>
      <c r="B709" s="207"/>
      <c r="C709" s="207"/>
      <c r="D709" s="207"/>
      <c r="E709" s="207"/>
      <c r="F709" s="207"/>
      <c r="G709" s="207"/>
      <c r="H709" s="207"/>
      <c r="I709" s="207"/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  <c r="AA709" s="207"/>
      <c r="AB709" s="207"/>
      <c r="AC709" s="207"/>
      <c r="AD709" s="207"/>
      <c r="AE709" s="207"/>
      <c r="AF709" s="207"/>
      <c r="AG709" s="207"/>
      <c r="AH709" s="207"/>
      <c r="AI709" s="207"/>
      <c r="AJ709" s="207"/>
      <c r="AK709" s="207"/>
      <c r="AL709" s="207"/>
      <c r="AM709" s="207"/>
      <c r="AN709" s="207"/>
      <c r="AO709" s="207"/>
      <c r="AP709" s="207"/>
      <c r="AQ709" s="207"/>
      <c r="AR709" s="207"/>
      <c r="AS709" s="207"/>
      <c r="AT709" s="207"/>
      <c r="AU709" s="207"/>
      <c r="AV709" s="207"/>
      <c r="AW709" s="207"/>
      <c r="AX709" s="207"/>
      <c r="AY709" s="207"/>
      <c r="AZ709" s="207"/>
      <c r="BA709" s="207"/>
    </row>
    <row r="710" ht="18.75" hidden="1" customHeight="1">
      <c r="A710" s="207"/>
      <c r="B710" s="207"/>
      <c r="C710" s="207"/>
      <c r="D710" s="207"/>
      <c r="E710" s="207"/>
      <c r="F710" s="207"/>
      <c r="G710" s="207"/>
      <c r="H710" s="207"/>
      <c r="I710" s="207"/>
      <c r="J710" s="207"/>
      <c r="K710" s="207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  <c r="AA710" s="207"/>
      <c r="AB710" s="207"/>
      <c r="AC710" s="207"/>
      <c r="AD710" s="207"/>
      <c r="AE710" s="207"/>
      <c r="AF710" s="207"/>
      <c r="AG710" s="207"/>
      <c r="AH710" s="207"/>
      <c r="AI710" s="207"/>
      <c r="AJ710" s="207"/>
      <c r="AK710" s="207"/>
      <c r="AL710" s="207"/>
      <c r="AM710" s="207"/>
      <c r="AN710" s="207"/>
      <c r="AO710" s="207"/>
      <c r="AP710" s="207"/>
      <c r="AQ710" s="207"/>
      <c r="AR710" s="207"/>
      <c r="AS710" s="207"/>
      <c r="AT710" s="207"/>
      <c r="AU710" s="207"/>
      <c r="AV710" s="207"/>
      <c r="AW710" s="207"/>
      <c r="AX710" s="207"/>
      <c r="AY710" s="207"/>
      <c r="AZ710" s="207"/>
      <c r="BA710" s="207"/>
    </row>
    <row r="711" ht="18.75" hidden="1" customHeight="1">
      <c r="A711" s="207"/>
      <c r="B711" s="207"/>
      <c r="C711" s="207"/>
      <c r="D711" s="207"/>
      <c r="E711" s="207"/>
      <c r="F711" s="207"/>
      <c r="G711" s="207"/>
      <c r="H711" s="207"/>
      <c r="I711" s="207"/>
      <c r="J711" s="207"/>
      <c r="K711" s="207"/>
      <c r="L711" s="207"/>
      <c r="M711" s="207"/>
      <c r="N711" s="207"/>
      <c r="O711" s="207"/>
      <c r="P711" s="207"/>
      <c r="Q711" s="207"/>
      <c r="R711" s="207"/>
      <c r="S711" s="207"/>
      <c r="T711" s="207"/>
      <c r="U711" s="207"/>
      <c r="V711" s="207"/>
      <c r="W711" s="207"/>
      <c r="X711" s="207"/>
      <c r="Y711" s="207"/>
      <c r="Z711" s="207"/>
      <c r="AA711" s="207"/>
      <c r="AB711" s="207"/>
      <c r="AC711" s="207"/>
      <c r="AD711" s="207"/>
      <c r="AE711" s="207"/>
      <c r="AF711" s="207"/>
      <c r="AG711" s="207"/>
      <c r="AH711" s="207"/>
      <c r="AI711" s="207"/>
      <c r="AJ711" s="207"/>
      <c r="AK711" s="207"/>
      <c r="AL711" s="207"/>
      <c r="AM711" s="207"/>
      <c r="AN711" s="207"/>
      <c r="AO711" s="207"/>
      <c r="AP711" s="207"/>
      <c r="AQ711" s="207"/>
      <c r="AR711" s="207"/>
      <c r="AS711" s="207"/>
      <c r="AT711" s="207"/>
      <c r="AU711" s="207"/>
      <c r="AV711" s="207"/>
      <c r="AW711" s="207"/>
      <c r="AX711" s="207"/>
      <c r="AY711" s="207"/>
      <c r="AZ711" s="207"/>
      <c r="BA711" s="207"/>
    </row>
    <row r="712" ht="18.75" hidden="1" customHeight="1">
      <c r="A712" s="207"/>
      <c r="B712" s="207"/>
      <c r="C712" s="207"/>
      <c r="D712" s="207"/>
      <c r="E712" s="207"/>
      <c r="F712" s="207"/>
      <c r="G712" s="207"/>
      <c r="H712" s="207"/>
      <c r="I712" s="207"/>
      <c r="J712" s="207"/>
      <c r="K712" s="207"/>
      <c r="L712" s="207"/>
      <c r="M712" s="207"/>
      <c r="N712" s="207"/>
      <c r="O712" s="207"/>
      <c r="P712" s="207"/>
      <c r="Q712" s="207"/>
      <c r="R712" s="207"/>
      <c r="S712" s="207"/>
      <c r="T712" s="207"/>
      <c r="U712" s="207"/>
      <c r="V712" s="207"/>
      <c r="W712" s="207"/>
      <c r="X712" s="207"/>
      <c r="Y712" s="207"/>
      <c r="Z712" s="207"/>
      <c r="AA712" s="207"/>
      <c r="AB712" s="207"/>
      <c r="AC712" s="207"/>
      <c r="AD712" s="207"/>
      <c r="AE712" s="207"/>
      <c r="AF712" s="207"/>
      <c r="AG712" s="207"/>
      <c r="AH712" s="207"/>
      <c r="AI712" s="207"/>
      <c r="AJ712" s="207"/>
      <c r="AK712" s="207"/>
      <c r="AL712" s="207"/>
      <c r="AM712" s="207"/>
      <c r="AN712" s="207"/>
      <c r="AO712" s="207"/>
      <c r="AP712" s="207"/>
      <c r="AQ712" s="207"/>
      <c r="AR712" s="207"/>
      <c r="AS712" s="207"/>
      <c r="AT712" s="207"/>
      <c r="AU712" s="207"/>
      <c r="AV712" s="207"/>
      <c r="AW712" s="207"/>
      <c r="AX712" s="207"/>
      <c r="AY712" s="207"/>
      <c r="AZ712" s="207"/>
      <c r="BA712" s="207"/>
    </row>
    <row r="713" ht="18.75" hidden="1" customHeight="1">
      <c r="A713" s="207"/>
      <c r="B713" s="207"/>
      <c r="C713" s="207"/>
      <c r="D713" s="207"/>
      <c r="E713" s="207"/>
      <c r="F713" s="207"/>
      <c r="G713" s="207"/>
      <c r="H713" s="207"/>
      <c r="I713" s="207"/>
      <c r="J713" s="207"/>
      <c r="K713" s="207"/>
      <c r="L713" s="207"/>
      <c r="M713" s="207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207"/>
      <c r="Y713" s="207"/>
      <c r="Z713" s="207"/>
      <c r="AA713" s="207"/>
      <c r="AB713" s="207"/>
      <c r="AC713" s="207"/>
      <c r="AD713" s="207"/>
      <c r="AE713" s="207"/>
      <c r="AF713" s="207"/>
      <c r="AG713" s="207"/>
      <c r="AH713" s="207"/>
      <c r="AI713" s="207"/>
      <c r="AJ713" s="207"/>
      <c r="AK713" s="207"/>
      <c r="AL713" s="207"/>
      <c r="AM713" s="207"/>
      <c r="AN713" s="207"/>
      <c r="AO713" s="207"/>
      <c r="AP713" s="207"/>
      <c r="AQ713" s="207"/>
      <c r="AR713" s="207"/>
      <c r="AS713" s="207"/>
      <c r="AT713" s="207"/>
      <c r="AU713" s="207"/>
      <c r="AV713" s="207"/>
      <c r="AW713" s="207"/>
      <c r="AX713" s="207"/>
      <c r="AY713" s="207"/>
      <c r="AZ713" s="207"/>
      <c r="BA713" s="207"/>
    </row>
    <row r="714" ht="18.75" hidden="1" customHeight="1">
      <c r="A714" s="207"/>
      <c r="B714" s="207"/>
      <c r="C714" s="207"/>
      <c r="D714" s="207"/>
      <c r="E714" s="207"/>
      <c r="F714" s="207"/>
      <c r="G714" s="207"/>
      <c r="H714" s="207"/>
      <c r="I714" s="207"/>
      <c r="J714" s="207"/>
      <c r="K714" s="207"/>
      <c r="L714" s="207"/>
      <c r="M714" s="207"/>
      <c r="N714" s="207"/>
      <c r="O714" s="207"/>
      <c r="P714" s="207"/>
      <c r="Q714" s="207"/>
      <c r="R714" s="207"/>
      <c r="S714" s="207"/>
      <c r="T714" s="207"/>
      <c r="U714" s="207"/>
      <c r="V714" s="207"/>
      <c r="W714" s="207"/>
      <c r="X714" s="207"/>
      <c r="Y714" s="207"/>
      <c r="Z714" s="207"/>
      <c r="AA714" s="207"/>
      <c r="AB714" s="207"/>
      <c r="AC714" s="207"/>
      <c r="AD714" s="207"/>
      <c r="AE714" s="207"/>
      <c r="AF714" s="207"/>
      <c r="AG714" s="207"/>
      <c r="AH714" s="207"/>
      <c r="AI714" s="207"/>
      <c r="AJ714" s="207"/>
      <c r="AK714" s="207"/>
      <c r="AL714" s="207"/>
      <c r="AM714" s="207"/>
      <c r="AN714" s="207"/>
      <c r="AO714" s="207"/>
      <c r="AP714" s="207"/>
      <c r="AQ714" s="207"/>
      <c r="AR714" s="207"/>
      <c r="AS714" s="207"/>
      <c r="AT714" s="207"/>
      <c r="AU714" s="207"/>
      <c r="AV714" s="207"/>
      <c r="AW714" s="207"/>
      <c r="AX714" s="207"/>
      <c r="AY714" s="207"/>
      <c r="AZ714" s="207"/>
      <c r="BA714" s="207"/>
    </row>
    <row r="715" ht="18.75" hidden="1" customHeight="1">
      <c r="A715" s="207"/>
      <c r="B715" s="207"/>
      <c r="C715" s="207"/>
      <c r="D715" s="207"/>
      <c r="E715" s="207"/>
      <c r="F715" s="207"/>
      <c r="G715" s="207"/>
      <c r="H715" s="207"/>
      <c r="I715" s="207"/>
      <c r="J715" s="207"/>
      <c r="K715" s="207"/>
      <c r="L715" s="207"/>
      <c r="M715" s="207"/>
      <c r="N715" s="207"/>
      <c r="O715" s="207"/>
      <c r="P715" s="207"/>
      <c r="Q715" s="207"/>
      <c r="R715" s="207"/>
      <c r="S715" s="207"/>
      <c r="T715" s="207"/>
      <c r="U715" s="207"/>
      <c r="V715" s="207"/>
      <c r="W715" s="207"/>
      <c r="X715" s="207"/>
      <c r="Y715" s="207"/>
      <c r="Z715" s="207"/>
      <c r="AA715" s="207"/>
      <c r="AB715" s="207"/>
      <c r="AC715" s="207"/>
      <c r="AD715" s="207"/>
      <c r="AE715" s="207"/>
      <c r="AF715" s="207"/>
      <c r="AG715" s="207"/>
      <c r="AH715" s="207"/>
      <c r="AI715" s="207"/>
      <c r="AJ715" s="207"/>
      <c r="AK715" s="207"/>
      <c r="AL715" s="207"/>
      <c r="AM715" s="207"/>
      <c r="AN715" s="207"/>
      <c r="AO715" s="207"/>
      <c r="AP715" s="207"/>
      <c r="AQ715" s="207"/>
      <c r="AR715" s="207"/>
      <c r="AS715" s="207"/>
      <c r="AT715" s="207"/>
      <c r="AU715" s="207"/>
      <c r="AV715" s="207"/>
      <c r="AW715" s="207"/>
      <c r="AX715" s="207"/>
      <c r="AY715" s="207"/>
      <c r="AZ715" s="207"/>
      <c r="BA715" s="207"/>
    </row>
    <row r="716" ht="18.75" hidden="1" customHeight="1">
      <c r="A716" s="207"/>
      <c r="B716" s="207"/>
      <c r="C716" s="207"/>
      <c r="D716" s="207"/>
      <c r="E716" s="207"/>
      <c r="F716" s="207"/>
      <c r="G716" s="207"/>
      <c r="H716" s="207"/>
      <c r="I716" s="207"/>
      <c r="J716" s="207"/>
      <c r="K716" s="207"/>
      <c r="L716" s="207"/>
      <c r="M716" s="207"/>
      <c r="N716" s="207"/>
      <c r="O716" s="207"/>
      <c r="P716" s="207"/>
      <c r="Q716" s="207"/>
      <c r="R716" s="207"/>
      <c r="S716" s="207"/>
      <c r="T716" s="207"/>
      <c r="U716" s="207"/>
      <c r="V716" s="207"/>
      <c r="W716" s="207"/>
      <c r="X716" s="207"/>
      <c r="Y716" s="207"/>
      <c r="Z716" s="207"/>
      <c r="AA716" s="207"/>
      <c r="AB716" s="207"/>
      <c r="AC716" s="207"/>
      <c r="AD716" s="207"/>
      <c r="AE716" s="207"/>
      <c r="AF716" s="207"/>
      <c r="AG716" s="207"/>
      <c r="AH716" s="207"/>
      <c r="AI716" s="207"/>
      <c r="AJ716" s="207"/>
      <c r="AK716" s="207"/>
      <c r="AL716" s="207"/>
      <c r="AM716" s="207"/>
      <c r="AN716" s="207"/>
      <c r="AO716" s="207"/>
      <c r="AP716" s="207"/>
      <c r="AQ716" s="207"/>
      <c r="AR716" s="207"/>
      <c r="AS716" s="207"/>
      <c r="AT716" s="207"/>
      <c r="AU716" s="207"/>
      <c r="AV716" s="207"/>
      <c r="AW716" s="207"/>
      <c r="AX716" s="207"/>
      <c r="AY716" s="207"/>
      <c r="AZ716" s="207"/>
      <c r="BA716" s="207"/>
    </row>
    <row r="717" ht="18.75" hidden="1" customHeight="1">
      <c r="A717" s="207"/>
      <c r="B717" s="207"/>
      <c r="C717" s="207"/>
      <c r="D717" s="207"/>
      <c r="E717" s="207"/>
      <c r="F717" s="207"/>
      <c r="G717" s="207"/>
      <c r="H717" s="207"/>
      <c r="I717" s="207"/>
      <c r="J717" s="207"/>
      <c r="K717" s="207"/>
      <c r="L717" s="207"/>
      <c r="M717" s="207"/>
      <c r="N717" s="207"/>
      <c r="O717" s="207"/>
      <c r="P717" s="207"/>
      <c r="Q717" s="207"/>
      <c r="R717" s="207"/>
      <c r="S717" s="207"/>
      <c r="T717" s="207"/>
      <c r="U717" s="207"/>
      <c r="V717" s="207"/>
      <c r="W717" s="207"/>
      <c r="X717" s="207"/>
      <c r="Y717" s="207"/>
      <c r="Z717" s="207"/>
      <c r="AA717" s="207"/>
      <c r="AB717" s="207"/>
      <c r="AC717" s="207"/>
      <c r="AD717" s="207"/>
      <c r="AE717" s="207"/>
      <c r="AF717" s="207"/>
      <c r="AG717" s="207"/>
      <c r="AH717" s="207"/>
      <c r="AI717" s="207"/>
      <c r="AJ717" s="207"/>
      <c r="AK717" s="207"/>
      <c r="AL717" s="207"/>
      <c r="AM717" s="207"/>
      <c r="AN717" s="207"/>
      <c r="AO717" s="207"/>
      <c r="AP717" s="207"/>
      <c r="AQ717" s="207"/>
      <c r="AR717" s="207"/>
      <c r="AS717" s="207"/>
      <c r="AT717" s="207"/>
      <c r="AU717" s="207"/>
      <c r="AV717" s="207"/>
      <c r="AW717" s="207"/>
      <c r="AX717" s="207"/>
      <c r="AY717" s="207"/>
      <c r="AZ717" s="207"/>
      <c r="BA717" s="207"/>
    </row>
    <row r="718" ht="18.75" hidden="1" customHeight="1">
      <c r="A718" s="207"/>
      <c r="B718" s="207"/>
      <c r="C718" s="207"/>
      <c r="D718" s="207"/>
      <c r="E718" s="207"/>
      <c r="F718" s="207"/>
      <c r="G718" s="207"/>
      <c r="H718" s="207"/>
      <c r="I718" s="207"/>
      <c r="J718" s="207"/>
      <c r="K718" s="207"/>
      <c r="L718" s="207"/>
      <c r="M718" s="207"/>
      <c r="N718" s="207"/>
      <c r="O718" s="207"/>
      <c r="P718" s="207"/>
      <c r="Q718" s="207"/>
      <c r="R718" s="207"/>
      <c r="S718" s="207"/>
      <c r="T718" s="207"/>
      <c r="U718" s="207"/>
      <c r="V718" s="207"/>
      <c r="W718" s="207"/>
      <c r="X718" s="207"/>
      <c r="Y718" s="207"/>
      <c r="Z718" s="207"/>
      <c r="AA718" s="207"/>
      <c r="AB718" s="207"/>
      <c r="AC718" s="207"/>
      <c r="AD718" s="207"/>
      <c r="AE718" s="207"/>
      <c r="AF718" s="207"/>
      <c r="AG718" s="207"/>
      <c r="AH718" s="207"/>
      <c r="AI718" s="207"/>
      <c r="AJ718" s="207"/>
      <c r="AK718" s="207"/>
      <c r="AL718" s="207"/>
      <c r="AM718" s="207"/>
      <c r="AN718" s="207"/>
      <c r="AO718" s="207"/>
      <c r="AP718" s="207"/>
      <c r="AQ718" s="207"/>
      <c r="AR718" s="207"/>
      <c r="AS718" s="207"/>
      <c r="AT718" s="207"/>
      <c r="AU718" s="207"/>
      <c r="AV718" s="207"/>
      <c r="AW718" s="207"/>
      <c r="AX718" s="207"/>
      <c r="AY718" s="207"/>
      <c r="AZ718" s="207"/>
      <c r="BA718" s="207"/>
    </row>
    <row r="719" ht="18.75" hidden="1" customHeight="1">
      <c r="A719" s="207"/>
      <c r="B719" s="207"/>
      <c r="C719" s="207"/>
      <c r="D719" s="207"/>
      <c r="E719" s="207"/>
      <c r="F719" s="207"/>
      <c r="G719" s="207"/>
      <c r="H719" s="207"/>
      <c r="I719" s="207"/>
      <c r="J719" s="207"/>
      <c r="K719" s="207"/>
      <c r="L719" s="207"/>
      <c r="M719" s="207"/>
      <c r="N719" s="207"/>
      <c r="O719" s="207"/>
      <c r="P719" s="207"/>
      <c r="Q719" s="207"/>
      <c r="R719" s="207"/>
      <c r="S719" s="207"/>
      <c r="T719" s="207"/>
      <c r="U719" s="207"/>
      <c r="V719" s="207"/>
      <c r="W719" s="207"/>
      <c r="X719" s="207"/>
      <c r="Y719" s="207"/>
      <c r="Z719" s="207"/>
      <c r="AA719" s="207"/>
      <c r="AB719" s="207"/>
      <c r="AC719" s="207"/>
      <c r="AD719" s="207"/>
      <c r="AE719" s="207"/>
      <c r="AF719" s="207"/>
      <c r="AG719" s="207"/>
      <c r="AH719" s="207"/>
      <c r="AI719" s="207"/>
      <c r="AJ719" s="207"/>
      <c r="AK719" s="207"/>
      <c r="AL719" s="207"/>
      <c r="AM719" s="207"/>
      <c r="AN719" s="207"/>
      <c r="AO719" s="207"/>
      <c r="AP719" s="207"/>
      <c r="AQ719" s="207"/>
      <c r="AR719" s="207"/>
      <c r="AS719" s="207"/>
      <c r="AT719" s="207"/>
      <c r="AU719" s="207"/>
      <c r="AV719" s="207"/>
      <c r="AW719" s="207"/>
      <c r="AX719" s="207"/>
      <c r="AY719" s="207"/>
      <c r="AZ719" s="207"/>
      <c r="BA719" s="207"/>
    </row>
    <row r="720" ht="18.75" hidden="1" customHeight="1">
      <c r="A720" s="207"/>
      <c r="B720" s="207"/>
      <c r="C720" s="207"/>
      <c r="D720" s="207"/>
      <c r="E720" s="207"/>
      <c r="F720" s="207"/>
      <c r="G720" s="207"/>
      <c r="H720" s="207"/>
      <c r="I720" s="207"/>
      <c r="J720" s="207"/>
      <c r="K720" s="207"/>
      <c r="L720" s="207"/>
      <c r="M720" s="207"/>
      <c r="N720" s="207"/>
      <c r="O720" s="207"/>
      <c r="P720" s="207"/>
      <c r="Q720" s="207"/>
      <c r="R720" s="207"/>
      <c r="S720" s="207"/>
      <c r="T720" s="207"/>
      <c r="U720" s="207"/>
      <c r="V720" s="207"/>
      <c r="W720" s="207"/>
      <c r="X720" s="207"/>
      <c r="Y720" s="207"/>
      <c r="Z720" s="207"/>
      <c r="AA720" s="207"/>
      <c r="AB720" s="207"/>
      <c r="AC720" s="207"/>
      <c r="AD720" s="207"/>
      <c r="AE720" s="207"/>
      <c r="AF720" s="207"/>
      <c r="AG720" s="207"/>
      <c r="AH720" s="207"/>
      <c r="AI720" s="207"/>
      <c r="AJ720" s="207"/>
      <c r="AK720" s="207"/>
      <c r="AL720" s="207"/>
      <c r="AM720" s="207"/>
      <c r="AN720" s="207"/>
      <c r="AO720" s="207"/>
      <c r="AP720" s="207"/>
      <c r="AQ720" s="207"/>
      <c r="AR720" s="207"/>
      <c r="AS720" s="207"/>
      <c r="AT720" s="207"/>
      <c r="AU720" s="207"/>
      <c r="AV720" s="207"/>
      <c r="AW720" s="207"/>
      <c r="AX720" s="207"/>
      <c r="AY720" s="207"/>
      <c r="AZ720" s="207"/>
      <c r="BA720" s="207"/>
    </row>
    <row r="721" ht="18.75" hidden="1" customHeight="1">
      <c r="A721" s="207"/>
      <c r="B721" s="207"/>
      <c r="C721" s="207"/>
      <c r="D721" s="207"/>
      <c r="E721" s="207"/>
      <c r="F721" s="207"/>
      <c r="G721" s="207"/>
      <c r="H721" s="207"/>
      <c r="I721" s="207"/>
      <c r="J721" s="207"/>
      <c r="K721" s="207"/>
      <c r="L721" s="207"/>
      <c r="M721" s="207"/>
      <c r="N721" s="207"/>
      <c r="O721" s="207"/>
      <c r="P721" s="207"/>
      <c r="Q721" s="207"/>
      <c r="R721" s="207"/>
      <c r="S721" s="207"/>
      <c r="T721" s="207"/>
      <c r="U721" s="207"/>
      <c r="V721" s="207"/>
      <c r="W721" s="207"/>
      <c r="X721" s="207"/>
      <c r="Y721" s="207"/>
      <c r="Z721" s="207"/>
      <c r="AA721" s="207"/>
      <c r="AB721" s="207"/>
      <c r="AC721" s="207"/>
      <c r="AD721" s="207"/>
      <c r="AE721" s="207"/>
      <c r="AF721" s="207"/>
      <c r="AG721" s="207"/>
      <c r="AH721" s="207"/>
      <c r="AI721" s="207"/>
      <c r="AJ721" s="207"/>
      <c r="AK721" s="207"/>
      <c r="AL721" s="207"/>
      <c r="AM721" s="207"/>
      <c r="AN721" s="207"/>
      <c r="AO721" s="207"/>
      <c r="AP721" s="207"/>
      <c r="AQ721" s="207"/>
      <c r="AR721" s="207"/>
      <c r="AS721" s="207"/>
      <c r="AT721" s="207"/>
      <c r="AU721" s="207"/>
      <c r="AV721" s="207"/>
      <c r="AW721" s="207"/>
      <c r="AX721" s="207"/>
      <c r="AY721" s="207"/>
      <c r="AZ721" s="207"/>
      <c r="BA721" s="207"/>
    </row>
    <row r="722" ht="18.75" hidden="1" customHeight="1">
      <c r="A722" s="207"/>
      <c r="B722" s="207"/>
      <c r="C722" s="207"/>
      <c r="D722" s="207"/>
      <c r="E722" s="207"/>
      <c r="F722" s="207"/>
      <c r="G722" s="207"/>
      <c r="H722" s="207"/>
      <c r="I722" s="207"/>
      <c r="J722" s="207"/>
      <c r="K722" s="207"/>
      <c r="L722" s="207"/>
      <c r="M722" s="207"/>
      <c r="N722" s="207"/>
      <c r="O722" s="207"/>
      <c r="P722" s="207"/>
      <c r="Q722" s="207"/>
      <c r="R722" s="207"/>
      <c r="S722" s="207"/>
      <c r="T722" s="207"/>
      <c r="U722" s="207"/>
      <c r="V722" s="207"/>
      <c r="W722" s="207"/>
      <c r="X722" s="207"/>
      <c r="Y722" s="207"/>
      <c r="Z722" s="207"/>
      <c r="AA722" s="207"/>
      <c r="AB722" s="207"/>
      <c r="AC722" s="207"/>
      <c r="AD722" s="207"/>
      <c r="AE722" s="207"/>
      <c r="AF722" s="207"/>
      <c r="AG722" s="207"/>
      <c r="AH722" s="207"/>
      <c r="AI722" s="207"/>
      <c r="AJ722" s="207"/>
      <c r="AK722" s="207"/>
      <c r="AL722" s="207"/>
      <c r="AM722" s="207"/>
      <c r="AN722" s="207"/>
      <c r="AO722" s="207"/>
      <c r="AP722" s="207"/>
      <c r="AQ722" s="207"/>
      <c r="AR722" s="207"/>
      <c r="AS722" s="207"/>
      <c r="AT722" s="207"/>
      <c r="AU722" s="207"/>
      <c r="AV722" s="207"/>
      <c r="AW722" s="207"/>
      <c r="AX722" s="207"/>
      <c r="AY722" s="207"/>
      <c r="AZ722" s="207"/>
      <c r="BA722" s="207"/>
    </row>
    <row r="723" ht="18.75" hidden="1" customHeight="1">
      <c r="A723" s="207"/>
      <c r="B723" s="207"/>
      <c r="C723" s="207"/>
      <c r="D723" s="207"/>
      <c r="E723" s="207"/>
      <c r="F723" s="207"/>
      <c r="G723" s="207"/>
      <c r="H723" s="207"/>
      <c r="I723" s="207"/>
      <c r="J723" s="207"/>
      <c r="K723" s="207"/>
      <c r="L723" s="207"/>
      <c r="M723" s="207"/>
      <c r="N723" s="207"/>
      <c r="O723" s="207"/>
      <c r="P723" s="207"/>
      <c r="Q723" s="207"/>
      <c r="R723" s="207"/>
      <c r="S723" s="207"/>
      <c r="T723" s="207"/>
      <c r="U723" s="207"/>
      <c r="V723" s="207"/>
      <c r="W723" s="207"/>
      <c r="X723" s="207"/>
      <c r="Y723" s="207"/>
      <c r="Z723" s="207"/>
      <c r="AA723" s="207"/>
      <c r="AB723" s="207"/>
      <c r="AC723" s="207"/>
      <c r="AD723" s="207"/>
      <c r="AE723" s="207"/>
      <c r="AF723" s="207"/>
      <c r="AG723" s="207"/>
      <c r="AH723" s="207"/>
      <c r="AI723" s="207"/>
      <c r="AJ723" s="207"/>
      <c r="AK723" s="207"/>
      <c r="AL723" s="207"/>
      <c r="AM723" s="207"/>
      <c r="AN723" s="207"/>
      <c r="AO723" s="207"/>
      <c r="AP723" s="207"/>
      <c r="AQ723" s="207"/>
      <c r="AR723" s="207"/>
      <c r="AS723" s="207"/>
      <c r="AT723" s="207"/>
      <c r="AU723" s="207"/>
      <c r="AV723" s="207"/>
      <c r="AW723" s="207"/>
      <c r="AX723" s="207"/>
      <c r="AY723" s="207"/>
      <c r="AZ723" s="207"/>
      <c r="BA723" s="207"/>
    </row>
    <row r="724" ht="18.75" hidden="1" customHeight="1">
      <c r="A724" s="207"/>
      <c r="B724" s="207"/>
      <c r="C724" s="207"/>
      <c r="D724" s="207"/>
      <c r="E724" s="207"/>
      <c r="F724" s="207"/>
      <c r="G724" s="207"/>
      <c r="H724" s="207"/>
      <c r="I724" s="207"/>
      <c r="J724" s="207"/>
      <c r="K724" s="207"/>
      <c r="L724" s="207"/>
      <c r="M724" s="207"/>
      <c r="N724" s="207"/>
      <c r="O724" s="207"/>
      <c r="P724" s="207"/>
      <c r="Q724" s="207"/>
      <c r="R724" s="207"/>
      <c r="S724" s="207"/>
      <c r="T724" s="207"/>
      <c r="U724" s="207"/>
      <c r="V724" s="207"/>
      <c r="W724" s="207"/>
      <c r="X724" s="207"/>
      <c r="Y724" s="207"/>
      <c r="Z724" s="207"/>
      <c r="AA724" s="207"/>
      <c r="AB724" s="207"/>
      <c r="AC724" s="207"/>
      <c r="AD724" s="207"/>
      <c r="AE724" s="207"/>
      <c r="AF724" s="207"/>
      <c r="AG724" s="207"/>
      <c r="AH724" s="207"/>
      <c r="AI724" s="207"/>
      <c r="AJ724" s="207"/>
      <c r="AK724" s="207"/>
      <c r="AL724" s="207"/>
      <c r="AM724" s="207"/>
      <c r="AN724" s="207"/>
      <c r="AO724" s="207"/>
      <c r="AP724" s="207"/>
      <c r="AQ724" s="207"/>
      <c r="AR724" s="207"/>
      <c r="AS724" s="207"/>
      <c r="AT724" s="207"/>
      <c r="AU724" s="207"/>
      <c r="AV724" s="207"/>
      <c r="AW724" s="207"/>
      <c r="AX724" s="207"/>
      <c r="AY724" s="207"/>
      <c r="AZ724" s="207"/>
      <c r="BA724" s="207"/>
    </row>
    <row r="725" ht="18.75" hidden="1" customHeight="1">
      <c r="A725" s="207"/>
      <c r="B725" s="207"/>
      <c r="C725" s="207"/>
      <c r="D725" s="207"/>
      <c r="E725" s="207"/>
      <c r="F725" s="207"/>
      <c r="G725" s="207"/>
      <c r="H725" s="207"/>
      <c r="I725" s="207"/>
      <c r="J725" s="207"/>
      <c r="K725" s="207"/>
      <c r="L725" s="207"/>
      <c r="M725" s="207"/>
      <c r="N725" s="207"/>
      <c r="O725" s="207"/>
      <c r="P725" s="207"/>
      <c r="Q725" s="207"/>
      <c r="R725" s="207"/>
      <c r="S725" s="207"/>
      <c r="T725" s="207"/>
      <c r="U725" s="207"/>
      <c r="V725" s="207"/>
      <c r="W725" s="207"/>
      <c r="X725" s="207"/>
      <c r="Y725" s="207"/>
      <c r="Z725" s="207"/>
      <c r="AA725" s="207"/>
      <c r="AB725" s="207"/>
      <c r="AC725" s="207"/>
      <c r="AD725" s="207"/>
      <c r="AE725" s="207"/>
      <c r="AF725" s="207"/>
      <c r="AG725" s="207"/>
      <c r="AH725" s="207"/>
      <c r="AI725" s="207"/>
      <c r="AJ725" s="207"/>
      <c r="AK725" s="207"/>
      <c r="AL725" s="207"/>
      <c r="AM725" s="207"/>
      <c r="AN725" s="207"/>
      <c r="AO725" s="207"/>
      <c r="AP725" s="207"/>
      <c r="AQ725" s="207"/>
      <c r="AR725" s="207"/>
      <c r="AS725" s="207"/>
      <c r="AT725" s="207"/>
      <c r="AU725" s="207"/>
      <c r="AV725" s="207"/>
      <c r="AW725" s="207"/>
      <c r="AX725" s="207"/>
      <c r="AY725" s="207"/>
      <c r="AZ725" s="207"/>
      <c r="BA725" s="207"/>
    </row>
    <row r="726" ht="18.75" hidden="1" customHeight="1">
      <c r="A726" s="207"/>
      <c r="B726" s="207"/>
      <c r="C726" s="207"/>
      <c r="D726" s="207"/>
      <c r="E726" s="207"/>
      <c r="F726" s="207"/>
      <c r="G726" s="207"/>
      <c r="H726" s="207"/>
      <c r="I726" s="207"/>
      <c r="J726" s="207"/>
      <c r="K726" s="207"/>
      <c r="L726" s="207"/>
      <c r="M726" s="207"/>
      <c r="N726" s="207"/>
      <c r="O726" s="207"/>
      <c r="P726" s="207"/>
      <c r="Q726" s="207"/>
      <c r="R726" s="207"/>
      <c r="S726" s="207"/>
      <c r="T726" s="207"/>
      <c r="U726" s="207"/>
      <c r="V726" s="207"/>
      <c r="W726" s="207"/>
      <c r="X726" s="207"/>
      <c r="Y726" s="207"/>
      <c r="Z726" s="207"/>
      <c r="AA726" s="207"/>
      <c r="AB726" s="207"/>
      <c r="AC726" s="207"/>
      <c r="AD726" s="207"/>
      <c r="AE726" s="207"/>
      <c r="AF726" s="207"/>
      <c r="AG726" s="207"/>
      <c r="AH726" s="207"/>
      <c r="AI726" s="207"/>
      <c r="AJ726" s="207"/>
      <c r="AK726" s="207"/>
      <c r="AL726" s="207"/>
      <c r="AM726" s="207"/>
      <c r="AN726" s="207"/>
      <c r="AO726" s="207"/>
      <c r="AP726" s="207"/>
      <c r="AQ726" s="207"/>
      <c r="AR726" s="207"/>
      <c r="AS726" s="207"/>
      <c r="AT726" s="207"/>
      <c r="AU726" s="207"/>
      <c r="AV726" s="207"/>
      <c r="AW726" s="207"/>
      <c r="AX726" s="207"/>
      <c r="AY726" s="207"/>
      <c r="AZ726" s="207"/>
      <c r="BA726" s="207"/>
    </row>
    <row r="727" ht="18.75" hidden="1" customHeight="1">
      <c r="A727" s="207"/>
      <c r="B727" s="207"/>
      <c r="C727" s="207"/>
      <c r="D727" s="207"/>
      <c r="E727" s="207"/>
      <c r="F727" s="207"/>
      <c r="G727" s="207"/>
      <c r="H727" s="207"/>
      <c r="I727" s="207"/>
      <c r="J727" s="207"/>
      <c r="K727" s="207"/>
      <c r="L727" s="207"/>
      <c r="M727" s="207"/>
      <c r="N727" s="207"/>
      <c r="O727" s="207"/>
      <c r="P727" s="207"/>
      <c r="Q727" s="207"/>
      <c r="R727" s="207"/>
      <c r="S727" s="207"/>
      <c r="T727" s="207"/>
      <c r="U727" s="207"/>
      <c r="V727" s="207"/>
      <c r="W727" s="207"/>
      <c r="X727" s="207"/>
      <c r="Y727" s="207"/>
      <c r="Z727" s="207"/>
      <c r="AA727" s="207"/>
      <c r="AB727" s="207"/>
      <c r="AC727" s="207"/>
      <c r="AD727" s="207"/>
      <c r="AE727" s="207"/>
      <c r="AF727" s="207"/>
      <c r="AG727" s="207"/>
      <c r="AH727" s="207"/>
      <c r="AI727" s="207"/>
      <c r="AJ727" s="207"/>
      <c r="AK727" s="207"/>
      <c r="AL727" s="207"/>
      <c r="AM727" s="207"/>
      <c r="AN727" s="207"/>
      <c r="AO727" s="207"/>
      <c r="AP727" s="207"/>
      <c r="AQ727" s="207"/>
      <c r="AR727" s="207"/>
      <c r="AS727" s="207"/>
      <c r="AT727" s="207"/>
      <c r="AU727" s="207"/>
      <c r="AV727" s="207"/>
      <c r="AW727" s="207"/>
      <c r="AX727" s="207"/>
      <c r="AY727" s="207"/>
      <c r="AZ727" s="207"/>
      <c r="BA727" s="207"/>
    </row>
    <row r="728" ht="18.75" hidden="1" customHeight="1">
      <c r="A728" s="207"/>
      <c r="B728" s="207"/>
      <c r="C728" s="207"/>
      <c r="D728" s="207"/>
      <c r="E728" s="207"/>
      <c r="F728" s="207"/>
      <c r="G728" s="207"/>
      <c r="H728" s="207"/>
      <c r="I728" s="207"/>
      <c r="J728" s="207"/>
      <c r="K728" s="207"/>
      <c r="L728" s="207"/>
      <c r="M728" s="207"/>
      <c r="N728" s="207"/>
      <c r="O728" s="207"/>
      <c r="P728" s="207"/>
      <c r="Q728" s="207"/>
      <c r="R728" s="207"/>
      <c r="S728" s="207"/>
      <c r="T728" s="207"/>
      <c r="U728" s="207"/>
      <c r="V728" s="207"/>
      <c r="W728" s="207"/>
      <c r="X728" s="207"/>
      <c r="Y728" s="207"/>
      <c r="Z728" s="207"/>
      <c r="AA728" s="207"/>
      <c r="AB728" s="207"/>
      <c r="AC728" s="207"/>
      <c r="AD728" s="207"/>
      <c r="AE728" s="207"/>
      <c r="AF728" s="207"/>
      <c r="AG728" s="207"/>
      <c r="AH728" s="207"/>
      <c r="AI728" s="207"/>
      <c r="AJ728" s="207"/>
      <c r="AK728" s="207"/>
      <c r="AL728" s="207"/>
      <c r="AM728" s="207"/>
      <c r="AN728" s="207"/>
      <c r="AO728" s="207"/>
      <c r="AP728" s="207"/>
      <c r="AQ728" s="207"/>
      <c r="AR728" s="207"/>
      <c r="AS728" s="207"/>
      <c r="AT728" s="207"/>
      <c r="AU728" s="207"/>
      <c r="AV728" s="207"/>
      <c r="AW728" s="207"/>
      <c r="AX728" s="207"/>
      <c r="AY728" s="207"/>
      <c r="AZ728" s="207"/>
      <c r="BA728" s="207"/>
    </row>
    <row r="729" ht="18.75" hidden="1" customHeight="1">
      <c r="A729" s="207"/>
      <c r="B729" s="207"/>
      <c r="C729" s="207"/>
      <c r="D729" s="207"/>
      <c r="E729" s="207"/>
      <c r="F729" s="207"/>
      <c r="G729" s="207"/>
      <c r="H729" s="207"/>
      <c r="I729" s="207"/>
      <c r="J729" s="207"/>
      <c r="K729" s="207"/>
      <c r="L729" s="207"/>
      <c r="M729" s="207"/>
      <c r="N729" s="207"/>
      <c r="O729" s="207"/>
      <c r="P729" s="207"/>
      <c r="Q729" s="207"/>
      <c r="R729" s="207"/>
      <c r="S729" s="207"/>
      <c r="T729" s="207"/>
      <c r="U729" s="207"/>
      <c r="V729" s="207"/>
      <c r="W729" s="207"/>
      <c r="X729" s="207"/>
      <c r="Y729" s="207"/>
      <c r="Z729" s="207"/>
      <c r="AA729" s="207"/>
      <c r="AB729" s="207"/>
      <c r="AC729" s="207"/>
      <c r="AD729" s="207"/>
      <c r="AE729" s="207"/>
      <c r="AF729" s="207"/>
      <c r="AG729" s="207"/>
      <c r="AH729" s="207"/>
      <c r="AI729" s="207"/>
      <c r="AJ729" s="207"/>
      <c r="AK729" s="207"/>
      <c r="AL729" s="207"/>
      <c r="AM729" s="207"/>
      <c r="AN729" s="207"/>
      <c r="AO729" s="207"/>
      <c r="AP729" s="207"/>
      <c r="AQ729" s="207"/>
      <c r="AR729" s="207"/>
      <c r="AS729" s="207"/>
      <c r="AT729" s="207"/>
      <c r="AU729" s="207"/>
      <c r="AV729" s="207"/>
      <c r="AW729" s="207"/>
      <c r="AX729" s="207"/>
      <c r="AY729" s="207"/>
      <c r="AZ729" s="207"/>
      <c r="BA729" s="207"/>
    </row>
    <row r="730" ht="18.75" hidden="1" customHeight="1">
      <c r="A730" s="207"/>
      <c r="B730" s="207"/>
      <c r="C730" s="207"/>
      <c r="D730" s="207"/>
      <c r="E730" s="207"/>
      <c r="F730" s="207"/>
      <c r="G730" s="207"/>
      <c r="H730" s="207"/>
      <c r="I730" s="207"/>
      <c r="J730" s="207"/>
      <c r="K730" s="207"/>
      <c r="L730" s="207"/>
      <c r="M730" s="207"/>
      <c r="N730" s="207"/>
      <c r="O730" s="207"/>
      <c r="P730" s="207"/>
      <c r="Q730" s="207"/>
      <c r="R730" s="207"/>
      <c r="S730" s="207"/>
      <c r="T730" s="207"/>
      <c r="U730" s="207"/>
      <c r="V730" s="207"/>
      <c r="W730" s="207"/>
      <c r="X730" s="207"/>
      <c r="Y730" s="207"/>
      <c r="Z730" s="207"/>
      <c r="AA730" s="207"/>
      <c r="AB730" s="207"/>
      <c r="AC730" s="207"/>
      <c r="AD730" s="207"/>
      <c r="AE730" s="207"/>
      <c r="AF730" s="207"/>
      <c r="AG730" s="207"/>
      <c r="AH730" s="207"/>
      <c r="AI730" s="207"/>
      <c r="AJ730" s="207"/>
      <c r="AK730" s="207"/>
      <c r="AL730" s="207"/>
      <c r="AM730" s="207"/>
      <c r="AN730" s="207"/>
      <c r="AO730" s="207"/>
      <c r="AP730" s="207"/>
      <c r="AQ730" s="207"/>
      <c r="AR730" s="207"/>
      <c r="AS730" s="207"/>
      <c r="AT730" s="207"/>
      <c r="AU730" s="207"/>
      <c r="AV730" s="207"/>
      <c r="AW730" s="207"/>
      <c r="AX730" s="207"/>
      <c r="AY730" s="207"/>
      <c r="AZ730" s="207"/>
      <c r="BA730" s="207"/>
    </row>
    <row r="731" ht="18.75" hidden="1" customHeight="1">
      <c r="A731" s="207"/>
      <c r="B731" s="207"/>
      <c r="C731" s="207"/>
      <c r="D731" s="207"/>
      <c r="E731" s="207"/>
      <c r="F731" s="207"/>
      <c r="G731" s="207"/>
      <c r="H731" s="207"/>
      <c r="I731" s="207"/>
      <c r="J731" s="207"/>
      <c r="K731" s="207"/>
      <c r="L731" s="207"/>
      <c r="M731" s="207"/>
      <c r="N731" s="207"/>
      <c r="O731" s="207"/>
      <c r="P731" s="207"/>
      <c r="Q731" s="207"/>
      <c r="R731" s="207"/>
      <c r="S731" s="207"/>
      <c r="T731" s="207"/>
      <c r="U731" s="207"/>
      <c r="V731" s="207"/>
      <c r="W731" s="207"/>
      <c r="X731" s="207"/>
      <c r="Y731" s="207"/>
      <c r="Z731" s="207"/>
      <c r="AA731" s="207"/>
      <c r="AB731" s="207"/>
      <c r="AC731" s="207"/>
      <c r="AD731" s="207"/>
      <c r="AE731" s="207"/>
      <c r="AF731" s="207"/>
      <c r="AG731" s="207"/>
      <c r="AH731" s="207"/>
      <c r="AI731" s="207"/>
      <c r="AJ731" s="207"/>
      <c r="AK731" s="207"/>
      <c r="AL731" s="207"/>
      <c r="AM731" s="207"/>
      <c r="AN731" s="207"/>
      <c r="AO731" s="207"/>
      <c r="AP731" s="207"/>
      <c r="AQ731" s="207"/>
      <c r="AR731" s="207"/>
      <c r="AS731" s="207"/>
      <c r="AT731" s="207"/>
      <c r="AU731" s="207"/>
      <c r="AV731" s="207"/>
      <c r="AW731" s="207"/>
      <c r="AX731" s="207"/>
      <c r="AY731" s="207"/>
      <c r="AZ731" s="207"/>
      <c r="BA731" s="207"/>
    </row>
    <row r="732" ht="18.75" hidden="1" customHeight="1">
      <c r="A732" s="207"/>
      <c r="B732" s="207"/>
      <c r="C732" s="207"/>
      <c r="D732" s="207"/>
      <c r="E732" s="207"/>
      <c r="F732" s="207"/>
      <c r="G732" s="207"/>
      <c r="H732" s="207"/>
      <c r="I732" s="207"/>
      <c r="J732" s="207"/>
      <c r="K732" s="207"/>
      <c r="L732" s="207"/>
      <c r="M732" s="207"/>
      <c r="N732" s="207"/>
      <c r="O732" s="207"/>
      <c r="P732" s="207"/>
      <c r="Q732" s="207"/>
      <c r="R732" s="207"/>
      <c r="S732" s="207"/>
      <c r="T732" s="207"/>
      <c r="U732" s="207"/>
      <c r="V732" s="207"/>
      <c r="W732" s="207"/>
      <c r="X732" s="207"/>
      <c r="Y732" s="207"/>
      <c r="Z732" s="207"/>
      <c r="AA732" s="207"/>
      <c r="AB732" s="207"/>
      <c r="AC732" s="207"/>
      <c r="AD732" s="207"/>
      <c r="AE732" s="207"/>
      <c r="AF732" s="207"/>
      <c r="AG732" s="207"/>
      <c r="AH732" s="207"/>
      <c r="AI732" s="207"/>
      <c r="AJ732" s="207"/>
      <c r="AK732" s="207"/>
      <c r="AL732" s="207"/>
      <c r="AM732" s="207"/>
      <c r="AN732" s="207"/>
      <c r="AO732" s="207"/>
      <c r="AP732" s="207"/>
      <c r="AQ732" s="207"/>
      <c r="AR732" s="207"/>
      <c r="AS732" s="207"/>
      <c r="AT732" s="207"/>
      <c r="AU732" s="207"/>
      <c r="AV732" s="207"/>
      <c r="AW732" s="207"/>
      <c r="AX732" s="207"/>
      <c r="AY732" s="207"/>
      <c r="AZ732" s="207"/>
      <c r="BA732" s="207"/>
    </row>
    <row r="733" ht="18.75" hidden="1" customHeight="1">
      <c r="A733" s="207"/>
      <c r="B733" s="207"/>
      <c r="C733" s="207"/>
      <c r="D733" s="207"/>
      <c r="E733" s="207"/>
      <c r="F733" s="207"/>
      <c r="G733" s="207"/>
      <c r="H733" s="207"/>
      <c r="I733" s="207"/>
      <c r="J733" s="207"/>
      <c r="K733" s="207"/>
      <c r="L733" s="207"/>
      <c r="M733" s="207"/>
      <c r="N733" s="207"/>
      <c r="O733" s="207"/>
      <c r="P733" s="207"/>
      <c r="Q733" s="207"/>
      <c r="R733" s="207"/>
      <c r="S733" s="207"/>
      <c r="T733" s="207"/>
      <c r="U733" s="207"/>
      <c r="V733" s="207"/>
      <c r="W733" s="207"/>
      <c r="X733" s="207"/>
      <c r="Y733" s="207"/>
      <c r="Z733" s="207"/>
      <c r="AA733" s="207"/>
      <c r="AB733" s="207"/>
      <c r="AC733" s="207"/>
      <c r="AD733" s="207"/>
      <c r="AE733" s="207"/>
      <c r="AF733" s="207"/>
      <c r="AG733" s="207"/>
      <c r="AH733" s="207"/>
      <c r="AI733" s="207"/>
      <c r="AJ733" s="207"/>
      <c r="AK733" s="207"/>
      <c r="AL733" s="207"/>
      <c r="AM733" s="207"/>
      <c r="AN733" s="207"/>
      <c r="AO733" s="207"/>
      <c r="AP733" s="207"/>
      <c r="AQ733" s="207"/>
      <c r="AR733" s="207"/>
      <c r="AS733" s="207"/>
      <c r="AT733" s="207"/>
      <c r="AU733" s="207"/>
      <c r="AV733" s="207"/>
      <c r="AW733" s="207"/>
      <c r="AX733" s="207"/>
      <c r="AY733" s="207"/>
      <c r="AZ733" s="207"/>
      <c r="BA733" s="207"/>
    </row>
    <row r="734" ht="18.75" hidden="1" customHeight="1">
      <c r="A734" s="207"/>
      <c r="B734" s="207"/>
      <c r="C734" s="207"/>
      <c r="D734" s="207"/>
      <c r="E734" s="207"/>
      <c r="F734" s="207"/>
      <c r="G734" s="207"/>
      <c r="H734" s="207"/>
      <c r="I734" s="207"/>
      <c r="J734" s="207"/>
      <c r="K734" s="207"/>
      <c r="L734" s="207"/>
      <c r="M734" s="207"/>
      <c r="N734" s="207"/>
      <c r="O734" s="207"/>
      <c r="P734" s="207"/>
      <c r="Q734" s="207"/>
      <c r="R734" s="207"/>
      <c r="S734" s="207"/>
      <c r="T734" s="207"/>
      <c r="U734" s="207"/>
      <c r="V734" s="207"/>
      <c r="W734" s="207"/>
      <c r="X734" s="207"/>
      <c r="Y734" s="207"/>
      <c r="Z734" s="207"/>
      <c r="AA734" s="207"/>
      <c r="AB734" s="207"/>
      <c r="AC734" s="207"/>
      <c r="AD734" s="207"/>
      <c r="AE734" s="207"/>
      <c r="AF734" s="207"/>
      <c r="AG734" s="207"/>
      <c r="AH734" s="207"/>
      <c r="AI734" s="207"/>
      <c r="AJ734" s="207"/>
      <c r="AK734" s="207"/>
      <c r="AL734" s="207"/>
      <c r="AM734" s="207"/>
      <c r="AN734" s="207"/>
      <c r="AO734" s="207"/>
      <c r="AP734" s="207"/>
      <c r="AQ734" s="207"/>
      <c r="AR734" s="207"/>
      <c r="AS734" s="207"/>
      <c r="AT734" s="207"/>
      <c r="AU734" s="207"/>
      <c r="AV734" s="207"/>
      <c r="AW734" s="207"/>
      <c r="AX734" s="207"/>
      <c r="AY734" s="207"/>
      <c r="AZ734" s="207"/>
      <c r="BA734" s="207"/>
    </row>
    <row r="735" ht="18.75" hidden="1" customHeight="1">
      <c r="A735" s="207"/>
      <c r="B735" s="207"/>
      <c r="C735" s="207"/>
      <c r="D735" s="207"/>
      <c r="E735" s="207"/>
      <c r="F735" s="207"/>
      <c r="G735" s="207"/>
      <c r="H735" s="207"/>
      <c r="I735" s="207"/>
      <c r="J735" s="207"/>
      <c r="K735" s="207"/>
      <c r="L735" s="207"/>
      <c r="M735" s="207"/>
      <c r="N735" s="207"/>
      <c r="O735" s="207"/>
      <c r="P735" s="207"/>
      <c r="Q735" s="207"/>
      <c r="R735" s="207"/>
      <c r="S735" s="207"/>
      <c r="T735" s="207"/>
      <c r="U735" s="207"/>
      <c r="V735" s="207"/>
      <c r="W735" s="207"/>
      <c r="X735" s="207"/>
      <c r="Y735" s="207"/>
      <c r="Z735" s="207"/>
      <c r="AA735" s="207"/>
      <c r="AB735" s="207"/>
      <c r="AC735" s="207"/>
      <c r="AD735" s="207"/>
      <c r="AE735" s="207"/>
      <c r="AF735" s="207"/>
      <c r="AG735" s="207"/>
      <c r="AH735" s="207"/>
      <c r="AI735" s="207"/>
      <c r="AJ735" s="207"/>
      <c r="AK735" s="207"/>
      <c r="AL735" s="207"/>
      <c r="AM735" s="207"/>
      <c r="AN735" s="207"/>
      <c r="AO735" s="207"/>
      <c r="AP735" s="207"/>
      <c r="AQ735" s="207"/>
      <c r="AR735" s="207"/>
      <c r="AS735" s="207"/>
      <c r="AT735" s="207"/>
      <c r="AU735" s="207"/>
      <c r="AV735" s="207"/>
      <c r="AW735" s="207"/>
      <c r="AX735" s="207"/>
      <c r="AY735" s="207"/>
      <c r="AZ735" s="207"/>
      <c r="BA735" s="207"/>
    </row>
    <row r="736" ht="18.75" hidden="1" customHeight="1">
      <c r="A736" s="207"/>
      <c r="B736" s="207"/>
      <c r="C736" s="207"/>
      <c r="D736" s="207"/>
      <c r="E736" s="207"/>
      <c r="F736" s="207"/>
      <c r="G736" s="207"/>
      <c r="H736" s="207"/>
      <c r="I736" s="207"/>
      <c r="J736" s="207"/>
      <c r="K736" s="207"/>
      <c r="L736" s="207"/>
      <c r="M736" s="207"/>
      <c r="N736" s="207"/>
      <c r="O736" s="207"/>
      <c r="P736" s="207"/>
      <c r="Q736" s="207"/>
      <c r="R736" s="207"/>
      <c r="S736" s="207"/>
      <c r="T736" s="207"/>
      <c r="U736" s="207"/>
      <c r="V736" s="207"/>
      <c r="W736" s="207"/>
      <c r="X736" s="207"/>
      <c r="Y736" s="207"/>
      <c r="Z736" s="207"/>
      <c r="AA736" s="207"/>
      <c r="AB736" s="207"/>
      <c r="AC736" s="207"/>
      <c r="AD736" s="207"/>
      <c r="AE736" s="207"/>
      <c r="AF736" s="207"/>
      <c r="AG736" s="207"/>
      <c r="AH736" s="207"/>
      <c r="AI736" s="207"/>
      <c r="AJ736" s="207"/>
      <c r="AK736" s="207"/>
      <c r="AL736" s="207"/>
      <c r="AM736" s="207"/>
      <c r="AN736" s="207"/>
      <c r="AO736" s="207"/>
      <c r="AP736" s="207"/>
      <c r="AQ736" s="207"/>
      <c r="AR736" s="207"/>
      <c r="AS736" s="207"/>
      <c r="AT736" s="207"/>
      <c r="AU736" s="207"/>
      <c r="AV736" s="207"/>
      <c r="AW736" s="207"/>
      <c r="AX736" s="207"/>
      <c r="AY736" s="207"/>
      <c r="AZ736" s="207"/>
      <c r="BA736" s="207"/>
    </row>
    <row r="737" ht="18.75" hidden="1" customHeight="1">
      <c r="A737" s="207"/>
      <c r="B737" s="207"/>
      <c r="C737" s="207"/>
      <c r="D737" s="207"/>
      <c r="E737" s="207"/>
      <c r="F737" s="207"/>
      <c r="G737" s="207"/>
      <c r="H737" s="207"/>
      <c r="I737" s="207"/>
      <c r="J737" s="207"/>
      <c r="K737" s="207"/>
      <c r="L737" s="207"/>
      <c r="M737" s="207"/>
      <c r="N737" s="207"/>
      <c r="O737" s="207"/>
      <c r="P737" s="207"/>
      <c r="Q737" s="207"/>
      <c r="R737" s="207"/>
      <c r="S737" s="207"/>
      <c r="T737" s="207"/>
      <c r="U737" s="207"/>
      <c r="V737" s="207"/>
      <c r="W737" s="207"/>
      <c r="X737" s="207"/>
      <c r="Y737" s="207"/>
      <c r="Z737" s="207"/>
      <c r="AA737" s="207"/>
      <c r="AB737" s="207"/>
      <c r="AC737" s="207"/>
      <c r="AD737" s="207"/>
      <c r="AE737" s="207"/>
      <c r="AF737" s="207"/>
      <c r="AG737" s="207"/>
      <c r="AH737" s="207"/>
      <c r="AI737" s="207"/>
      <c r="AJ737" s="207"/>
      <c r="AK737" s="207"/>
      <c r="AL737" s="207"/>
      <c r="AM737" s="207"/>
      <c r="AN737" s="207"/>
      <c r="AO737" s="207"/>
      <c r="AP737" s="207"/>
      <c r="AQ737" s="207"/>
      <c r="AR737" s="207"/>
      <c r="AS737" s="207"/>
      <c r="AT737" s="207"/>
      <c r="AU737" s="207"/>
      <c r="AV737" s="207"/>
      <c r="AW737" s="207"/>
      <c r="AX737" s="207"/>
      <c r="AY737" s="207"/>
      <c r="AZ737" s="207"/>
      <c r="BA737" s="207"/>
    </row>
    <row r="738" ht="18.75" hidden="1" customHeight="1">
      <c r="A738" s="207"/>
      <c r="B738" s="207"/>
      <c r="C738" s="207"/>
      <c r="D738" s="207"/>
      <c r="E738" s="207"/>
      <c r="F738" s="207"/>
      <c r="G738" s="207"/>
      <c r="H738" s="207"/>
      <c r="I738" s="207"/>
      <c r="J738" s="207"/>
      <c r="K738" s="207"/>
      <c r="L738" s="207"/>
      <c r="M738" s="207"/>
      <c r="N738" s="207"/>
      <c r="O738" s="207"/>
      <c r="P738" s="207"/>
      <c r="Q738" s="207"/>
      <c r="R738" s="207"/>
      <c r="S738" s="207"/>
      <c r="T738" s="207"/>
      <c r="U738" s="207"/>
      <c r="V738" s="207"/>
      <c r="W738" s="207"/>
      <c r="X738" s="207"/>
      <c r="Y738" s="207"/>
      <c r="Z738" s="207"/>
      <c r="AA738" s="207"/>
      <c r="AB738" s="207"/>
      <c r="AC738" s="207"/>
      <c r="AD738" s="207"/>
      <c r="AE738" s="207"/>
      <c r="AF738" s="207"/>
      <c r="AG738" s="207"/>
      <c r="AH738" s="207"/>
      <c r="AI738" s="207"/>
      <c r="AJ738" s="207"/>
      <c r="AK738" s="207"/>
      <c r="AL738" s="207"/>
      <c r="AM738" s="207"/>
      <c r="AN738" s="207"/>
      <c r="AO738" s="207"/>
      <c r="AP738" s="207"/>
      <c r="AQ738" s="207"/>
      <c r="AR738" s="207"/>
      <c r="AS738" s="207"/>
      <c r="AT738" s="207"/>
      <c r="AU738" s="207"/>
      <c r="AV738" s="207"/>
      <c r="AW738" s="207"/>
      <c r="AX738" s="207"/>
      <c r="AY738" s="207"/>
      <c r="AZ738" s="207"/>
      <c r="BA738" s="207"/>
    </row>
    <row r="739" ht="18.75" hidden="1" customHeight="1">
      <c r="A739" s="207"/>
      <c r="B739" s="207"/>
      <c r="C739" s="207"/>
      <c r="D739" s="207"/>
      <c r="E739" s="207"/>
      <c r="F739" s="207"/>
      <c r="G739" s="207"/>
      <c r="H739" s="207"/>
      <c r="I739" s="207"/>
      <c r="J739" s="207"/>
      <c r="K739" s="207"/>
      <c r="L739" s="207"/>
      <c r="M739" s="207"/>
      <c r="N739" s="207"/>
      <c r="O739" s="207"/>
      <c r="P739" s="207"/>
      <c r="Q739" s="207"/>
      <c r="R739" s="207"/>
      <c r="S739" s="207"/>
      <c r="T739" s="207"/>
      <c r="U739" s="207"/>
      <c r="V739" s="207"/>
      <c r="W739" s="207"/>
      <c r="X739" s="207"/>
      <c r="Y739" s="207"/>
      <c r="Z739" s="207"/>
      <c r="AA739" s="207"/>
      <c r="AB739" s="207"/>
      <c r="AC739" s="207"/>
      <c r="AD739" s="207"/>
      <c r="AE739" s="207"/>
      <c r="AF739" s="207"/>
      <c r="AG739" s="207"/>
      <c r="AH739" s="207"/>
      <c r="AI739" s="207"/>
      <c r="AJ739" s="207"/>
      <c r="AK739" s="207"/>
      <c r="AL739" s="207"/>
      <c r="AM739" s="207"/>
      <c r="AN739" s="207"/>
      <c r="AO739" s="207"/>
      <c r="AP739" s="207"/>
      <c r="AQ739" s="207"/>
      <c r="AR739" s="207"/>
      <c r="AS739" s="207"/>
      <c r="AT739" s="207"/>
      <c r="AU739" s="207"/>
      <c r="AV739" s="207"/>
      <c r="AW739" s="207"/>
      <c r="AX739" s="207"/>
      <c r="AY739" s="207"/>
      <c r="AZ739" s="207"/>
      <c r="BA739" s="207"/>
    </row>
    <row r="740" ht="18.75" hidden="1" customHeight="1">
      <c r="A740" s="207"/>
      <c r="B740" s="207"/>
      <c r="C740" s="207"/>
      <c r="D740" s="207"/>
      <c r="E740" s="207"/>
      <c r="F740" s="207"/>
      <c r="G740" s="207"/>
      <c r="H740" s="207"/>
      <c r="I740" s="207"/>
      <c r="J740" s="207"/>
      <c r="K740" s="207"/>
      <c r="L740" s="207"/>
      <c r="M740" s="207"/>
      <c r="N740" s="207"/>
      <c r="O740" s="207"/>
      <c r="P740" s="207"/>
      <c r="Q740" s="207"/>
      <c r="R740" s="207"/>
      <c r="S740" s="207"/>
      <c r="T740" s="207"/>
      <c r="U740" s="207"/>
      <c r="V740" s="207"/>
      <c r="W740" s="207"/>
      <c r="X740" s="207"/>
      <c r="Y740" s="207"/>
      <c r="Z740" s="207"/>
      <c r="AA740" s="207"/>
      <c r="AB740" s="207"/>
      <c r="AC740" s="207"/>
      <c r="AD740" s="207"/>
      <c r="AE740" s="207"/>
      <c r="AF740" s="207"/>
      <c r="AG740" s="207"/>
      <c r="AH740" s="207"/>
      <c r="AI740" s="207"/>
      <c r="AJ740" s="207"/>
      <c r="AK740" s="207"/>
      <c r="AL740" s="207"/>
      <c r="AM740" s="207"/>
      <c r="AN740" s="207"/>
      <c r="AO740" s="207"/>
      <c r="AP740" s="207"/>
      <c r="AQ740" s="207"/>
      <c r="AR740" s="207"/>
      <c r="AS740" s="207"/>
      <c r="AT740" s="207"/>
      <c r="AU740" s="207"/>
      <c r="AV740" s="207"/>
      <c r="AW740" s="207"/>
      <c r="AX740" s="207"/>
      <c r="AY740" s="207"/>
      <c r="AZ740" s="207"/>
      <c r="BA740" s="207"/>
    </row>
    <row r="741" ht="18.75" hidden="1" customHeight="1">
      <c r="A741" s="207"/>
      <c r="B741" s="207"/>
      <c r="C741" s="207"/>
      <c r="D741" s="207"/>
      <c r="E741" s="207"/>
      <c r="F741" s="207"/>
      <c r="G741" s="207"/>
      <c r="H741" s="207"/>
      <c r="I741" s="207"/>
      <c r="J741" s="207"/>
      <c r="K741" s="207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  <c r="AA741" s="207"/>
      <c r="AB741" s="207"/>
      <c r="AC741" s="207"/>
      <c r="AD741" s="207"/>
      <c r="AE741" s="207"/>
      <c r="AF741" s="207"/>
      <c r="AG741" s="207"/>
      <c r="AH741" s="207"/>
      <c r="AI741" s="207"/>
      <c r="AJ741" s="207"/>
      <c r="AK741" s="207"/>
      <c r="AL741" s="207"/>
      <c r="AM741" s="207"/>
      <c r="AN741" s="207"/>
      <c r="AO741" s="207"/>
      <c r="AP741" s="207"/>
      <c r="AQ741" s="207"/>
      <c r="AR741" s="207"/>
      <c r="AS741" s="207"/>
      <c r="AT741" s="207"/>
      <c r="AU741" s="207"/>
      <c r="AV741" s="207"/>
      <c r="AW741" s="207"/>
      <c r="AX741" s="207"/>
      <c r="AY741" s="207"/>
      <c r="AZ741" s="207"/>
      <c r="BA741" s="207"/>
    </row>
    <row r="742" ht="18.75" hidden="1" customHeight="1">
      <c r="A742" s="207"/>
      <c r="B742" s="207"/>
      <c r="C742" s="207"/>
      <c r="D742" s="207"/>
      <c r="E742" s="207"/>
      <c r="F742" s="207"/>
      <c r="G742" s="207"/>
      <c r="H742" s="207"/>
      <c r="I742" s="207"/>
      <c r="J742" s="207"/>
      <c r="K742" s="207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  <c r="AA742" s="207"/>
      <c r="AB742" s="207"/>
      <c r="AC742" s="207"/>
      <c r="AD742" s="207"/>
      <c r="AE742" s="207"/>
      <c r="AF742" s="207"/>
      <c r="AG742" s="207"/>
      <c r="AH742" s="207"/>
      <c r="AI742" s="207"/>
      <c r="AJ742" s="207"/>
      <c r="AK742" s="207"/>
      <c r="AL742" s="207"/>
      <c r="AM742" s="207"/>
      <c r="AN742" s="207"/>
      <c r="AO742" s="207"/>
      <c r="AP742" s="207"/>
      <c r="AQ742" s="207"/>
      <c r="AR742" s="207"/>
      <c r="AS742" s="207"/>
      <c r="AT742" s="207"/>
      <c r="AU742" s="207"/>
      <c r="AV742" s="207"/>
      <c r="AW742" s="207"/>
      <c r="AX742" s="207"/>
      <c r="AY742" s="207"/>
      <c r="AZ742" s="207"/>
      <c r="BA742" s="207"/>
    </row>
    <row r="743" ht="18.75" hidden="1" customHeight="1">
      <c r="A743" s="207"/>
      <c r="B743" s="207"/>
      <c r="C743" s="207"/>
      <c r="D743" s="207"/>
      <c r="E743" s="207"/>
      <c r="F743" s="207"/>
      <c r="G743" s="207"/>
      <c r="H743" s="207"/>
      <c r="I743" s="207"/>
      <c r="J743" s="207"/>
      <c r="K743" s="207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  <c r="AA743" s="207"/>
      <c r="AB743" s="207"/>
      <c r="AC743" s="207"/>
      <c r="AD743" s="207"/>
      <c r="AE743" s="207"/>
      <c r="AF743" s="207"/>
      <c r="AG743" s="207"/>
      <c r="AH743" s="207"/>
      <c r="AI743" s="207"/>
      <c r="AJ743" s="207"/>
      <c r="AK743" s="207"/>
      <c r="AL743" s="207"/>
      <c r="AM743" s="207"/>
      <c r="AN743" s="207"/>
      <c r="AO743" s="207"/>
      <c r="AP743" s="207"/>
      <c r="AQ743" s="207"/>
      <c r="AR743" s="207"/>
      <c r="AS743" s="207"/>
      <c r="AT743" s="207"/>
      <c r="AU743" s="207"/>
      <c r="AV743" s="207"/>
      <c r="AW743" s="207"/>
      <c r="AX743" s="207"/>
      <c r="AY743" s="207"/>
      <c r="AZ743" s="207"/>
      <c r="BA743" s="207"/>
    </row>
    <row r="744" ht="18.75" hidden="1" customHeight="1">
      <c r="A744" s="207"/>
      <c r="B744" s="207"/>
      <c r="C744" s="207"/>
      <c r="D744" s="207"/>
      <c r="E744" s="207"/>
      <c r="F744" s="207"/>
      <c r="G744" s="207"/>
      <c r="H744" s="207"/>
      <c r="I744" s="207"/>
      <c r="J744" s="207"/>
      <c r="K744" s="207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  <c r="AA744" s="207"/>
      <c r="AB744" s="207"/>
      <c r="AC744" s="207"/>
      <c r="AD744" s="207"/>
      <c r="AE744" s="207"/>
      <c r="AF744" s="207"/>
      <c r="AG744" s="207"/>
      <c r="AH744" s="207"/>
      <c r="AI744" s="207"/>
      <c r="AJ744" s="207"/>
      <c r="AK744" s="207"/>
      <c r="AL744" s="207"/>
      <c r="AM744" s="207"/>
      <c r="AN744" s="207"/>
      <c r="AO744" s="207"/>
      <c r="AP744" s="207"/>
      <c r="AQ744" s="207"/>
      <c r="AR744" s="207"/>
      <c r="AS744" s="207"/>
      <c r="AT744" s="207"/>
      <c r="AU744" s="207"/>
      <c r="AV744" s="207"/>
      <c r="AW744" s="207"/>
      <c r="AX744" s="207"/>
      <c r="AY744" s="207"/>
      <c r="AZ744" s="207"/>
      <c r="BA744" s="207"/>
    </row>
    <row r="745" ht="18.75" hidden="1" customHeight="1">
      <c r="A745" s="207"/>
      <c r="B745" s="207"/>
      <c r="C745" s="207"/>
      <c r="D745" s="207"/>
      <c r="E745" s="207"/>
      <c r="F745" s="207"/>
      <c r="G745" s="207"/>
      <c r="H745" s="207"/>
      <c r="I745" s="207"/>
      <c r="J745" s="207"/>
      <c r="K745" s="207"/>
      <c r="L745" s="207"/>
      <c r="M745" s="207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  <c r="AA745" s="207"/>
      <c r="AB745" s="207"/>
      <c r="AC745" s="207"/>
      <c r="AD745" s="207"/>
      <c r="AE745" s="207"/>
      <c r="AF745" s="207"/>
      <c r="AG745" s="207"/>
      <c r="AH745" s="207"/>
      <c r="AI745" s="207"/>
      <c r="AJ745" s="207"/>
      <c r="AK745" s="207"/>
      <c r="AL745" s="207"/>
      <c r="AM745" s="207"/>
      <c r="AN745" s="207"/>
      <c r="AO745" s="207"/>
      <c r="AP745" s="207"/>
      <c r="AQ745" s="207"/>
      <c r="AR745" s="207"/>
      <c r="AS745" s="207"/>
      <c r="AT745" s="207"/>
      <c r="AU745" s="207"/>
      <c r="AV745" s="207"/>
      <c r="AW745" s="207"/>
      <c r="AX745" s="207"/>
      <c r="AY745" s="207"/>
      <c r="AZ745" s="207"/>
      <c r="BA745" s="207"/>
    </row>
    <row r="746" ht="18.75" hidden="1" customHeight="1">
      <c r="A746" s="207"/>
      <c r="B746" s="207"/>
      <c r="C746" s="207"/>
      <c r="D746" s="207"/>
      <c r="E746" s="207"/>
      <c r="F746" s="207"/>
      <c r="G746" s="207"/>
      <c r="H746" s="207"/>
      <c r="I746" s="207"/>
      <c r="J746" s="207"/>
      <c r="K746" s="207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  <c r="AA746" s="207"/>
      <c r="AB746" s="207"/>
      <c r="AC746" s="207"/>
      <c r="AD746" s="207"/>
      <c r="AE746" s="207"/>
      <c r="AF746" s="207"/>
      <c r="AG746" s="207"/>
      <c r="AH746" s="207"/>
      <c r="AI746" s="207"/>
      <c r="AJ746" s="207"/>
      <c r="AK746" s="207"/>
      <c r="AL746" s="207"/>
      <c r="AM746" s="207"/>
      <c r="AN746" s="207"/>
      <c r="AO746" s="207"/>
      <c r="AP746" s="207"/>
      <c r="AQ746" s="207"/>
      <c r="AR746" s="207"/>
      <c r="AS746" s="207"/>
      <c r="AT746" s="207"/>
      <c r="AU746" s="207"/>
      <c r="AV746" s="207"/>
      <c r="AW746" s="207"/>
      <c r="AX746" s="207"/>
      <c r="AY746" s="207"/>
      <c r="AZ746" s="207"/>
      <c r="BA746" s="207"/>
    </row>
    <row r="747" ht="18.75" hidden="1" customHeight="1">
      <c r="A747" s="207"/>
      <c r="B747" s="207"/>
      <c r="C747" s="207"/>
      <c r="D747" s="207"/>
      <c r="E747" s="207"/>
      <c r="F747" s="207"/>
      <c r="G747" s="207"/>
      <c r="H747" s="207"/>
      <c r="I747" s="207"/>
      <c r="J747" s="207"/>
      <c r="K747" s="207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  <c r="AA747" s="207"/>
      <c r="AB747" s="207"/>
      <c r="AC747" s="207"/>
      <c r="AD747" s="207"/>
      <c r="AE747" s="207"/>
      <c r="AF747" s="207"/>
      <c r="AG747" s="207"/>
      <c r="AH747" s="207"/>
      <c r="AI747" s="207"/>
      <c r="AJ747" s="207"/>
      <c r="AK747" s="207"/>
      <c r="AL747" s="207"/>
      <c r="AM747" s="207"/>
      <c r="AN747" s="207"/>
      <c r="AO747" s="207"/>
      <c r="AP747" s="207"/>
      <c r="AQ747" s="207"/>
      <c r="AR747" s="207"/>
      <c r="AS747" s="207"/>
      <c r="AT747" s="207"/>
      <c r="AU747" s="207"/>
      <c r="AV747" s="207"/>
      <c r="AW747" s="207"/>
      <c r="AX747" s="207"/>
      <c r="AY747" s="207"/>
      <c r="AZ747" s="207"/>
      <c r="BA747" s="207"/>
    </row>
    <row r="748" ht="18.75" hidden="1" customHeight="1">
      <c r="A748" s="207"/>
      <c r="B748" s="207"/>
      <c r="C748" s="207"/>
      <c r="D748" s="207"/>
      <c r="E748" s="207"/>
      <c r="F748" s="207"/>
      <c r="G748" s="207"/>
      <c r="H748" s="207"/>
      <c r="I748" s="207"/>
      <c r="J748" s="207"/>
      <c r="K748" s="207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  <c r="AA748" s="207"/>
      <c r="AB748" s="207"/>
      <c r="AC748" s="207"/>
      <c r="AD748" s="207"/>
      <c r="AE748" s="207"/>
      <c r="AF748" s="207"/>
      <c r="AG748" s="207"/>
      <c r="AH748" s="207"/>
      <c r="AI748" s="207"/>
      <c r="AJ748" s="207"/>
      <c r="AK748" s="207"/>
      <c r="AL748" s="207"/>
      <c r="AM748" s="207"/>
      <c r="AN748" s="207"/>
      <c r="AO748" s="207"/>
      <c r="AP748" s="207"/>
      <c r="AQ748" s="207"/>
      <c r="AR748" s="207"/>
      <c r="AS748" s="207"/>
      <c r="AT748" s="207"/>
      <c r="AU748" s="207"/>
      <c r="AV748" s="207"/>
      <c r="AW748" s="207"/>
      <c r="AX748" s="207"/>
      <c r="AY748" s="207"/>
      <c r="AZ748" s="207"/>
      <c r="BA748" s="207"/>
    </row>
    <row r="749" ht="18.75" hidden="1" customHeight="1">
      <c r="A749" s="207"/>
      <c r="B749" s="207"/>
      <c r="C749" s="207"/>
      <c r="D749" s="207"/>
      <c r="E749" s="207"/>
      <c r="F749" s="207"/>
      <c r="G749" s="207"/>
      <c r="H749" s="207"/>
      <c r="I749" s="207"/>
      <c r="J749" s="207"/>
      <c r="K749" s="207"/>
      <c r="L749" s="207"/>
      <c r="M749" s="207"/>
      <c r="N749" s="207"/>
      <c r="O749" s="207"/>
      <c r="P749" s="207"/>
      <c r="Q749" s="207"/>
      <c r="R749" s="207"/>
      <c r="S749" s="207"/>
      <c r="T749" s="207"/>
      <c r="U749" s="207"/>
      <c r="V749" s="207"/>
      <c r="W749" s="207"/>
      <c r="X749" s="207"/>
      <c r="Y749" s="207"/>
      <c r="Z749" s="207"/>
      <c r="AA749" s="207"/>
      <c r="AB749" s="207"/>
      <c r="AC749" s="207"/>
      <c r="AD749" s="207"/>
      <c r="AE749" s="207"/>
      <c r="AF749" s="207"/>
      <c r="AG749" s="207"/>
      <c r="AH749" s="207"/>
      <c r="AI749" s="207"/>
      <c r="AJ749" s="207"/>
      <c r="AK749" s="207"/>
      <c r="AL749" s="207"/>
      <c r="AM749" s="207"/>
      <c r="AN749" s="207"/>
      <c r="AO749" s="207"/>
      <c r="AP749" s="207"/>
      <c r="AQ749" s="207"/>
      <c r="AR749" s="207"/>
      <c r="AS749" s="207"/>
      <c r="AT749" s="207"/>
      <c r="AU749" s="207"/>
      <c r="AV749" s="207"/>
      <c r="AW749" s="207"/>
      <c r="AX749" s="207"/>
      <c r="AY749" s="207"/>
      <c r="AZ749" s="207"/>
      <c r="BA749" s="207"/>
    </row>
    <row r="750" ht="18.75" hidden="1" customHeight="1">
      <c r="A750" s="207"/>
      <c r="B750" s="207"/>
      <c r="C750" s="207"/>
      <c r="D750" s="207"/>
      <c r="E750" s="207"/>
      <c r="F750" s="207"/>
      <c r="G750" s="207"/>
      <c r="H750" s="207"/>
      <c r="I750" s="207"/>
      <c r="J750" s="207"/>
      <c r="K750" s="207"/>
      <c r="L750" s="207"/>
      <c r="M750" s="207"/>
      <c r="N750" s="207"/>
      <c r="O750" s="207"/>
      <c r="P750" s="207"/>
      <c r="Q750" s="207"/>
      <c r="R750" s="207"/>
      <c r="S750" s="207"/>
      <c r="T750" s="207"/>
      <c r="U750" s="207"/>
      <c r="V750" s="207"/>
      <c r="W750" s="207"/>
      <c r="X750" s="207"/>
      <c r="Y750" s="207"/>
      <c r="Z750" s="207"/>
      <c r="AA750" s="207"/>
      <c r="AB750" s="207"/>
      <c r="AC750" s="207"/>
      <c r="AD750" s="207"/>
      <c r="AE750" s="207"/>
      <c r="AF750" s="207"/>
      <c r="AG750" s="207"/>
      <c r="AH750" s="207"/>
      <c r="AI750" s="207"/>
      <c r="AJ750" s="207"/>
      <c r="AK750" s="207"/>
      <c r="AL750" s="207"/>
      <c r="AM750" s="207"/>
      <c r="AN750" s="207"/>
      <c r="AO750" s="207"/>
      <c r="AP750" s="207"/>
      <c r="AQ750" s="207"/>
      <c r="AR750" s="207"/>
      <c r="AS750" s="207"/>
      <c r="AT750" s="207"/>
      <c r="AU750" s="207"/>
      <c r="AV750" s="207"/>
      <c r="AW750" s="207"/>
      <c r="AX750" s="207"/>
      <c r="AY750" s="207"/>
      <c r="AZ750" s="207"/>
      <c r="BA750" s="207"/>
    </row>
    <row r="751" ht="18.75" hidden="1" customHeight="1">
      <c r="A751" s="207"/>
      <c r="B751" s="207"/>
      <c r="C751" s="207"/>
      <c r="D751" s="207"/>
      <c r="E751" s="207"/>
      <c r="F751" s="207"/>
      <c r="G751" s="207"/>
      <c r="H751" s="207"/>
      <c r="I751" s="207"/>
      <c r="J751" s="207"/>
      <c r="K751" s="207"/>
      <c r="L751" s="207"/>
      <c r="M751" s="207"/>
      <c r="N751" s="207"/>
      <c r="O751" s="207"/>
      <c r="P751" s="207"/>
      <c r="Q751" s="207"/>
      <c r="R751" s="207"/>
      <c r="S751" s="207"/>
      <c r="T751" s="207"/>
      <c r="U751" s="207"/>
      <c r="V751" s="207"/>
      <c r="W751" s="207"/>
      <c r="X751" s="207"/>
      <c r="Y751" s="207"/>
      <c r="Z751" s="207"/>
      <c r="AA751" s="207"/>
      <c r="AB751" s="207"/>
      <c r="AC751" s="207"/>
      <c r="AD751" s="207"/>
      <c r="AE751" s="207"/>
      <c r="AF751" s="207"/>
      <c r="AG751" s="207"/>
      <c r="AH751" s="207"/>
      <c r="AI751" s="207"/>
      <c r="AJ751" s="207"/>
      <c r="AK751" s="207"/>
      <c r="AL751" s="207"/>
      <c r="AM751" s="207"/>
      <c r="AN751" s="207"/>
      <c r="AO751" s="207"/>
      <c r="AP751" s="207"/>
      <c r="AQ751" s="207"/>
      <c r="AR751" s="207"/>
      <c r="AS751" s="207"/>
      <c r="AT751" s="207"/>
      <c r="AU751" s="207"/>
      <c r="AV751" s="207"/>
      <c r="AW751" s="207"/>
      <c r="AX751" s="207"/>
      <c r="AY751" s="207"/>
      <c r="AZ751" s="207"/>
      <c r="BA751" s="207"/>
    </row>
    <row r="752" ht="18.75" hidden="1" customHeight="1">
      <c r="A752" s="207"/>
      <c r="B752" s="207"/>
      <c r="C752" s="207"/>
      <c r="D752" s="207"/>
      <c r="E752" s="207"/>
      <c r="F752" s="207"/>
      <c r="G752" s="207"/>
      <c r="H752" s="207"/>
      <c r="I752" s="207"/>
      <c r="J752" s="207"/>
      <c r="K752" s="207"/>
      <c r="L752" s="207"/>
      <c r="M752" s="207"/>
      <c r="N752" s="207"/>
      <c r="O752" s="207"/>
      <c r="P752" s="207"/>
      <c r="Q752" s="207"/>
      <c r="R752" s="207"/>
      <c r="S752" s="207"/>
      <c r="T752" s="207"/>
      <c r="U752" s="207"/>
      <c r="V752" s="207"/>
      <c r="W752" s="207"/>
      <c r="X752" s="207"/>
      <c r="Y752" s="207"/>
      <c r="Z752" s="207"/>
      <c r="AA752" s="207"/>
      <c r="AB752" s="207"/>
      <c r="AC752" s="207"/>
      <c r="AD752" s="207"/>
      <c r="AE752" s="207"/>
      <c r="AF752" s="207"/>
      <c r="AG752" s="207"/>
      <c r="AH752" s="207"/>
      <c r="AI752" s="207"/>
      <c r="AJ752" s="207"/>
      <c r="AK752" s="207"/>
      <c r="AL752" s="207"/>
      <c r="AM752" s="207"/>
      <c r="AN752" s="207"/>
      <c r="AO752" s="207"/>
      <c r="AP752" s="207"/>
      <c r="AQ752" s="207"/>
      <c r="AR752" s="207"/>
      <c r="AS752" s="207"/>
      <c r="AT752" s="207"/>
      <c r="AU752" s="207"/>
      <c r="AV752" s="207"/>
      <c r="AW752" s="207"/>
      <c r="AX752" s="207"/>
      <c r="AY752" s="207"/>
      <c r="AZ752" s="207"/>
      <c r="BA752" s="207"/>
    </row>
    <row r="753" ht="18.75" hidden="1" customHeight="1">
      <c r="A753" s="207"/>
      <c r="B753" s="207"/>
      <c r="C753" s="207"/>
      <c r="D753" s="207"/>
      <c r="E753" s="207"/>
      <c r="F753" s="207"/>
      <c r="G753" s="207"/>
      <c r="H753" s="207"/>
      <c r="I753" s="207"/>
      <c r="J753" s="207"/>
      <c r="K753" s="207"/>
      <c r="L753" s="207"/>
      <c r="M753" s="207"/>
      <c r="N753" s="207"/>
      <c r="O753" s="207"/>
      <c r="P753" s="207"/>
      <c r="Q753" s="207"/>
      <c r="R753" s="207"/>
      <c r="S753" s="207"/>
      <c r="T753" s="207"/>
      <c r="U753" s="207"/>
      <c r="V753" s="207"/>
      <c r="W753" s="207"/>
      <c r="X753" s="207"/>
      <c r="Y753" s="207"/>
      <c r="Z753" s="207"/>
      <c r="AA753" s="207"/>
      <c r="AB753" s="207"/>
      <c r="AC753" s="207"/>
      <c r="AD753" s="207"/>
      <c r="AE753" s="207"/>
      <c r="AF753" s="207"/>
      <c r="AG753" s="207"/>
      <c r="AH753" s="207"/>
      <c r="AI753" s="207"/>
      <c r="AJ753" s="207"/>
      <c r="AK753" s="207"/>
      <c r="AL753" s="207"/>
      <c r="AM753" s="207"/>
      <c r="AN753" s="207"/>
      <c r="AO753" s="207"/>
      <c r="AP753" s="207"/>
      <c r="AQ753" s="207"/>
      <c r="AR753" s="207"/>
      <c r="AS753" s="207"/>
      <c r="AT753" s="207"/>
      <c r="AU753" s="207"/>
      <c r="AV753" s="207"/>
      <c r="AW753" s="207"/>
      <c r="AX753" s="207"/>
      <c r="AY753" s="207"/>
      <c r="AZ753" s="207"/>
      <c r="BA753" s="207"/>
    </row>
    <row r="754" ht="18.75" hidden="1" customHeight="1">
      <c r="A754" s="207"/>
      <c r="B754" s="207"/>
      <c r="C754" s="207"/>
      <c r="D754" s="207"/>
      <c r="E754" s="207"/>
      <c r="F754" s="207"/>
      <c r="G754" s="207"/>
      <c r="H754" s="207"/>
      <c r="I754" s="207"/>
      <c r="J754" s="207"/>
      <c r="K754" s="207"/>
      <c r="L754" s="207"/>
      <c r="M754" s="207"/>
      <c r="N754" s="207"/>
      <c r="O754" s="207"/>
      <c r="P754" s="207"/>
      <c r="Q754" s="207"/>
      <c r="R754" s="207"/>
      <c r="S754" s="207"/>
      <c r="T754" s="207"/>
      <c r="U754" s="207"/>
      <c r="V754" s="207"/>
      <c r="W754" s="207"/>
      <c r="X754" s="207"/>
      <c r="Y754" s="207"/>
      <c r="Z754" s="207"/>
      <c r="AA754" s="207"/>
      <c r="AB754" s="207"/>
      <c r="AC754" s="207"/>
      <c r="AD754" s="207"/>
      <c r="AE754" s="207"/>
      <c r="AF754" s="207"/>
      <c r="AG754" s="207"/>
      <c r="AH754" s="207"/>
      <c r="AI754" s="207"/>
      <c r="AJ754" s="207"/>
      <c r="AK754" s="207"/>
      <c r="AL754" s="207"/>
      <c r="AM754" s="207"/>
      <c r="AN754" s="207"/>
      <c r="AO754" s="207"/>
      <c r="AP754" s="207"/>
      <c r="AQ754" s="207"/>
      <c r="AR754" s="207"/>
      <c r="AS754" s="207"/>
      <c r="AT754" s="207"/>
      <c r="AU754" s="207"/>
      <c r="AV754" s="207"/>
      <c r="AW754" s="207"/>
      <c r="AX754" s="207"/>
      <c r="AY754" s="207"/>
      <c r="AZ754" s="207"/>
      <c r="BA754" s="207"/>
    </row>
    <row r="755" ht="18.75" hidden="1" customHeight="1">
      <c r="A755" s="207"/>
      <c r="B755" s="207"/>
      <c r="C755" s="207"/>
      <c r="D755" s="207"/>
      <c r="E755" s="207"/>
      <c r="F755" s="207"/>
      <c r="G755" s="207"/>
      <c r="H755" s="207"/>
      <c r="I755" s="207"/>
      <c r="J755" s="207"/>
      <c r="K755" s="207"/>
      <c r="L755" s="207"/>
      <c r="M755" s="207"/>
      <c r="N755" s="207"/>
      <c r="O755" s="207"/>
      <c r="P755" s="207"/>
      <c r="Q755" s="207"/>
      <c r="R755" s="207"/>
      <c r="S755" s="207"/>
      <c r="T755" s="207"/>
      <c r="U755" s="207"/>
      <c r="V755" s="207"/>
      <c r="W755" s="207"/>
      <c r="X755" s="207"/>
      <c r="Y755" s="207"/>
      <c r="Z755" s="207"/>
      <c r="AA755" s="207"/>
      <c r="AB755" s="207"/>
      <c r="AC755" s="207"/>
      <c r="AD755" s="207"/>
      <c r="AE755" s="207"/>
      <c r="AF755" s="207"/>
      <c r="AG755" s="207"/>
      <c r="AH755" s="207"/>
      <c r="AI755" s="207"/>
      <c r="AJ755" s="207"/>
      <c r="AK755" s="207"/>
      <c r="AL755" s="207"/>
      <c r="AM755" s="207"/>
      <c r="AN755" s="207"/>
      <c r="AO755" s="207"/>
      <c r="AP755" s="207"/>
      <c r="AQ755" s="207"/>
      <c r="AR755" s="207"/>
      <c r="AS755" s="207"/>
      <c r="AT755" s="207"/>
      <c r="AU755" s="207"/>
      <c r="AV755" s="207"/>
      <c r="AW755" s="207"/>
      <c r="AX755" s="207"/>
      <c r="AY755" s="207"/>
      <c r="AZ755" s="207"/>
      <c r="BA755" s="207"/>
    </row>
    <row r="756" ht="18.75" hidden="1" customHeight="1">
      <c r="A756" s="207"/>
      <c r="B756" s="207"/>
      <c r="C756" s="207"/>
      <c r="D756" s="207"/>
      <c r="E756" s="207"/>
      <c r="F756" s="207"/>
      <c r="G756" s="207"/>
      <c r="H756" s="207"/>
      <c r="I756" s="207"/>
      <c r="J756" s="207"/>
      <c r="K756" s="207"/>
      <c r="L756" s="207"/>
      <c r="M756" s="207"/>
      <c r="N756" s="207"/>
      <c r="O756" s="207"/>
      <c r="P756" s="207"/>
      <c r="Q756" s="207"/>
      <c r="R756" s="207"/>
      <c r="S756" s="207"/>
      <c r="T756" s="207"/>
      <c r="U756" s="207"/>
      <c r="V756" s="207"/>
      <c r="W756" s="207"/>
      <c r="X756" s="207"/>
      <c r="Y756" s="207"/>
      <c r="Z756" s="207"/>
      <c r="AA756" s="207"/>
      <c r="AB756" s="207"/>
      <c r="AC756" s="207"/>
      <c r="AD756" s="207"/>
      <c r="AE756" s="207"/>
      <c r="AF756" s="207"/>
      <c r="AG756" s="207"/>
      <c r="AH756" s="207"/>
      <c r="AI756" s="207"/>
      <c r="AJ756" s="207"/>
      <c r="AK756" s="207"/>
      <c r="AL756" s="207"/>
      <c r="AM756" s="207"/>
      <c r="AN756" s="207"/>
      <c r="AO756" s="207"/>
      <c r="AP756" s="207"/>
      <c r="AQ756" s="207"/>
      <c r="AR756" s="207"/>
      <c r="AS756" s="207"/>
      <c r="AT756" s="207"/>
      <c r="AU756" s="207"/>
      <c r="AV756" s="207"/>
      <c r="AW756" s="207"/>
      <c r="AX756" s="207"/>
      <c r="AY756" s="207"/>
      <c r="AZ756" s="207"/>
      <c r="BA756" s="207"/>
    </row>
    <row r="757" ht="18.75" hidden="1" customHeight="1">
      <c r="A757" s="207"/>
      <c r="B757" s="207"/>
      <c r="C757" s="207"/>
      <c r="D757" s="207"/>
      <c r="E757" s="207"/>
      <c r="F757" s="207"/>
      <c r="G757" s="207"/>
      <c r="H757" s="207"/>
      <c r="I757" s="207"/>
      <c r="J757" s="207"/>
      <c r="K757" s="207"/>
      <c r="L757" s="207"/>
      <c r="M757" s="207"/>
      <c r="N757" s="207"/>
      <c r="O757" s="207"/>
      <c r="P757" s="207"/>
      <c r="Q757" s="207"/>
      <c r="R757" s="207"/>
      <c r="S757" s="207"/>
      <c r="T757" s="207"/>
      <c r="U757" s="207"/>
      <c r="V757" s="207"/>
      <c r="W757" s="207"/>
      <c r="X757" s="207"/>
      <c r="Y757" s="207"/>
      <c r="Z757" s="207"/>
      <c r="AA757" s="207"/>
      <c r="AB757" s="207"/>
      <c r="AC757" s="207"/>
      <c r="AD757" s="207"/>
      <c r="AE757" s="207"/>
      <c r="AF757" s="207"/>
      <c r="AG757" s="207"/>
      <c r="AH757" s="207"/>
      <c r="AI757" s="207"/>
      <c r="AJ757" s="207"/>
      <c r="AK757" s="207"/>
      <c r="AL757" s="207"/>
      <c r="AM757" s="207"/>
      <c r="AN757" s="207"/>
      <c r="AO757" s="207"/>
      <c r="AP757" s="207"/>
      <c r="AQ757" s="207"/>
      <c r="AR757" s="207"/>
      <c r="AS757" s="207"/>
      <c r="AT757" s="207"/>
      <c r="AU757" s="207"/>
      <c r="AV757" s="207"/>
      <c r="AW757" s="207"/>
      <c r="AX757" s="207"/>
      <c r="AY757" s="207"/>
      <c r="AZ757" s="207"/>
      <c r="BA757" s="207"/>
    </row>
    <row r="758" ht="18.75" hidden="1" customHeight="1">
      <c r="A758" s="207"/>
      <c r="B758" s="207"/>
      <c r="C758" s="207"/>
      <c r="D758" s="207"/>
      <c r="E758" s="207"/>
      <c r="F758" s="207"/>
      <c r="G758" s="207"/>
      <c r="H758" s="207"/>
      <c r="I758" s="207"/>
      <c r="J758" s="207"/>
      <c r="K758" s="207"/>
      <c r="L758" s="207"/>
      <c r="M758" s="207"/>
      <c r="N758" s="207"/>
      <c r="O758" s="207"/>
      <c r="P758" s="207"/>
      <c r="Q758" s="207"/>
      <c r="R758" s="207"/>
      <c r="S758" s="207"/>
      <c r="T758" s="207"/>
      <c r="U758" s="207"/>
      <c r="V758" s="207"/>
      <c r="W758" s="207"/>
      <c r="X758" s="207"/>
      <c r="Y758" s="207"/>
      <c r="Z758" s="207"/>
      <c r="AA758" s="207"/>
      <c r="AB758" s="207"/>
      <c r="AC758" s="207"/>
      <c r="AD758" s="207"/>
      <c r="AE758" s="207"/>
      <c r="AF758" s="207"/>
      <c r="AG758" s="207"/>
      <c r="AH758" s="207"/>
      <c r="AI758" s="207"/>
      <c r="AJ758" s="207"/>
      <c r="AK758" s="207"/>
      <c r="AL758" s="207"/>
      <c r="AM758" s="207"/>
      <c r="AN758" s="207"/>
      <c r="AO758" s="207"/>
      <c r="AP758" s="207"/>
      <c r="AQ758" s="207"/>
      <c r="AR758" s="207"/>
      <c r="AS758" s="207"/>
      <c r="AT758" s="207"/>
      <c r="AU758" s="207"/>
      <c r="AV758" s="207"/>
      <c r="AW758" s="207"/>
      <c r="AX758" s="207"/>
      <c r="AY758" s="207"/>
      <c r="AZ758" s="207"/>
      <c r="BA758" s="207"/>
    </row>
    <row r="759" ht="18.75" hidden="1" customHeight="1">
      <c r="A759" s="207"/>
      <c r="B759" s="207"/>
      <c r="C759" s="207"/>
      <c r="D759" s="207"/>
      <c r="E759" s="207"/>
      <c r="F759" s="207"/>
      <c r="G759" s="207"/>
      <c r="H759" s="207"/>
      <c r="I759" s="207"/>
      <c r="J759" s="207"/>
      <c r="K759" s="207"/>
      <c r="L759" s="207"/>
      <c r="M759" s="207"/>
      <c r="N759" s="207"/>
      <c r="O759" s="207"/>
      <c r="P759" s="207"/>
      <c r="Q759" s="207"/>
      <c r="R759" s="207"/>
      <c r="S759" s="207"/>
      <c r="T759" s="207"/>
      <c r="U759" s="207"/>
      <c r="V759" s="207"/>
      <c r="W759" s="207"/>
      <c r="X759" s="207"/>
      <c r="Y759" s="207"/>
      <c r="Z759" s="207"/>
      <c r="AA759" s="207"/>
      <c r="AB759" s="207"/>
      <c r="AC759" s="207"/>
      <c r="AD759" s="207"/>
      <c r="AE759" s="207"/>
      <c r="AF759" s="207"/>
      <c r="AG759" s="207"/>
      <c r="AH759" s="207"/>
      <c r="AI759" s="207"/>
      <c r="AJ759" s="207"/>
      <c r="AK759" s="207"/>
      <c r="AL759" s="207"/>
      <c r="AM759" s="207"/>
      <c r="AN759" s="207"/>
      <c r="AO759" s="207"/>
      <c r="AP759" s="207"/>
      <c r="AQ759" s="207"/>
      <c r="AR759" s="207"/>
      <c r="AS759" s="207"/>
      <c r="AT759" s="207"/>
      <c r="AU759" s="207"/>
      <c r="AV759" s="207"/>
      <c r="AW759" s="207"/>
      <c r="AX759" s="207"/>
      <c r="AY759" s="207"/>
      <c r="AZ759" s="207"/>
      <c r="BA759" s="207"/>
    </row>
    <row r="760" ht="18.75" hidden="1" customHeight="1">
      <c r="A760" s="207"/>
      <c r="B760" s="207"/>
      <c r="C760" s="207"/>
      <c r="D760" s="207"/>
      <c r="E760" s="207"/>
      <c r="F760" s="207"/>
      <c r="G760" s="207"/>
      <c r="H760" s="207"/>
      <c r="I760" s="207"/>
      <c r="J760" s="207"/>
      <c r="K760" s="207"/>
      <c r="L760" s="207"/>
      <c r="M760" s="207"/>
      <c r="N760" s="207"/>
      <c r="O760" s="207"/>
      <c r="P760" s="207"/>
      <c r="Q760" s="207"/>
      <c r="R760" s="207"/>
      <c r="S760" s="207"/>
      <c r="T760" s="207"/>
      <c r="U760" s="207"/>
      <c r="V760" s="207"/>
      <c r="W760" s="207"/>
      <c r="X760" s="207"/>
      <c r="Y760" s="207"/>
      <c r="Z760" s="207"/>
      <c r="AA760" s="207"/>
      <c r="AB760" s="207"/>
      <c r="AC760" s="207"/>
      <c r="AD760" s="207"/>
      <c r="AE760" s="207"/>
      <c r="AF760" s="207"/>
      <c r="AG760" s="207"/>
      <c r="AH760" s="207"/>
      <c r="AI760" s="207"/>
      <c r="AJ760" s="207"/>
      <c r="AK760" s="207"/>
      <c r="AL760" s="207"/>
      <c r="AM760" s="207"/>
      <c r="AN760" s="207"/>
      <c r="AO760" s="207"/>
      <c r="AP760" s="207"/>
      <c r="AQ760" s="207"/>
      <c r="AR760" s="207"/>
      <c r="AS760" s="207"/>
      <c r="AT760" s="207"/>
      <c r="AU760" s="207"/>
      <c r="AV760" s="207"/>
      <c r="AW760" s="207"/>
      <c r="AX760" s="207"/>
      <c r="AY760" s="207"/>
      <c r="AZ760" s="207"/>
      <c r="BA760" s="207"/>
    </row>
    <row r="761" ht="18.75" hidden="1" customHeight="1">
      <c r="A761" s="207"/>
      <c r="B761" s="207"/>
      <c r="C761" s="207"/>
      <c r="D761" s="207"/>
      <c r="E761" s="207"/>
      <c r="F761" s="207"/>
      <c r="G761" s="207"/>
      <c r="H761" s="207"/>
      <c r="I761" s="207"/>
      <c r="J761" s="207"/>
      <c r="K761" s="207"/>
      <c r="L761" s="207"/>
      <c r="M761" s="207"/>
      <c r="N761" s="207"/>
      <c r="O761" s="207"/>
      <c r="P761" s="207"/>
      <c r="Q761" s="207"/>
      <c r="R761" s="207"/>
      <c r="S761" s="207"/>
      <c r="T761" s="207"/>
      <c r="U761" s="207"/>
      <c r="V761" s="207"/>
      <c r="W761" s="207"/>
      <c r="X761" s="207"/>
      <c r="Y761" s="207"/>
      <c r="Z761" s="207"/>
      <c r="AA761" s="207"/>
      <c r="AB761" s="207"/>
      <c r="AC761" s="207"/>
      <c r="AD761" s="207"/>
      <c r="AE761" s="207"/>
      <c r="AF761" s="207"/>
      <c r="AG761" s="207"/>
      <c r="AH761" s="207"/>
      <c r="AI761" s="207"/>
      <c r="AJ761" s="207"/>
      <c r="AK761" s="207"/>
      <c r="AL761" s="207"/>
      <c r="AM761" s="207"/>
      <c r="AN761" s="207"/>
      <c r="AO761" s="207"/>
      <c r="AP761" s="207"/>
      <c r="AQ761" s="207"/>
      <c r="AR761" s="207"/>
      <c r="AS761" s="207"/>
      <c r="AT761" s="207"/>
      <c r="AU761" s="207"/>
      <c r="AV761" s="207"/>
      <c r="AW761" s="207"/>
      <c r="AX761" s="207"/>
      <c r="AY761" s="207"/>
      <c r="AZ761" s="207"/>
      <c r="BA761" s="207"/>
    </row>
    <row r="762" ht="18.75" hidden="1" customHeight="1">
      <c r="A762" s="207"/>
      <c r="B762" s="207"/>
      <c r="C762" s="207"/>
      <c r="D762" s="207"/>
      <c r="E762" s="207"/>
      <c r="F762" s="207"/>
      <c r="G762" s="207"/>
      <c r="H762" s="207"/>
      <c r="I762" s="207"/>
      <c r="J762" s="207"/>
      <c r="K762" s="207"/>
      <c r="L762" s="207"/>
      <c r="M762" s="207"/>
      <c r="N762" s="207"/>
      <c r="O762" s="207"/>
      <c r="P762" s="207"/>
      <c r="Q762" s="207"/>
      <c r="R762" s="207"/>
      <c r="S762" s="207"/>
      <c r="T762" s="207"/>
      <c r="U762" s="207"/>
      <c r="V762" s="207"/>
      <c r="W762" s="207"/>
      <c r="X762" s="207"/>
      <c r="Y762" s="207"/>
      <c r="Z762" s="207"/>
      <c r="AA762" s="207"/>
      <c r="AB762" s="207"/>
      <c r="AC762" s="207"/>
      <c r="AD762" s="207"/>
      <c r="AE762" s="207"/>
      <c r="AF762" s="207"/>
      <c r="AG762" s="207"/>
      <c r="AH762" s="207"/>
      <c r="AI762" s="207"/>
      <c r="AJ762" s="207"/>
      <c r="AK762" s="207"/>
      <c r="AL762" s="207"/>
      <c r="AM762" s="207"/>
      <c r="AN762" s="207"/>
      <c r="AO762" s="207"/>
      <c r="AP762" s="207"/>
      <c r="AQ762" s="207"/>
      <c r="AR762" s="207"/>
      <c r="AS762" s="207"/>
      <c r="AT762" s="207"/>
      <c r="AU762" s="207"/>
      <c r="AV762" s="207"/>
      <c r="AW762" s="207"/>
      <c r="AX762" s="207"/>
      <c r="AY762" s="207"/>
      <c r="AZ762" s="207"/>
      <c r="BA762" s="207"/>
    </row>
    <row r="763" ht="18.75" hidden="1" customHeight="1">
      <c r="A763" s="207"/>
      <c r="B763" s="207"/>
      <c r="C763" s="207"/>
      <c r="D763" s="207"/>
      <c r="E763" s="207"/>
      <c r="F763" s="207"/>
      <c r="G763" s="207"/>
      <c r="H763" s="207"/>
      <c r="I763" s="207"/>
      <c r="J763" s="207"/>
      <c r="K763" s="207"/>
      <c r="L763" s="207"/>
      <c r="M763" s="207"/>
      <c r="N763" s="207"/>
      <c r="O763" s="207"/>
      <c r="P763" s="207"/>
      <c r="Q763" s="207"/>
      <c r="R763" s="207"/>
      <c r="S763" s="207"/>
      <c r="T763" s="207"/>
      <c r="U763" s="207"/>
      <c r="V763" s="207"/>
      <c r="W763" s="207"/>
      <c r="X763" s="207"/>
      <c r="Y763" s="207"/>
      <c r="Z763" s="207"/>
      <c r="AA763" s="207"/>
      <c r="AB763" s="207"/>
      <c r="AC763" s="207"/>
      <c r="AD763" s="207"/>
      <c r="AE763" s="207"/>
      <c r="AF763" s="207"/>
      <c r="AG763" s="207"/>
      <c r="AH763" s="207"/>
      <c r="AI763" s="207"/>
      <c r="AJ763" s="207"/>
      <c r="AK763" s="207"/>
      <c r="AL763" s="207"/>
      <c r="AM763" s="207"/>
      <c r="AN763" s="207"/>
      <c r="AO763" s="207"/>
      <c r="AP763" s="207"/>
      <c r="AQ763" s="207"/>
      <c r="AR763" s="207"/>
      <c r="AS763" s="207"/>
      <c r="AT763" s="207"/>
      <c r="AU763" s="207"/>
      <c r="AV763" s="207"/>
      <c r="AW763" s="207"/>
      <c r="AX763" s="207"/>
      <c r="AY763" s="207"/>
      <c r="AZ763" s="207"/>
      <c r="BA763" s="207"/>
    </row>
    <row r="764" ht="18.75" hidden="1" customHeight="1">
      <c r="A764" s="207"/>
      <c r="B764" s="207"/>
      <c r="C764" s="207"/>
      <c r="D764" s="207"/>
      <c r="E764" s="207"/>
      <c r="F764" s="207"/>
      <c r="G764" s="207"/>
      <c r="H764" s="207"/>
      <c r="I764" s="207"/>
      <c r="J764" s="207"/>
      <c r="K764" s="207"/>
      <c r="L764" s="207"/>
      <c r="M764" s="207"/>
      <c r="N764" s="207"/>
      <c r="O764" s="207"/>
      <c r="P764" s="207"/>
      <c r="Q764" s="207"/>
      <c r="R764" s="207"/>
      <c r="S764" s="207"/>
      <c r="T764" s="207"/>
      <c r="U764" s="207"/>
      <c r="V764" s="207"/>
      <c r="W764" s="207"/>
      <c r="X764" s="207"/>
      <c r="Y764" s="207"/>
      <c r="Z764" s="207"/>
      <c r="AA764" s="207"/>
      <c r="AB764" s="207"/>
      <c r="AC764" s="207"/>
      <c r="AD764" s="207"/>
      <c r="AE764" s="207"/>
      <c r="AF764" s="207"/>
      <c r="AG764" s="207"/>
      <c r="AH764" s="207"/>
      <c r="AI764" s="207"/>
      <c r="AJ764" s="207"/>
      <c r="AK764" s="207"/>
      <c r="AL764" s="207"/>
      <c r="AM764" s="207"/>
      <c r="AN764" s="207"/>
      <c r="AO764" s="207"/>
      <c r="AP764" s="207"/>
      <c r="AQ764" s="207"/>
      <c r="AR764" s="207"/>
      <c r="AS764" s="207"/>
      <c r="AT764" s="207"/>
      <c r="AU764" s="207"/>
      <c r="AV764" s="207"/>
      <c r="AW764" s="207"/>
      <c r="AX764" s="207"/>
      <c r="AY764" s="207"/>
      <c r="AZ764" s="207"/>
      <c r="BA764" s="207"/>
    </row>
    <row r="765" ht="18.75" hidden="1" customHeight="1">
      <c r="A765" s="207"/>
      <c r="B765" s="207"/>
      <c r="C765" s="207"/>
      <c r="D765" s="207"/>
      <c r="E765" s="207"/>
      <c r="F765" s="207"/>
      <c r="G765" s="207"/>
      <c r="H765" s="207"/>
      <c r="I765" s="207"/>
      <c r="J765" s="207"/>
      <c r="K765" s="207"/>
      <c r="L765" s="207"/>
      <c r="M765" s="207"/>
      <c r="N765" s="207"/>
      <c r="O765" s="207"/>
      <c r="P765" s="207"/>
      <c r="Q765" s="207"/>
      <c r="R765" s="207"/>
      <c r="S765" s="207"/>
      <c r="T765" s="207"/>
      <c r="U765" s="207"/>
      <c r="V765" s="207"/>
      <c r="W765" s="207"/>
      <c r="X765" s="207"/>
      <c r="Y765" s="207"/>
      <c r="Z765" s="207"/>
      <c r="AA765" s="207"/>
      <c r="AB765" s="207"/>
      <c r="AC765" s="207"/>
      <c r="AD765" s="207"/>
      <c r="AE765" s="207"/>
      <c r="AF765" s="207"/>
      <c r="AG765" s="207"/>
      <c r="AH765" s="207"/>
      <c r="AI765" s="207"/>
      <c r="AJ765" s="207"/>
      <c r="AK765" s="207"/>
      <c r="AL765" s="207"/>
      <c r="AM765" s="207"/>
      <c r="AN765" s="207"/>
      <c r="AO765" s="207"/>
      <c r="AP765" s="207"/>
      <c r="AQ765" s="207"/>
      <c r="AR765" s="207"/>
      <c r="AS765" s="207"/>
      <c r="AT765" s="207"/>
      <c r="AU765" s="207"/>
      <c r="AV765" s="207"/>
      <c r="AW765" s="207"/>
      <c r="AX765" s="207"/>
      <c r="AY765" s="207"/>
      <c r="AZ765" s="207"/>
      <c r="BA765" s="207"/>
    </row>
    <row r="766" ht="18.75" hidden="1" customHeight="1">
      <c r="A766" s="207"/>
      <c r="B766" s="207"/>
      <c r="C766" s="207"/>
      <c r="D766" s="207"/>
      <c r="E766" s="207"/>
      <c r="F766" s="207"/>
      <c r="G766" s="207"/>
      <c r="H766" s="207"/>
      <c r="I766" s="207"/>
      <c r="J766" s="207"/>
      <c r="K766" s="207"/>
      <c r="L766" s="207"/>
      <c r="M766" s="207"/>
      <c r="N766" s="207"/>
      <c r="O766" s="207"/>
      <c r="P766" s="207"/>
      <c r="Q766" s="207"/>
      <c r="R766" s="207"/>
      <c r="S766" s="207"/>
      <c r="T766" s="207"/>
      <c r="U766" s="207"/>
      <c r="V766" s="207"/>
      <c r="W766" s="207"/>
      <c r="X766" s="207"/>
      <c r="Y766" s="207"/>
      <c r="Z766" s="207"/>
      <c r="AA766" s="207"/>
      <c r="AB766" s="207"/>
      <c r="AC766" s="207"/>
      <c r="AD766" s="207"/>
      <c r="AE766" s="207"/>
      <c r="AF766" s="207"/>
      <c r="AG766" s="207"/>
      <c r="AH766" s="207"/>
      <c r="AI766" s="207"/>
      <c r="AJ766" s="207"/>
      <c r="AK766" s="207"/>
      <c r="AL766" s="207"/>
      <c r="AM766" s="207"/>
      <c r="AN766" s="207"/>
      <c r="AO766" s="207"/>
      <c r="AP766" s="207"/>
      <c r="AQ766" s="207"/>
      <c r="AR766" s="207"/>
      <c r="AS766" s="207"/>
      <c r="AT766" s="207"/>
      <c r="AU766" s="207"/>
      <c r="AV766" s="207"/>
      <c r="AW766" s="207"/>
      <c r="AX766" s="207"/>
      <c r="AY766" s="207"/>
      <c r="AZ766" s="207"/>
      <c r="BA766" s="207"/>
    </row>
    <row r="767" ht="18.75" hidden="1" customHeight="1">
      <c r="A767" s="207"/>
      <c r="B767" s="207"/>
      <c r="C767" s="207"/>
      <c r="D767" s="207"/>
      <c r="E767" s="207"/>
      <c r="F767" s="207"/>
      <c r="G767" s="207"/>
      <c r="H767" s="207"/>
      <c r="I767" s="207"/>
      <c r="J767" s="207"/>
      <c r="K767" s="207"/>
      <c r="L767" s="207"/>
      <c r="M767" s="207"/>
      <c r="N767" s="207"/>
      <c r="O767" s="207"/>
      <c r="P767" s="207"/>
      <c r="Q767" s="207"/>
      <c r="R767" s="207"/>
      <c r="S767" s="207"/>
      <c r="T767" s="207"/>
      <c r="U767" s="207"/>
      <c r="V767" s="207"/>
      <c r="W767" s="207"/>
      <c r="X767" s="207"/>
      <c r="Y767" s="207"/>
      <c r="Z767" s="207"/>
      <c r="AA767" s="207"/>
      <c r="AB767" s="207"/>
      <c r="AC767" s="207"/>
      <c r="AD767" s="207"/>
      <c r="AE767" s="207"/>
      <c r="AF767" s="207"/>
      <c r="AG767" s="207"/>
      <c r="AH767" s="207"/>
      <c r="AI767" s="207"/>
      <c r="AJ767" s="207"/>
      <c r="AK767" s="207"/>
      <c r="AL767" s="207"/>
      <c r="AM767" s="207"/>
      <c r="AN767" s="207"/>
      <c r="AO767" s="207"/>
      <c r="AP767" s="207"/>
      <c r="AQ767" s="207"/>
      <c r="AR767" s="207"/>
      <c r="AS767" s="207"/>
      <c r="AT767" s="207"/>
      <c r="AU767" s="207"/>
      <c r="AV767" s="207"/>
      <c r="AW767" s="207"/>
      <c r="AX767" s="207"/>
      <c r="AY767" s="207"/>
      <c r="AZ767" s="207"/>
      <c r="BA767" s="207"/>
    </row>
    <row r="768" ht="18.75" hidden="1" customHeight="1">
      <c r="A768" s="207"/>
      <c r="B768" s="207"/>
      <c r="C768" s="207"/>
      <c r="D768" s="207"/>
      <c r="E768" s="207"/>
      <c r="F768" s="207"/>
      <c r="G768" s="207"/>
      <c r="H768" s="207"/>
      <c r="I768" s="207"/>
      <c r="J768" s="207"/>
      <c r="K768" s="207"/>
      <c r="L768" s="207"/>
      <c r="M768" s="207"/>
      <c r="N768" s="207"/>
      <c r="O768" s="207"/>
      <c r="P768" s="207"/>
      <c r="Q768" s="207"/>
      <c r="R768" s="207"/>
      <c r="S768" s="207"/>
      <c r="T768" s="207"/>
      <c r="U768" s="207"/>
      <c r="V768" s="207"/>
      <c r="W768" s="207"/>
      <c r="X768" s="207"/>
      <c r="Y768" s="207"/>
      <c r="Z768" s="207"/>
      <c r="AA768" s="207"/>
      <c r="AB768" s="207"/>
      <c r="AC768" s="207"/>
      <c r="AD768" s="207"/>
      <c r="AE768" s="207"/>
      <c r="AF768" s="207"/>
      <c r="AG768" s="207"/>
      <c r="AH768" s="207"/>
      <c r="AI768" s="207"/>
      <c r="AJ768" s="207"/>
      <c r="AK768" s="207"/>
      <c r="AL768" s="207"/>
      <c r="AM768" s="207"/>
      <c r="AN768" s="207"/>
      <c r="AO768" s="207"/>
      <c r="AP768" s="207"/>
      <c r="AQ768" s="207"/>
      <c r="AR768" s="207"/>
      <c r="AS768" s="207"/>
      <c r="AT768" s="207"/>
      <c r="AU768" s="207"/>
      <c r="AV768" s="207"/>
      <c r="AW768" s="207"/>
      <c r="AX768" s="207"/>
      <c r="AY768" s="207"/>
      <c r="AZ768" s="207"/>
      <c r="BA768" s="207"/>
    </row>
    <row r="769" ht="18.75" hidden="1" customHeight="1">
      <c r="A769" s="207"/>
      <c r="B769" s="207"/>
      <c r="C769" s="207"/>
      <c r="D769" s="207"/>
      <c r="E769" s="207"/>
      <c r="F769" s="207"/>
      <c r="G769" s="207"/>
      <c r="H769" s="207"/>
      <c r="I769" s="207"/>
      <c r="J769" s="207"/>
      <c r="K769" s="207"/>
      <c r="L769" s="207"/>
      <c r="M769" s="207"/>
      <c r="N769" s="207"/>
      <c r="O769" s="207"/>
      <c r="P769" s="207"/>
      <c r="Q769" s="207"/>
      <c r="R769" s="207"/>
      <c r="S769" s="207"/>
      <c r="T769" s="207"/>
      <c r="U769" s="207"/>
      <c r="V769" s="207"/>
      <c r="W769" s="207"/>
      <c r="X769" s="207"/>
      <c r="Y769" s="207"/>
      <c r="Z769" s="207"/>
      <c r="AA769" s="207"/>
      <c r="AB769" s="207"/>
      <c r="AC769" s="207"/>
      <c r="AD769" s="207"/>
      <c r="AE769" s="207"/>
      <c r="AF769" s="207"/>
      <c r="AG769" s="207"/>
      <c r="AH769" s="207"/>
      <c r="AI769" s="207"/>
      <c r="AJ769" s="207"/>
      <c r="AK769" s="207"/>
      <c r="AL769" s="207"/>
      <c r="AM769" s="207"/>
      <c r="AN769" s="207"/>
      <c r="AO769" s="207"/>
      <c r="AP769" s="207"/>
      <c r="AQ769" s="207"/>
      <c r="AR769" s="207"/>
      <c r="AS769" s="207"/>
      <c r="AT769" s="207"/>
      <c r="AU769" s="207"/>
      <c r="AV769" s="207"/>
      <c r="AW769" s="207"/>
      <c r="AX769" s="207"/>
      <c r="AY769" s="207"/>
      <c r="AZ769" s="207"/>
      <c r="BA769" s="207"/>
    </row>
    <row r="770" ht="18.75" hidden="1" customHeight="1">
      <c r="A770" s="207"/>
      <c r="B770" s="207"/>
      <c r="C770" s="207"/>
      <c r="D770" s="207"/>
      <c r="E770" s="207"/>
      <c r="F770" s="207"/>
      <c r="G770" s="207"/>
      <c r="H770" s="207"/>
      <c r="I770" s="207"/>
      <c r="J770" s="207"/>
      <c r="K770" s="207"/>
      <c r="L770" s="207"/>
      <c r="M770" s="207"/>
      <c r="N770" s="207"/>
      <c r="O770" s="207"/>
      <c r="P770" s="207"/>
      <c r="Q770" s="207"/>
      <c r="R770" s="207"/>
      <c r="S770" s="207"/>
      <c r="T770" s="207"/>
      <c r="U770" s="207"/>
      <c r="V770" s="207"/>
      <c r="W770" s="207"/>
      <c r="X770" s="207"/>
      <c r="Y770" s="207"/>
      <c r="Z770" s="207"/>
      <c r="AA770" s="207"/>
      <c r="AB770" s="207"/>
      <c r="AC770" s="207"/>
      <c r="AD770" s="207"/>
      <c r="AE770" s="207"/>
      <c r="AF770" s="207"/>
      <c r="AG770" s="207"/>
      <c r="AH770" s="207"/>
      <c r="AI770" s="207"/>
      <c r="AJ770" s="207"/>
      <c r="AK770" s="207"/>
      <c r="AL770" s="207"/>
      <c r="AM770" s="207"/>
      <c r="AN770" s="207"/>
      <c r="AO770" s="207"/>
      <c r="AP770" s="207"/>
      <c r="AQ770" s="207"/>
      <c r="AR770" s="207"/>
      <c r="AS770" s="207"/>
      <c r="AT770" s="207"/>
      <c r="AU770" s="207"/>
      <c r="AV770" s="207"/>
      <c r="AW770" s="207"/>
      <c r="AX770" s="207"/>
      <c r="AY770" s="207"/>
      <c r="AZ770" s="207"/>
      <c r="BA770" s="207"/>
    </row>
    <row r="771" ht="18.75" hidden="1" customHeight="1">
      <c r="A771" s="207"/>
      <c r="B771" s="207"/>
      <c r="C771" s="207"/>
      <c r="D771" s="207"/>
      <c r="E771" s="207"/>
      <c r="F771" s="207"/>
      <c r="G771" s="207"/>
      <c r="H771" s="207"/>
      <c r="I771" s="207"/>
      <c r="J771" s="207"/>
      <c r="K771" s="207"/>
      <c r="L771" s="207"/>
      <c r="M771" s="207"/>
      <c r="N771" s="207"/>
      <c r="O771" s="207"/>
      <c r="P771" s="207"/>
      <c r="Q771" s="207"/>
      <c r="R771" s="207"/>
      <c r="S771" s="207"/>
      <c r="T771" s="207"/>
      <c r="U771" s="207"/>
      <c r="V771" s="207"/>
      <c r="W771" s="207"/>
      <c r="X771" s="207"/>
      <c r="Y771" s="207"/>
      <c r="Z771" s="207"/>
      <c r="AA771" s="207"/>
      <c r="AB771" s="207"/>
      <c r="AC771" s="207"/>
      <c r="AD771" s="207"/>
      <c r="AE771" s="207"/>
      <c r="AF771" s="207"/>
      <c r="AG771" s="207"/>
      <c r="AH771" s="207"/>
      <c r="AI771" s="207"/>
      <c r="AJ771" s="207"/>
      <c r="AK771" s="207"/>
      <c r="AL771" s="207"/>
      <c r="AM771" s="207"/>
      <c r="AN771" s="207"/>
      <c r="AO771" s="207"/>
      <c r="AP771" s="207"/>
      <c r="AQ771" s="207"/>
      <c r="AR771" s="207"/>
      <c r="AS771" s="207"/>
      <c r="AT771" s="207"/>
      <c r="AU771" s="207"/>
      <c r="AV771" s="207"/>
      <c r="AW771" s="207"/>
      <c r="AX771" s="207"/>
      <c r="AY771" s="207"/>
      <c r="AZ771" s="207"/>
      <c r="BA771" s="207"/>
    </row>
    <row r="772" ht="18.75" hidden="1" customHeight="1">
      <c r="A772" s="207"/>
      <c r="B772" s="207"/>
      <c r="C772" s="207"/>
      <c r="D772" s="207"/>
      <c r="E772" s="207"/>
      <c r="F772" s="207"/>
      <c r="G772" s="207"/>
      <c r="H772" s="207"/>
      <c r="I772" s="207"/>
      <c r="J772" s="207"/>
      <c r="K772" s="207"/>
      <c r="L772" s="207"/>
      <c r="M772" s="207"/>
      <c r="N772" s="207"/>
      <c r="O772" s="207"/>
      <c r="P772" s="207"/>
      <c r="Q772" s="207"/>
      <c r="R772" s="207"/>
      <c r="S772" s="207"/>
      <c r="T772" s="207"/>
      <c r="U772" s="207"/>
      <c r="V772" s="207"/>
      <c r="W772" s="207"/>
      <c r="X772" s="207"/>
      <c r="Y772" s="207"/>
      <c r="Z772" s="207"/>
      <c r="AA772" s="207"/>
      <c r="AB772" s="207"/>
      <c r="AC772" s="207"/>
      <c r="AD772" s="207"/>
      <c r="AE772" s="207"/>
      <c r="AF772" s="207"/>
      <c r="AG772" s="207"/>
      <c r="AH772" s="207"/>
      <c r="AI772" s="207"/>
      <c r="AJ772" s="207"/>
      <c r="AK772" s="207"/>
      <c r="AL772" s="207"/>
      <c r="AM772" s="207"/>
      <c r="AN772" s="207"/>
      <c r="AO772" s="207"/>
      <c r="AP772" s="207"/>
      <c r="AQ772" s="207"/>
      <c r="AR772" s="207"/>
      <c r="AS772" s="207"/>
      <c r="AT772" s="207"/>
      <c r="AU772" s="207"/>
      <c r="AV772" s="207"/>
      <c r="AW772" s="207"/>
      <c r="AX772" s="207"/>
      <c r="AY772" s="207"/>
      <c r="AZ772" s="207"/>
      <c r="BA772" s="207"/>
    </row>
    <row r="773" ht="18.75" hidden="1" customHeight="1">
      <c r="A773" s="207"/>
      <c r="B773" s="207"/>
      <c r="C773" s="207"/>
      <c r="D773" s="207"/>
      <c r="E773" s="207"/>
      <c r="F773" s="207"/>
      <c r="G773" s="207"/>
      <c r="H773" s="207"/>
      <c r="I773" s="207"/>
      <c r="J773" s="207"/>
      <c r="K773" s="207"/>
      <c r="L773" s="207"/>
      <c r="M773" s="207"/>
      <c r="N773" s="207"/>
      <c r="O773" s="207"/>
      <c r="P773" s="207"/>
      <c r="Q773" s="207"/>
      <c r="R773" s="207"/>
      <c r="S773" s="207"/>
      <c r="T773" s="207"/>
      <c r="U773" s="207"/>
      <c r="V773" s="207"/>
      <c r="W773" s="207"/>
      <c r="X773" s="207"/>
      <c r="Y773" s="207"/>
      <c r="Z773" s="207"/>
      <c r="AA773" s="207"/>
      <c r="AB773" s="207"/>
      <c r="AC773" s="207"/>
      <c r="AD773" s="207"/>
      <c r="AE773" s="207"/>
      <c r="AF773" s="207"/>
      <c r="AG773" s="207"/>
      <c r="AH773" s="207"/>
      <c r="AI773" s="207"/>
      <c r="AJ773" s="207"/>
      <c r="AK773" s="207"/>
      <c r="AL773" s="207"/>
      <c r="AM773" s="207"/>
      <c r="AN773" s="207"/>
      <c r="AO773" s="207"/>
      <c r="AP773" s="207"/>
      <c r="AQ773" s="207"/>
      <c r="AR773" s="207"/>
      <c r="AS773" s="207"/>
      <c r="AT773" s="207"/>
      <c r="AU773" s="207"/>
      <c r="AV773" s="207"/>
      <c r="AW773" s="207"/>
      <c r="AX773" s="207"/>
      <c r="AY773" s="207"/>
      <c r="AZ773" s="207"/>
      <c r="BA773" s="207"/>
    </row>
    <row r="774" ht="18.75" hidden="1" customHeight="1">
      <c r="A774" s="207"/>
      <c r="B774" s="207"/>
      <c r="C774" s="207"/>
      <c r="D774" s="207"/>
      <c r="E774" s="207"/>
      <c r="F774" s="207"/>
      <c r="G774" s="207"/>
      <c r="H774" s="207"/>
      <c r="I774" s="207"/>
      <c r="J774" s="207"/>
      <c r="K774" s="207"/>
      <c r="L774" s="207"/>
      <c r="M774" s="207"/>
      <c r="N774" s="207"/>
      <c r="O774" s="207"/>
      <c r="P774" s="207"/>
      <c r="Q774" s="207"/>
      <c r="R774" s="207"/>
      <c r="S774" s="207"/>
      <c r="T774" s="207"/>
      <c r="U774" s="207"/>
      <c r="V774" s="207"/>
      <c r="W774" s="207"/>
      <c r="X774" s="207"/>
      <c r="Y774" s="207"/>
      <c r="Z774" s="207"/>
      <c r="AA774" s="207"/>
      <c r="AB774" s="207"/>
      <c r="AC774" s="207"/>
      <c r="AD774" s="207"/>
      <c r="AE774" s="207"/>
      <c r="AF774" s="207"/>
      <c r="AG774" s="207"/>
      <c r="AH774" s="207"/>
      <c r="AI774" s="207"/>
      <c r="AJ774" s="207"/>
      <c r="AK774" s="207"/>
      <c r="AL774" s="207"/>
      <c r="AM774" s="207"/>
      <c r="AN774" s="207"/>
      <c r="AO774" s="207"/>
      <c r="AP774" s="207"/>
      <c r="AQ774" s="207"/>
      <c r="AR774" s="207"/>
      <c r="AS774" s="207"/>
      <c r="AT774" s="207"/>
      <c r="AU774" s="207"/>
      <c r="AV774" s="207"/>
      <c r="AW774" s="207"/>
      <c r="AX774" s="207"/>
      <c r="AY774" s="207"/>
      <c r="AZ774" s="207"/>
      <c r="BA774" s="207"/>
    </row>
    <row r="775" ht="18.75" hidden="1" customHeight="1">
      <c r="A775" s="207"/>
      <c r="B775" s="207"/>
      <c r="C775" s="207"/>
      <c r="D775" s="207"/>
      <c r="E775" s="207"/>
      <c r="F775" s="207"/>
      <c r="G775" s="207"/>
      <c r="H775" s="207"/>
      <c r="I775" s="207"/>
      <c r="J775" s="207"/>
      <c r="K775" s="207"/>
      <c r="L775" s="207"/>
      <c r="M775" s="207"/>
      <c r="N775" s="207"/>
      <c r="O775" s="207"/>
      <c r="P775" s="207"/>
      <c r="Q775" s="207"/>
      <c r="R775" s="207"/>
      <c r="S775" s="207"/>
      <c r="T775" s="207"/>
      <c r="U775" s="207"/>
      <c r="V775" s="207"/>
      <c r="W775" s="207"/>
      <c r="X775" s="207"/>
      <c r="Y775" s="207"/>
      <c r="Z775" s="207"/>
      <c r="AA775" s="207"/>
      <c r="AB775" s="207"/>
      <c r="AC775" s="207"/>
      <c r="AD775" s="207"/>
      <c r="AE775" s="207"/>
      <c r="AF775" s="207"/>
      <c r="AG775" s="207"/>
      <c r="AH775" s="207"/>
      <c r="AI775" s="207"/>
      <c r="AJ775" s="207"/>
      <c r="AK775" s="207"/>
      <c r="AL775" s="207"/>
      <c r="AM775" s="207"/>
      <c r="AN775" s="207"/>
      <c r="AO775" s="207"/>
      <c r="AP775" s="207"/>
      <c r="AQ775" s="207"/>
      <c r="AR775" s="207"/>
      <c r="AS775" s="207"/>
      <c r="AT775" s="207"/>
      <c r="AU775" s="207"/>
      <c r="AV775" s="207"/>
      <c r="AW775" s="207"/>
      <c r="AX775" s="207"/>
      <c r="AY775" s="207"/>
      <c r="AZ775" s="207"/>
      <c r="BA775" s="207"/>
    </row>
    <row r="776" ht="18.75" hidden="1" customHeight="1">
      <c r="A776" s="207"/>
      <c r="B776" s="207"/>
      <c r="C776" s="207"/>
      <c r="D776" s="207"/>
      <c r="E776" s="207"/>
      <c r="F776" s="207"/>
      <c r="G776" s="207"/>
      <c r="H776" s="207"/>
      <c r="I776" s="207"/>
      <c r="J776" s="207"/>
      <c r="K776" s="207"/>
      <c r="L776" s="207"/>
      <c r="M776" s="207"/>
      <c r="N776" s="207"/>
      <c r="O776" s="207"/>
      <c r="P776" s="207"/>
      <c r="Q776" s="207"/>
      <c r="R776" s="207"/>
      <c r="S776" s="207"/>
      <c r="T776" s="207"/>
      <c r="U776" s="207"/>
      <c r="V776" s="207"/>
      <c r="W776" s="207"/>
      <c r="X776" s="207"/>
      <c r="Y776" s="207"/>
      <c r="Z776" s="207"/>
      <c r="AA776" s="207"/>
      <c r="AB776" s="207"/>
      <c r="AC776" s="207"/>
      <c r="AD776" s="207"/>
      <c r="AE776" s="207"/>
      <c r="AF776" s="207"/>
      <c r="AG776" s="207"/>
      <c r="AH776" s="207"/>
      <c r="AI776" s="207"/>
      <c r="AJ776" s="207"/>
      <c r="AK776" s="207"/>
      <c r="AL776" s="207"/>
      <c r="AM776" s="207"/>
      <c r="AN776" s="207"/>
      <c r="AO776" s="207"/>
      <c r="AP776" s="207"/>
      <c r="AQ776" s="207"/>
      <c r="AR776" s="207"/>
      <c r="AS776" s="207"/>
      <c r="AT776" s="207"/>
      <c r="AU776" s="207"/>
      <c r="AV776" s="207"/>
      <c r="AW776" s="207"/>
      <c r="AX776" s="207"/>
      <c r="AY776" s="207"/>
      <c r="AZ776" s="207"/>
      <c r="BA776" s="207"/>
    </row>
    <row r="777" ht="18.75" hidden="1" customHeight="1">
      <c r="A777" s="207"/>
      <c r="B777" s="207"/>
      <c r="C777" s="207"/>
      <c r="D777" s="207"/>
      <c r="E777" s="207"/>
      <c r="F777" s="207"/>
      <c r="G777" s="207"/>
      <c r="H777" s="207"/>
      <c r="I777" s="207"/>
      <c r="J777" s="207"/>
      <c r="K777" s="207"/>
      <c r="L777" s="207"/>
      <c r="M777" s="207"/>
      <c r="N777" s="207"/>
      <c r="O777" s="207"/>
      <c r="P777" s="207"/>
      <c r="Q777" s="207"/>
      <c r="R777" s="207"/>
      <c r="S777" s="207"/>
      <c r="T777" s="207"/>
      <c r="U777" s="207"/>
      <c r="V777" s="207"/>
      <c r="W777" s="207"/>
      <c r="X777" s="207"/>
      <c r="Y777" s="207"/>
      <c r="Z777" s="207"/>
      <c r="AA777" s="207"/>
      <c r="AB777" s="207"/>
      <c r="AC777" s="207"/>
      <c r="AD777" s="207"/>
      <c r="AE777" s="207"/>
      <c r="AF777" s="207"/>
      <c r="AG777" s="207"/>
      <c r="AH777" s="207"/>
      <c r="AI777" s="207"/>
      <c r="AJ777" s="207"/>
      <c r="AK777" s="207"/>
      <c r="AL777" s="207"/>
      <c r="AM777" s="207"/>
      <c r="AN777" s="207"/>
      <c r="AO777" s="207"/>
      <c r="AP777" s="207"/>
      <c r="AQ777" s="207"/>
      <c r="AR777" s="207"/>
      <c r="AS777" s="207"/>
      <c r="AT777" s="207"/>
      <c r="AU777" s="207"/>
      <c r="AV777" s="207"/>
      <c r="AW777" s="207"/>
      <c r="AX777" s="207"/>
      <c r="AY777" s="207"/>
      <c r="AZ777" s="207"/>
      <c r="BA777" s="207"/>
    </row>
    <row r="778" ht="18.75" hidden="1" customHeight="1">
      <c r="A778" s="207"/>
      <c r="B778" s="207"/>
      <c r="C778" s="207"/>
      <c r="D778" s="207"/>
      <c r="E778" s="207"/>
      <c r="F778" s="207"/>
      <c r="G778" s="207"/>
      <c r="H778" s="207"/>
      <c r="I778" s="207"/>
      <c r="J778" s="207"/>
      <c r="K778" s="207"/>
      <c r="L778" s="207"/>
      <c r="M778" s="207"/>
      <c r="N778" s="207"/>
      <c r="O778" s="207"/>
      <c r="P778" s="207"/>
      <c r="Q778" s="207"/>
      <c r="R778" s="207"/>
      <c r="S778" s="207"/>
      <c r="T778" s="207"/>
      <c r="U778" s="207"/>
      <c r="V778" s="207"/>
      <c r="W778" s="207"/>
      <c r="X778" s="207"/>
      <c r="Y778" s="207"/>
      <c r="Z778" s="207"/>
      <c r="AA778" s="207"/>
      <c r="AB778" s="207"/>
      <c r="AC778" s="207"/>
      <c r="AD778" s="207"/>
      <c r="AE778" s="207"/>
      <c r="AF778" s="207"/>
      <c r="AG778" s="207"/>
      <c r="AH778" s="207"/>
      <c r="AI778" s="207"/>
      <c r="AJ778" s="207"/>
      <c r="AK778" s="207"/>
      <c r="AL778" s="207"/>
      <c r="AM778" s="207"/>
      <c r="AN778" s="207"/>
      <c r="AO778" s="207"/>
      <c r="AP778" s="207"/>
      <c r="AQ778" s="207"/>
      <c r="AR778" s="207"/>
      <c r="AS778" s="207"/>
      <c r="AT778" s="207"/>
      <c r="AU778" s="207"/>
      <c r="AV778" s="207"/>
      <c r="AW778" s="207"/>
      <c r="AX778" s="207"/>
      <c r="AY778" s="207"/>
      <c r="AZ778" s="207"/>
      <c r="BA778" s="207"/>
    </row>
    <row r="779" ht="18.75" hidden="1" customHeight="1">
      <c r="A779" s="207"/>
      <c r="B779" s="207"/>
      <c r="C779" s="207"/>
      <c r="D779" s="207"/>
      <c r="E779" s="207"/>
      <c r="F779" s="207"/>
      <c r="G779" s="207"/>
      <c r="H779" s="207"/>
      <c r="I779" s="207"/>
      <c r="J779" s="207"/>
      <c r="K779" s="207"/>
      <c r="L779" s="207"/>
      <c r="M779" s="207"/>
      <c r="N779" s="207"/>
      <c r="O779" s="207"/>
      <c r="P779" s="207"/>
      <c r="Q779" s="207"/>
      <c r="R779" s="207"/>
      <c r="S779" s="207"/>
      <c r="T779" s="207"/>
      <c r="U779" s="207"/>
      <c r="V779" s="207"/>
      <c r="W779" s="207"/>
      <c r="X779" s="207"/>
      <c r="Y779" s="207"/>
      <c r="Z779" s="207"/>
      <c r="AA779" s="207"/>
      <c r="AB779" s="207"/>
      <c r="AC779" s="207"/>
      <c r="AD779" s="207"/>
      <c r="AE779" s="207"/>
      <c r="AF779" s="207"/>
      <c r="AG779" s="207"/>
      <c r="AH779" s="207"/>
      <c r="AI779" s="207"/>
      <c r="AJ779" s="207"/>
      <c r="AK779" s="207"/>
      <c r="AL779" s="207"/>
      <c r="AM779" s="207"/>
      <c r="AN779" s="207"/>
      <c r="AO779" s="207"/>
      <c r="AP779" s="207"/>
      <c r="AQ779" s="207"/>
      <c r="AR779" s="207"/>
      <c r="AS779" s="207"/>
      <c r="AT779" s="207"/>
      <c r="AU779" s="207"/>
      <c r="AV779" s="207"/>
      <c r="AW779" s="207"/>
      <c r="AX779" s="207"/>
      <c r="AY779" s="207"/>
      <c r="AZ779" s="207"/>
      <c r="BA779" s="207"/>
    </row>
    <row r="780" ht="18.75" hidden="1" customHeight="1">
      <c r="A780" s="207"/>
      <c r="B780" s="207"/>
      <c r="C780" s="207"/>
      <c r="D780" s="207"/>
      <c r="E780" s="207"/>
      <c r="F780" s="207"/>
      <c r="G780" s="207"/>
      <c r="H780" s="207"/>
      <c r="I780" s="207"/>
      <c r="J780" s="207"/>
      <c r="K780" s="207"/>
      <c r="L780" s="207"/>
      <c r="M780" s="207"/>
      <c r="N780" s="207"/>
      <c r="O780" s="207"/>
      <c r="P780" s="207"/>
      <c r="Q780" s="207"/>
      <c r="R780" s="207"/>
      <c r="S780" s="207"/>
      <c r="T780" s="207"/>
      <c r="U780" s="207"/>
      <c r="V780" s="207"/>
      <c r="W780" s="207"/>
      <c r="X780" s="207"/>
      <c r="Y780" s="207"/>
      <c r="Z780" s="207"/>
      <c r="AA780" s="207"/>
      <c r="AB780" s="207"/>
      <c r="AC780" s="207"/>
      <c r="AD780" s="207"/>
      <c r="AE780" s="207"/>
      <c r="AF780" s="207"/>
      <c r="AG780" s="207"/>
      <c r="AH780" s="207"/>
      <c r="AI780" s="207"/>
      <c r="AJ780" s="207"/>
      <c r="AK780" s="207"/>
      <c r="AL780" s="207"/>
      <c r="AM780" s="207"/>
      <c r="AN780" s="207"/>
      <c r="AO780" s="207"/>
      <c r="AP780" s="207"/>
      <c r="AQ780" s="207"/>
      <c r="AR780" s="207"/>
      <c r="AS780" s="207"/>
      <c r="AT780" s="207"/>
      <c r="AU780" s="207"/>
      <c r="AV780" s="207"/>
      <c r="AW780" s="207"/>
      <c r="AX780" s="207"/>
      <c r="AY780" s="207"/>
      <c r="AZ780" s="207"/>
      <c r="BA780" s="207"/>
    </row>
    <row r="781" ht="18.75" hidden="1" customHeight="1">
      <c r="A781" s="207"/>
      <c r="B781" s="207"/>
      <c r="C781" s="207"/>
      <c r="D781" s="207"/>
      <c r="E781" s="207"/>
      <c r="F781" s="207"/>
      <c r="G781" s="207"/>
      <c r="H781" s="207"/>
      <c r="I781" s="207"/>
      <c r="J781" s="207"/>
      <c r="K781" s="207"/>
      <c r="L781" s="207"/>
      <c r="M781" s="207"/>
      <c r="N781" s="207"/>
      <c r="O781" s="207"/>
      <c r="P781" s="207"/>
      <c r="Q781" s="207"/>
      <c r="R781" s="207"/>
      <c r="S781" s="207"/>
      <c r="T781" s="207"/>
      <c r="U781" s="207"/>
      <c r="V781" s="207"/>
      <c r="W781" s="207"/>
      <c r="X781" s="207"/>
      <c r="Y781" s="207"/>
      <c r="Z781" s="207"/>
      <c r="AA781" s="207"/>
      <c r="AB781" s="207"/>
      <c r="AC781" s="207"/>
      <c r="AD781" s="207"/>
      <c r="AE781" s="207"/>
      <c r="AF781" s="207"/>
      <c r="AG781" s="207"/>
      <c r="AH781" s="207"/>
      <c r="AI781" s="207"/>
      <c r="AJ781" s="207"/>
      <c r="AK781" s="207"/>
      <c r="AL781" s="207"/>
      <c r="AM781" s="207"/>
      <c r="AN781" s="207"/>
      <c r="AO781" s="207"/>
      <c r="AP781" s="207"/>
      <c r="AQ781" s="207"/>
      <c r="AR781" s="207"/>
      <c r="AS781" s="207"/>
      <c r="AT781" s="207"/>
      <c r="AU781" s="207"/>
      <c r="AV781" s="207"/>
      <c r="AW781" s="207"/>
      <c r="AX781" s="207"/>
      <c r="AY781" s="207"/>
      <c r="AZ781" s="207"/>
      <c r="BA781" s="207"/>
    </row>
    <row r="782" ht="18.75" hidden="1" customHeight="1">
      <c r="A782" s="207"/>
      <c r="B782" s="207"/>
      <c r="C782" s="207"/>
      <c r="D782" s="207"/>
      <c r="E782" s="207"/>
      <c r="F782" s="207"/>
      <c r="G782" s="207"/>
      <c r="H782" s="207"/>
      <c r="I782" s="207"/>
      <c r="J782" s="207"/>
      <c r="K782" s="207"/>
      <c r="L782" s="207"/>
      <c r="M782" s="207"/>
      <c r="N782" s="207"/>
      <c r="O782" s="207"/>
      <c r="P782" s="207"/>
      <c r="Q782" s="207"/>
      <c r="R782" s="207"/>
      <c r="S782" s="207"/>
      <c r="T782" s="207"/>
      <c r="U782" s="207"/>
      <c r="V782" s="207"/>
      <c r="W782" s="207"/>
      <c r="X782" s="207"/>
      <c r="Y782" s="207"/>
      <c r="Z782" s="207"/>
      <c r="AA782" s="207"/>
      <c r="AB782" s="207"/>
      <c r="AC782" s="207"/>
      <c r="AD782" s="207"/>
      <c r="AE782" s="207"/>
      <c r="AF782" s="207"/>
      <c r="AG782" s="207"/>
      <c r="AH782" s="207"/>
      <c r="AI782" s="207"/>
      <c r="AJ782" s="207"/>
      <c r="AK782" s="207"/>
      <c r="AL782" s="207"/>
      <c r="AM782" s="207"/>
      <c r="AN782" s="207"/>
      <c r="AO782" s="207"/>
      <c r="AP782" s="207"/>
      <c r="AQ782" s="207"/>
      <c r="AR782" s="207"/>
      <c r="AS782" s="207"/>
      <c r="AT782" s="207"/>
      <c r="AU782" s="207"/>
      <c r="AV782" s="207"/>
      <c r="AW782" s="207"/>
      <c r="AX782" s="207"/>
      <c r="AY782" s="207"/>
      <c r="AZ782" s="207"/>
      <c r="BA782" s="207"/>
    </row>
    <row r="783" ht="18.75" hidden="1" customHeight="1">
      <c r="A783" s="207"/>
      <c r="B783" s="207"/>
      <c r="C783" s="207"/>
      <c r="D783" s="207"/>
      <c r="E783" s="207"/>
      <c r="F783" s="207"/>
      <c r="G783" s="207"/>
      <c r="H783" s="207"/>
      <c r="I783" s="207"/>
      <c r="J783" s="207"/>
      <c r="K783" s="207"/>
      <c r="L783" s="207"/>
      <c r="M783" s="207"/>
      <c r="N783" s="207"/>
      <c r="O783" s="207"/>
      <c r="P783" s="207"/>
      <c r="Q783" s="207"/>
      <c r="R783" s="207"/>
      <c r="S783" s="207"/>
      <c r="T783" s="207"/>
      <c r="U783" s="207"/>
      <c r="V783" s="207"/>
      <c r="W783" s="207"/>
      <c r="X783" s="207"/>
      <c r="Y783" s="207"/>
      <c r="Z783" s="207"/>
      <c r="AA783" s="207"/>
      <c r="AB783" s="207"/>
      <c r="AC783" s="207"/>
      <c r="AD783" s="207"/>
      <c r="AE783" s="207"/>
      <c r="AF783" s="207"/>
      <c r="AG783" s="207"/>
      <c r="AH783" s="207"/>
      <c r="AI783" s="207"/>
      <c r="AJ783" s="207"/>
      <c r="AK783" s="207"/>
      <c r="AL783" s="207"/>
      <c r="AM783" s="207"/>
      <c r="AN783" s="207"/>
      <c r="AO783" s="207"/>
      <c r="AP783" s="207"/>
      <c r="AQ783" s="207"/>
      <c r="AR783" s="207"/>
      <c r="AS783" s="207"/>
      <c r="AT783" s="207"/>
      <c r="AU783" s="207"/>
      <c r="AV783" s="207"/>
      <c r="AW783" s="207"/>
      <c r="AX783" s="207"/>
      <c r="AY783" s="207"/>
      <c r="AZ783" s="207"/>
      <c r="BA783" s="207"/>
    </row>
    <row r="784" ht="18.75" hidden="1" customHeight="1">
      <c r="A784" s="207"/>
      <c r="B784" s="207"/>
      <c r="C784" s="207"/>
      <c r="D784" s="207"/>
      <c r="E784" s="207"/>
      <c r="F784" s="207"/>
      <c r="G784" s="207"/>
      <c r="H784" s="207"/>
      <c r="I784" s="207"/>
      <c r="J784" s="207"/>
      <c r="K784" s="207"/>
      <c r="L784" s="207"/>
      <c r="M784" s="207"/>
      <c r="N784" s="207"/>
      <c r="O784" s="207"/>
      <c r="P784" s="207"/>
      <c r="Q784" s="207"/>
      <c r="R784" s="207"/>
      <c r="S784" s="207"/>
      <c r="T784" s="207"/>
      <c r="U784" s="207"/>
      <c r="V784" s="207"/>
      <c r="W784" s="207"/>
      <c r="X784" s="207"/>
      <c r="Y784" s="207"/>
      <c r="Z784" s="207"/>
      <c r="AA784" s="207"/>
      <c r="AB784" s="207"/>
      <c r="AC784" s="207"/>
      <c r="AD784" s="207"/>
      <c r="AE784" s="207"/>
      <c r="AF784" s="207"/>
      <c r="AG784" s="207"/>
      <c r="AH784" s="207"/>
      <c r="AI784" s="207"/>
      <c r="AJ784" s="207"/>
      <c r="AK784" s="207"/>
      <c r="AL784" s="207"/>
      <c r="AM784" s="207"/>
      <c r="AN784" s="207"/>
      <c r="AO784" s="207"/>
      <c r="AP784" s="207"/>
      <c r="AQ784" s="207"/>
      <c r="AR784" s="207"/>
      <c r="AS784" s="207"/>
      <c r="AT784" s="207"/>
      <c r="AU784" s="207"/>
      <c r="AV784" s="207"/>
      <c r="AW784" s="207"/>
      <c r="AX784" s="207"/>
      <c r="AY784" s="207"/>
      <c r="AZ784" s="207"/>
      <c r="BA784" s="207"/>
    </row>
    <row r="785" ht="18.75" hidden="1" customHeight="1">
      <c r="A785" s="207"/>
      <c r="B785" s="207"/>
      <c r="C785" s="207"/>
      <c r="D785" s="207"/>
      <c r="E785" s="207"/>
      <c r="F785" s="207"/>
      <c r="G785" s="207"/>
      <c r="H785" s="207"/>
      <c r="I785" s="207"/>
      <c r="J785" s="207"/>
      <c r="K785" s="207"/>
      <c r="L785" s="207"/>
      <c r="M785" s="207"/>
      <c r="N785" s="207"/>
      <c r="O785" s="207"/>
      <c r="P785" s="207"/>
      <c r="Q785" s="207"/>
      <c r="R785" s="207"/>
      <c r="S785" s="207"/>
      <c r="T785" s="207"/>
      <c r="U785" s="207"/>
      <c r="V785" s="207"/>
      <c r="W785" s="207"/>
      <c r="X785" s="207"/>
      <c r="Y785" s="207"/>
      <c r="Z785" s="207"/>
      <c r="AA785" s="207"/>
      <c r="AB785" s="207"/>
      <c r="AC785" s="207"/>
      <c r="AD785" s="207"/>
      <c r="AE785" s="207"/>
      <c r="AF785" s="207"/>
      <c r="AG785" s="207"/>
      <c r="AH785" s="207"/>
      <c r="AI785" s="207"/>
      <c r="AJ785" s="207"/>
      <c r="AK785" s="207"/>
      <c r="AL785" s="207"/>
      <c r="AM785" s="207"/>
      <c r="AN785" s="207"/>
      <c r="AO785" s="207"/>
      <c r="AP785" s="207"/>
      <c r="AQ785" s="207"/>
      <c r="AR785" s="207"/>
      <c r="AS785" s="207"/>
      <c r="AT785" s="207"/>
      <c r="AU785" s="207"/>
      <c r="AV785" s="207"/>
      <c r="AW785" s="207"/>
      <c r="AX785" s="207"/>
      <c r="AY785" s="207"/>
      <c r="AZ785" s="207"/>
      <c r="BA785" s="207"/>
    </row>
    <row r="786" ht="18.75" hidden="1" customHeight="1">
      <c r="A786" s="207"/>
      <c r="B786" s="207"/>
      <c r="C786" s="207"/>
      <c r="D786" s="207"/>
      <c r="E786" s="207"/>
      <c r="F786" s="207"/>
      <c r="G786" s="207"/>
      <c r="H786" s="207"/>
      <c r="I786" s="207"/>
      <c r="J786" s="207"/>
      <c r="K786" s="207"/>
      <c r="L786" s="207"/>
      <c r="M786" s="207"/>
      <c r="N786" s="207"/>
      <c r="O786" s="207"/>
      <c r="P786" s="207"/>
      <c r="Q786" s="207"/>
      <c r="R786" s="207"/>
      <c r="S786" s="207"/>
      <c r="T786" s="207"/>
      <c r="U786" s="207"/>
      <c r="V786" s="207"/>
      <c r="W786" s="207"/>
      <c r="X786" s="207"/>
      <c r="Y786" s="207"/>
      <c r="Z786" s="207"/>
      <c r="AA786" s="207"/>
      <c r="AB786" s="207"/>
      <c r="AC786" s="207"/>
      <c r="AD786" s="207"/>
      <c r="AE786" s="207"/>
      <c r="AF786" s="207"/>
      <c r="AG786" s="207"/>
      <c r="AH786" s="207"/>
      <c r="AI786" s="207"/>
      <c r="AJ786" s="207"/>
      <c r="AK786" s="207"/>
      <c r="AL786" s="207"/>
      <c r="AM786" s="207"/>
      <c r="AN786" s="207"/>
      <c r="AO786" s="207"/>
      <c r="AP786" s="207"/>
      <c r="AQ786" s="207"/>
      <c r="AR786" s="207"/>
      <c r="AS786" s="207"/>
      <c r="AT786" s="207"/>
      <c r="AU786" s="207"/>
      <c r="AV786" s="207"/>
      <c r="AW786" s="207"/>
      <c r="AX786" s="207"/>
      <c r="AY786" s="207"/>
      <c r="AZ786" s="207"/>
      <c r="BA786" s="207"/>
    </row>
    <row r="787" ht="18.75" hidden="1" customHeight="1">
      <c r="A787" s="207"/>
      <c r="B787" s="207"/>
      <c r="C787" s="207"/>
      <c r="D787" s="207"/>
      <c r="E787" s="207"/>
      <c r="F787" s="207"/>
      <c r="G787" s="207"/>
      <c r="H787" s="207"/>
      <c r="I787" s="207"/>
      <c r="J787" s="207"/>
      <c r="K787" s="207"/>
      <c r="L787" s="207"/>
      <c r="M787" s="207"/>
      <c r="N787" s="207"/>
      <c r="O787" s="207"/>
      <c r="P787" s="207"/>
      <c r="Q787" s="207"/>
      <c r="R787" s="207"/>
      <c r="S787" s="207"/>
      <c r="T787" s="207"/>
      <c r="U787" s="207"/>
      <c r="V787" s="207"/>
      <c r="W787" s="207"/>
      <c r="X787" s="207"/>
      <c r="Y787" s="207"/>
      <c r="Z787" s="207"/>
      <c r="AA787" s="207"/>
      <c r="AB787" s="207"/>
      <c r="AC787" s="207"/>
      <c r="AD787" s="207"/>
      <c r="AE787" s="207"/>
      <c r="AF787" s="207"/>
      <c r="AG787" s="207"/>
      <c r="AH787" s="207"/>
      <c r="AI787" s="207"/>
      <c r="AJ787" s="207"/>
      <c r="AK787" s="207"/>
      <c r="AL787" s="207"/>
      <c r="AM787" s="207"/>
      <c r="AN787" s="207"/>
      <c r="AO787" s="207"/>
      <c r="AP787" s="207"/>
      <c r="AQ787" s="207"/>
      <c r="AR787" s="207"/>
      <c r="AS787" s="207"/>
      <c r="AT787" s="207"/>
      <c r="AU787" s="207"/>
      <c r="AV787" s="207"/>
      <c r="AW787" s="207"/>
      <c r="AX787" s="207"/>
      <c r="AY787" s="207"/>
      <c r="AZ787" s="207"/>
      <c r="BA787" s="207"/>
    </row>
    <row r="788" ht="18.75" hidden="1" customHeight="1">
      <c r="A788" s="207"/>
      <c r="B788" s="207"/>
      <c r="C788" s="207"/>
      <c r="D788" s="207"/>
      <c r="E788" s="207"/>
      <c r="F788" s="207"/>
      <c r="G788" s="207"/>
      <c r="H788" s="207"/>
      <c r="I788" s="207"/>
      <c r="J788" s="207"/>
      <c r="K788" s="207"/>
      <c r="L788" s="207"/>
      <c r="M788" s="207"/>
      <c r="N788" s="207"/>
      <c r="O788" s="207"/>
      <c r="P788" s="207"/>
      <c r="Q788" s="207"/>
      <c r="R788" s="207"/>
      <c r="S788" s="207"/>
      <c r="T788" s="207"/>
      <c r="U788" s="207"/>
      <c r="V788" s="207"/>
      <c r="W788" s="207"/>
      <c r="X788" s="207"/>
      <c r="Y788" s="207"/>
      <c r="Z788" s="207"/>
      <c r="AA788" s="207"/>
      <c r="AB788" s="207"/>
      <c r="AC788" s="207"/>
      <c r="AD788" s="207"/>
      <c r="AE788" s="207"/>
      <c r="AF788" s="207"/>
      <c r="AG788" s="207"/>
      <c r="AH788" s="207"/>
      <c r="AI788" s="207"/>
      <c r="AJ788" s="207"/>
      <c r="AK788" s="207"/>
      <c r="AL788" s="207"/>
      <c r="AM788" s="207"/>
      <c r="AN788" s="207"/>
      <c r="AO788" s="207"/>
      <c r="AP788" s="207"/>
      <c r="AQ788" s="207"/>
      <c r="AR788" s="207"/>
      <c r="AS788" s="207"/>
      <c r="AT788" s="207"/>
      <c r="AU788" s="207"/>
      <c r="AV788" s="207"/>
      <c r="AW788" s="207"/>
      <c r="AX788" s="207"/>
      <c r="AY788" s="207"/>
      <c r="AZ788" s="207"/>
      <c r="BA788" s="207"/>
    </row>
    <row r="789" ht="18.75" hidden="1" customHeight="1">
      <c r="A789" s="207"/>
      <c r="B789" s="207"/>
      <c r="C789" s="207"/>
      <c r="D789" s="207"/>
      <c r="E789" s="207"/>
      <c r="F789" s="207"/>
      <c r="G789" s="207"/>
      <c r="H789" s="207"/>
      <c r="I789" s="207"/>
      <c r="J789" s="207"/>
      <c r="K789" s="207"/>
      <c r="L789" s="207"/>
      <c r="M789" s="207"/>
      <c r="N789" s="207"/>
      <c r="O789" s="207"/>
      <c r="P789" s="207"/>
      <c r="Q789" s="207"/>
      <c r="R789" s="207"/>
      <c r="S789" s="207"/>
      <c r="T789" s="207"/>
      <c r="U789" s="207"/>
      <c r="V789" s="207"/>
      <c r="W789" s="207"/>
      <c r="X789" s="207"/>
      <c r="Y789" s="207"/>
      <c r="Z789" s="207"/>
      <c r="AA789" s="207"/>
      <c r="AB789" s="207"/>
      <c r="AC789" s="207"/>
      <c r="AD789" s="207"/>
      <c r="AE789" s="207"/>
      <c r="AF789" s="207"/>
      <c r="AG789" s="207"/>
      <c r="AH789" s="207"/>
      <c r="AI789" s="207"/>
      <c r="AJ789" s="207"/>
      <c r="AK789" s="207"/>
      <c r="AL789" s="207"/>
      <c r="AM789" s="207"/>
      <c r="AN789" s="207"/>
      <c r="AO789" s="207"/>
      <c r="AP789" s="207"/>
      <c r="AQ789" s="207"/>
      <c r="AR789" s="207"/>
      <c r="AS789" s="207"/>
      <c r="AT789" s="207"/>
      <c r="AU789" s="207"/>
      <c r="AV789" s="207"/>
      <c r="AW789" s="207"/>
      <c r="AX789" s="207"/>
      <c r="AY789" s="207"/>
      <c r="AZ789" s="207"/>
      <c r="BA789" s="207"/>
    </row>
    <row r="790" ht="18.75" hidden="1" customHeight="1">
      <c r="A790" s="207"/>
      <c r="B790" s="207"/>
      <c r="C790" s="207"/>
      <c r="D790" s="207"/>
      <c r="E790" s="207"/>
      <c r="F790" s="207"/>
      <c r="G790" s="207"/>
      <c r="H790" s="207"/>
      <c r="I790" s="207"/>
      <c r="J790" s="207"/>
      <c r="K790" s="207"/>
      <c r="L790" s="207"/>
      <c r="M790" s="207"/>
      <c r="N790" s="207"/>
      <c r="O790" s="207"/>
      <c r="P790" s="207"/>
      <c r="Q790" s="207"/>
      <c r="R790" s="207"/>
      <c r="S790" s="207"/>
      <c r="T790" s="207"/>
      <c r="U790" s="207"/>
      <c r="V790" s="207"/>
      <c r="W790" s="207"/>
      <c r="X790" s="207"/>
      <c r="Y790" s="207"/>
      <c r="Z790" s="207"/>
      <c r="AA790" s="207"/>
      <c r="AB790" s="207"/>
      <c r="AC790" s="207"/>
      <c r="AD790" s="207"/>
      <c r="AE790" s="207"/>
      <c r="AF790" s="207"/>
      <c r="AG790" s="207"/>
      <c r="AH790" s="207"/>
      <c r="AI790" s="207"/>
      <c r="AJ790" s="207"/>
      <c r="AK790" s="207"/>
      <c r="AL790" s="207"/>
      <c r="AM790" s="207"/>
      <c r="AN790" s="207"/>
      <c r="AO790" s="207"/>
      <c r="AP790" s="207"/>
      <c r="AQ790" s="207"/>
      <c r="AR790" s="207"/>
      <c r="AS790" s="207"/>
      <c r="AT790" s="207"/>
      <c r="AU790" s="207"/>
      <c r="AV790" s="207"/>
      <c r="AW790" s="207"/>
      <c r="AX790" s="207"/>
      <c r="AY790" s="207"/>
      <c r="AZ790" s="207"/>
      <c r="BA790" s="207"/>
    </row>
    <row r="791" ht="18.75" hidden="1" customHeight="1">
      <c r="A791" s="207"/>
      <c r="B791" s="207"/>
      <c r="C791" s="207"/>
      <c r="D791" s="207"/>
      <c r="E791" s="207"/>
      <c r="F791" s="207"/>
      <c r="G791" s="207"/>
      <c r="H791" s="207"/>
      <c r="I791" s="207"/>
      <c r="J791" s="207"/>
      <c r="K791" s="207"/>
      <c r="L791" s="207"/>
      <c r="M791" s="207"/>
      <c r="N791" s="207"/>
      <c r="O791" s="207"/>
      <c r="P791" s="207"/>
      <c r="Q791" s="207"/>
      <c r="R791" s="207"/>
      <c r="S791" s="207"/>
      <c r="T791" s="207"/>
      <c r="U791" s="207"/>
      <c r="V791" s="207"/>
      <c r="W791" s="207"/>
      <c r="X791" s="207"/>
      <c r="Y791" s="207"/>
      <c r="Z791" s="207"/>
      <c r="AA791" s="207"/>
      <c r="AB791" s="207"/>
      <c r="AC791" s="207"/>
      <c r="AD791" s="207"/>
      <c r="AE791" s="207"/>
      <c r="AF791" s="207"/>
      <c r="AG791" s="207"/>
      <c r="AH791" s="207"/>
      <c r="AI791" s="207"/>
      <c r="AJ791" s="207"/>
      <c r="AK791" s="207"/>
      <c r="AL791" s="207"/>
      <c r="AM791" s="207"/>
      <c r="AN791" s="207"/>
      <c r="AO791" s="207"/>
      <c r="AP791" s="207"/>
      <c r="AQ791" s="207"/>
      <c r="AR791" s="207"/>
      <c r="AS791" s="207"/>
      <c r="AT791" s="207"/>
      <c r="AU791" s="207"/>
      <c r="AV791" s="207"/>
      <c r="AW791" s="207"/>
      <c r="AX791" s="207"/>
      <c r="AY791" s="207"/>
      <c r="AZ791" s="207"/>
      <c r="BA791" s="207"/>
    </row>
    <row r="792" ht="18.75" hidden="1" customHeight="1">
      <c r="A792" s="207"/>
      <c r="B792" s="207"/>
      <c r="C792" s="207"/>
      <c r="D792" s="207"/>
      <c r="E792" s="207"/>
      <c r="F792" s="207"/>
      <c r="G792" s="207"/>
      <c r="H792" s="207"/>
      <c r="I792" s="207"/>
      <c r="J792" s="207"/>
      <c r="K792" s="207"/>
      <c r="L792" s="207"/>
      <c r="M792" s="207"/>
      <c r="N792" s="207"/>
      <c r="O792" s="207"/>
      <c r="P792" s="207"/>
      <c r="Q792" s="207"/>
      <c r="R792" s="207"/>
      <c r="S792" s="207"/>
      <c r="T792" s="207"/>
      <c r="U792" s="207"/>
      <c r="V792" s="207"/>
      <c r="W792" s="207"/>
      <c r="X792" s="207"/>
      <c r="Y792" s="207"/>
      <c r="Z792" s="207"/>
      <c r="AA792" s="207"/>
      <c r="AB792" s="207"/>
      <c r="AC792" s="207"/>
      <c r="AD792" s="207"/>
      <c r="AE792" s="207"/>
      <c r="AF792" s="207"/>
      <c r="AG792" s="207"/>
      <c r="AH792" s="207"/>
      <c r="AI792" s="207"/>
      <c r="AJ792" s="207"/>
      <c r="AK792" s="207"/>
      <c r="AL792" s="207"/>
      <c r="AM792" s="207"/>
      <c r="AN792" s="207"/>
      <c r="AO792" s="207"/>
      <c r="AP792" s="207"/>
      <c r="AQ792" s="207"/>
      <c r="AR792" s="207"/>
      <c r="AS792" s="207"/>
      <c r="AT792" s="207"/>
      <c r="AU792" s="207"/>
      <c r="AV792" s="207"/>
      <c r="AW792" s="207"/>
      <c r="AX792" s="207"/>
      <c r="AY792" s="207"/>
      <c r="AZ792" s="207"/>
      <c r="BA792" s="207"/>
    </row>
    <row r="793" ht="18.75" hidden="1" customHeight="1">
      <c r="A793" s="207"/>
      <c r="B793" s="207"/>
      <c r="C793" s="207"/>
      <c r="D793" s="207"/>
      <c r="E793" s="207"/>
      <c r="F793" s="207"/>
      <c r="G793" s="207"/>
      <c r="H793" s="207"/>
      <c r="I793" s="207"/>
      <c r="J793" s="207"/>
      <c r="K793" s="207"/>
      <c r="L793" s="207"/>
      <c r="M793" s="207"/>
      <c r="N793" s="207"/>
      <c r="O793" s="207"/>
      <c r="P793" s="207"/>
      <c r="Q793" s="207"/>
      <c r="R793" s="207"/>
      <c r="S793" s="207"/>
      <c r="T793" s="207"/>
      <c r="U793" s="207"/>
      <c r="V793" s="207"/>
      <c r="W793" s="207"/>
      <c r="X793" s="207"/>
      <c r="Y793" s="207"/>
      <c r="Z793" s="207"/>
      <c r="AA793" s="207"/>
      <c r="AB793" s="207"/>
      <c r="AC793" s="207"/>
      <c r="AD793" s="207"/>
      <c r="AE793" s="207"/>
      <c r="AF793" s="207"/>
      <c r="AG793" s="207"/>
      <c r="AH793" s="207"/>
      <c r="AI793" s="207"/>
      <c r="AJ793" s="207"/>
      <c r="AK793" s="207"/>
      <c r="AL793" s="207"/>
      <c r="AM793" s="207"/>
      <c r="AN793" s="207"/>
      <c r="AO793" s="207"/>
      <c r="AP793" s="207"/>
      <c r="AQ793" s="207"/>
      <c r="AR793" s="207"/>
      <c r="AS793" s="207"/>
      <c r="AT793" s="207"/>
      <c r="AU793" s="207"/>
      <c r="AV793" s="207"/>
      <c r="AW793" s="207"/>
      <c r="AX793" s="207"/>
      <c r="AY793" s="207"/>
      <c r="AZ793" s="207"/>
      <c r="BA793" s="207"/>
    </row>
    <row r="794" ht="18.75" hidden="1" customHeight="1">
      <c r="A794" s="207"/>
      <c r="B794" s="207"/>
      <c r="C794" s="207"/>
      <c r="D794" s="207"/>
      <c r="E794" s="207"/>
      <c r="F794" s="207"/>
      <c r="G794" s="207"/>
      <c r="H794" s="207"/>
      <c r="I794" s="207"/>
      <c r="J794" s="207"/>
      <c r="K794" s="207"/>
      <c r="L794" s="207"/>
      <c r="M794" s="207"/>
      <c r="N794" s="207"/>
      <c r="O794" s="207"/>
      <c r="P794" s="207"/>
      <c r="Q794" s="207"/>
      <c r="R794" s="207"/>
      <c r="S794" s="207"/>
      <c r="T794" s="207"/>
      <c r="U794" s="207"/>
      <c r="V794" s="207"/>
      <c r="W794" s="207"/>
      <c r="X794" s="207"/>
      <c r="Y794" s="207"/>
      <c r="Z794" s="207"/>
      <c r="AA794" s="207"/>
      <c r="AB794" s="207"/>
      <c r="AC794" s="207"/>
      <c r="AD794" s="207"/>
      <c r="AE794" s="207"/>
      <c r="AF794" s="207"/>
      <c r="AG794" s="207"/>
      <c r="AH794" s="207"/>
      <c r="AI794" s="207"/>
      <c r="AJ794" s="207"/>
      <c r="AK794" s="207"/>
      <c r="AL794" s="207"/>
      <c r="AM794" s="207"/>
      <c r="AN794" s="207"/>
      <c r="AO794" s="207"/>
      <c r="AP794" s="207"/>
      <c r="AQ794" s="207"/>
      <c r="AR794" s="207"/>
      <c r="AS794" s="207"/>
      <c r="AT794" s="207"/>
      <c r="AU794" s="207"/>
      <c r="AV794" s="207"/>
      <c r="AW794" s="207"/>
      <c r="AX794" s="207"/>
      <c r="AY794" s="207"/>
      <c r="AZ794" s="207"/>
      <c r="BA794" s="207"/>
    </row>
    <row r="795" ht="18.75" hidden="1" customHeight="1">
      <c r="A795" s="207"/>
      <c r="B795" s="207"/>
      <c r="C795" s="207"/>
      <c r="D795" s="207"/>
      <c r="E795" s="207"/>
      <c r="F795" s="207"/>
      <c r="G795" s="207"/>
      <c r="H795" s="207"/>
      <c r="I795" s="207"/>
      <c r="J795" s="207"/>
      <c r="K795" s="207"/>
      <c r="L795" s="207"/>
      <c r="M795" s="207"/>
      <c r="N795" s="207"/>
      <c r="O795" s="207"/>
      <c r="P795" s="207"/>
      <c r="Q795" s="207"/>
      <c r="R795" s="207"/>
      <c r="S795" s="207"/>
      <c r="T795" s="207"/>
      <c r="U795" s="207"/>
      <c r="V795" s="207"/>
      <c r="W795" s="207"/>
      <c r="X795" s="207"/>
      <c r="Y795" s="207"/>
      <c r="Z795" s="207"/>
      <c r="AA795" s="207"/>
      <c r="AB795" s="207"/>
      <c r="AC795" s="207"/>
      <c r="AD795" s="207"/>
      <c r="AE795" s="207"/>
      <c r="AF795" s="207"/>
      <c r="AG795" s="207"/>
      <c r="AH795" s="207"/>
      <c r="AI795" s="207"/>
      <c r="AJ795" s="207"/>
      <c r="AK795" s="207"/>
      <c r="AL795" s="207"/>
      <c r="AM795" s="207"/>
      <c r="AN795" s="207"/>
      <c r="AO795" s="207"/>
      <c r="AP795" s="207"/>
      <c r="AQ795" s="207"/>
      <c r="AR795" s="207"/>
      <c r="AS795" s="207"/>
      <c r="AT795" s="207"/>
      <c r="AU795" s="207"/>
      <c r="AV795" s="207"/>
      <c r="AW795" s="207"/>
      <c r="AX795" s="207"/>
      <c r="AY795" s="207"/>
      <c r="AZ795" s="207"/>
      <c r="BA795" s="207"/>
    </row>
    <row r="796" ht="18.75" hidden="1" customHeight="1">
      <c r="A796" s="207"/>
      <c r="B796" s="207"/>
      <c r="C796" s="207"/>
      <c r="D796" s="207"/>
      <c r="E796" s="207"/>
      <c r="F796" s="207"/>
      <c r="G796" s="207"/>
      <c r="H796" s="207"/>
      <c r="I796" s="207"/>
      <c r="J796" s="207"/>
      <c r="K796" s="207"/>
      <c r="L796" s="207"/>
      <c r="M796" s="207"/>
      <c r="N796" s="207"/>
      <c r="O796" s="207"/>
      <c r="P796" s="207"/>
      <c r="Q796" s="207"/>
      <c r="R796" s="207"/>
      <c r="S796" s="207"/>
      <c r="T796" s="207"/>
      <c r="U796" s="207"/>
      <c r="V796" s="207"/>
      <c r="W796" s="207"/>
      <c r="X796" s="207"/>
      <c r="Y796" s="207"/>
      <c r="Z796" s="207"/>
      <c r="AA796" s="207"/>
      <c r="AB796" s="207"/>
      <c r="AC796" s="207"/>
      <c r="AD796" s="207"/>
      <c r="AE796" s="207"/>
      <c r="AF796" s="207"/>
      <c r="AG796" s="207"/>
      <c r="AH796" s="207"/>
      <c r="AI796" s="207"/>
      <c r="AJ796" s="207"/>
      <c r="AK796" s="207"/>
      <c r="AL796" s="207"/>
      <c r="AM796" s="207"/>
      <c r="AN796" s="207"/>
      <c r="AO796" s="207"/>
      <c r="AP796" s="207"/>
      <c r="AQ796" s="207"/>
      <c r="AR796" s="207"/>
      <c r="AS796" s="207"/>
      <c r="AT796" s="207"/>
      <c r="AU796" s="207"/>
      <c r="AV796" s="207"/>
      <c r="AW796" s="207"/>
      <c r="AX796" s="207"/>
      <c r="AY796" s="207"/>
      <c r="AZ796" s="207"/>
      <c r="BA796" s="207"/>
    </row>
    <row r="797" ht="18.75" hidden="1" customHeight="1">
      <c r="A797" s="207"/>
      <c r="B797" s="207"/>
      <c r="C797" s="207"/>
      <c r="D797" s="207"/>
      <c r="E797" s="207"/>
      <c r="F797" s="207"/>
      <c r="G797" s="207"/>
      <c r="H797" s="207"/>
      <c r="I797" s="207"/>
      <c r="J797" s="207"/>
      <c r="K797" s="207"/>
      <c r="L797" s="207"/>
      <c r="M797" s="207"/>
      <c r="N797" s="207"/>
      <c r="O797" s="207"/>
      <c r="P797" s="207"/>
      <c r="Q797" s="207"/>
      <c r="R797" s="207"/>
      <c r="S797" s="207"/>
      <c r="T797" s="207"/>
      <c r="U797" s="207"/>
      <c r="V797" s="207"/>
      <c r="W797" s="207"/>
      <c r="X797" s="207"/>
      <c r="Y797" s="207"/>
      <c r="Z797" s="207"/>
      <c r="AA797" s="207"/>
      <c r="AB797" s="207"/>
      <c r="AC797" s="207"/>
      <c r="AD797" s="207"/>
      <c r="AE797" s="207"/>
      <c r="AF797" s="207"/>
      <c r="AG797" s="207"/>
      <c r="AH797" s="207"/>
      <c r="AI797" s="207"/>
      <c r="AJ797" s="207"/>
      <c r="AK797" s="207"/>
      <c r="AL797" s="207"/>
      <c r="AM797" s="207"/>
      <c r="AN797" s="207"/>
      <c r="AO797" s="207"/>
      <c r="AP797" s="207"/>
      <c r="AQ797" s="207"/>
      <c r="AR797" s="207"/>
      <c r="AS797" s="207"/>
      <c r="AT797" s="207"/>
      <c r="AU797" s="207"/>
      <c r="AV797" s="207"/>
      <c r="AW797" s="207"/>
      <c r="AX797" s="207"/>
      <c r="AY797" s="207"/>
      <c r="AZ797" s="207"/>
      <c r="BA797" s="207"/>
    </row>
    <row r="798" ht="18.75" hidden="1" customHeight="1">
      <c r="A798" s="207"/>
      <c r="B798" s="207"/>
      <c r="C798" s="207"/>
      <c r="D798" s="207"/>
      <c r="E798" s="207"/>
      <c r="F798" s="207"/>
      <c r="G798" s="207"/>
      <c r="H798" s="207"/>
      <c r="I798" s="207"/>
      <c r="J798" s="207"/>
      <c r="K798" s="207"/>
      <c r="L798" s="207"/>
      <c r="M798" s="207"/>
      <c r="N798" s="207"/>
      <c r="O798" s="207"/>
      <c r="P798" s="207"/>
      <c r="Q798" s="207"/>
      <c r="R798" s="207"/>
      <c r="S798" s="207"/>
      <c r="T798" s="207"/>
      <c r="U798" s="207"/>
      <c r="V798" s="207"/>
      <c r="W798" s="207"/>
      <c r="X798" s="207"/>
      <c r="Y798" s="207"/>
      <c r="Z798" s="207"/>
      <c r="AA798" s="207"/>
      <c r="AB798" s="207"/>
      <c r="AC798" s="207"/>
      <c r="AD798" s="207"/>
      <c r="AE798" s="207"/>
      <c r="AF798" s="207"/>
      <c r="AG798" s="207"/>
      <c r="AH798" s="207"/>
      <c r="AI798" s="207"/>
      <c r="AJ798" s="207"/>
      <c r="AK798" s="207"/>
      <c r="AL798" s="207"/>
      <c r="AM798" s="207"/>
      <c r="AN798" s="207"/>
      <c r="AO798" s="207"/>
      <c r="AP798" s="207"/>
      <c r="AQ798" s="207"/>
      <c r="AR798" s="207"/>
      <c r="AS798" s="207"/>
      <c r="AT798" s="207"/>
      <c r="AU798" s="207"/>
      <c r="AV798" s="207"/>
      <c r="AW798" s="207"/>
      <c r="AX798" s="207"/>
      <c r="AY798" s="207"/>
      <c r="AZ798" s="207"/>
      <c r="BA798" s="207"/>
    </row>
    <row r="799" ht="18.75" hidden="1" customHeight="1">
      <c r="A799" s="207"/>
      <c r="B799" s="207"/>
      <c r="C799" s="207"/>
      <c r="D799" s="207"/>
      <c r="E799" s="207"/>
      <c r="F799" s="207"/>
      <c r="G799" s="207"/>
      <c r="H799" s="207"/>
      <c r="I799" s="207"/>
      <c r="J799" s="207"/>
      <c r="K799" s="207"/>
      <c r="L799" s="207"/>
      <c r="M799" s="207"/>
      <c r="N799" s="207"/>
      <c r="O799" s="207"/>
      <c r="P799" s="207"/>
      <c r="Q799" s="207"/>
      <c r="R799" s="207"/>
      <c r="S799" s="207"/>
      <c r="T799" s="207"/>
      <c r="U799" s="207"/>
      <c r="V799" s="207"/>
      <c r="W799" s="207"/>
      <c r="X799" s="207"/>
      <c r="Y799" s="207"/>
      <c r="Z799" s="207"/>
      <c r="AA799" s="207"/>
      <c r="AB799" s="207"/>
      <c r="AC799" s="207"/>
      <c r="AD799" s="207"/>
      <c r="AE799" s="207"/>
      <c r="AF799" s="207"/>
      <c r="AG799" s="207"/>
      <c r="AH799" s="207"/>
      <c r="AI799" s="207"/>
      <c r="AJ799" s="207"/>
      <c r="AK799" s="207"/>
      <c r="AL799" s="207"/>
      <c r="AM799" s="207"/>
      <c r="AN799" s="207"/>
      <c r="AO799" s="207"/>
      <c r="AP799" s="207"/>
      <c r="AQ799" s="207"/>
      <c r="AR799" s="207"/>
      <c r="AS799" s="207"/>
      <c r="AT799" s="207"/>
      <c r="AU799" s="207"/>
      <c r="AV799" s="207"/>
      <c r="AW799" s="207"/>
      <c r="AX799" s="207"/>
      <c r="AY799" s="207"/>
      <c r="AZ799" s="207"/>
      <c r="BA799" s="207"/>
    </row>
    <row r="800" ht="18.75" hidden="1" customHeight="1">
      <c r="A800" s="207"/>
      <c r="B800" s="207"/>
      <c r="C800" s="207"/>
      <c r="D800" s="207"/>
      <c r="E800" s="207"/>
      <c r="F800" s="207"/>
      <c r="G800" s="207"/>
      <c r="H800" s="207"/>
      <c r="I800" s="207"/>
      <c r="J800" s="207"/>
      <c r="K800" s="207"/>
      <c r="L800" s="207"/>
      <c r="M800" s="207"/>
      <c r="N800" s="207"/>
      <c r="O800" s="207"/>
      <c r="P800" s="207"/>
      <c r="Q800" s="207"/>
      <c r="R800" s="207"/>
      <c r="S800" s="207"/>
      <c r="T800" s="207"/>
      <c r="U800" s="207"/>
      <c r="V800" s="207"/>
      <c r="W800" s="207"/>
      <c r="X800" s="207"/>
      <c r="Y800" s="207"/>
      <c r="Z800" s="207"/>
      <c r="AA800" s="207"/>
      <c r="AB800" s="207"/>
      <c r="AC800" s="207"/>
      <c r="AD800" s="207"/>
      <c r="AE800" s="207"/>
      <c r="AF800" s="207"/>
      <c r="AG800" s="207"/>
      <c r="AH800" s="207"/>
      <c r="AI800" s="207"/>
      <c r="AJ800" s="207"/>
      <c r="AK800" s="207"/>
      <c r="AL800" s="207"/>
      <c r="AM800" s="207"/>
      <c r="AN800" s="207"/>
      <c r="AO800" s="207"/>
      <c r="AP800" s="207"/>
      <c r="AQ800" s="207"/>
      <c r="AR800" s="207"/>
      <c r="AS800" s="207"/>
      <c r="AT800" s="207"/>
      <c r="AU800" s="207"/>
      <c r="AV800" s="207"/>
      <c r="AW800" s="207"/>
      <c r="AX800" s="207"/>
      <c r="AY800" s="207"/>
      <c r="AZ800" s="207"/>
      <c r="BA800" s="207"/>
    </row>
    <row r="801" ht="18.75" hidden="1" customHeight="1">
      <c r="A801" s="207"/>
      <c r="B801" s="207"/>
      <c r="C801" s="207"/>
      <c r="D801" s="207"/>
      <c r="E801" s="207"/>
      <c r="F801" s="207"/>
      <c r="G801" s="207"/>
      <c r="H801" s="207"/>
      <c r="I801" s="207"/>
      <c r="J801" s="207"/>
      <c r="K801" s="207"/>
      <c r="L801" s="207"/>
      <c r="M801" s="207"/>
      <c r="N801" s="207"/>
      <c r="O801" s="207"/>
      <c r="P801" s="207"/>
      <c r="Q801" s="207"/>
      <c r="R801" s="207"/>
      <c r="S801" s="207"/>
      <c r="T801" s="207"/>
      <c r="U801" s="207"/>
      <c r="V801" s="207"/>
      <c r="W801" s="207"/>
      <c r="X801" s="207"/>
      <c r="Y801" s="207"/>
      <c r="Z801" s="207"/>
      <c r="AA801" s="207"/>
      <c r="AB801" s="207"/>
      <c r="AC801" s="207"/>
      <c r="AD801" s="207"/>
      <c r="AE801" s="207"/>
      <c r="AF801" s="207"/>
      <c r="AG801" s="207"/>
      <c r="AH801" s="207"/>
      <c r="AI801" s="207"/>
      <c r="AJ801" s="207"/>
      <c r="AK801" s="207"/>
      <c r="AL801" s="207"/>
      <c r="AM801" s="207"/>
      <c r="AN801" s="207"/>
      <c r="AO801" s="207"/>
      <c r="AP801" s="207"/>
      <c r="AQ801" s="207"/>
      <c r="AR801" s="207"/>
      <c r="AS801" s="207"/>
      <c r="AT801" s="207"/>
      <c r="AU801" s="207"/>
      <c r="AV801" s="207"/>
      <c r="AW801" s="207"/>
      <c r="AX801" s="207"/>
      <c r="AY801" s="207"/>
      <c r="AZ801" s="207"/>
      <c r="BA801" s="207"/>
    </row>
    <row r="802" ht="18.75" hidden="1" customHeight="1">
      <c r="A802" s="207"/>
      <c r="B802" s="207"/>
      <c r="C802" s="207"/>
      <c r="D802" s="207"/>
      <c r="E802" s="207"/>
      <c r="F802" s="207"/>
      <c r="G802" s="207"/>
      <c r="H802" s="207"/>
      <c r="I802" s="207"/>
      <c r="J802" s="207"/>
      <c r="K802" s="207"/>
      <c r="L802" s="207"/>
      <c r="M802" s="207"/>
      <c r="N802" s="207"/>
      <c r="O802" s="207"/>
      <c r="P802" s="207"/>
      <c r="Q802" s="207"/>
      <c r="R802" s="207"/>
      <c r="S802" s="207"/>
      <c r="T802" s="207"/>
      <c r="U802" s="207"/>
      <c r="V802" s="207"/>
      <c r="W802" s="207"/>
      <c r="X802" s="207"/>
      <c r="Y802" s="207"/>
      <c r="Z802" s="207"/>
      <c r="AA802" s="207"/>
      <c r="AB802" s="207"/>
      <c r="AC802" s="207"/>
      <c r="AD802" s="207"/>
      <c r="AE802" s="207"/>
      <c r="AF802" s="207"/>
      <c r="AG802" s="207"/>
      <c r="AH802" s="207"/>
      <c r="AI802" s="207"/>
      <c r="AJ802" s="207"/>
      <c r="AK802" s="207"/>
      <c r="AL802" s="207"/>
      <c r="AM802" s="207"/>
      <c r="AN802" s="207"/>
      <c r="AO802" s="207"/>
      <c r="AP802" s="207"/>
      <c r="AQ802" s="207"/>
      <c r="AR802" s="207"/>
      <c r="AS802" s="207"/>
      <c r="AT802" s="207"/>
      <c r="AU802" s="207"/>
      <c r="AV802" s="207"/>
      <c r="AW802" s="207"/>
      <c r="AX802" s="207"/>
      <c r="AY802" s="207"/>
      <c r="AZ802" s="207"/>
      <c r="BA802" s="207"/>
    </row>
    <row r="803" ht="18.75" hidden="1" customHeight="1">
      <c r="A803" s="207"/>
      <c r="B803" s="207"/>
      <c r="C803" s="207"/>
      <c r="D803" s="207"/>
      <c r="E803" s="207"/>
      <c r="F803" s="207"/>
      <c r="G803" s="207"/>
      <c r="H803" s="207"/>
      <c r="I803" s="207"/>
      <c r="J803" s="207"/>
      <c r="K803" s="207"/>
      <c r="L803" s="207"/>
      <c r="M803" s="207"/>
      <c r="N803" s="207"/>
      <c r="O803" s="207"/>
      <c r="P803" s="207"/>
      <c r="Q803" s="207"/>
      <c r="R803" s="207"/>
      <c r="S803" s="207"/>
      <c r="T803" s="207"/>
      <c r="U803" s="207"/>
      <c r="V803" s="207"/>
      <c r="W803" s="207"/>
      <c r="X803" s="207"/>
      <c r="Y803" s="207"/>
      <c r="Z803" s="207"/>
      <c r="AA803" s="207"/>
      <c r="AB803" s="207"/>
      <c r="AC803" s="207"/>
      <c r="AD803" s="207"/>
      <c r="AE803" s="207"/>
      <c r="AF803" s="207"/>
      <c r="AG803" s="207"/>
      <c r="AH803" s="207"/>
      <c r="AI803" s="207"/>
      <c r="AJ803" s="207"/>
      <c r="AK803" s="207"/>
      <c r="AL803" s="207"/>
      <c r="AM803" s="207"/>
      <c r="AN803" s="207"/>
      <c r="AO803" s="207"/>
      <c r="AP803" s="207"/>
      <c r="AQ803" s="207"/>
      <c r="AR803" s="207"/>
      <c r="AS803" s="207"/>
      <c r="AT803" s="207"/>
      <c r="AU803" s="207"/>
      <c r="AV803" s="207"/>
      <c r="AW803" s="207"/>
      <c r="AX803" s="207"/>
      <c r="AY803" s="207"/>
      <c r="AZ803" s="207"/>
      <c r="BA803" s="207"/>
    </row>
    <row r="804" ht="18.75" hidden="1" customHeight="1">
      <c r="A804" s="207"/>
      <c r="B804" s="207"/>
      <c r="C804" s="207"/>
      <c r="D804" s="207"/>
      <c r="E804" s="207"/>
      <c r="F804" s="207"/>
      <c r="G804" s="207"/>
      <c r="H804" s="207"/>
      <c r="I804" s="207"/>
      <c r="J804" s="207"/>
      <c r="K804" s="207"/>
      <c r="L804" s="207"/>
      <c r="M804" s="207"/>
      <c r="N804" s="207"/>
      <c r="O804" s="207"/>
      <c r="P804" s="207"/>
      <c r="Q804" s="207"/>
      <c r="R804" s="207"/>
      <c r="S804" s="207"/>
      <c r="T804" s="207"/>
      <c r="U804" s="207"/>
      <c r="V804" s="207"/>
      <c r="W804" s="207"/>
      <c r="X804" s="207"/>
      <c r="Y804" s="207"/>
      <c r="Z804" s="207"/>
      <c r="AA804" s="207"/>
      <c r="AB804" s="207"/>
      <c r="AC804" s="207"/>
      <c r="AD804" s="207"/>
      <c r="AE804" s="207"/>
      <c r="AF804" s="207"/>
      <c r="AG804" s="207"/>
      <c r="AH804" s="207"/>
      <c r="AI804" s="207"/>
      <c r="AJ804" s="207"/>
      <c r="AK804" s="207"/>
      <c r="AL804" s="207"/>
      <c r="AM804" s="207"/>
      <c r="AN804" s="207"/>
      <c r="AO804" s="207"/>
      <c r="AP804" s="207"/>
      <c r="AQ804" s="207"/>
      <c r="AR804" s="207"/>
      <c r="AS804" s="207"/>
      <c r="AT804" s="207"/>
      <c r="AU804" s="207"/>
      <c r="AV804" s="207"/>
      <c r="AW804" s="207"/>
      <c r="AX804" s="207"/>
      <c r="AY804" s="207"/>
      <c r="AZ804" s="207"/>
      <c r="BA804" s="207"/>
    </row>
    <row r="805" ht="18.75" hidden="1" customHeight="1">
      <c r="A805" s="207"/>
      <c r="B805" s="207"/>
      <c r="C805" s="207"/>
      <c r="D805" s="207"/>
      <c r="E805" s="207"/>
      <c r="F805" s="207"/>
      <c r="G805" s="207"/>
      <c r="H805" s="207"/>
      <c r="I805" s="207"/>
      <c r="J805" s="207"/>
      <c r="K805" s="207"/>
      <c r="L805" s="207"/>
      <c r="M805" s="207"/>
      <c r="N805" s="207"/>
      <c r="O805" s="207"/>
      <c r="P805" s="207"/>
      <c r="Q805" s="207"/>
      <c r="R805" s="207"/>
      <c r="S805" s="207"/>
      <c r="T805" s="207"/>
      <c r="U805" s="207"/>
      <c r="V805" s="207"/>
      <c r="W805" s="207"/>
      <c r="X805" s="207"/>
      <c r="Y805" s="207"/>
      <c r="Z805" s="207"/>
      <c r="AA805" s="207"/>
      <c r="AB805" s="207"/>
      <c r="AC805" s="207"/>
      <c r="AD805" s="207"/>
      <c r="AE805" s="207"/>
      <c r="AF805" s="207"/>
      <c r="AG805" s="207"/>
      <c r="AH805" s="207"/>
      <c r="AI805" s="207"/>
      <c r="AJ805" s="207"/>
      <c r="AK805" s="207"/>
      <c r="AL805" s="207"/>
      <c r="AM805" s="207"/>
      <c r="AN805" s="207"/>
      <c r="AO805" s="207"/>
      <c r="AP805" s="207"/>
      <c r="AQ805" s="207"/>
      <c r="AR805" s="207"/>
      <c r="AS805" s="207"/>
      <c r="AT805" s="207"/>
      <c r="AU805" s="207"/>
      <c r="AV805" s="207"/>
      <c r="AW805" s="207"/>
      <c r="AX805" s="207"/>
      <c r="AY805" s="207"/>
      <c r="AZ805" s="207"/>
      <c r="BA805" s="207"/>
    </row>
    <row r="806" ht="18.75" hidden="1" customHeight="1">
      <c r="A806" s="207"/>
      <c r="B806" s="207"/>
      <c r="C806" s="207"/>
      <c r="D806" s="207"/>
      <c r="E806" s="207"/>
      <c r="F806" s="207"/>
      <c r="G806" s="207"/>
      <c r="H806" s="207"/>
      <c r="I806" s="207"/>
      <c r="J806" s="207"/>
      <c r="K806" s="207"/>
      <c r="L806" s="207"/>
      <c r="M806" s="207"/>
      <c r="N806" s="207"/>
      <c r="O806" s="207"/>
      <c r="P806" s="207"/>
      <c r="Q806" s="207"/>
      <c r="R806" s="207"/>
      <c r="S806" s="207"/>
      <c r="T806" s="207"/>
      <c r="U806" s="207"/>
      <c r="V806" s="207"/>
      <c r="W806" s="207"/>
      <c r="X806" s="207"/>
      <c r="Y806" s="207"/>
      <c r="Z806" s="207"/>
      <c r="AA806" s="207"/>
      <c r="AB806" s="207"/>
      <c r="AC806" s="207"/>
      <c r="AD806" s="207"/>
      <c r="AE806" s="207"/>
      <c r="AF806" s="207"/>
      <c r="AG806" s="207"/>
      <c r="AH806" s="207"/>
      <c r="AI806" s="207"/>
      <c r="AJ806" s="207"/>
      <c r="AK806" s="207"/>
      <c r="AL806" s="207"/>
      <c r="AM806" s="207"/>
      <c r="AN806" s="207"/>
      <c r="AO806" s="207"/>
      <c r="AP806" s="207"/>
      <c r="AQ806" s="207"/>
      <c r="AR806" s="207"/>
      <c r="AS806" s="207"/>
      <c r="AT806" s="207"/>
      <c r="AU806" s="207"/>
      <c r="AV806" s="207"/>
      <c r="AW806" s="207"/>
      <c r="AX806" s="207"/>
      <c r="AY806" s="207"/>
      <c r="AZ806" s="207"/>
      <c r="BA806" s="207"/>
    </row>
    <row r="807" ht="18.75" hidden="1" customHeight="1">
      <c r="A807" s="207"/>
      <c r="B807" s="207"/>
      <c r="C807" s="207"/>
      <c r="D807" s="207"/>
      <c r="E807" s="207"/>
      <c r="F807" s="207"/>
      <c r="G807" s="207"/>
      <c r="H807" s="207"/>
      <c r="I807" s="207"/>
      <c r="J807" s="207"/>
      <c r="K807" s="207"/>
      <c r="L807" s="207"/>
      <c r="M807" s="207"/>
      <c r="N807" s="207"/>
      <c r="O807" s="207"/>
      <c r="P807" s="207"/>
      <c r="Q807" s="207"/>
      <c r="R807" s="207"/>
      <c r="S807" s="207"/>
      <c r="T807" s="207"/>
      <c r="U807" s="207"/>
      <c r="V807" s="207"/>
      <c r="W807" s="207"/>
      <c r="X807" s="207"/>
      <c r="Y807" s="207"/>
      <c r="Z807" s="207"/>
      <c r="AA807" s="207"/>
      <c r="AB807" s="207"/>
      <c r="AC807" s="207"/>
      <c r="AD807" s="207"/>
      <c r="AE807" s="207"/>
      <c r="AF807" s="207"/>
      <c r="AG807" s="207"/>
      <c r="AH807" s="207"/>
      <c r="AI807" s="207"/>
      <c r="AJ807" s="207"/>
      <c r="AK807" s="207"/>
      <c r="AL807" s="207"/>
      <c r="AM807" s="207"/>
      <c r="AN807" s="207"/>
      <c r="AO807" s="207"/>
      <c r="AP807" s="207"/>
      <c r="AQ807" s="207"/>
      <c r="AR807" s="207"/>
      <c r="AS807" s="207"/>
      <c r="AT807" s="207"/>
      <c r="AU807" s="207"/>
      <c r="AV807" s="207"/>
      <c r="AW807" s="207"/>
      <c r="AX807" s="207"/>
      <c r="AY807" s="207"/>
      <c r="AZ807" s="207"/>
      <c r="BA807" s="207"/>
    </row>
    <row r="808" ht="18.75" hidden="1" customHeight="1">
      <c r="A808" s="207"/>
      <c r="B808" s="207"/>
      <c r="C808" s="207"/>
      <c r="D808" s="207"/>
      <c r="E808" s="207"/>
      <c r="F808" s="207"/>
      <c r="G808" s="207"/>
      <c r="H808" s="207"/>
      <c r="I808" s="207"/>
      <c r="J808" s="207"/>
      <c r="K808" s="207"/>
      <c r="L808" s="207"/>
      <c r="M808" s="207"/>
      <c r="N808" s="207"/>
      <c r="O808" s="207"/>
      <c r="P808" s="207"/>
      <c r="Q808" s="207"/>
      <c r="R808" s="207"/>
      <c r="S808" s="207"/>
      <c r="T808" s="207"/>
      <c r="U808" s="207"/>
      <c r="V808" s="207"/>
      <c r="W808" s="207"/>
      <c r="X808" s="207"/>
      <c r="Y808" s="207"/>
      <c r="Z808" s="207"/>
      <c r="AA808" s="207"/>
      <c r="AB808" s="207"/>
      <c r="AC808" s="207"/>
      <c r="AD808" s="207"/>
      <c r="AE808" s="207"/>
      <c r="AF808" s="207"/>
      <c r="AG808" s="207"/>
      <c r="AH808" s="207"/>
      <c r="AI808" s="207"/>
      <c r="AJ808" s="207"/>
      <c r="AK808" s="207"/>
      <c r="AL808" s="207"/>
      <c r="AM808" s="207"/>
      <c r="AN808" s="207"/>
      <c r="AO808" s="207"/>
      <c r="AP808" s="207"/>
      <c r="AQ808" s="207"/>
      <c r="AR808" s="207"/>
      <c r="AS808" s="207"/>
      <c r="AT808" s="207"/>
      <c r="AU808" s="207"/>
      <c r="AV808" s="207"/>
      <c r="AW808" s="207"/>
      <c r="AX808" s="207"/>
      <c r="AY808" s="207"/>
      <c r="AZ808" s="207"/>
      <c r="BA808" s="207"/>
    </row>
    <row r="809" ht="18.75" hidden="1" customHeight="1">
      <c r="A809" s="207"/>
      <c r="B809" s="207"/>
      <c r="C809" s="207"/>
      <c r="D809" s="207"/>
      <c r="E809" s="207"/>
      <c r="F809" s="207"/>
      <c r="G809" s="207"/>
      <c r="H809" s="207"/>
      <c r="I809" s="207"/>
      <c r="J809" s="207"/>
      <c r="K809" s="207"/>
      <c r="L809" s="207"/>
      <c r="M809" s="207"/>
      <c r="N809" s="207"/>
      <c r="O809" s="207"/>
      <c r="P809" s="207"/>
      <c r="Q809" s="207"/>
      <c r="R809" s="207"/>
      <c r="S809" s="207"/>
      <c r="T809" s="207"/>
      <c r="U809" s="207"/>
      <c r="V809" s="207"/>
      <c r="W809" s="207"/>
      <c r="X809" s="207"/>
      <c r="Y809" s="207"/>
      <c r="Z809" s="207"/>
      <c r="AA809" s="207"/>
      <c r="AB809" s="207"/>
      <c r="AC809" s="207"/>
      <c r="AD809" s="207"/>
      <c r="AE809" s="207"/>
      <c r="AF809" s="207"/>
      <c r="AG809" s="207"/>
      <c r="AH809" s="207"/>
      <c r="AI809" s="207"/>
      <c r="AJ809" s="207"/>
      <c r="AK809" s="207"/>
      <c r="AL809" s="207"/>
      <c r="AM809" s="207"/>
      <c r="AN809" s="207"/>
      <c r="AO809" s="207"/>
      <c r="AP809" s="207"/>
      <c r="AQ809" s="207"/>
      <c r="AR809" s="207"/>
      <c r="AS809" s="207"/>
      <c r="AT809" s="207"/>
      <c r="AU809" s="207"/>
      <c r="AV809" s="207"/>
      <c r="AW809" s="207"/>
      <c r="AX809" s="207"/>
      <c r="AY809" s="207"/>
      <c r="AZ809" s="207"/>
      <c r="BA809" s="207"/>
    </row>
    <row r="810" ht="18.75" hidden="1" customHeight="1">
      <c r="A810" s="207"/>
      <c r="B810" s="207"/>
      <c r="C810" s="207"/>
      <c r="D810" s="207"/>
      <c r="E810" s="207"/>
      <c r="F810" s="207"/>
      <c r="G810" s="207"/>
      <c r="H810" s="207"/>
      <c r="I810" s="207"/>
      <c r="J810" s="207"/>
      <c r="K810" s="207"/>
      <c r="L810" s="207"/>
      <c r="M810" s="207"/>
      <c r="N810" s="207"/>
      <c r="O810" s="207"/>
      <c r="P810" s="207"/>
      <c r="Q810" s="207"/>
      <c r="R810" s="207"/>
      <c r="S810" s="207"/>
      <c r="T810" s="207"/>
      <c r="U810" s="207"/>
      <c r="V810" s="207"/>
      <c r="W810" s="207"/>
      <c r="X810" s="207"/>
      <c r="Y810" s="207"/>
      <c r="Z810" s="207"/>
      <c r="AA810" s="207"/>
      <c r="AB810" s="207"/>
      <c r="AC810" s="207"/>
      <c r="AD810" s="207"/>
      <c r="AE810" s="207"/>
      <c r="AF810" s="207"/>
      <c r="AG810" s="207"/>
      <c r="AH810" s="207"/>
      <c r="AI810" s="207"/>
      <c r="AJ810" s="207"/>
      <c r="AK810" s="207"/>
      <c r="AL810" s="207"/>
      <c r="AM810" s="207"/>
      <c r="AN810" s="207"/>
      <c r="AO810" s="207"/>
      <c r="AP810" s="207"/>
      <c r="AQ810" s="207"/>
      <c r="AR810" s="207"/>
      <c r="AS810" s="207"/>
      <c r="AT810" s="207"/>
      <c r="AU810" s="207"/>
      <c r="AV810" s="207"/>
      <c r="AW810" s="207"/>
      <c r="AX810" s="207"/>
      <c r="AY810" s="207"/>
      <c r="AZ810" s="207"/>
      <c r="BA810" s="207"/>
    </row>
    <row r="811" ht="18.75" hidden="1" customHeight="1">
      <c r="A811" s="207"/>
      <c r="B811" s="207"/>
      <c r="C811" s="207"/>
      <c r="D811" s="207"/>
      <c r="E811" s="207"/>
      <c r="F811" s="207"/>
      <c r="G811" s="207"/>
      <c r="H811" s="207"/>
      <c r="I811" s="207"/>
      <c r="J811" s="207"/>
      <c r="K811" s="207"/>
      <c r="L811" s="207"/>
      <c r="M811" s="207"/>
      <c r="N811" s="207"/>
      <c r="O811" s="207"/>
      <c r="P811" s="207"/>
      <c r="Q811" s="207"/>
      <c r="R811" s="207"/>
      <c r="S811" s="207"/>
      <c r="T811" s="207"/>
      <c r="U811" s="207"/>
      <c r="V811" s="207"/>
      <c r="W811" s="207"/>
      <c r="X811" s="207"/>
      <c r="Y811" s="207"/>
      <c r="Z811" s="207"/>
      <c r="AA811" s="207"/>
      <c r="AB811" s="207"/>
      <c r="AC811" s="207"/>
      <c r="AD811" s="207"/>
      <c r="AE811" s="207"/>
      <c r="AF811" s="207"/>
      <c r="AG811" s="207"/>
      <c r="AH811" s="207"/>
      <c r="AI811" s="207"/>
      <c r="AJ811" s="207"/>
      <c r="AK811" s="207"/>
      <c r="AL811" s="207"/>
      <c r="AM811" s="207"/>
      <c r="AN811" s="207"/>
      <c r="AO811" s="207"/>
      <c r="AP811" s="207"/>
      <c r="AQ811" s="207"/>
      <c r="AR811" s="207"/>
      <c r="AS811" s="207"/>
      <c r="AT811" s="207"/>
      <c r="AU811" s="207"/>
      <c r="AV811" s="207"/>
      <c r="AW811" s="207"/>
      <c r="AX811" s="207"/>
      <c r="AY811" s="207"/>
      <c r="AZ811" s="207"/>
      <c r="BA811" s="207"/>
    </row>
    <row r="812" ht="18.75" hidden="1" customHeight="1">
      <c r="A812" s="207"/>
      <c r="B812" s="207"/>
      <c r="C812" s="207"/>
      <c r="D812" s="207"/>
      <c r="E812" s="207"/>
      <c r="F812" s="207"/>
      <c r="G812" s="207"/>
      <c r="H812" s="207"/>
      <c r="I812" s="207"/>
      <c r="J812" s="207"/>
      <c r="K812" s="207"/>
      <c r="L812" s="207"/>
      <c r="M812" s="207"/>
      <c r="N812" s="207"/>
      <c r="O812" s="207"/>
      <c r="P812" s="207"/>
      <c r="Q812" s="207"/>
      <c r="R812" s="207"/>
      <c r="S812" s="207"/>
      <c r="T812" s="207"/>
      <c r="U812" s="207"/>
      <c r="V812" s="207"/>
      <c r="W812" s="207"/>
      <c r="X812" s="207"/>
      <c r="Y812" s="207"/>
      <c r="Z812" s="207"/>
      <c r="AA812" s="207"/>
      <c r="AB812" s="207"/>
      <c r="AC812" s="207"/>
      <c r="AD812" s="207"/>
      <c r="AE812" s="207"/>
      <c r="AF812" s="207"/>
      <c r="AG812" s="207"/>
      <c r="AH812" s="207"/>
      <c r="AI812" s="207"/>
      <c r="AJ812" s="207"/>
      <c r="AK812" s="207"/>
      <c r="AL812" s="207"/>
      <c r="AM812" s="207"/>
      <c r="AN812" s="207"/>
      <c r="AO812" s="207"/>
      <c r="AP812" s="207"/>
      <c r="AQ812" s="207"/>
      <c r="AR812" s="207"/>
      <c r="AS812" s="207"/>
      <c r="AT812" s="207"/>
      <c r="AU812" s="207"/>
      <c r="AV812" s="207"/>
      <c r="AW812" s="207"/>
      <c r="AX812" s="207"/>
      <c r="AY812" s="207"/>
      <c r="AZ812" s="207"/>
      <c r="BA812" s="207"/>
    </row>
    <row r="813" ht="18.75" hidden="1" customHeight="1">
      <c r="A813" s="207"/>
      <c r="B813" s="207"/>
      <c r="C813" s="207"/>
      <c r="D813" s="207"/>
      <c r="E813" s="207"/>
      <c r="F813" s="207"/>
      <c r="G813" s="207"/>
      <c r="H813" s="207"/>
      <c r="I813" s="207"/>
      <c r="J813" s="207"/>
      <c r="K813" s="207"/>
      <c r="L813" s="207"/>
      <c r="M813" s="207"/>
      <c r="N813" s="207"/>
      <c r="O813" s="207"/>
      <c r="P813" s="207"/>
      <c r="Q813" s="207"/>
      <c r="R813" s="207"/>
      <c r="S813" s="207"/>
      <c r="T813" s="207"/>
      <c r="U813" s="207"/>
      <c r="V813" s="207"/>
      <c r="W813" s="207"/>
      <c r="X813" s="207"/>
      <c r="Y813" s="207"/>
      <c r="Z813" s="207"/>
      <c r="AA813" s="207"/>
      <c r="AB813" s="207"/>
      <c r="AC813" s="207"/>
      <c r="AD813" s="207"/>
      <c r="AE813" s="207"/>
      <c r="AF813" s="207"/>
      <c r="AG813" s="207"/>
      <c r="AH813" s="207"/>
      <c r="AI813" s="207"/>
      <c r="AJ813" s="207"/>
      <c r="AK813" s="207"/>
      <c r="AL813" s="207"/>
      <c r="AM813" s="207"/>
      <c r="AN813" s="207"/>
      <c r="AO813" s="207"/>
      <c r="AP813" s="207"/>
      <c r="AQ813" s="207"/>
      <c r="AR813" s="207"/>
      <c r="AS813" s="207"/>
      <c r="AT813" s="207"/>
      <c r="AU813" s="207"/>
      <c r="AV813" s="207"/>
      <c r="AW813" s="207"/>
      <c r="AX813" s="207"/>
      <c r="AY813" s="207"/>
      <c r="AZ813" s="207"/>
      <c r="BA813" s="207"/>
    </row>
    <row r="814" ht="18.75" hidden="1" customHeight="1">
      <c r="A814" s="207"/>
      <c r="B814" s="207"/>
      <c r="C814" s="207"/>
      <c r="D814" s="207"/>
      <c r="E814" s="207"/>
      <c r="F814" s="207"/>
      <c r="G814" s="207"/>
      <c r="H814" s="207"/>
      <c r="I814" s="207"/>
      <c r="J814" s="207"/>
      <c r="K814" s="207"/>
      <c r="L814" s="207"/>
      <c r="M814" s="207"/>
      <c r="N814" s="207"/>
      <c r="O814" s="207"/>
      <c r="P814" s="207"/>
      <c r="Q814" s="207"/>
      <c r="R814" s="207"/>
      <c r="S814" s="207"/>
      <c r="T814" s="207"/>
      <c r="U814" s="207"/>
      <c r="V814" s="207"/>
      <c r="W814" s="207"/>
      <c r="X814" s="207"/>
      <c r="Y814" s="207"/>
      <c r="Z814" s="207"/>
      <c r="AA814" s="207"/>
      <c r="AB814" s="207"/>
      <c r="AC814" s="207"/>
      <c r="AD814" s="207"/>
      <c r="AE814" s="207"/>
      <c r="AF814" s="207"/>
      <c r="AG814" s="207"/>
      <c r="AH814" s="207"/>
      <c r="AI814" s="207"/>
      <c r="AJ814" s="207"/>
      <c r="AK814" s="207"/>
      <c r="AL814" s="207"/>
      <c r="AM814" s="207"/>
      <c r="AN814" s="207"/>
      <c r="AO814" s="207"/>
      <c r="AP814" s="207"/>
      <c r="AQ814" s="207"/>
      <c r="AR814" s="207"/>
      <c r="AS814" s="207"/>
      <c r="AT814" s="207"/>
      <c r="AU814" s="207"/>
      <c r="AV814" s="207"/>
      <c r="AW814" s="207"/>
      <c r="AX814" s="207"/>
      <c r="AY814" s="207"/>
      <c r="AZ814" s="207"/>
      <c r="BA814" s="207"/>
    </row>
    <row r="815" ht="18.75" hidden="1" customHeight="1">
      <c r="A815" s="207"/>
      <c r="B815" s="207"/>
      <c r="C815" s="207"/>
      <c r="D815" s="207"/>
      <c r="E815" s="207"/>
      <c r="F815" s="207"/>
      <c r="G815" s="207"/>
      <c r="H815" s="207"/>
      <c r="I815" s="207"/>
      <c r="J815" s="207"/>
      <c r="K815" s="207"/>
      <c r="L815" s="207"/>
      <c r="M815" s="207"/>
      <c r="N815" s="207"/>
      <c r="O815" s="207"/>
      <c r="P815" s="207"/>
      <c r="Q815" s="207"/>
      <c r="R815" s="207"/>
      <c r="S815" s="207"/>
      <c r="T815" s="207"/>
      <c r="U815" s="207"/>
      <c r="V815" s="207"/>
      <c r="W815" s="207"/>
      <c r="X815" s="207"/>
      <c r="Y815" s="207"/>
      <c r="Z815" s="207"/>
      <c r="AA815" s="207"/>
      <c r="AB815" s="207"/>
      <c r="AC815" s="207"/>
      <c r="AD815" s="207"/>
      <c r="AE815" s="207"/>
      <c r="AF815" s="207"/>
      <c r="AG815" s="207"/>
      <c r="AH815" s="207"/>
      <c r="AI815" s="207"/>
      <c r="AJ815" s="207"/>
      <c r="AK815" s="207"/>
      <c r="AL815" s="207"/>
      <c r="AM815" s="207"/>
      <c r="AN815" s="207"/>
      <c r="AO815" s="207"/>
      <c r="AP815" s="207"/>
      <c r="AQ815" s="207"/>
      <c r="AR815" s="207"/>
      <c r="AS815" s="207"/>
      <c r="AT815" s="207"/>
      <c r="AU815" s="207"/>
      <c r="AV815" s="207"/>
      <c r="AW815" s="207"/>
      <c r="AX815" s="207"/>
      <c r="AY815" s="207"/>
      <c r="AZ815" s="207"/>
      <c r="BA815" s="207"/>
    </row>
    <row r="816" ht="18.75" hidden="1" customHeight="1">
      <c r="A816" s="207"/>
      <c r="B816" s="207"/>
      <c r="C816" s="207"/>
      <c r="D816" s="207"/>
      <c r="E816" s="207"/>
      <c r="F816" s="207"/>
      <c r="G816" s="207"/>
      <c r="H816" s="207"/>
      <c r="I816" s="207"/>
      <c r="J816" s="207"/>
      <c r="K816" s="207"/>
      <c r="L816" s="207"/>
      <c r="M816" s="207"/>
      <c r="N816" s="207"/>
      <c r="O816" s="207"/>
      <c r="P816" s="207"/>
      <c r="Q816" s="207"/>
      <c r="R816" s="207"/>
      <c r="S816" s="207"/>
      <c r="T816" s="207"/>
      <c r="U816" s="207"/>
      <c r="V816" s="207"/>
      <c r="W816" s="207"/>
      <c r="X816" s="207"/>
      <c r="Y816" s="207"/>
      <c r="Z816" s="207"/>
      <c r="AA816" s="207"/>
      <c r="AB816" s="207"/>
      <c r="AC816" s="207"/>
      <c r="AD816" s="207"/>
      <c r="AE816" s="207"/>
      <c r="AF816" s="207"/>
      <c r="AG816" s="207"/>
      <c r="AH816" s="207"/>
      <c r="AI816" s="207"/>
      <c r="AJ816" s="207"/>
      <c r="AK816" s="207"/>
      <c r="AL816" s="207"/>
      <c r="AM816" s="207"/>
      <c r="AN816" s="207"/>
      <c r="AO816" s="207"/>
      <c r="AP816" s="207"/>
      <c r="AQ816" s="207"/>
      <c r="AR816" s="207"/>
      <c r="AS816" s="207"/>
      <c r="AT816" s="207"/>
      <c r="AU816" s="207"/>
      <c r="AV816" s="207"/>
      <c r="AW816" s="207"/>
      <c r="AX816" s="207"/>
      <c r="AY816" s="207"/>
      <c r="AZ816" s="207"/>
      <c r="BA816" s="207"/>
    </row>
    <row r="817" ht="18.75" hidden="1" customHeight="1">
      <c r="A817" s="207"/>
      <c r="B817" s="207"/>
      <c r="C817" s="207"/>
      <c r="D817" s="207"/>
      <c r="E817" s="207"/>
      <c r="F817" s="207"/>
      <c r="G817" s="207"/>
      <c r="H817" s="207"/>
      <c r="I817" s="207"/>
      <c r="J817" s="207"/>
      <c r="K817" s="207"/>
      <c r="L817" s="207"/>
      <c r="M817" s="207"/>
      <c r="N817" s="207"/>
      <c r="O817" s="207"/>
      <c r="P817" s="207"/>
      <c r="Q817" s="207"/>
      <c r="R817" s="207"/>
      <c r="S817" s="207"/>
      <c r="T817" s="207"/>
      <c r="U817" s="207"/>
      <c r="V817" s="207"/>
      <c r="W817" s="207"/>
      <c r="X817" s="207"/>
      <c r="Y817" s="207"/>
      <c r="Z817" s="207"/>
      <c r="AA817" s="207"/>
      <c r="AB817" s="207"/>
      <c r="AC817" s="207"/>
      <c r="AD817" s="207"/>
      <c r="AE817" s="207"/>
      <c r="AF817" s="207"/>
      <c r="AG817" s="207"/>
      <c r="AH817" s="207"/>
      <c r="AI817" s="207"/>
      <c r="AJ817" s="207"/>
      <c r="AK817" s="207"/>
      <c r="AL817" s="207"/>
      <c r="AM817" s="207"/>
      <c r="AN817" s="207"/>
      <c r="AO817" s="207"/>
      <c r="AP817" s="207"/>
      <c r="AQ817" s="207"/>
      <c r="AR817" s="207"/>
      <c r="AS817" s="207"/>
      <c r="AT817" s="207"/>
      <c r="AU817" s="207"/>
      <c r="AV817" s="207"/>
      <c r="AW817" s="207"/>
      <c r="AX817" s="207"/>
      <c r="AY817" s="207"/>
      <c r="AZ817" s="207"/>
      <c r="BA817" s="207"/>
    </row>
    <row r="818" ht="18.75" hidden="1" customHeight="1">
      <c r="A818" s="207"/>
      <c r="B818" s="207"/>
      <c r="C818" s="207"/>
      <c r="D818" s="207"/>
      <c r="E818" s="207"/>
      <c r="F818" s="207"/>
      <c r="G818" s="207"/>
      <c r="H818" s="207"/>
      <c r="I818" s="207"/>
      <c r="J818" s="207"/>
      <c r="K818" s="207"/>
      <c r="L818" s="207"/>
      <c r="M818" s="207"/>
      <c r="N818" s="207"/>
      <c r="O818" s="207"/>
      <c r="P818" s="207"/>
      <c r="Q818" s="207"/>
      <c r="R818" s="207"/>
      <c r="S818" s="207"/>
      <c r="T818" s="207"/>
      <c r="U818" s="207"/>
      <c r="V818" s="207"/>
      <c r="W818" s="207"/>
      <c r="X818" s="207"/>
      <c r="Y818" s="207"/>
      <c r="Z818" s="207"/>
      <c r="AA818" s="207"/>
      <c r="AB818" s="207"/>
      <c r="AC818" s="207"/>
      <c r="AD818" s="207"/>
      <c r="AE818" s="207"/>
      <c r="AF818" s="207"/>
      <c r="AG818" s="207"/>
      <c r="AH818" s="207"/>
      <c r="AI818" s="207"/>
      <c r="AJ818" s="207"/>
      <c r="AK818" s="207"/>
      <c r="AL818" s="207"/>
      <c r="AM818" s="207"/>
      <c r="AN818" s="207"/>
      <c r="AO818" s="207"/>
      <c r="AP818" s="207"/>
      <c r="AQ818" s="207"/>
      <c r="AR818" s="207"/>
      <c r="AS818" s="207"/>
      <c r="AT818" s="207"/>
      <c r="AU818" s="207"/>
      <c r="AV818" s="207"/>
      <c r="AW818" s="207"/>
      <c r="AX818" s="207"/>
      <c r="AY818" s="207"/>
      <c r="AZ818" s="207"/>
      <c r="BA818" s="207"/>
    </row>
    <row r="819" ht="18.75" hidden="1" customHeight="1">
      <c r="A819" s="207"/>
      <c r="B819" s="207"/>
      <c r="C819" s="207"/>
      <c r="D819" s="207"/>
      <c r="E819" s="207"/>
      <c r="F819" s="207"/>
      <c r="G819" s="207"/>
      <c r="H819" s="207"/>
      <c r="I819" s="207"/>
      <c r="J819" s="207"/>
      <c r="K819" s="207"/>
      <c r="L819" s="207"/>
      <c r="M819" s="207"/>
      <c r="N819" s="207"/>
      <c r="O819" s="207"/>
      <c r="P819" s="207"/>
      <c r="Q819" s="207"/>
      <c r="R819" s="207"/>
      <c r="S819" s="207"/>
      <c r="T819" s="207"/>
      <c r="U819" s="207"/>
      <c r="V819" s="207"/>
      <c r="W819" s="207"/>
      <c r="X819" s="207"/>
      <c r="Y819" s="207"/>
      <c r="Z819" s="207"/>
      <c r="AA819" s="207"/>
      <c r="AB819" s="207"/>
      <c r="AC819" s="207"/>
      <c r="AD819" s="207"/>
      <c r="AE819" s="207"/>
      <c r="AF819" s="207"/>
      <c r="AG819" s="207"/>
      <c r="AH819" s="207"/>
      <c r="AI819" s="207"/>
      <c r="AJ819" s="207"/>
      <c r="AK819" s="207"/>
      <c r="AL819" s="207"/>
      <c r="AM819" s="207"/>
      <c r="AN819" s="207"/>
      <c r="AO819" s="207"/>
      <c r="AP819" s="207"/>
      <c r="AQ819" s="207"/>
      <c r="AR819" s="207"/>
      <c r="AS819" s="207"/>
      <c r="AT819" s="207"/>
      <c r="AU819" s="207"/>
      <c r="AV819" s="207"/>
      <c r="AW819" s="207"/>
      <c r="AX819" s="207"/>
      <c r="AY819" s="207"/>
      <c r="AZ819" s="207"/>
      <c r="BA819" s="207"/>
    </row>
    <row r="820" ht="18.75" hidden="1" customHeight="1">
      <c r="A820" s="207"/>
      <c r="B820" s="207"/>
      <c r="C820" s="207"/>
      <c r="D820" s="207"/>
      <c r="E820" s="207"/>
      <c r="F820" s="207"/>
      <c r="G820" s="207"/>
      <c r="H820" s="207"/>
      <c r="I820" s="207"/>
      <c r="J820" s="207"/>
      <c r="K820" s="207"/>
      <c r="L820" s="207"/>
      <c r="M820" s="207"/>
      <c r="N820" s="207"/>
      <c r="O820" s="207"/>
      <c r="P820" s="207"/>
      <c r="Q820" s="207"/>
      <c r="R820" s="207"/>
      <c r="S820" s="207"/>
      <c r="T820" s="207"/>
      <c r="U820" s="207"/>
      <c r="V820" s="207"/>
      <c r="W820" s="207"/>
      <c r="X820" s="207"/>
      <c r="Y820" s="207"/>
      <c r="Z820" s="207"/>
      <c r="AA820" s="207"/>
      <c r="AB820" s="207"/>
      <c r="AC820" s="207"/>
      <c r="AD820" s="207"/>
      <c r="AE820" s="207"/>
      <c r="AF820" s="207"/>
      <c r="AG820" s="207"/>
      <c r="AH820" s="207"/>
      <c r="AI820" s="207"/>
      <c r="AJ820" s="207"/>
      <c r="AK820" s="207"/>
      <c r="AL820" s="207"/>
      <c r="AM820" s="207"/>
      <c r="AN820" s="207"/>
      <c r="AO820" s="207"/>
      <c r="AP820" s="207"/>
      <c r="AQ820" s="207"/>
      <c r="AR820" s="207"/>
      <c r="AS820" s="207"/>
      <c r="AT820" s="207"/>
      <c r="AU820" s="207"/>
      <c r="AV820" s="207"/>
      <c r="AW820" s="207"/>
      <c r="AX820" s="207"/>
      <c r="AY820" s="207"/>
      <c r="AZ820" s="207"/>
      <c r="BA820" s="207"/>
    </row>
    <row r="821" ht="18.75" hidden="1" customHeight="1">
      <c r="A821" s="207"/>
      <c r="B821" s="207"/>
      <c r="C821" s="207"/>
      <c r="D821" s="207"/>
      <c r="E821" s="207"/>
      <c r="F821" s="207"/>
      <c r="G821" s="207"/>
      <c r="H821" s="207"/>
      <c r="I821" s="207"/>
      <c r="J821" s="207"/>
      <c r="K821" s="207"/>
      <c r="L821" s="207"/>
      <c r="M821" s="207"/>
      <c r="N821" s="207"/>
      <c r="O821" s="207"/>
      <c r="P821" s="207"/>
      <c r="Q821" s="207"/>
      <c r="R821" s="207"/>
      <c r="S821" s="207"/>
      <c r="T821" s="207"/>
      <c r="U821" s="207"/>
      <c r="V821" s="207"/>
      <c r="W821" s="207"/>
      <c r="X821" s="207"/>
      <c r="Y821" s="207"/>
      <c r="Z821" s="207"/>
      <c r="AA821" s="207"/>
      <c r="AB821" s="207"/>
      <c r="AC821" s="207"/>
      <c r="AD821" s="207"/>
      <c r="AE821" s="207"/>
      <c r="AF821" s="207"/>
      <c r="AG821" s="207"/>
      <c r="AH821" s="207"/>
      <c r="AI821" s="207"/>
      <c r="AJ821" s="207"/>
      <c r="AK821" s="207"/>
      <c r="AL821" s="207"/>
      <c r="AM821" s="207"/>
      <c r="AN821" s="207"/>
      <c r="AO821" s="207"/>
      <c r="AP821" s="207"/>
      <c r="AQ821" s="207"/>
      <c r="AR821" s="207"/>
      <c r="AS821" s="207"/>
      <c r="AT821" s="207"/>
      <c r="AU821" s="207"/>
      <c r="AV821" s="207"/>
      <c r="AW821" s="207"/>
      <c r="AX821" s="207"/>
      <c r="AY821" s="207"/>
      <c r="AZ821" s="207"/>
      <c r="BA821" s="207"/>
    </row>
    <row r="822" ht="18.75" hidden="1" customHeight="1">
      <c r="A822" s="207"/>
      <c r="B822" s="207"/>
      <c r="C822" s="207"/>
      <c r="D822" s="207"/>
      <c r="E822" s="207"/>
      <c r="F822" s="207"/>
      <c r="G822" s="207"/>
      <c r="H822" s="207"/>
      <c r="I822" s="207"/>
      <c r="J822" s="207"/>
      <c r="K822" s="207"/>
      <c r="L822" s="207"/>
      <c r="M822" s="207"/>
      <c r="N822" s="207"/>
      <c r="O822" s="207"/>
      <c r="P822" s="207"/>
      <c r="Q822" s="207"/>
      <c r="R822" s="207"/>
      <c r="S822" s="207"/>
      <c r="T822" s="207"/>
      <c r="U822" s="207"/>
      <c r="V822" s="207"/>
      <c r="W822" s="207"/>
      <c r="X822" s="207"/>
      <c r="Y822" s="207"/>
      <c r="Z822" s="207"/>
      <c r="AA822" s="207"/>
      <c r="AB822" s="207"/>
      <c r="AC822" s="207"/>
      <c r="AD822" s="207"/>
      <c r="AE822" s="207"/>
      <c r="AF822" s="207"/>
      <c r="AG822" s="207"/>
      <c r="AH822" s="207"/>
      <c r="AI822" s="207"/>
      <c r="AJ822" s="207"/>
      <c r="AK822" s="207"/>
      <c r="AL822" s="207"/>
      <c r="AM822" s="207"/>
      <c r="AN822" s="207"/>
      <c r="AO822" s="207"/>
      <c r="AP822" s="207"/>
      <c r="AQ822" s="207"/>
      <c r="AR822" s="207"/>
      <c r="AS822" s="207"/>
      <c r="AT822" s="207"/>
      <c r="AU822" s="207"/>
      <c r="AV822" s="207"/>
      <c r="AW822" s="207"/>
      <c r="AX822" s="207"/>
      <c r="AY822" s="207"/>
      <c r="AZ822" s="207"/>
      <c r="BA822" s="207"/>
    </row>
    <row r="823" ht="18.75" hidden="1" customHeight="1">
      <c r="A823" s="207"/>
      <c r="B823" s="207"/>
      <c r="C823" s="207"/>
      <c r="D823" s="207"/>
      <c r="E823" s="207"/>
      <c r="F823" s="207"/>
      <c r="G823" s="207"/>
      <c r="H823" s="207"/>
      <c r="I823" s="207"/>
      <c r="J823" s="207"/>
      <c r="K823" s="207"/>
      <c r="L823" s="207"/>
      <c r="M823" s="207"/>
      <c r="N823" s="207"/>
      <c r="O823" s="207"/>
      <c r="P823" s="207"/>
      <c r="Q823" s="207"/>
      <c r="R823" s="207"/>
      <c r="S823" s="207"/>
      <c r="T823" s="207"/>
      <c r="U823" s="207"/>
      <c r="V823" s="207"/>
      <c r="W823" s="207"/>
      <c r="X823" s="207"/>
      <c r="Y823" s="207"/>
      <c r="Z823" s="207"/>
      <c r="AA823" s="207"/>
      <c r="AB823" s="207"/>
      <c r="AC823" s="207"/>
      <c r="AD823" s="207"/>
      <c r="AE823" s="207"/>
      <c r="AF823" s="207"/>
      <c r="AG823" s="207"/>
      <c r="AH823" s="207"/>
      <c r="AI823" s="207"/>
      <c r="AJ823" s="207"/>
      <c r="AK823" s="207"/>
      <c r="AL823" s="207"/>
      <c r="AM823" s="207"/>
      <c r="AN823" s="207"/>
      <c r="AO823" s="207"/>
      <c r="AP823" s="207"/>
      <c r="AQ823" s="207"/>
      <c r="AR823" s="207"/>
      <c r="AS823" s="207"/>
      <c r="AT823" s="207"/>
      <c r="AU823" s="207"/>
      <c r="AV823" s="207"/>
      <c r="AW823" s="207"/>
      <c r="AX823" s="207"/>
      <c r="AY823" s="207"/>
      <c r="AZ823" s="207"/>
      <c r="BA823" s="207"/>
    </row>
    <row r="824" ht="18.75" hidden="1" customHeight="1">
      <c r="A824" s="207"/>
      <c r="B824" s="207"/>
      <c r="C824" s="207"/>
      <c r="D824" s="207"/>
      <c r="E824" s="207"/>
      <c r="F824" s="207"/>
      <c r="G824" s="207"/>
      <c r="H824" s="207"/>
      <c r="I824" s="207"/>
      <c r="J824" s="207"/>
      <c r="K824" s="207"/>
      <c r="L824" s="207"/>
      <c r="M824" s="207"/>
      <c r="N824" s="207"/>
      <c r="O824" s="207"/>
      <c r="P824" s="207"/>
      <c r="Q824" s="207"/>
      <c r="R824" s="207"/>
      <c r="S824" s="207"/>
      <c r="T824" s="207"/>
      <c r="U824" s="207"/>
      <c r="V824" s="207"/>
      <c r="W824" s="207"/>
      <c r="X824" s="207"/>
      <c r="Y824" s="207"/>
      <c r="Z824" s="207"/>
      <c r="AA824" s="207"/>
      <c r="AB824" s="207"/>
      <c r="AC824" s="207"/>
      <c r="AD824" s="207"/>
      <c r="AE824" s="207"/>
      <c r="AF824" s="207"/>
      <c r="AG824" s="207"/>
      <c r="AH824" s="207"/>
      <c r="AI824" s="207"/>
      <c r="AJ824" s="207"/>
      <c r="AK824" s="207"/>
      <c r="AL824" s="207"/>
      <c r="AM824" s="207"/>
      <c r="AN824" s="207"/>
      <c r="AO824" s="207"/>
      <c r="AP824" s="207"/>
      <c r="AQ824" s="207"/>
      <c r="AR824" s="207"/>
      <c r="AS824" s="207"/>
      <c r="AT824" s="207"/>
      <c r="AU824" s="207"/>
      <c r="AV824" s="207"/>
      <c r="AW824" s="207"/>
      <c r="AX824" s="207"/>
      <c r="AY824" s="207"/>
      <c r="AZ824" s="207"/>
      <c r="BA824" s="207"/>
    </row>
    <row r="825" ht="18.75" hidden="1" customHeight="1">
      <c r="A825" s="207"/>
      <c r="B825" s="207"/>
      <c r="C825" s="207"/>
      <c r="D825" s="207"/>
      <c r="E825" s="207"/>
      <c r="F825" s="207"/>
      <c r="G825" s="207"/>
      <c r="H825" s="207"/>
      <c r="I825" s="207"/>
      <c r="J825" s="207"/>
      <c r="K825" s="207"/>
      <c r="L825" s="207"/>
      <c r="M825" s="207"/>
      <c r="N825" s="207"/>
      <c r="O825" s="207"/>
      <c r="P825" s="207"/>
      <c r="Q825" s="207"/>
      <c r="R825" s="207"/>
      <c r="S825" s="207"/>
      <c r="T825" s="207"/>
      <c r="U825" s="207"/>
      <c r="V825" s="207"/>
      <c r="W825" s="207"/>
      <c r="X825" s="207"/>
      <c r="Y825" s="207"/>
      <c r="Z825" s="207"/>
      <c r="AA825" s="207"/>
      <c r="AB825" s="207"/>
      <c r="AC825" s="207"/>
      <c r="AD825" s="207"/>
      <c r="AE825" s="207"/>
      <c r="AF825" s="207"/>
      <c r="AG825" s="207"/>
      <c r="AH825" s="207"/>
      <c r="AI825" s="207"/>
      <c r="AJ825" s="207"/>
      <c r="AK825" s="207"/>
      <c r="AL825" s="207"/>
      <c r="AM825" s="207"/>
      <c r="AN825" s="207"/>
      <c r="AO825" s="207"/>
      <c r="AP825" s="207"/>
      <c r="AQ825" s="207"/>
      <c r="AR825" s="207"/>
      <c r="AS825" s="207"/>
      <c r="AT825" s="207"/>
      <c r="AU825" s="207"/>
      <c r="AV825" s="207"/>
      <c r="AW825" s="207"/>
      <c r="AX825" s="207"/>
      <c r="AY825" s="207"/>
      <c r="AZ825" s="207"/>
      <c r="BA825" s="207"/>
    </row>
    <row r="826" ht="18.75" hidden="1" customHeight="1">
      <c r="A826" s="207"/>
      <c r="B826" s="207"/>
      <c r="C826" s="207"/>
      <c r="D826" s="207"/>
      <c r="E826" s="207"/>
      <c r="F826" s="207"/>
      <c r="G826" s="207"/>
      <c r="H826" s="207"/>
      <c r="I826" s="207"/>
      <c r="J826" s="207"/>
      <c r="K826" s="207"/>
      <c r="L826" s="207"/>
      <c r="M826" s="207"/>
      <c r="N826" s="207"/>
      <c r="O826" s="207"/>
      <c r="P826" s="207"/>
      <c r="Q826" s="207"/>
      <c r="R826" s="207"/>
      <c r="S826" s="207"/>
      <c r="T826" s="207"/>
      <c r="U826" s="207"/>
      <c r="V826" s="207"/>
      <c r="W826" s="207"/>
      <c r="X826" s="207"/>
      <c r="Y826" s="207"/>
      <c r="Z826" s="207"/>
      <c r="AA826" s="207"/>
      <c r="AB826" s="207"/>
      <c r="AC826" s="207"/>
      <c r="AD826" s="207"/>
      <c r="AE826" s="207"/>
      <c r="AF826" s="207"/>
      <c r="AG826" s="207"/>
      <c r="AH826" s="207"/>
      <c r="AI826" s="207"/>
      <c r="AJ826" s="207"/>
      <c r="AK826" s="207"/>
      <c r="AL826" s="207"/>
      <c r="AM826" s="207"/>
      <c r="AN826" s="207"/>
      <c r="AO826" s="207"/>
      <c r="AP826" s="207"/>
      <c r="AQ826" s="207"/>
      <c r="AR826" s="207"/>
      <c r="AS826" s="207"/>
      <c r="AT826" s="207"/>
      <c r="AU826" s="207"/>
      <c r="AV826" s="207"/>
      <c r="AW826" s="207"/>
      <c r="AX826" s="207"/>
      <c r="AY826" s="207"/>
      <c r="AZ826" s="207"/>
      <c r="BA826" s="207"/>
    </row>
    <row r="827" ht="18.75" hidden="1" customHeight="1">
      <c r="A827" s="207"/>
      <c r="B827" s="207"/>
      <c r="C827" s="207"/>
      <c r="D827" s="207"/>
      <c r="E827" s="207"/>
      <c r="F827" s="207"/>
      <c r="G827" s="207"/>
      <c r="H827" s="207"/>
      <c r="I827" s="207"/>
      <c r="J827" s="207"/>
      <c r="K827" s="207"/>
      <c r="L827" s="207"/>
      <c r="M827" s="207"/>
      <c r="N827" s="207"/>
      <c r="O827" s="207"/>
      <c r="P827" s="207"/>
      <c r="Q827" s="207"/>
      <c r="R827" s="207"/>
      <c r="S827" s="207"/>
      <c r="T827" s="207"/>
      <c r="U827" s="207"/>
      <c r="V827" s="207"/>
      <c r="W827" s="207"/>
      <c r="X827" s="207"/>
      <c r="Y827" s="207"/>
      <c r="Z827" s="207"/>
      <c r="AA827" s="207"/>
      <c r="AB827" s="207"/>
      <c r="AC827" s="207"/>
      <c r="AD827" s="207"/>
      <c r="AE827" s="207"/>
      <c r="AF827" s="207"/>
      <c r="AG827" s="207"/>
      <c r="AH827" s="207"/>
      <c r="AI827" s="207"/>
      <c r="AJ827" s="207"/>
      <c r="AK827" s="207"/>
      <c r="AL827" s="207"/>
      <c r="AM827" s="207"/>
      <c r="AN827" s="207"/>
      <c r="AO827" s="207"/>
      <c r="AP827" s="207"/>
      <c r="AQ827" s="207"/>
      <c r="AR827" s="207"/>
      <c r="AS827" s="207"/>
      <c r="AT827" s="207"/>
      <c r="AU827" s="207"/>
      <c r="AV827" s="207"/>
      <c r="AW827" s="207"/>
      <c r="AX827" s="207"/>
      <c r="AY827" s="207"/>
      <c r="AZ827" s="207"/>
      <c r="BA827" s="207"/>
    </row>
    <row r="828" ht="18.75" hidden="1" customHeight="1">
      <c r="A828" s="207"/>
      <c r="B828" s="207"/>
      <c r="C828" s="207"/>
      <c r="D828" s="207"/>
      <c r="E828" s="207"/>
      <c r="F828" s="207"/>
      <c r="G828" s="207"/>
      <c r="H828" s="207"/>
      <c r="I828" s="207"/>
      <c r="J828" s="207"/>
      <c r="K828" s="207"/>
      <c r="L828" s="207"/>
      <c r="M828" s="207"/>
      <c r="N828" s="207"/>
      <c r="O828" s="207"/>
      <c r="P828" s="207"/>
      <c r="Q828" s="207"/>
      <c r="R828" s="207"/>
      <c r="S828" s="207"/>
      <c r="T828" s="207"/>
      <c r="U828" s="207"/>
      <c r="V828" s="207"/>
      <c r="W828" s="207"/>
      <c r="X828" s="207"/>
      <c r="Y828" s="207"/>
      <c r="Z828" s="207"/>
      <c r="AA828" s="207"/>
      <c r="AB828" s="207"/>
      <c r="AC828" s="207"/>
      <c r="AD828" s="207"/>
      <c r="AE828" s="207"/>
      <c r="AF828" s="207"/>
      <c r="AG828" s="207"/>
      <c r="AH828" s="207"/>
      <c r="AI828" s="207"/>
      <c r="AJ828" s="207"/>
      <c r="AK828" s="207"/>
      <c r="AL828" s="207"/>
      <c r="AM828" s="207"/>
      <c r="AN828" s="207"/>
      <c r="AO828" s="207"/>
      <c r="AP828" s="207"/>
      <c r="AQ828" s="207"/>
      <c r="AR828" s="207"/>
      <c r="AS828" s="207"/>
      <c r="AT828" s="207"/>
      <c r="AU828" s="207"/>
      <c r="AV828" s="207"/>
      <c r="AW828" s="207"/>
      <c r="AX828" s="207"/>
      <c r="AY828" s="207"/>
      <c r="AZ828" s="207"/>
      <c r="BA828" s="207"/>
    </row>
    <row r="829" ht="18.75" hidden="1" customHeight="1">
      <c r="A829" s="207"/>
      <c r="B829" s="207"/>
      <c r="C829" s="207"/>
      <c r="D829" s="207"/>
      <c r="E829" s="207"/>
      <c r="F829" s="207"/>
      <c r="G829" s="207"/>
      <c r="H829" s="207"/>
      <c r="I829" s="207"/>
      <c r="J829" s="207"/>
      <c r="K829" s="207"/>
      <c r="L829" s="207"/>
      <c r="M829" s="207"/>
      <c r="N829" s="207"/>
      <c r="O829" s="207"/>
      <c r="P829" s="207"/>
      <c r="Q829" s="207"/>
      <c r="R829" s="207"/>
      <c r="S829" s="207"/>
      <c r="T829" s="207"/>
      <c r="U829" s="207"/>
      <c r="V829" s="207"/>
      <c r="W829" s="207"/>
      <c r="X829" s="207"/>
      <c r="Y829" s="207"/>
      <c r="Z829" s="207"/>
      <c r="AA829" s="207"/>
      <c r="AB829" s="207"/>
      <c r="AC829" s="207"/>
      <c r="AD829" s="207"/>
      <c r="AE829" s="207"/>
      <c r="AF829" s="207"/>
      <c r="AG829" s="207"/>
      <c r="AH829" s="207"/>
      <c r="AI829" s="207"/>
      <c r="AJ829" s="207"/>
      <c r="AK829" s="207"/>
      <c r="AL829" s="207"/>
      <c r="AM829" s="207"/>
      <c r="AN829" s="207"/>
      <c r="AO829" s="207"/>
      <c r="AP829" s="207"/>
      <c r="AQ829" s="207"/>
      <c r="AR829" s="207"/>
      <c r="AS829" s="207"/>
      <c r="AT829" s="207"/>
      <c r="AU829" s="207"/>
      <c r="AV829" s="207"/>
      <c r="AW829" s="207"/>
      <c r="AX829" s="207"/>
      <c r="AY829" s="207"/>
      <c r="AZ829" s="207"/>
      <c r="BA829" s="207"/>
    </row>
    <row r="830" ht="18.75" hidden="1" customHeight="1">
      <c r="A830" s="207"/>
      <c r="B830" s="207"/>
      <c r="C830" s="207"/>
      <c r="D830" s="207"/>
      <c r="E830" s="207"/>
      <c r="F830" s="207"/>
      <c r="G830" s="207"/>
      <c r="H830" s="207"/>
      <c r="I830" s="207"/>
      <c r="J830" s="207"/>
      <c r="K830" s="207"/>
      <c r="L830" s="207"/>
      <c r="M830" s="207"/>
      <c r="N830" s="207"/>
      <c r="O830" s="207"/>
      <c r="P830" s="207"/>
      <c r="Q830" s="207"/>
      <c r="R830" s="207"/>
      <c r="S830" s="207"/>
      <c r="T830" s="207"/>
      <c r="U830" s="207"/>
      <c r="V830" s="207"/>
      <c r="W830" s="207"/>
      <c r="X830" s="207"/>
      <c r="Y830" s="207"/>
      <c r="Z830" s="207"/>
      <c r="AA830" s="207"/>
      <c r="AB830" s="207"/>
      <c r="AC830" s="207"/>
      <c r="AD830" s="207"/>
      <c r="AE830" s="207"/>
      <c r="AF830" s="207"/>
      <c r="AG830" s="207"/>
      <c r="AH830" s="207"/>
      <c r="AI830" s="207"/>
      <c r="AJ830" s="207"/>
      <c r="AK830" s="207"/>
      <c r="AL830" s="207"/>
      <c r="AM830" s="207"/>
      <c r="AN830" s="207"/>
      <c r="AO830" s="207"/>
      <c r="AP830" s="207"/>
      <c r="AQ830" s="207"/>
      <c r="AR830" s="207"/>
      <c r="AS830" s="207"/>
      <c r="AT830" s="207"/>
      <c r="AU830" s="207"/>
      <c r="AV830" s="207"/>
      <c r="AW830" s="207"/>
      <c r="AX830" s="207"/>
      <c r="AY830" s="207"/>
      <c r="AZ830" s="207"/>
      <c r="BA830" s="207"/>
    </row>
    <row r="831" ht="18.75" hidden="1" customHeight="1">
      <c r="A831" s="207"/>
      <c r="B831" s="207"/>
      <c r="C831" s="207"/>
      <c r="D831" s="207"/>
      <c r="E831" s="207"/>
      <c r="F831" s="207"/>
      <c r="G831" s="207"/>
      <c r="H831" s="207"/>
      <c r="I831" s="207"/>
      <c r="J831" s="207"/>
      <c r="K831" s="207"/>
      <c r="L831" s="207"/>
      <c r="M831" s="207"/>
      <c r="N831" s="207"/>
      <c r="O831" s="207"/>
      <c r="P831" s="207"/>
      <c r="Q831" s="207"/>
      <c r="R831" s="207"/>
      <c r="S831" s="207"/>
      <c r="T831" s="207"/>
      <c r="U831" s="207"/>
      <c r="V831" s="207"/>
      <c r="W831" s="207"/>
      <c r="X831" s="207"/>
      <c r="Y831" s="207"/>
      <c r="Z831" s="207"/>
      <c r="AA831" s="207"/>
      <c r="AB831" s="207"/>
      <c r="AC831" s="207"/>
      <c r="AD831" s="207"/>
      <c r="AE831" s="207"/>
      <c r="AF831" s="207"/>
      <c r="AG831" s="207"/>
      <c r="AH831" s="207"/>
      <c r="AI831" s="207"/>
      <c r="AJ831" s="207"/>
      <c r="AK831" s="207"/>
      <c r="AL831" s="207"/>
      <c r="AM831" s="207"/>
      <c r="AN831" s="207"/>
      <c r="AO831" s="207"/>
      <c r="AP831" s="207"/>
      <c r="AQ831" s="207"/>
      <c r="AR831" s="207"/>
      <c r="AS831" s="207"/>
      <c r="AT831" s="207"/>
      <c r="AU831" s="207"/>
      <c r="AV831" s="207"/>
      <c r="AW831" s="207"/>
      <c r="AX831" s="207"/>
      <c r="AY831" s="207"/>
      <c r="AZ831" s="207"/>
      <c r="BA831" s="207"/>
    </row>
    <row r="832" ht="18.75" hidden="1" customHeight="1">
      <c r="A832" s="207"/>
      <c r="B832" s="207"/>
      <c r="C832" s="207"/>
      <c r="D832" s="207"/>
      <c r="E832" s="207"/>
      <c r="F832" s="207"/>
      <c r="G832" s="207"/>
      <c r="H832" s="207"/>
      <c r="I832" s="207"/>
      <c r="J832" s="207"/>
      <c r="K832" s="207"/>
      <c r="L832" s="207"/>
      <c r="M832" s="207"/>
      <c r="N832" s="207"/>
      <c r="O832" s="207"/>
      <c r="P832" s="207"/>
      <c r="Q832" s="207"/>
      <c r="R832" s="207"/>
      <c r="S832" s="207"/>
      <c r="T832" s="207"/>
      <c r="U832" s="207"/>
      <c r="V832" s="207"/>
      <c r="W832" s="207"/>
      <c r="X832" s="207"/>
      <c r="Y832" s="207"/>
      <c r="Z832" s="207"/>
      <c r="AA832" s="207"/>
      <c r="AB832" s="207"/>
      <c r="AC832" s="207"/>
      <c r="AD832" s="207"/>
      <c r="AE832" s="207"/>
      <c r="AF832" s="207"/>
      <c r="AG832" s="207"/>
      <c r="AH832" s="207"/>
      <c r="AI832" s="207"/>
      <c r="AJ832" s="207"/>
      <c r="AK832" s="207"/>
      <c r="AL832" s="207"/>
      <c r="AM832" s="207"/>
      <c r="AN832" s="207"/>
      <c r="AO832" s="207"/>
      <c r="AP832" s="207"/>
      <c r="AQ832" s="207"/>
      <c r="AR832" s="207"/>
      <c r="AS832" s="207"/>
      <c r="AT832" s="207"/>
      <c r="AU832" s="207"/>
      <c r="AV832" s="207"/>
      <c r="AW832" s="207"/>
      <c r="AX832" s="207"/>
      <c r="AY832" s="207"/>
      <c r="AZ832" s="207"/>
      <c r="BA832" s="207"/>
    </row>
    <row r="833" ht="18.75" hidden="1" customHeight="1">
      <c r="A833" s="207"/>
      <c r="B833" s="207"/>
      <c r="C833" s="207"/>
      <c r="D833" s="207"/>
      <c r="E833" s="207"/>
      <c r="F833" s="207"/>
      <c r="G833" s="207"/>
      <c r="H833" s="207"/>
      <c r="I833" s="207"/>
      <c r="J833" s="207"/>
      <c r="K833" s="207"/>
      <c r="L833" s="207"/>
      <c r="M833" s="207"/>
      <c r="N833" s="207"/>
      <c r="O833" s="207"/>
      <c r="P833" s="207"/>
      <c r="Q833" s="207"/>
      <c r="R833" s="207"/>
      <c r="S833" s="207"/>
      <c r="T833" s="207"/>
      <c r="U833" s="207"/>
      <c r="V833" s="207"/>
      <c r="W833" s="207"/>
      <c r="X833" s="207"/>
      <c r="Y833" s="207"/>
      <c r="Z833" s="207"/>
      <c r="AA833" s="207"/>
      <c r="AB833" s="207"/>
      <c r="AC833" s="207"/>
      <c r="AD833" s="207"/>
      <c r="AE833" s="207"/>
      <c r="AF833" s="207"/>
      <c r="AG833" s="207"/>
      <c r="AH833" s="207"/>
      <c r="AI833" s="207"/>
      <c r="AJ833" s="207"/>
      <c r="AK833" s="207"/>
      <c r="AL833" s="207"/>
      <c r="AM833" s="207"/>
      <c r="AN833" s="207"/>
      <c r="AO833" s="207"/>
      <c r="AP833" s="207"/>
      <c r="AQ833" s="207"/>
      <c r="AR833" s="207"/>
      <c r="AS833" s="207"/>
      <c r="AT833" s="207"/>
      <c r="AU833" s="207"/>
      <c r="AV833" s="207"/>
      <c r="AW833" s="207"/>
      <c r="AX833" s="207"/>
      <c r="AY833" s="207"/>
      <c r="AZ833" s="207"/>
      <c r="BA833" s="207"/>
    </row>
    <row r="834" ht="18.75" hidden="1" customHeight="1">
      <c r="A834" s="207"/>
      <c r="B834" s="207"/>
      <c r="C834" s="207"/>
      <c r="D834" s="207"/>
      <c r="E834" s="207"/>
      <c r="F834" s="207"/>
      <c r="G834" s="207"/>
      <c r="H834" s="207"/>
      <c r="I834" s="207"/>
      <c r="J834" s="207"/>
      <c r="K834" s="207"/>
      <c r="L834" s="207"/>
      <c r="M834" s="207"/>
      <c r="N834" s="207"/>
      <c r="O834" s="207"/>
      <c r="P834" s="207"/>
      <c r="Q834" s="207"/>
      <c r="R834" s="207"/>
      <c r="S834" s="207"/>
      <c r="T834" s="207"/>
      <c r="U834" s="207"/>
      <c r="V834" s="207"/>
      <c r="W834" s="207"/>
      <c r="X834" s="207"/>
      <c r="Y834" s="207"/>
      <c r="Z834" s="207"/>
      <c r="AA834" s="207"/>
      <c r="AB834" s="207"/>
      <c r="AC834" s="207"/>
      <c r="AD834" s="207"/>
      <c r="AE834" s="207"/>
      <c r="AF834" s="207"/>
      <c r="AG834" s="207"/>
      <c r="AH834" s="207"/>
      <c r="AI834" s="207"/>
      <c r="AJ834" s="207"/>
      <c r="AK834" s="207"/>
      <c r="AL834" s="207"/>
      <c r="AM834" s="207"/>
      <c r="AN834" s="207"/>
      <c r="AO834" s="207"/>
      <c r="AP834" s="207"/>
      <c r="AQ834" s="207"/>
      <c r="AR834" s="207"/>
      <c r="AS834" s="207"/>
      <c r="AT834" s="207"/>
      <c r="AU834" s="207"/>
      <c r="AV834" s="207"/>
      <c r="AW834" s="207"/>
      <c r="AX834" s="207"/>
      <c r="AY834" s="207"/>
      <c r="AZ834" s="207"/>
      <c r="BA834" s="207"/>
    </row>
    <row r="835" ht="18.75" hidden="1" customHeight="1">
      <c r="A835" s="207"/>
      <c r="B835" s="207"/>
      <c r="C835" s="207"/>
      <c r="D835" s="207"/>
      <c r="E835" s="207"/>
      <c r="F835" s="207"/>
      <c r="G835" s="207"/>
      <c r="H835" s="207"/>
      <c r="I835" s="207"/>
      <c r="J835" s="207"/>
      <c r="K835" s="207"/>
      <c r="L835" s="207"/>
      <c r="M835" s="207"/>
      <c r="N835" s="207"/>
      <c r="O835" s="207"/>
      <c r="P835" s="207"/>
      <c r="Q835" s="207"/>
      <c r="R835" s="207"/>
      <c r="S835" s="207"/>
      <c r="T835" s="207"/>
      <c r="U835" s="207"/>
      <c r="V835" s="207"/>
      <c r="W835" s="207"/>
      <c r="X835" s="207"/>
      <c r="Y835" s="207"/>
      <c r="Z835" s="207"/>
      <c r="AA835" s="207"/>
      <c r="AB835" s="207"/>
      <c r="AC835" s="207"/>
      <c r="AD835" s="207"/>
      <c r="AE835" s="207"/>
      <c r="AF835" s="207"/>
      <c r="AG835" s="207"/>
      <c r="AH835" s="207"/>
      <c r="AI835" s="207"/>
      <c r="AJ835" s="207"/>
      <c r="AK835" s="207"/>
      <c r="AL835" s="207"/>
      <c r="AM835" s="207"/>
      <c r="AN835" s="207"/>
      <c r="AO835" s="207"/>
      <c r="AP835" s="207"/>
      <c r="AQ835" s="207"/>
      <c r="AR835" s="207"/>
      <c r="AS835" s="207"/>
      <c r="AT835" s="207"/>
      <c r="AU835" s="207"/>
      <c r="AV835" s="207"/>
      <c r="AW835" s="207"/>
      <c r="AX835" s="207"/>
      <c r="AY835" s="207"/>
      <c r="AZ835" s="207"/>
      <c r="BA835" s="207"/>
    </row>
    <row r="836" ht="18.75" hidden="1" customHeight="1">
      <c r="A836" s="207"/>
      <c r="B836" s="207"/>
      <c r="C836" s="207"/>
      <c r="D836" s="207"/>
      <c r="E836" s="207"/>
      <c r="F836" s="207"/>
      <c r="G836" s="207"/>
      <c r="H836" s="207"/>
      <c r="I836" s="207"/>
      <c r="J836" s="207"/>
      <c r="K836" s="207"/>
      <c r="L836" s="207"/>
      <c r="M836" s="207"/>
      <c r="N836" s="207"/>
      <c r="O836" s="207"/>
      <c r="P836" s="207"/>
      <c r="Q836" s="207"/>
      <c r="R836" s="207"/>
      <c r="S836" s="207"/>
      <c r="T836" s="207"/>
      <c r="U836" s="207"/>
      <c r="V836" s="207"/>
      <c r="W836" s="207"/>
      <c r="X836" s="207"/>
      <c r="Y836" s="207"/>
      <c r="Z836" s="207"/>
      <c r="AA836" s="207"/>
      <c r="AB836" s="207"/>
      <c r="AC836" s="207"/>
      <c r="AD836" s="207"/>
      <c r="AE836" s="207"/>
      <c r="AF836" s="207"/>
      <c r="AG836" s="207"/>
      <c r="AH836" s="207"/>
      <c r="AI836" s="207"/>
      <c r="AJ836" s="207"/>
      <c r="AK836" s="207"/>
      <c r="AL836" s="207"/>
      <c r="AM836" s="207"/>
      <c r="AN836" s="207"/>
      <c r="AO836" s="207"/>
      <c r="AP836" s="207"/>
      <c r="AQ836" s="207"/>
      <c r="AR836" s="207"/>
      <c r="AS836" s="207"/>
      <c r="AT836" s="207"/>
      <c r="AU836" s="207"/>
      <c r="AV836" s="207"/>
      <c r="AW836" s="207"/>
      <c r="AX836" s="207"/>
      <c r="AY836" s="207"/>
      <c r="AZ836" s="207"/>
      <c r="BA836" s="207"/>
    </row>
    <row r="837" ht="18.75" hidden="1" customHeight="1">
      <c r="A837" s="207"/>
      <c r="B837" s="207"/>
      <c r="C837" s="207"/>
      <c r="D837" s="207"/>
      <c r="E837" s="207"/>
      <c r="F837" s="207"/>
      <c r="G837" s="207"/>
      <c r="H837" s="207"/>
      <c r="I837" s="207"/>
      <c r="J837" s="207"/>
      <c r="K837" s="207"/>
      <c r="L837" s="207"/>
      <c r="M837" s="207"/>
      <c r="N837" s="207"/>
      <c r="O837" s="207"/>
      <c r="P837" s="207"/>
      <c r="Q837" s="207"/>
      <c r="R837" s="207"/>
      <c r="S837" s="207"/>
      <c r="T837" s="207"/>
      <c r="U837" s="207"/>
      <c r="V837" s="207"/>
      <c r="W837" s="207"/>
      <c r="X837" s="207"/>
      <c r="Y837" s="207"/>
      <c r="Z837" s="207"/>
      <c r="AA837" s="207"/>
      <c r="AB837" s="207"/>
      <c r="AC837" s="207"/>
      <c r="AD837" s="207"/>
      <c r="AE837" s="207"/>
      <c r="AF837" s="207"/>
      <c r="AG837" s="207"/>
      <c r="AH837" s="207"/>
      <c r="AI837" s="207"/>
      <c r="AJ837" s="207"/>
      <c r="AK837" s="207"/>
      <c r="AL837" s="207"/>
      <c r="AM837" s="207"/>
      <c r="AN837" s="207"/>
      <c r="AO837" s="207"/>
      <c r="AP837" s="207"/>
      <c r="AQ837" s="207"/>
      <c r="AR837" s="207"/>
      <c r="AS837" s="207"/>
      <c r="AT837" s="207"/>
      <c r="AU837" s="207"/>
      <c r="AV837" s="207"/>
      <c r="AW837" s="207"/>
      <c r="AX837" s="207"/>
      <c r="AY837" s="207"/>
      <c r="AZ837" s="207"/>
      <c r="BA837" s="207"/>
    </row>
    <row r="838" ht="18.75" hidden="1" customHeight="1">
      <c r="A838" s="207"/>
      <c r="B838" s="207"/>
      <c r="C838" s="207"/>
      <c r="D838" s="207"/>
      <c r="E838" s="207"/>
      <c r="F838" s="207"/>
      <c r="G838" s="207"/>
      <c r="H838" s="207"/>
      <c r="I838" s="207"/>
      <c r="J838" s="207"/>
      <c r="K838" s="207"/>
      <c r="L838" s="207"/>
      <c r="M838" s="207"/>
      <c r="N838" s="207"/>
      <c r="O838" s="207"/>
      <c r="P838" s="207"/>
      <c r="Q838" s="207"/>
      <c r="R838" s="207"/>
      <c r="S838" s="207"/>
      <c r="T838" s="207"/>
      <c r="U838" s="207"/>
      <c r="V838" s="207"/>
      <c r="W838" s="207"/>
      <c r="X838" s="207"/>
      <c r="Y838" s="207"/>
      <c r="Z838" s="207"/>
      <c r="AA838" s="207"/>
      <c r="AB838" s="207"/>
      <c r="AC838" s="207"/>
      <c r="AD838" s="207"/>
      <c r="AE838" s="207"/>
      <c r="AF838" s="207"/>
      <c r="AG838" s="207"/>
      <c r="AH838" s="207"/>
      <c r="AI838" s="207"/>
      <c r="AJ838" s="207"/>
      <c r="AK838" s="207"/>
      <c r="AL838" s="207"/>
      <c r="AM838" s="207"/>
      <c r="AN838" s="207"/>
      <c r="AO838" s="207"/>
      <c r="AP838" s="207"/>
      <c r="AQ838" s="207"/>
      <c r="AR838" s="207"/>
      <c r="AS838" s="207"/>
      <c r="AT838" s="207"/>
      <c r="AU838" s="207"/>
      <c r="AV838" s="207"/>
      <c r="AW838" s="207"/>
      <c r="AX838" s="207"/>
      <c r="AY838" s="207"/>
      <c r="AZ838" s="207"/>
      <c r="BA838" s="207"/>
    </row>
    <row r="839" ht="18.75" hidden="1" customHeight="1">
      <c r="A839" s="207"/>
      <c r="B839" s="207"/>
      <c r="C839" s="207"/>
      <c r="D839" s="207"/>
      <c r="E839" s="207"/>
      <c r="F839" s="207"/>
      <c r="G839" s="207"/>
      <c r="H839" s="207"/>
      <c r="I839" s="207"/>
      <c r="J839" s="207"/>
      <c r="K839" s="207"/>
      <c r="L839" s="207"/>
      <c r="M839" s="207"/>
      <c r="N839" s="207"/>
      <c r="O839" s="207"/>
      <c r="P839" s="207"/>
      <c r="Q839" s="207"/>
      <c r="R839" s="207"/>
      <c r="S839" s="207"/>
      <c r="T839" s="207"/>
      <c r="U839" s="207"/>
      <c r="V839" s="207"/>
      <c r="W839" s="207"/>
      <c r="X839" s="207"/>
      <c r="Y839" s="207"/>
      <c r="Z839" s="207"/>
      <c r="AA839" s="207"/>
      <c r="AB839" s="207"/>
      <c r="AC839" s="207"/>
      <c r="AD839" s="207"/>
      <c r="AE839" s="207"/>
      <c r="AF839" s="207"/>
      <c r="AG839" s="207"/>
      <c r="AH839" s="207"/>
      <c r="AI839" s="207"/>
      <c r="AJ839" s="207"/>
      <c r="AK839" s="207"/>
      <c r="AL839" s="207"/>
      <c r="AM839" s="207"/>
      <c r="AN839" s="207"/>
      <c r="AO839" s="207"/>
      <c r="AP839" s="207"/>
      <c r="AQ839" s="207"/>
      <c r="AR839" s="207"/>
      <c r="AS839" s="207"/>
      <c r="AT839" s="207"/>
      <c r="AU839" s="207"/>
      <c r="AV839" s="207"/>
      <c r="AW839" s="207"/>
      <c r="AX839" s="207"/>
      <c r="AY839" s="207"/>
      <c r="AZ839" s="207"/>
      <c r="BA839" s="207"/>
    </row>
    <row r="840" ht="18.75" hidden="1" customHeight="1">
      <c r="A840" s="207"/>
      <c r="B840" s="207"/>
      <c r="C840" s="207"/>
      <c r="D840" s="207"/>
      <c r="E840" s="207"/>
      <c r="F840" s="207"/>
      <c r="G840" s="207"/>
      <c r="H840" s="207"/>
      <c r="I840" s="207"/>
      <c r="J840" s="207"/>
      <c r="K840" s="207"/>
      <c r="L840" s="207"/>
      <c r="M840" s="207"/>
      <c r="N840" s="207"/>
      <c r="O840" s="207"/>
      <c r="P840" s="207"/>
      <c r="Q840" s="207"/>
      <c r="R840" s="207"/>
      <c r="S840" s="207"/>
      <c r="T840" s="207"/>
      <c r="U840" s="207"/>
      <c r="V840" s="207"/>
      <c r="W840" s="207"/>
      <c r="X840" s="207"/>
      <c r="Y840" s="207"/>
      <c r="Z840" s="207"/>
      <c r="AA840" s="207"/>
      <c r="AB840" s="207"/>
      <c r="AC840" s="207"/>
      <c r="AD840" s="207"/>
      <c r="AE840" s="207"/>
      <c r="AF840" s="207"/>
      <c r="AG840" s="207"/>
      <c r="AH840" s="207"/>
      <c r="AI840" s="207"/>
      <c r="AJ840" s="207"/>
      <c r="AK840" s="207"/>
      <c r="AL840" s="207"/>
      <c r="AM840" s="207"/>
      <c r="AN840" s="207"/>
      <c r="AO840" s="207"/>
      <c r="AP840" s="207"/>
      <c r="AQ840" s="207"/>
      <c r="AR840" s="207"/>
      <c r="AS840" s="207"/>
      <c r="AT840" s="207"/>
      <c r="AU840" s="207"/>
      <c r="AV840" s="207"/>
      <c r="AW840" s="207"/>
      <c r="AX840" s="207"/>
      <c r="AY840" s="207"/>
      <c r="AZ840" s="207"/>
      <c r="BA840" s="207"/>
    </row>
    <row r="841" ht="18.75" hidden="1" customHeight="1">
      <c r="A841" s="207"/>
      <c r="B841" s="207"/>
      <c r="C841" s="207"/>
      <c r="D841" s="207"/>
      <c r="E841" s="207"/>
      <c r="F841" s="207"/>
      <c r="G841" s="207"/>
      <c r="H841" s="207"/>
      <c r="I841" s="207"/>
      <c r="J841" s="207"/>
      <c r="K841" s="207"/>
      <c r="L841" s="207"/>
      <c r="M841" s="207"/>
      <c r="N841" s="207"/>
      <c r="O841" s="207"/>
      <c r="P841" s="207"/>
      <c r="Q841" s="207"/>
      <c r="R841" s="207"/>
      <c r="S841" s="207"/>
      <c r="T841" s="207"/>
      <c r="U841" s="207"/>
      <c r="V841" s="207"/>
      <c r="W841" s="207"/>
      <c r="X841" s="207"/>
      <c r="Y841" s="207"/>
      <c r="Z841" s="207"/>
      <c r="AA841" s="207"/>
      <c r="AB841" s="207"/>
      <c r="AC841" s="207"/>
      <c r="AD841" s="207"/>
      <c r="AE841" s="207"/>
      <c r="AF841" s="207"/>
      <c r="AG841" s="207"/>
      <c r="AH841" s="207"/>
      <c r="AI841" s="207"/>
      <c r="AJ841" s="207"/>
      <c r="AK841" s="207"/>
      <c r="AL841" s="207"/>
      <c r="AM841" s="207"/>
      <c r="AN841" s="207"/>
      <c r="AO841" s="207"/>
      <c r="AP841" s="207"/>
      <c r="AQ841" s="207"/>
      <c r="AR841" s="207"/>
      <c r="AS841" s="207"/>
      <c r="AT841" s="207"/>
      <c r="AU841" s="207"/>
      <c r="AV841" s="207"/>
      <c r="AW841" s="207"/>
      <c r="AX841" s="207"/>
      <c r="AY841" s="207"/>
      <c r="AZ841" s="207"/>
      <c r="BA841" s="207"/>
    </row>
    <row r="842" ht="18.75" hidden="1" customHeight="1">
      <c r="A842" s="207"/>
      <c r="B842" s="207"/>
      <c r="C842" s="207"/>
      <c r="D842" s="207"/>
      <c r="E842" s="207"/>
      <c r="F842" s="207"/>
      <c r="G842" s="207"/>
      <c r="H842" s="207"/>
      <c r="I842" s="207"/>
      <c r="J842" s="207"/>
      <c r="K842" s="207"/>
      <c r="L842" s="207"/>
      <c r="M842" s="207"/>
      <c r="N842" s="207"/>
      <c r="O842" s="207"/>
      <c r="P842" s="207"/>
      <c r="Q842" s="207"/>
      <c r="R842" s="207"/>
      <c r="S842" s="207"/>
      <c r="T842" s="207"/>
      <c r="U842" s="207"/>
      <c r="V842" s="207"/>
      <c r="W842" s="207"/>
      <c r="X842" s="207"/>
      <c r="Y842" s="207"/>
      <c r="Z842" s="207"/>
      <c r="AA842" s="207"/>
      <c r="AB842" s="207"/>
      <c r="AC842" s="207"/>
      <c r="AD842" s="207"/>
      <c r="AE842" s="207"/>
      <c r="AF842" s="207"/>
      <c r="AG842" s="207"/>
      <c r="AH842" s="207"/>
      <c r="AI842" s="207"/>
      <c r="AJ842" s="207"/>
      <c r="AK842" s="207"/>
      <c r="AL842" s="207"/>
      <c r="AM842" s="207"/>
      <c r="AN842" s="207"/>
      <c r="AO842" s="207"/>
      <c r="AP842" s="207"/>
      <c r="AQ842" s="207"/>
      <c r="AR842" s="207"/>
      <c r="AS842" s="207"/>
      <c r="AT842" s="207"/>
      <c r="AU842" s="207"/>
      <c r="AV842" s="207"/>
      <c r="AW842" s="207"/>
      <c r="AX842" s="207"/>
      <c r="AY842" s="207"/>
      <c r="AZ842" s="207"/>
      <c r="BA842" s="207"/>
    </row>
    <row r="843" ht="18.75" hidden="1" customHeight="1">
      <c r="A843" s="207"/>
      <c r="B843" s="207"/>
      <c r="C843" s="207"/>
      <c r="D843" s="207"/>
      <c r="E843" s="207"/>
      <c r="F843" s="207"/>
      <c r="G843" s="207"/>
      <c r="H843" s="207"/>
      <c r="I843" s="207"/>
      <c r="J843" s="207"/>
      <c r="K843" s="207"/>
      <c r="L843" s="207"/>
      <c r="M843" s="207"/>
      <c r="N843" s="207"/>
      <c r="O843" s="207"/>
      <c r="P843" s="207"/>
      <c r="Q843" s="207"/>
      <c r="R843" s="207"/>
      <c r="S843" s="207"/>
      <c r="T843" s="207"/>
      <c r="U843" s="207"/>
      <c r="V843" s="207"/>
      <c r="W843" s="207"/>
      <c r="X843" s="207"/>
      <c r="Y843" s="207"/>
      <c r="Z843" s="207"/>
      <c r="AA843" s="207"/>
      <c r="AB843" s="207"/>
      <c r="AC843" s="207"/>
      <c r="AD843" s="207"/>
      <c r="AE843" s="207"/>
      <c r="AF843" s="207"/>
      <c r="AG843" s="207"/>
      <c r="AH843" s="207"/>
      <c r="AI843" s="207"/>
      <c r="AJ843" s="207"/>
      <c r="AK843" s="207"/>
      <c r="AL843" s="207"/>
      <c r="AM843" s="207"/>
      <c r="AN843" s="207"/>
      <c r="AO843" s="207"/>
      <c r="AP843" s="207"/>
      <c r="AQ843" s="207"/>
      <c r="AR843" s="207"/>
      <c r="AS843" s="207"/>
      <c r="AT843" s="207"/>
      <c r="AU843" s="207"/>
      <c r="AV843" s="207"/>
      <c r="AW843" s="207"/>
      <c r="AX843" s="207"/>
      <c r="AY843" s="207"/>
      <c r="AZ843" s="207"/>
      <c r="BA843" s="207"/>
    </row>
    <row r="844" ht="18.75" hidden="1" customHeight="1">
      <c r="A844" s="207"/>
      <c r="B844" s="207"/>
      <c r="C844" s="207"/>
      <c r="D844" s="207"/>
      <c r="E844" s="207"/>
      <c r="F844" s="207"/>
      <c r="G844" s="207"/>
      <c r="H844" s="207"/>
      <c r="I844" s="207"/>
      <c r="J844" s="207"/>
      <c r="K844" s="207"/>
      <c r="L844" s="207"/>
      <c r="M844" s="207"/>
      <c r="N844" s="207"/>
      <c r="O844" s="207"/>
      <c r="P844" s="207"/>
      <c r="Q844" s="207"/>
      <c r="R844" s="207"/>
      <c r="S844" s="207"/>
      <c r="T844" s="207"/>
      <c r="U844" s="207"/>
      <c r="V844" s="207"/>
      <c r="W844" s="207"/>
      <c r="X844" s="207"/>
      <c r="Y844" s="207"/>
      <c r="Z844" s="207"/>
      <c r="AA844" s="207"/>
      <c r="AB844" s="207"/>
      <c r="AC844" s="207"/>
      <c r="AD844" s="207"/>
      <c r="AE844" s="207"/>
      <c r="AF844" s="207"/>
      <c r="AG844" s="207"/>
      <c r="AH844" s="207"/>
      <c r="AI844" s="207"/>
      <c r="AJ844" s="207"/>
      <c r="AK844" s="207"/>
      <c r="AL844" s="207"/>
      <c r="AM844" s="207"/>
      <c r="AN844" s="207"/>
      <c r="AO844" s="207"/>
      <c r="AP844" s="207"/>
      <c r="AQ844" s="207"/>
      <c r="AR844" s="207"/>
      <c r="AS844" s="207"/>
      <c r="AT844" s="207"/>
      <c r="AU844" s="207"/>
      <c r="AV844" s="207"/>
      <c r="AW844" s="207"/>
      <c r="AX844" s="207"/>
      <c r="AY844" s="207"/>
      <c r="AZ844" s="207"/>
      <c r="BA844" s="207"/>
    </row>
    <row r="845" ht="18.75" hidden="1" customHeight="1">
      <c r="A845" s="207"/>
      <c r="B845" s="207"/>
      <c r="C845" s="207"/>
      <c r="D845" s="207"/>
      <c r="E845" s="207"/>
      <c r="F845" s="207"/>
      <c r="G845" s="207"/>
      <c r="H845" s="207"/>
      <c r="I845" s="207"/>
      <c r="J845" s="207"/>
      <c r="K845" s="207"/>
      <c r="L845" s="207"/>
      <c r="M845" s="207"/>
      <c r="N845" s="207"/>
      <c r="O845" s="207"/>
      <c r="P845" s="207"/>
      <c r="Q845" s="207"/>
      <c r="R845" s="207"/>
      <c r="S845" s="207"/>
      <c r="T845" s="207"/>
      <c r="U845" s="207"/>
      <c r="V845" s="207"/>
      <c r="W845" s="207"/>
      <c r="X845" s="207"/>
      <c r="Y845" s="207"/>
      <c r="Z845" s="207"/>
      <c r="AA845" s="207"/>
      <c r="AB845" s="207"/>
      <c r="AC845" s="207"/>
      <c r="AD845" s="207"/>
      <c r="AE845" s="207"/>
      <c r="AF845" s="207"/>
      <c r="AG845" s="207"/>
      <c r="AH845" s="207"/>
      <c r="AI845" s="207"/>
      <c r="AJ845" s="207"/>
      <c r="AK845" s="207"/>
      <c r="AL845" s="207"/>
      <c r="AM845" s="207"/>
      <c r="AN845" s="207"/>
      <c r="AO845" s="207"/>
      <c r="AP845" s="207"/>
      <c r="AQ845" s="207"/>
      <c r="AR845" s="207"/>
      <c r="AS845" s="207"/>
      <c r="AT845" s="207"/>
      <c r="AU845" s="207"/>
      <c r="AV845" s="207"/>
      <c r="AW845" s="207"/>
      <c r="AX845" s="207"/>
      <c r="AY845" s="207"/>
      <c r="AZ845" s="207"/>
      <c r="BA845" s="207"/>
    </row>
    <row r="846" ht="18.75" hidden="1" customHeight="1">
      <c r="A846" s="207"/>
      <c r="B846" s="207"/>
      <c r="C846" s="207"/>
      <c r="D846" s="207"/>
      <c r="E846" s="207"/>
      <c r="F846" s="207"/>
      <c r="G846" s="207"/>
      <c r="H846" s="207"/>
      <c r="I846" s="207"/>
      <c r="J846" s="207"/>
      <c r="K846" s="207"/>
      <c r="L846" s="207"/>
      <c r="M846" s="207"/>
      <c r="N846" s="207"/>
      <c r="O846" s="207"/>
      <c r="P846" s="207"/>
      <c r="Q846" s="207"/>
      <c r="R846" s="207"/>
      <c r="S846" s="207"/>
      <c r="T846" s="207"/>
      <c r="U846" s="207"/>
      <c r="V846" s="207"/>
      <c r="W846" s="207"/>
      <c r="X846" s="207"/>
      <c r="Y846" s="207"/>
      <c r="Z846" s="207"/>
      <c r="AA846" s="207"/>
      <c r="AB846" s="207"/>
      <c r="AC846" s="207"/>
      <c r="AD846" s="207"/>
      <c r="AE846" s="207"/>
      <c r="AF846" s="207"/>
      <c r="AG846" s="207"/>
      <c r="AH846" s="207"/>
      <c r="AI846" s="207"/>
      <c r="AJ846" s="207"/>
      <c r="AK846" s="207"/>
      <c r="AL846" s="207"/>
      <c r="AM846" s="207"/>
      <c r="AN846" s="207"/>
      <c r="AO846" s="207"/>
      <c r="AP846" s="207"/>
      <c r="AQ846" s="207"/>
      <c r="AR846" s="207"/>
      <c r="AS846" s="207"/>
      <c r="AT846" s="207"/>
      <c r="AU846" s="207"/>
      <c r="AV846" s="207"/>
      <c r="AW846" s="207"/>
      <c r="AX846" s="207"/>
      <c r="AY846" s="207"/>
      <c r="AZ846" s="207"/>
      <c r="BA846" s="207"/>
    </row>
    <row r="847" ht="18.75" hidden="1" customHeight="1">
      <c r="A847" s="207"/>
      <c r="B847" s="207"/>
      <c r="C847" s="207"/>
      <c r="D847" s="207"/>
      <c r="E847" s="207"/>
      <c r="F847" s="207"/>
      <c r="G847" s="207"/>
      <c r="H847" s="207"/>
      <c r="I847" s="207"/>
      <c r="J847" s="207"/>
      <c r="K847" s="207"/>
      <c r="L847" s="207"/>
      <c r="M847" s="207"/>
      <c r="N847" s="207"/>
      <c r="O847" s="207"/>
      <c r="P847" s="207"/>
      <c r="Q847" s="207"/>
      <c r="R847" s="207"/>
      <c r="S847" s="207"/>
      <c r="T847" s="207"/>
      <c r="U847" s="207"/>
      <c r="V847" s="207"/>
      <c r="W847" s="207"/>
      <c r="X847" s="207"/>
      <c r="Y847" s="207"/>
      <c r="Z847" s="207"/>
      <c r="AA847" s="207"/>
      <c r="AB847" s="207"/>
      <c r="AC847" s="207"/>
      <c r="AD847" s="207"/>
      <c r="AE847" s="207"/>
      <c r="AF847" s="207"/>
      <c r="AG847" s="207"/>
      <c r="AH847" s="207"/>
      <c r="AI847" s="207"/>
      <c r="AJ847" s="207"/>
      <c r="AK847" s="207"/>
      <c r="AL847" s="207"/>
      <c r="AM847" s="207"/>
      <c r="AN847" s="207"/>
      <c r="AO847" s="207"/>
      <c r="AP847" s="207"/>
      <c r="AQ847" s="207"/>
      <c r="AR847" s="207"/>
      <c r="AS847" s="207"/>
      <c r="AT847" s="207"/>
      <c r="AU847" s="207"/>
      <c r="AV847" s="207"/>
      <c r="AW847" s="207"/>
      <c r="AX847" s="207"/>
      <c r="AY847" s="207"/>
      <c r="AZ847" s="207"/>
      <c r="BA847" s="207"/>
    </row>
    <row r="848" ht="18.75" hidden="1" customHeight="1">
      <c r="A848" s="207"/>
      <c r="B848" s="207"/>
      <c r="C848" s="207"/>
      <c r="D848" s="207"/>
      <c r="E848" s="207"/>
      <c r="F848" s="207"/>
      <c r="G848" s="207"/>
      <c r="H848" s="207"/>
      <c r="I848" s="207"/>
      <c r="J848" s="207"/>
      <c r="K848" s="207"/>
      <c r="L848" s="207"/>
      <c r="M848" s="207"/>
      <c r="N848" s="207"/>
      <c r="O848" s="207"/>
      <c r="P848" s="207"/>
      <c r="Q848" s="207"/>
      <c r="R848" s="207"/>
      <c r="S848" s="207"/>
      <c r="T848" s="207"/>
      <c r="U848" s="207"/>
      <c r="V848" s="207"/>
      <c r="W848" s="207"/>
      <c r="X848" s="207"/>
      <c r="Y848" s="207"/>
      <c r="Z848" s="207"/>
      <c r="AA848" s="207"/>
      <c r="AB848" s="207"/>
      <c r="AC848" s="207"/>
      <c r="AD848" s="207"/>
      <c r="AE848" s="207"/>
      <c r="AF848" s="207"/>
      <c r="AG848" s="207"/>
      <c r="AH848" s="207"/>
      <c r="AI848" s="207"/>
      <c r="AJ848" s="207"/>
      <c r="AK848" s="207"/>
      <c r="AL848" s="207"/>
      <c r="AM848" s="207"/>
      <c r="AN848" s="207"/>
      <c r="AO848" s="207"/>
      <c r="AP848" s="207"/>
      <c r="AQ848" s="207"/>
      <c r="AR848" s="207"/>
      <c r="AS848" s="207"/>
      <c r="AT848" s="207"/>
      <c r="AU848" s="207"/>
      <c r="AV848" s="207"/>
      <c r="AW848" s="207"/>
      <c r="AX848" s="207"/>
      <c r="AY848" s="207"/>
      <c r="AZ848" s="207"/>
      <c r="BA848" s="207"/>
    </row>
    <row r="849" ht="18.75" hidden="1" customHeight="1">
      <c r="A849" s="207"/>
      <c r="B849" s="207"/>
      <c r="C849" s="207"/>
      <c r="D849" s="207"/>
      <c r="E849" s="207"/>
      <c r="F849" s="207"/>
      <c r="G849" s="207"/>
      <c r="H849" s="207"/>
      <c r="I849" s="207"/>
      <c r="J849" s="207"/>
      <c r="K849" s="207"/>
      <c r="L849" s="207"/>
      <c r="M849" s="207"/>
      <c r="N849" s="207"/>
      <c r="O849" s="207"/>
      <c r="P849" s="207"/>
      <c r="Q849" s="207"/>
      <c r="R849" s="207"/>
      <c r="S849" s="207"/>
      <c r="T849" s="207"/>
      <c r="U849" s="207"/>
      <c r="V849" s="207"/>
      <c r="W849" s="207"/>
      <c r="X849" s="207"/>
      <c r="Y849" s="207"/>
      <c r="Z849" s="207"/>
      <c r="AA849" s="207"/>
      <c r="AB849" s="207"/>
      <c r="AC849" s="207"/>
      <c r="AD849" s="207"/>
      <c r="AE849" s="207"/>
      <c r="AF849" s="207"/>
      <c r="AG849" s="207"/>
      <c r="AH849" s="207"/>
      <c r="AI849" s="207"/>
      <c r="AJ849" s="207"/>
      <c r="AK849" s="207"/>
      <c r="AL849" s="207"/>
      <c r="AM849" s="207"/>
      <c r="AN849" s="207"/>
      <c r="AO849" s="207"/>
      <c r="AP849" s="207"/>
      <c r="AQ849" s="207"/>
      <c r="AR849" s="207"/>
      <c r="AS849" s="207"/>
      <c r="AT849" s="207"/>
      <c r="AU849" s="207"/>
      <c r="AV849" s="207"/>
      <c r="AW849" s="207"/>
      <c r="AX849" s="207"/>
      <c r="AY849" s="207"/>
      <c r="AZ849" s="207"/>
      <c r="BA849" s="207"/>
    </row>
    <row r="850" ht="18.75" hidden="1" customHeight="1">
      <c r="A850" s="207"/>
      <c r="B850" s="207"/>
      <c r="C850" s="207"/>
      <c r="D850" s="207"/>
      <c r="E850" s="207"/>
      <c r="F850" s="207"/>
      <c r="G850" s="207"/>
      <c r="H850" s="207"/>
      <c r="I850" s="207"/>
      <c r="J850" s="207"/>
      <c r="K850" s="207"/>
      <c r="L850" s="207"/>
      <c r="M850" s="207"/>
      <c r="N850" s="207"/>
      <c r="O850" s="207"/>
      <c r="P850" s="207"/>
      <c r="Q850" s="207"/>
      <c r="R850" s="207"/>
      <c r="S850" s="207"/>
      <c r="T850" s="207"/>
      <c r="U850" s="207"/>
      <c r="V850" s="207"/>
      <c r="W850" s="207"/>
      <c r="X850" s="207"/>
      <c r="Y850" s="207"/>
      <c r="Z850" s="207"/>
      <c r="AA850" s="207"/>
      <c r="AB850" s="207"/>
      <c r="AC850" s="207"/>
      <c r="AD850" s="207"/>
      <c r="AE850" s="207"/>
      <c r="AF850" s="207"/>
      <c r="AG850" s="207"/>
      <c r="AH850" s="207"/>
      <c r="AI850" s="207"/>
      <c r="AJ850" s="207"/>
      <c r="AK850" s="207"/>
      <c r="AL850" s="207"/>
      <c r="AM850" s="207"/>
      <c r="AN850" s="207"/>
      <c r="AO850" s="207"/>
      <c r="AP850" s="207"/>
      <c r="AQ850" s="207"/>
      <c r="AR850" s="207"/>
      <c r="AS850" s="207"/>
      <c r="AT850" s="207"/>
      <c r="AU850" s="207"/>
      <c r="AV850" s="207"/>
      <c r="AW850" s="207"/>
      <c r="AX850" s="207"/>
      <c r="AY850" s="207"/>
      <c r="AZ850" s="207"/>
      <c r="BA850" s="207"/>
    </row>
    <row r="851" ht="18.75" hidden="1" customHeight="1">
      <c r="A851" s="207"/>
      <c r="B851" s="207"/>
      <c r="C851" s="207"/>
      <c r="D851" s="207"/>
      <c r="E851" s="207"/>
      <c r="F851" s="207"/>
      <c r="G851" s="207"/>
      <c r="H851" s="207"/>
      <c r="I851" s="207"/>
      <c r="J851" s="207"/>
      <c r="K851" s="207"/>
      <c r="L851" s="207"/>
      <c r="M851" s="207"/>
      <c r="N851" s="207"/>
      <c r="O851" s="207"/>
      <c r="P851" s="207"/>
      <c r="Q851" s="207"/>
      <c r="R851" s="207"/>
      <c r="S851" s="207"/>
      <c r="T851" s="207"/>
      <c r="U851" s="207"/>
      <c r="V851" s="207"/>
      <c r="W851" s="207"/>
      <c r="X851" s="207"/>
      <c r="Y851" s="207"/>
      <c r="Z851" s="207"/>
      <c r="AA851" s="207"/>
      <c r="AB851" s="207"/>
      <c r="AC851" s="207"/>
      <c r="AD851" s="207"/>
      <c r="AE851" s="207"/>
      <c r="AF851" s="207"/>
      <c r="AG851" s="207"/>
      <c r="AH851" s="207"/>
      <c r="AI851" s="207"/>
      <c r="AJ851" s="207"/>
      <c r="AK851" s="207"/>
      <c r="AL851" s="207"/>
      <c r="AM851" s="207"/>
      <c r="AN851" s="207"/>
      <c r="AO851" s="207"/>
      <c r="AP851" s="207"/>
      <c r="AQ851" s="207"/>
      <c r="AR851" s="207"/>
      <c r="AS851" s="207"/>
      <c r="AT851" s="207"/>
      <c r="AU851" s="207"/>
      <c r="AV851" s="207"/>
      <c r="AW851" s="207"/>
      <c r="AX851" s="207"/>
      <c r="AY851" s="207"/>
      <c r="AZ851" s="207"/>
      <c r="BA851" s="207"/>
    </row>
    <row r="852" ht="18.75" hidden="1" customHeight="1">
      <c r="A852" s="207"/>
      <c r="B852" s="207"/>
      <c r="C852" s="207"/>
      <c r="D852" s="207"/>
      <c r="E852" s="207"/>
      <c r="F852" s="207"/>
      <c r="G852" s="207"/>
      <c r="H852" s="207"/>
      <c r="I852" s="207"/>
      <c r="J852" s="207"/>
      <c r="K852" s="207"/>
      <c r="L852" s="207"/>
      <c r="M852" s="207"/>
      <c r="N852" s="207"/>
      <c r="O852" s="207"/>
      <c r="P852" s="207"/>
      <c r="Q852" s="207"/>
      <c r="R852" s="207"/>
      <c r="S852" s="207"/>
      <c r="T852" s="207"/>
      <c r="U852" s="207"/>
      <c r="V852" s="207"/>
      <c r="W852" s="207"/>
      <c r="X852" s="207"/>
      <c r="Y852" s="207"/>
      <c r="Z852" s="207"/>
      <c r="AA852" s="207"/>
      <c r="AB852" s="207"/>
      <c r="AC852" s="207"/>
      <c r="AD852" s="207"/>
      <c r="AE852" s="207"/>
      <c r="AF852" s="207"/>
      <c r="AG852" s="207"/>
      <c r="AH852" s="207"/>
      <c r="AI852" s="207"/>
      <c r="AJ852" s="207"/>
      <c r="AK852" s="207"/>
      <c r="AL852" s="207"/>
      <c r="AM852" s="207"/>
      <c r="AN852" s="207"/>
      <c r="AO852" s="207"/>
      <c r="AP852" s="207"/>
      <c r="AQ852" s="207"/>
      <c r="AR852" s="207"/>
      <c r="AS852" s="207"/>
      <c r="AT852" s="207"/>
      <c r="AU852" s="207"/>
      <c r="AV852" s="207"/>
      <c r="AW852" s="207"/>
      <c r="AX852" s="207"/>
      <c r="AY852" s="207"/>
      <c r="AZ852" s="207"/>
      <c r="BA852" s="207"/>
    </row>
    <row r="853" ht="18.75" hidden="1" customHeight="1">
      <c r="A853" s="207"/>
      <c r="B853" s="207"/>
      <c r="C853" s="207"/>
      <c r="D853" s="207"/>
      <c r="E853" s="207"/>
      <c r="F853" s="207"/>
      <c r="G853" s="207"/>
      <c r="H853" s="207"/>
      <c r="I853" s="207"/>
      <c r="J853" s="207"/>
      <c r="K853" s="207"/>
      <c r="L853" s="207"/>
      <c r="M853" s="207"/>
      <c r="N853" s="207"/>
      <c r="O853" s="207"/>
      <c r="P853" s="207"/>
      <c r="Q853" s="207"/>
      <c r="R853" s="207"/>
      <c r="S853" s="207"/>
      <c r="T853" s="207"/>
      <c r="U853" s="207"/>
      <c r="V853" s="207"/>
      <c r="W853" s="207"/>
      <c r="X853" s="207"/>
      <c r="Y853" s="207"/>
      <c r="Z853" s="207"/>
      <c r="AA853" s="207"/>
      <c r="AB853" s="207"/>
      <c r="AC853" s="207"/>
      <c r="AD853" s="207"/>
      <c r="AE853" s="207"/>
      <c r="AF853" s="207"/>
      <c r="AG853" s="207"/>
      <c r="AH853" s="207"/>
      <c r="AI853" s="207"/>
      <c r="AJ853" s="207"/>
      <c r="AK853" s="207"/>
      <c r="AL853" s="207"/>
      <c r="AM853" s="207"/>
      <c r="AN853" s="207"/>
      <c r="AO853" s="207"/>
      <c r="AP853" s="207"/>
      <c r="AQ853" s="207"/>
      <c r="AR853" s="207"/>
      <c r="AS853" s="207"/>
      <c r="AT853" s="207"/>
      <c r="AU853" s="207"/>
      <c r="AV853" s="207"/>
      <c r="AW853" s="207"/>
      <c r="AX853" s="207"/>
      <c r="AY853" s="207"/>
      <c r="AZ853" s="207"/>
      <c r="BA853" s="207"/>
    </row>
    <row r="854" ht="18.75" hidden="1" customHeight="1">
      <c r="A854" s="207"/>
      <c r="B854" s="207"/>
      <c r="C854" s="207"/>
      <c r="D854" s="207"/>
      <c r="E854" s="207"/>
      <c r="F854" s="207"/>
      <c r="G854" s="207"/>
      <c r="H854" s="207"/>
      <c r="I854" s="207"/>
      <c r="J854" s="207"/>
      <c r="K854" s="207"/>
      <c r="L854" s="207"/>
      <c r="M854" s="207"/>
      <c r="N854" s="207"/>
      <c r="O854" s="207"/>
      <c r="P854" s="207"/>
      <c r="Q854" s="207"/>
      <c r="R854" s="207"/>
      <c r="S854" s="207"/>
      <c r="T854" s="207"/>
      <c r="U854" s="207"/>
      <c r="V854" s="207"/>
      <c r="W854" s="207"/>
      <c r="X854" s="207"/>
      <c r="Y854" s="207"/>
      <c r="Z854" s="207"/>
      <c r="AA854" s="207"/>
      <c r="AB854" s="207"/>
      <c r="AC854" s="207"/>
      <c r="AD854" s="207"/>
      <c r="AE854" s="207"/>
      <c r="AF854" s="207"/>
      <c r="AG854" s="207"/>
      <c r="AH854" s="207"/>
      <c r="AI854" s="207"/>
      <c r="AJ854" s="207"/>
      <c r="AK854" s="207"/>
      <c r="AL854" s="207"/>
      <c r="AM854" s="207"/>
      <c r="AN854" s="207"/>
      <c r="AO854" s="207"/>
      <c r="AP854" s="207"/>
      <c r="AQ854" s="207"/>
      <c r="AR854" s="207"/>
      <c r="AS854" s="207"/>
      <c r="AT854" s="207"/>
      <c r="AU854" s="207"/>
      <c r="AV854" s="207"/>
      <c r="AW854" s="207"/>
      <c r="AX854" s="207"/>
      <c r="AY854" s="207"/>
      <c r="AZ854" s="207"/>
      <c r="BA854" s="207"/>
    </row>
    <row r="855" ht="18.75" hidden="1" customHeight="1">
      <c r="A855" s="207"/>
      <c r="B855" s="207"/>
      <c r="C855" s="207"/>
      <c r="D855" s="207"/>
      <c r="E855" s="207"/>
      <c r="F855" s="207"/>
      <c r="G855" s="207"/>
      <c r="H855" s="207"/>
      <c r="I855" s="207"/>
      <c r="J855" s="207"/>
      <c r="K855" s="207"/>
      <c r="L855" s="207"/>
      <c r="M855" s="207"/>
      <c r="N855" s="207"/>
      <c r="O855" s="207"/>
      <c r="P855" s="207"/>
      <c r="Q855" s="207"/>
      <c r="R855" s="207"/>
      <c r="S855" s="207"/>
      <c r="T855" s="207"/>
      <c r="U855" s="207"/>
      <c r="V855" s="207"/>
      <c r="W855" s="207"/>
      <c r="X855" s="207"/>
      <c r="Y855" s="207"/>
      <c r="Z855" s="207"/>
      <c r="AA855" s="207"/>
      <c r="AB855" s="207"/>
      <c r="AC855" s="207"/>
      <c r="AD855" s="207"/>
      <c r="AE855" s="207"/>
      <c r="AF855" s="207"/>
      <c r="AG855" s="207"/>
      <c r="AH855" s="207"/>
      <c r="AI855" s="207"/>
      <c r="AJ855" s="207"/>
      <c r="AK855" s="207"/>
      <c r="AL855" s="207"/>
      <c r="AM855" s="207"/>
      <c r="AN855" s="207"/>
      <c r="AO855" s="207"/>
      <c r="AP855" s="207"/>
      <c r="AQ855" s="207"/>
      <c r="AR855" s="207"/>
      <c r="AS855" s="207"/>
      <c r="AT855" s="207"/>
      <c r="AU855" s="207"/>
      <c r="AV855" s="207"/>
      <c r="AW855" s="207"/>
      <c r="AX855" s="207"/>
      <c r="AY855" s="207"/>
      <c r="AZ855" s="207"/>
      <c r="BA855" s="207"/>
    </row>
    <row r="856" ht="18.75" hidden="1" customHeight="1">
      <c r="A856" s="207"/>
      <c r="B856" s="207"/>
      <c r="C856" s="207"/>
      <c r="D856" s="207"/>
      <c r="E856" s="207"/>
      <c r="F856" s="207"/>
      <c r="G856" s="207"/>
      <c r="H856" s="207"/>
      <c r="I856" s="207"/>
      <c r="J856" s="207"/>
      <c r="K856" s="207"/>
      <c r="L856" s="207"/>
      <c r="M856" s="207"/>
      <c r="N856" s="207"/>
      <c r="O856" s="207"/>
      <c r="P856" s="207"/>
      <c r="Q856" s="207"/>
      <c r="R856" s="207"/>
      <c r="S856" s="207"/>
      <c r="T856" s="207"/>
      <c r="U856" s="207"/>
      <c r="V856" s="207"/>
      <c r="W856" s="207"/>
      <c r="X856" s="207"/>
      <c r="Y856" s="207"/>
      <c r="Z856" s="207"/>
      <c r="AA856" s="207"/>
      <c r="AB856" s="207"/>
      <c r="AC856" s="207"/>
      <c r="AD856" s="207"/>
      <c r="AE856" s="207"/>
      <c r="AF856" s="207"/>
      <c r="AG856" s="207"/>
      <c r="AH856" s="207"/>
      <c r="AI856" s="207"/>
      <c r="AJ856" s="207"/>
      <c r="AK856" s="207"/>
      <c r="AL856" s="207"/>
      <c r="AM856" s="207"/>
      <c r="AN856" s="207"/>
      <c r="AO856" s="207"/>
      <c r="AP856" s="207"/>
      <c r="AQ856" s="207"/>
      <c r="AR856" s="207"/>
      <c r="AS856" s="207"/>
      <c r="AT856" s="207"/>
      <c r="AU856" s="207"/>
      <c r="AV856" s="207"/>
      <c r="AW856" s="207"/>
      <c r="AX856" s="207"/>
      <c r="AY856" s="207"/>
      <c r="AZ856" s="207"/>
      <c r="BA856" s="207"/>
    </row>
    <row r="857" ht="18.75" hidden="1" customHeight="1">
      <c r="A857" s="207"/>
      <c r="B857" s="207"/>
      <c r="C857" s="207"/>
      <c r="D857" s="207"/>
      <c r="E857" s="207"/>
      <c r="F857" s="207"/>
      <c r="G857" s="207"/>
      <c r="H857" s="207"/>
      <c r="I857" s="207"/>
      <c r="J857" s="207"/>
      <c r="K857" s="207"/>
      <c r="L857" s="207"/>
      <c r="M857" s="207"/>
      <c r="N857" s="207"/>
      <c r="O857" s="207"/>
      <c r="P857" s="207"/>
      <c r="Q857" s="207"/>
      <c r="R857" s="207"/>
      <c r="S857" s="207"/>
      <c r="T857" s="207"/>
      <c r="U857" s="207"/>
      <c r="V857" s="207"/>
      <c r="W857" s="207"/>
      <c r="X857" s="207"/>
      <c r="Y857" s="207"/>
      <c r="Z857" s="207"/>
      <c r="AA857" s="207"/>
      <c r="AB857" s="207"/>
      <c r="AC857" s="207"/>
      <c r="AD857" s="207"/>
      <c r="AE857" s="207"/>
      <c r="AF857" s="207"/>
      <c r="AG857" s="207"/>
      <c r="AH857" s="207"/>
      <c r="AI857" s="207"/>
      <c r="AJ857" s="207"/>
      <c r="AK857" s="207"/>
      <c r="AL857" s="207"/>
      <c r="AM857" s="207"/>
      <c r="AN857" s="207"/>
      <c r="AO857" s="207"/>
      <c r="AP857" s="207"/>
      <c r="AQ857" s="207"/>
      <c r="AR857" s="207"/>
      <c r="AS857" s="207"/>
      <c r="AT857" s="207"/>
      <c r="AU857" s="207"/>
      <c r="AV857" s="207"/>
      <c r="AW857" s="207"/>
      <c r="AX857" s="207"/>
      <c r="AY857" s="207"/>
      <c r="AZ857" s="207"/>
      <c r="BA857" s="207"/>
    </row>
    <row r="858" ht="18.75" hidden="1" customHeight="1">
      <c r="A858" s="207"/>
      <c r="B858" s="207"/>
      <c r="C858" s="207"/>
      <c r="D858" s="207"/>
      <c r="E858" s="207"/>
      <c r="F858" s="207"/>
      <c r="G858" s="207"/>
      <c r="H858" s="207"/>
      <c r="I858" s="207"/>
      <c r="J858" s="207"/>
      <c r="K858" s="207"/>
      <c r="L858" s="207"/>
      <c r="M858" s="207"/>
      <c r="N858" s="207"/>
      <c r="O858" s="207"/>
      <c r="P858" s="207"/>
      <c r="Q858" s="207"/>
      <c r="R858" s="207"/>
      <c r="S858" s="207"/>
      <c r="T858" s="207"/>
      <c r="U858" s="207"/>
      <c r="V858" s="207"/>
      <c r="W858" s="207"/>
      <c r="X858" s="207"/>
      <c r="Y858" s="207"/>
      <c r="Z858" s="207"/>
      <c r="AA858" s="207"/>
      <c r="AB858" s="207"/>
      <c r="AC858" s="207"/>
      <c r="AD858" s="207"/>
      <c r="AE858" s="207"/>
      <c r="AF858" s="207"/>
      <c r="AG858" s="207"/>
      <c r="AH858" s="207"/>
      <c r="AI858" s="207"/>
      <c r="AJ858" s="207"/>
      <c r="AK858" s="207"/>
      <c r="AL858" s="207"/>
      <c r="AM858" s="207"/>
      <c r="AN858" s="207"/>
      <c r="AO858" s="207"/>
      <c r="AP858" s="207"/>
      <c r="AQ858" s="207"/>
      <c r="AR858" s="207"/>
      <c r="AS858" s="207"/>
      <c r="AT858" s="207"/>
      <c r="AU858" s="207"/>
      <c r="AV858" s="207"/>
      <c r="AW858" s="207"/>
      <c r="AX858" s="207"/>
      <c r="AY858" s="207"/>
      <c r="AZ858" s="207"/>
      <c r="BA858" s="207"/>
    </row>
    <row r="859" ht="18.75" hidden="1" customHeight="1">
      <c r="A859" s="207"/>
      <c r="B859" s="207"/>
      <c r="C859" s="207"/>
      <c r="D859" s="207"/>
      <c r="E859" s="207"/>
      <c r="F859" s="207"/>
      <c r="G859" s="207"/>
      <c r="H859" s="207"/>
      <c r="I859" s="207"/>
      <c r="J859" s="207"/>
      <c r="K859" s="207"/>
      <c r="L859" s="207"/>
      <c r="M859" s="207"/>
      <c r="N859" s="207"/>
      <c r="O859" s="207"/>
      <c r="P859" s="207"/>
      <c r="Q859" s="207"/>
      <c r="R859" s="207"/>
      <c r="S859" s="207"/>
      <c r="T859" s="207"/>
      <c r="U859" s="207"/>
      <c r="V859" s="207"/>
      <c r="W859" s="207"/>
      <c r="X859" s="207"/>
      <c r="Y859" s="207"/>
      <c r="Z859" s="207"/>
      <c r="AA859" s="207"/>
      <c r="AB859" s="207"/>
      <c r="AC859" s="207"/>
      <c r="AD859" s="207"/>
      <c r="AE859" s="207"/>
      <c r="AF859" s="207"/>
      <c r="AG859" s="207"/>
      <c r="AH859" s="207"/>
      <c r="AI859" s="207"/>
      <c r="AJ859" s="207"/>
      <c r="AK859" s="207"/>
      <c r="AL859" s="207"/>
      <c r="AM859" s="207"/>
      <c r="AN859" s="207"/>
      <c r="AO859" s="207"/>
      <c r="AP859" s="207"/>
      <c r="AQ859" s="207"/>
      <c r="AR859" s="207"/>
      <c r="AS859" s="207"/>
      <c r="AT859" s="207"/>
      <c r="AU859" s="207"/>
      <c r="AV859" s="207"/>
      <c r="AW859" s="207"/>
      <c r="AX859" s="207"/>
      <c r="AY859" s="207"/>
      <c r="AZ859" s="207"/>
      <c r="BA859" s="207"/>
    </row>
    <row r="860" ht="18.75" hidden="1" customHeight="1">
      <c r="A860" s="207"/>
      <c r="B860" s="207"/>
      <c r="C860" s="207"/>
      <c r="D860" s="207"/>
      <c r="E860" s="207"/>
      <c r="F860" s="207"/>
      <c r="G860" s="207"/>
      <c r="H860" s="207"/>
      <c r="I860" s="207"/>
      <c r="J860" s="207"/>
      <c r="K860" s="207"/>
      <c r="L860" s="207"/>
      <c r="M860" s="207"/>
      <c r="N860" s="207"/>
      <c r="O860" s="207"/>
      <c r="P860" s="207"/>
      <c r="Q860" s="207"/>
      <c r="R860" s="207"/>
      <c r="S860" s="207"/>
      <c r="T860" s="207"/>
      <c r="U860" s="207"/>
      <c r="V860" s="207"/>
      <c r="W860" s="207"/>
      <c r="X860" s="207"/>
      <c r="Y860" s="207"/>
      <c r="Z860" s="207"/>
      <c r="AA860" s="207"/>
      <c r="AB860" s="207"/>
      <c r="AC860" s="207"/>
      <c r="AD860" s="207"/>
      <c r="AE860" s="207"/>
      <c r="AF860" s="207"/>
      <c r="AG860" s="207"/>
      <c r="AH860" s="207"/>
      <c r="AI860" s="207"/>
      <c r="AJ860" s="207"/>
      <c r="AK860" s="207"/>
      <c r="AL860" s="207"/>
      <c r="AM860" s="207"/>
      <c r="AN860" s="207"/>
      <c r="AO860" s="207"/>
      <c r="AP860" s="207"/>
      <c r="AQ860" s="207"/>
      <c r="AR860" s="207"/>
      <c r="AS860" s="207"/>
      <c r="AT860" s="207"/>
      <c r="AU860" s="207"/>
      <c r="AV860" s="207"/>
      <c r="AW860" s="207"/>
      <c r="AX860" s="207"/>
      <c r="AY860" s="207"/>
      <c r="AZ860" s="207"/>
      <c r="BA860" s="207"/>
    </row>
    <row r="861" ht="18.75" hidden="1" customHeight="1">
      <c r="A861" s="207"/>
      <c r="B861" s="207"/>
      <c r="C861" s="207"/>
      <c r="D861" s="207"/>
      <c r="E861" s="207"/>
      <c r="F861" s="207"/>
      <c r="G861" s="207"/>
      <c r="H861" s="207"/>
      <c r="I861" s="207"/>
      <c r="J861" s="207"/>
      <c r="K861" s="207"/>
      <c r="L861" s="207"/>
      <c r="M861" s="207"/>
      <c r="N861" s="207"/>
      <c r="O861" s="207"/>
      <c r="P861" s="207"/>
      <c r="Q861" s="207"/>
      <c r="R861" s="207"/>
      <c r="S861" s="207"/>
      <c r="T861" s="207"/>
      <c r="U861" s="207"/>
      <c r="V861" s="207"/>
      <c r="W861" s="207"/>
      <c r="X861" s="207"/>
      <c r="Y861" s="207"/>
      <c r="Z861" s="207"/>
      <c r="AA861" s="207"/>
      <c r="AB861" s="207"/>
      <c r="AC861" s="207"/>
      <c r="AD861" s="207"/>
      <c r="AE861" s="207"/>
      <c r="AF861" s="207"/>
      <c r="AG861" s="207"/>
      <c r="AH861" s="207"/>
      <c r="AI861" s="207"/>
      <c r="AJ861" s="207"/>
      <c r="AK861" s="207"/>
      <c r="AL861" s="207"/>
      <c r="AM861" s="207"/>
      <c r="AN861" s="207"/>
      <c r="AO861" s="207"/>
      <c r="AP861" s="207"/>
      <c r="AQ861" s="207"/>
      <c r="AR861" s="207"/>
      <c r="AS861" s="207"/>
      <c r="AT861" s="207"/>
      <c r="AU861" s="207"/>
      <c r="AV861" s="207"/>
      <c r="AW861" s="207"/>
      <c r="AX861" s="207"/>
      <c r="AY861" s="207"/>
      <c r="AZ861" s="207"/>
      <c r="BA861" s="207"/>
    </row>
    <row r="862" ht="18.75" hidden="1" customHeight="1">
      <c r="A862" s="207"/>
      <c r="B862" s="207"/>
      <c r="C862" s="207"/>
      <c r="D862" s="207"/>
      <c r="E862" s="207"/>
      <c r="F862" s="207"/>
      <c r="G862" s="207"/>
      <c r="H862" s="207"/>
      <c r="I862" s="207"/>
      <c r="J862" s="207"/>
      <c r="K862" s="207"/>
      <c r="L862" s="207"/>
      <c r="M862" s="207"/>
      <c r="N862" s="207"/>
      <c r="O862" s="207"/>
      <c r="P862" s="207"/>
      <c r="Q862" s="207"/>
      <c r="R862" s="207"/>
      <c r="S862" s="207"/>
      <c r="T862" s="207"/>
      <c r="U862" s="207"/>
      <c r="V862" s="207"/>
      <c r="W862" s="207"/>
      <c r="X862" s="207"/>
      <c r="Y862" s="207"/>
      <c r="Z862" s="207"/>
      <c r="AA862" s="207"/>
      <c r="AB862" s="207"/>
      <c r="AC862" s="207"/>
      <c r="AD862" s="207"/>
      <c r="AE862" s="207"/>
      <c r="AF862" s="207"/>
      <c r="AG862" s="207"/>
      <c r="AH862" s="207"/>
      <c r="AI862" s="207"/>
      <c r="AJ862" s="207"/>
      <c r="AK862" s="207"/>
      <c r="AL862" s="207"/>
      <c r="AM862" s="207"/>
      <c r="AN862" s="207"/>
      <c r="AO862" s="207"/>
      <c r="AP862" s="207"/>
      <c r="AQ862" s="207"/>
      <c r="AR862" s="207"/>
      <c r="AS862" s="207"/>
      <c r="AT862" s="207"/>
      <c r="AU862" s="207"/>
      <c r="AV862" s="207"/>
      <c r="AW862" s="207"/>
      <c r="AX862" s="207"/>
      <c r="AY862" s="207"/>
      <c r="AZ862" s="207"/>
      <c r="BA862" s="207"/>
    </row>
    <row r="863" ht="18.75" hidden="1" customHeight="1">
      <c r="A863" s="207"/>
      <c r="B863" s="207"/>
      <c r="C863" s="207"/>
      <c r="D863" s="207"/>
      <c r="E863" s="207"/>
      <c r="F863" s="207"/>
      <c r="G863" s="207"/>
      <c r="H863" s="207"/>
      <c r="I863" s="207"/>
      <c r="J863" s="207"/>
      <c r="K863" s="207"/>
      <c r="L863" s="207"/>
      <c r="M863" s="207"/>
      <c r="N863" s="207"/>
      <c r="O863" s="207"/>
      <c r="P863" s="207"/>
      <c r="Q863" s="207"/>
      <c r="R863" s="207"/>
      <c r="S863" s="207"/>
      <c r="T863" s="207"/>
      <c r="U863" s="207"/>
      <c r="V863" s="207"/>
      <c r="W863" s="207"/>
      <c r="X863" s="207"/>
      <c r="Y863" s="207"/>
      <c r="Z863" s="207"/>
      <c r="AA863" s="207"/>
      <c r="AB863" s="207"/>
      <c r="AC863" s="207"/>
      <c r="AD863" s="207"/>
      <c r="AE863" s="207"/>
      <c r="AF863" s="207"/>
      <c r="AG863" s="207"/>
      <c r="AH863" s="207"/>
      <c r="AI863" s="207"/>
      <c r="AJ863" s="207"/>
      <c r="AK863" s="207"/>
      <c r="AL863" s="207"/>
      <c r="AM863" s="207"/>
      <c r="AN863" s="207"/>
      <c r="AO863" s="207"/>
      <c r="AP863" s="207"/>
      <c r="AQ863" s="207"/>
      <c r="AR863" s="207"/>
      <c r="AS863" s="207"/>
      <c r="AT863" s="207"/>
      <c r="AU863" s="207"/>
      <c r="AV863" s="207"/>
      <c r="AW863" s="207"/>
      <c r="AX863" s="207"/>
      <c r="AY863" s="207"/>
      <c r="AZ863" s="207"/>
      <c r="BA863" s="207"/>
    </row>
    <row r="864" ht="18.75" hidden="1" customHeight="1">
      <c r="A864" s="207"/>
      <c r="B864" s="207"/>
      <c r="C864" s="207"/>
      <c r="D864" s="207"/>
      <c r="E864" s="207"/>
      <c r="F864" s="207"/>
      <c r="G864" s="207"/>
      <c r="H864" s="207"/>
      <c r="I864" s="207"/>
      <c r="J864" s="207"/>
      <c r="K864" s="207"/>
      <c r="L864" s="207"/>
      <c r="M864" s="207"/>
      <c r="N864" s="207"/>
      <c r="O864" s="207"/>
      <c r="P864" s="207"/>
      <c r="Q864" s="207"/>
      <c r="R864" s="207"/>
      <c r="S864" s="207"/>
      <c r="T864" s="207"/>
      <c r="U864" s="207"/>
      <c r="V864" s="207"/>
      <c r="W864" s="207"/>
      <c r="X864" s="207"/>
      <c r="Y864" s="207"/>
      <c r="Z864" s="207"/>
      <c r="AA864" s="207"/>
      <c r="AB864" s="207"/>
      <c r="AC864" s="207"/>
      <c r="AD864" s="207"/>
      <c r="AE864" s="207"/>
      <c r="AF864" s="207"/>
      <c r="AG864" s="207"/>
      <c r="AH864" s="207"/>
      <c r="AI864" s="207"/>
      <c r="AJ864" s="207"/>
      <c r="AK864" s="207"/>
      <c r="AL864" s="207"/>
      <c r="AM864" s="207"/>
      <c r="AN864" s="207"/>
      <c r="AO864" s="207"/>
      <c r="AP864" s="207"/>
      <c r="AQ864" s="207"/>
      <c r="AR864" s="207"/>
      <c r="AS864" s="207"/>
      <c r="AT864" s="207"/>
      <c r="AU864" s="207"/>
      <c r="AV864" s="207"/>
      <c r="AW864" s="207"/>
      <c r="AX864" s="207"/>
      <c r="AY864" s="207"/>
      <c r="AZ864" s="207"/>
      <c r="BA864" s="207"/>
    </row>
    <row r="865" ht="18.75" hidden="1" customHeight="1">
      <c r="A865" s="207"/>
      <c r="B865" s="207"/>
      <c r="C865" s="207"/>
      <c r="D865" s="207"/>
      <c r="E865" s="207"/>
      <c r="F865" s="207"/>
      <c r="G865" s="207"/>
      <c r="H865" s="207"/>
      <c r="I865" s="207"/>
      <c r="J865" s="207"/>
      <c r="K865" s="207"/>
      <c r="L865" s="207"/>
      <c r="M865" s="207"/>
      <c r="N865" s="207"/>
      <c r="O865" s="207"/>
      <c r="P865" s="207"/>
      <c r="Q865" s="207"/>
      <c r="R865" s="207"/>
      <c r="S865" s="207"/>
      <c r="T865" s="207"/>
      <c r="U865" s="207"/>
      <c r="V865" s="207"/>
      <c r="W865" s="207"/>
      <c r="X865" s="207"/>
      <c r="Y865" s="207"/>
      <c r="Z865" s="207"/>
      <c r="AA865" s="207"/>
      <c r="AB865" s="207"/>
      <c r="AC865" s="207"/>
      <c r="AD865" s="207"/>
      <c r="AE865" s="207"/>
      <c r="AF865" s="207"/>
      <c r="AG865" s="207"/>
      <c r="AH865" s="207"/>
      <c r="AI865" s="207"/>
      <c r="AJ865" s="207"/>
      <c r="AK865" s="207"/>
      <c r="AL865" s="207"/>
      <c r="AM865" s="207"/>
      <c r="AN865" s="207"/>
      <c r="AO865" s="207"/>
      <c r="AP865" s="207"/>
      <c r="AQ865" s="207"/>
      <c r="AR865" s="207"/>
      <c r="AS865" s="207"/>
      <c r="AT865" s="207"/>
      <c r="AU865" s="207"/>
      <c r="AV865" s="207"/>
      <c r="AW865" s="207"/>
      <c r="AX865" s="207"/>
      <c r="AY865" s="207"/>
      <c r="AZ865" s="207"/>
      <c r="BA865" s="207"/>
    </row>
    <row r="866" ht="18.75" hidden="1" customHeight="1">
      <c r="A866" s="207"/>
      <c r="B866" s="207"/>
      <c r="C866" s="207"/>
      <c r="D866" s="207"/>
      <c r="E866" s="207"/>
      <c r="F866" s="207"/>
      <c r="G866" s="207"/>
      <c r="H866" s="207"/>
      <c r="I866" s="207"/>
      <c r="J866" s="207"/>
      <c r="K866" s="207"/>
      <c r="L866" s="207"/>
      <c r="M866" s="207"/>
      <c r="N866" s="207"/>
      <c r="O866" s="207"/>
      <c r="P866" s="207"/>
      <c r="Q866" s="207"/>
      <c r="R866" s="207"/>
      <c r="S866" s="207"/>
      <c r="T866" s="207"/>
      <c r="U866" s="207"/>
      <c r="V866" s="207"/>
      <c r="W866" s="207"/>
      <c r="X866" s="207"/>
      <c r="Y866" s="207"/>
      <c r="Z866" s="207"/>
      <c r="AA866" s="207"/>
      <c r="AB866" s="207"/>
      <c r="AC866" s="207"/>
      <c r="AD866" s="207"/>
      <c r="AE866" s="207"/>
      <c r="AF866" s="207"/>
      <c r="AG866" s="207"/>
      <c r="AH866" s="207"/>
      <c r="AI866" s="207"/>
      <c r="AJ866" s="207"/>
      <c r="AK866" s="207"/>
      <c r="AL866" s="207"/>
      <c r="AM866" s="207"/>
      <c r="AN866" s="207"/>
      <c r="AO866" s="207"/>
      <c r="AP866" s="207"/>
      <c r="AQ866" s="207"/>
      <c r="AR866" s="207"/>
      <c r="AS866" s="207"/>
      <c r="AT866" s="207"/>
      <c r="AU866" s="207"/>
      <c r="AV866" s="207"/>
      <c r="AW866" s="207"/>
      <c r="AX866" s="207"/>
      <c r="AY866" s="207"/>
      <c r="AZ866" s="207"/>
      <c r="BA866" s="207"/>
    </row>
    <row r="867" ht="18.75" hidden="1" customHeight="1">
      <c r="A867" s="207"/>
      <c r="B867" s="207"/>
      <c r="C867" s="207"/>
      <c r="D867" s="207"/>
      <c r="E867" s="207"/>
      <c r="F867" s="207"/>
      <c r="G867" s="207"/>
      <c r="H867" s="207"/>
      <c r="I867" s="207"/>
      <c r="J867" s="207"/>
      <c r="K867" s="207"/>
      <c r="L867" s="207"/>
      <c r="M867" s="207"/>
      <c r="N867" s="207"/>
      <c r="O867" s="207"/>
      <c r="P867" s="207"/>
      <c r="Q867" s="207"/>
      <c r="R867" s="207"/>
      <c r="S867" s="207"/>
      <c r="T867" s="207"/>
      <c r="U867" s="207"/>
      <c r="V867" s="207"/>
      <c r="W867" s="207"/>
      <c r="X867" s="207"/>
      <c r="Y867" s="207"/>
      <c r="Z867" s="207"/>
      <c r="AA867" s="207"/>
      <c r="AB867" s="207"/>
      <c r="AC867" s="207"/>
      <c r="AD867" s="207"/>
      <c r="AE867" s="207"/>
      <c r="AF867" s="207"/>
      <c r="AG867" s="207"/>
      <c r="AH867" s="207"/>
      <c r="AI867" s="207"/>
      <c r="AJ867" s="207"/>
      <c r="AK867" s="207"/>
      <c r="AL867" s="207"/>
      <c r="AM867" s="207"/>
      <c r="AN867" s="207"/>
      <c r="AO867" s="207"/>
      <c r="AP867" s="207"/>
      <c r="AQ867" s="207"/>
      <c r="AR867" s="207"/>
      <c r="AS867" s="207"/>
      <c r="AT867" s="207"/>
      <c r="AU867" s="207"/>
      <c r="AV867" s="207"/>
      <c r="AW867" s="207"/>
      <c r="AX867" s="207"/>
      <c r="AY867" s="207"/>
      <c r="AZ867" s="207"/>
      <c r="BA867" s="207"/>
    </row>
    <row r="868" ht="18.75" hidden="1" customHeight="1">
      <c r="A868" s="207"/>
      <c r="B868" s="207"/>
      <c r="C868" s="207"/>
      <c r="D868" s="207"/>
      <c r="E868" s="207"/>
      <c r="F868" s="207"/>
      <c r="G868" s="207"/>
      <c r="H868" s="207"/>
      <c r="I868" s="207"/>
      <c r="J868" s="207"/>
      <c r="K868" s="207"/>
      <c r="L868" s="207"/>
      <c r="M868" s="207"/>
      <c r="N868" s="207"/>
      <c r="O868" s="207"/>
      <c r="P868" s="207"/>
      <c r="Q868" s="207"/>
      <c r="R868" s="207"/>
      <c r="S868" s="207"/>
      <c r="T868" s="207"/>
      <c r="U868" s="207"/>
      <c r="V868" s="207"/>
      <c r="W868" s="207"/>
      <c r="X868" s="207"/>
      <c r="Y868" s="207"/>
      <c r="Z868" s="207"/>
      <c r="AA868" s="207"/>
      <c r="AB868" s="207"/>
      <c r="AC868" s="207"/>
      <c r="AD868" s="207"/>
      <c r="AE868" s="207"/>
      <c r="AF868" s="207"/>
      <c r="AG868" s="207"/>
      <c r="AH868" s="207"/>
      <c r="AI868" s="207"/>
      <c r="AJ868" s="207"/>
      <c r="AK868" s="207"/>
      <c r="AL868" s="207"/>
      <c r="AM868" s="207"/>
      <c r="AN868" s="207"/>
      <c r="AO868" s="207"/>
      <c r="AP868" s="207"/>
      <c r="AQ868" s="207"/>
      <c r="AR868" s="207"/>
      <c r="AS868" s="207"/>
      <c r="AT868" s="207"/>
      <c r="AU868" s="207"/>
      <c r="AV868" s="207"/>
      <c r="AW868" s="207"/>
      <c r="AX868" s="207"/>
      <c r="AY868" s="207"/>
      <c r="AZ868" s="207"/>
      <c r="BA868" s="207"/>
    </row>
    <row r="869" ht="18.75" hidden="1" customHeight="1">
      <c r="A869" s="207"/>
      <c r="B869" s="207"/>
      <c r="C869" s="207"/>
      <c r="D869" s="207"/>
      <c r="E869" s="207"/>
      <c r="F869" s="207"/>
      <c r="G869" s="207"/>
      <c r="H869" s="207"/>
      <c r="I869" s="207"/>
      <c r="J869" s="207"/>
      <c r="K869" s="207"/>
      <c r="L869" s="207"/>
      <c r="M869" s="207"/>
      <c r="N869" s="207"/>
      <c r="O869" s="207"/>
      <c r="P869" s="207"/>
      <c r="Q869" s="207"/>
      <c r="R869" s="207"/>
      <c r="S869" s="207"/>
      <c r="T869" s="207"/>
      <c r="U869" s="207"/>
      <c r="V869" s="207"/>
      <c r="W869" s="207"/>
      <c r="X869" s="207"/>
      <c r="Y869" s="207"/>
      <c r="Z869" s="207"/>
      <c r="AA869" s="207"/>
      <c r="AB869" s="207"/>
      <c r="AC869" s="207"/>
      <c r="AD869" s="207"/>
      <c r="AE869" s="207"/>
      <c r="AF869" s="207"/>
      <c r="AG869" s="207"/>
      <c r="AH869" s="207"/>
      <c r="AI869" s="207"/>
      <c r="AJ869" s="207"/>
      <c r="AK869" s="207"/>
      <c r="AL869" s="207"/>
      <c r="AM869" s="207"/>
      <c r="AN869" s="207"/>
      <c r="AO869" s="207"/>
      <c r="AP869" s="207"/>
      <c r="AQ869" s="207"/>
      <c r="AR869" s="207"/>
      <c r="AS869" s="207"/>
      <c r="AT869" s="207"/>
      <c r="AU869" s="207"/>
      <c r="AV869" s="207"/>
      <c r="AW869" s="207"/>
      <c r="AX869" s="207"/>
      <c r="AY869" s="207"/>
      <c r="AZ869" s="207"/>
      <c r="BA869" s="207"/>
    </row>
    <row r="870" ht="18.75" hidden="1" customHeight="1">
      <c r="A870" s="207"/>
      <c r="B870" s="207"/>
      <c r="C870" s="207"/>
      <c r="D870" s="207"/>
      <c r="E870" s="207"/>
      <c r="F870" s="207"/>
      <c r="G870" s="207"/>
      <c r="H870" s="207"/>
      <c r="I870" s="207"/>
      <c r="J870" s="207"/>
      <c r="K870" s="207"/>
      <c r="L870" s="207"/>
      <c r="M870" s="207"/>
      <c r="N870" s="207"/>
      <c r="O870" s="207"/>
      <c r="P870" s="207"/>
      <c r="Q870" s="207"/>
      <c r="R870" s="207"/>
      <c r="S870" s="207"/>
      <c r="T870" s="207"/>
      <c r="U870" s="207"/>
      <c r="V870" s="207"/>
      <c r="W870" s="207"/>
      <c r="X870" s="207"/>
      <c r="Y870" s="207"/>
      <c r="Z870" s="207"/>
      <c r="AA870" s="207"/>
      <c r="AB870" s="207"/>
      <c r="AC870" s="207"/>
      <c r="AD870" s="207"/>
      <c r="AE870" s="207"/>
      <c r="AF870" s="207"/>
      <c r="AG870" s="207"/>
      <c r="AH870" s="207"/>
      <c r="AI870" s="207"/>
      <c r="AJ870" s="207"/>
      <c r="AK870" s="207"/>
      <c r="AL870" s="207"/>
      <c r="AM870" s="207"/>
      <c r="AN870" s="207"/>
      <c r="AO870" s="207"/>
      <c r="AP870" s="207"/>
      <c r="AQ870" s="207"/>
      <c r="AR870" s="207"/>
      <c r="AS870" s="207"/>
      <c r="AT870" s="207"/>
      <c r="AU870" s="207"/>
      <c r="AV870" s="207"/>
      <c r="AW870" s="207"/>
      <c r="AX870" s="207"/>
      <c r="AY870" s="207"/>
      <c r="AZ870" s="207"/>
      <c r="BA870" s="207"/>
    </row>
    <row r="871" ht="18.75" hidden="1" customHeight="1">
      <c r="A871" s="207"/>
      <c r="B871" s="207"/>
      <c r="C871" s="207"/>
      <c r="D871" s="207"/>
      <c r="E871" s="207"/>
      <c r="F871" s="207"/>
      <c r="G871" s="207"/>
      <c r="H871" s="207"/>
      <c r="I871" s="207"/>
      <c r="J871" s="207"/>
      <c r="K871" s="207"/>
      <c r="L871" s="207"/>
      <c r="M871" s="207"/>
      <c r="N871" s="207"/>
      <c r="O871" s="207"/>
      <c r="P871" s="207"/>
      <c r="Q871" s="207"/>
      <c r="R871" s="207"/>
      <c r="S871" s="207"/>
      <c r="T871" s="207"/>
      <c r="U871" s="207"/>
      <c r="V871" s="207"/>
      <c r="W871" s="207"/>
      <c r="X871" s="207"/>
      <c r="Y871" s="207"/>
      <c r="Z871" s="207"/>
      <c r="AA871" s="207"/>
      <c r="AB871" s="207"/>
      <c r="AC871" s="207"/>
      <c r="AD871" s="207"/>
      <c r="AE871" s="207"/>
      <c r="AF871" s="207"/>
      <c r="AG871" s="207"/>
      <c r="AH871" s="207"/>
      <c r="AI871" s="207"/>
      <c r="AJ871" s="207"/>
      <c r="AK871" s="207"/>
      <c r="AL871" s="207"/>
      <c r="AM871" s="207"/>
      <c r="AN871" s="207"/>
      <c r="AO871" s="207"/>
      <c r="AP871" s="207"/>
      <c r="AQ871" s="207"/>
      <c r="AR871" s="207"/>
      <c r="AS871" s="207"/>
      <c r="AT871" s="207"/>
      <c r="AU871" s="207"/>
      <c r="AV871" s="207"/>
      <c r="AW871" s="207"/>
      <c r="AX871" s="207"/>
      <c r="AY871" s="207"/>
      <c r="AZ871" s="207"/>
      <c r="BA871" s="207"/>
    </row>
    <row r="872" ht="18.75" hidden="1" customHeight="1">
      <c r="A872" s="207"/>
      <c r="B872" s="207"/>
      <c r="C872" s="207"/>
      <c r="D872" s="207"/>
      <c r="E872" s="207"/>
      <c r="F872" s="207"/>
      <c r="G872" s="207"/>
      <c r="H872" s="207"/>
      <c r="I872" s="207"/>
      <c r="J872" s="207"/>
      <c r="K872" s="207"/>
      <c r="L872" s="207"/>
      <c r="M872" s="207"/>
      <c r="N872" s="207"/>
      <c r="O872" s="207"/>
      <c r="P872" s="207"/>
      <c r="Q872" s="207"/>
      <c r="R872" s="207"/>
      <c r="S872" s="207"/>
      <c r="T872" s="207"/>
      <c r="U872" s="207"/>
      <c r="V872" s="207"/>
      <c r="W872" s="207"/>
      <c r="X872" s="207"/>
      <c r="Y872" s="207"/>
      <c r="Z872" s="207"/>
      <c r="AA872" s="207"/>
      <c r="AB872" s="207"/>
      <c r="AC872" s="207"/>
      <c r="AD872" s="207"/>
      <c r="AE872" s="207"/>
      <c r="AF872" s="207"/>
      <c r="AG872" s="207"/>
      <c r="AH872" s="207"/>
      <c r="AI872" s="207"/>
      <c r="AJ872" s="207"/>
      <c r="AK872" s="207"/>
      <c r="AL872" s="207"/>
      <c r="AM872" s="207"/>
      <c r="AN872" s="207"/>
      <c r="AO872" s="207"/>
      <c r="AP872" s="207"/>
      <c r="AQ872" s="207"/>
      <c r="AR872" s="207"/>
      <c r="AS872" s="207"/>
      <c r="AT872" s="207"/>
      <c r="AU872" s="207"/>
      <c r="AV872" s="207"/>
      <c r="AW872" s="207"/>
      <c r="AX872" s="207"/>
      <c r="AY872" s="207"/>
      <c r="AZ872" s="207"/>
      <c r="BA872" s="207"/>
    </row>
    <row r="873" ht="18.75" hidden="1" customHeight="1">
      <c r="A873" s="207"/>
      <c r="B873" s="207"/>
      <c r="C873" s="207"/>
      <c r="D873" s="207"/>
      <c r="E873" s="207"/>
      <c r="F873" s="207"/>
      <c r="G873" s="207"/>
      <c r="H873" s="207"/>
      <c r="I873" s="207"/>
      <c r="J873" s="207"/>
      <c r="K873" s="207"/>
      <c r="L873" s="207"/>
      <c r="M873" s="207"/>
      <c r="N873" s="207"/>
      <c r="O873" s="207"/>
      <c r="P873" s="207"/>
      <c r="Q873" s="207"/>
      <c r="R873" s="207"/>
      <c r="S873" s="207"/>
      <c r="T873" s="207"/>
      <c r="U873" s="207"/>
      <c r="V873" s="207"/>
      <c r="W873" s="207"/>
      <c r="X873" s="207"/>
      <c r="Y873" s="207"/>
      <c r="Z873" s="207"/>
      <c r="AA873" s="207"/>
      <c r="AB873" s="207"/>
      <c r="AC873" s="207"/>
      <c r="AD873" s="207"/>
      <c r="AE873" s="207"/>
      <c r="AF873" s="207"/>
      <c r="AG873" s="207"/>
      <c r="AH873" s="207"/>
      <c r="AI873" s="207"/>
      <c r="AJ873" s="207"/>
      <c r="AK873" s="207"/>
      <c r="AL873" s="207"/>
      <c r="AM873" s="207"/>
      <c r="AN873" s="207"/>
      <c r="AO873" s="207"/>
      <c r="AP873" s="207"/>
      <c r="AQ873" s="207"/>
      <c r="AR873" s="207"/>
      <c r="AS873" s="207"/>
      <c r="AT873" s="207"/>
      <c r="AU873" s="207"/>
      <c r="AV873" s="207"/>
      <c r="AW873" s="207"/>
      <c r="AX873" s="207"/>
      <c r="AY873" s="207"/>
      <c r="AZ873" s="207"/>
      <c r="BA873" s="207"/>
    </row>
    <row r="874" ht="18.75" hidden="1" customHeight="1">
      <c r="A874" s="207"/>
      <c r="B874" s="207"/>
      <c r="C874" s="207"/>
      <c r="D874" s="207"/>
      <c r="E874" s="207"/>
      <c r="F874" s="207"/>
      <c r="G874" s="207"/>
      <c r="H874" s="207"/>
      <c r="I874" s="207"/>
      <c r="J874" s="207"/>
      <c r="K874" s="207"/>
      <c r="L874" s="207"/>
      <c r="M874" s="207"/>
      <c r="N874" s="207"/>
      <c r="O874" s="207"/>
      <c r="P874" s="207"/>
      <c r="Q874" s="207"/>
      <c r="R874" s="207"/>
      <c r="S874" s="207"/>
      <c r="T874" s="207"/>
      <c r="U874" s="207"/>
      <c r="V874" s="207"/>
      <c r="W874" s="207"/>
      <c r="X874" s="207"/>
      <c r="Y874" s="207"/>
      <c r="Z874" s="207"/>
      <c r="AA874" s="207"/>
      <c r="AB874" s="207"/>
      <c r="AC874" s="207"/>
      <c r="AD874" s="207"/>
      <c r="AE874" s="207"/>
      <c r="AF874" s="207"/>
      <c r="AG874" s="207"/>
      <c r="AH874" s="207"/>
      <c r="AI874" s="207"/>
      <c r="AJ874" s="207"/>
      <c r="AK874" s="207"/>
      <c r="AL874" s="207"/>
      <c r="AM874" s="207"/>
      <c r="AN874" s="207"/>
      <c r="AO874" s="207"/>
      <c r="AP874" s="207"/>
      <c r="AQ874" s="207"/>
      <c r="AR874" s="207"/>
      <c r="AS874" s="207"/>
      <c r="AT874" s="207"/>
      <c r="AU874" s="207"/>
      <c r="AV874" s="207"/>
      <c r="AW874" s="207"/>
      <c r="AX874" s="207"/>
      <c r="AY874" s="207"/>
      <c r="AZ874" s="207"/>
      <c r="BA874" s="207"/>
    </row>
    <row r="875" ht="18.75" hidden="1" customHeight="1">
      <c r="A875" s="207"/>
      <c r="B875" s="207"/>
      <c r="C875" s="207"/>
      <c r="D875" s="207"/>
      <c r="E875" s="207"/>
      <c r="F875" s="207"/>
      <c r="G875" s="207"/>
      <c r="H875" s="207"/>
      <c r="I875" s="207"/>
      <c r="J875" s="207"/>
      <c r="K875" s="207"/>
      <c r="L875" s="207"/>
      <c r="M875" s="207"/>
      <c r="N875" s="207"/>
      <c r="O875" s="207"/>
      <c r="P875" s="207"/>
      <c r="Q875" s="207"/>
      <c r="R875" s="207"/>
      <c r="S875" s="207"/>
      <c r="T875" s="207"/>
      <c r="U875" s="207"/>
      <c r="V875" s="207"/>
      <c r="W875" s="207"/>
      <c r="X875" s="207"/>
      <c r="Y875" s="207"/>
      <c r="Z875" s="207"/>
      <c r="AA875" s="207"/>
      <c r="AB875" s="207"/>
      <c r="AC875" s="207"/>
      <c r="AD875" s="207"/>
      <c r="AE875" s="207"/>
      <c r="AF875" s="207"/>
      <c r="AG875" s="207"/>
      <c r="AH875" s="207"/>
      <c r="AI875" s="207"/>
      <c r="AJ875" s="207"/>
      <c r="AK875" s="207"/>
      <c r="AL875" s="207"/>
      <c r="AM875" s="207"/>
      <c r="AN875" s="207"/>
      <c r="AO875" s="207"/>
      <c r="AP875" s="207"/>
      <c r="AQ875" s="207"/>
      <c r="AR875" s="207"/>
      <c r="AS875" s="207"/>
      <c r="AT875" s="207"/>
      <c r="AU875" s="207"/>
      <c r="AV875" s="207"/>
      <c r="AW875" s="207"/>
      <c r="AX875" s="207"/>
      <c r="AY875" s="207"/>
      <c r="AZ875" s="207"/>
      <c r="BA875" s="207"/>
    </row>
    <row r="876" ht="18.75" hidden="1" customHeight="1">
      <c r="A876" s="207"/>
      <c r="B876" s="207"/>
      <c r="C876" s="207"/>
      <c r="D876" s="207"/>
      <c r="E876" s="207"/>
      <c r="F876" s="207"/>
      <c r="G876" s="207"/>
      <c r="H876" s="207"/>
      <c r="I876" s="207"/>
      <c r="J876" s="207"/>
      <c r="K876" s="207"/>
      <c r="L876" s="207"/>
      <c r="M876" s="207"/>
      <c r="N876" s="207"/>
      <c r="O876" s="207"/>
      <c r="P876" s="207"/>
      <c r="Q876" s="207"/>
      <c r="R876" s="207"/>
      <c r="S876" s="207"/>
      <c r="T876" s="207"/>
      <c r="U876" s="207"/>
      <c r="V876" s="207"/>
      <c r="W876" s="207"/>
      <c r="X876" s="207"/>
      <c r="Y876" s="207"/>
      <c r="Z876" s="207"/>
      <c r="AA876" s="207"/>
      <c r="AB876" s="207"/>
      <c r="AC876" s="207"/>
      <c r="AD876" s="207"/>
      <c r="AE876" s="207"/>
      <c r="AF876" s="207"/>
      <c r="AG876" s="207"/>
      <c r="AH876" s="207"/>
      <c r="AI876" s="207"/>
      <c r="AJ876" s="207"/>
      <c r="AK876" s="207"/>
      <c r="AL876" s="207"/>
      <c r="AM876" s="207"/>
      <c r="AN876" s="207"/>
      <c r="AO876" s="207"/>
      <c r="AP876" s="207"/>
      <c r="AQ876" s="207"/>
      <c r="AR876" s="207"/>
      <c r="AS876" s="207"/>
      <c r="AT876" s="207"/>
      <c r="AU876" s="207"/>
      <c r="AV876" s="207"/>
      <c r="AW876" s="207"/>
      <c r="AX876" s="207"/>
      <c r="AY876" s="207"/>
      <c r="AZ876" s="207"/>
      <c r="BA876" s="207"/>
    </row>
    <row r="877" ht="18.75" hidden="1" customHeight="1">
      <c r="A877" s="207"/>
      <c r="B877" s="207"/>
      <c r="C877" s="207"/>
      <c r="D877" s="207"/>
      <c r="E877" s="207"/>
      <c r="F877" s="207"/>
      <c r="G877" s="207"/>
      <c r="H877" s="207"/>
      <c r="I877" s="207"/>
      <c r="J877" s="207"/>
      <c r="K877" s="207"/>
      <c r="L877" s="207"/>
      <c r="M877" s="207"/>
      <c r="N877" s="207"/>
      <c r="O877" s="207"/>
      <c r="P877" s="207"/>
      <c r="Q877" s="207"/>
      <c r="R877" s="207"/>
      <c r="S877" s="207"/>
      <c r="T877" s="207"/>
      <c r="U877" s="207"/>
      <c r="V877" s="207"/>
      <c r="W877" s="207"/>
      <c r="X877" s="207"/>
      <c r="Y877" s="207"/>
      <c r="Z877" s="207"/>
      <c r="AA877" s="207"/>
      <c r="AB877" s="207"/>
      <c r="AC877" s="207"/>
      <c r="AD877" s="207"/>
      <c r="AE877" s="207"/>
      <c r="AF877" s="207"/>
      <c r="AG877" s="207"/>
      <c r="AH877" s="207"/>
      <c r="AI877" s="207"/>
      <c r="AJ877" s="207"/>
      <c r="AK877" s="207"/>
      <c r="AL877" s="207"/>
      <c r="AM877" s="207"/>
      <c r="AN877" s="207"/>
      <c r="AO877" s="207"/>
      <c r="AP877" s="207"/>
      <c r="AQ877" s="207"/>
      <c r="AR877" s="207"/>
      <c r="AS877" s="207"/>
      <c r="AT877" s="207"/>
      <c r="AU877" s="207"/>
      <c r="AV877" s="207"/>
      <c r="AW877" s="207"/>
      <c r="AX877" s="207"/>
      <c r="AY877" s="207"/>
      <c r="AZ877" s="207"/>
      <c r="BA877" s="207"/>
    </row>
    <row r="878" ht="18.75" hidden="1" customHeight="1">
      <c r="A878" s="207"/>
      <c r="B878" s="207"/>
      <c r="C878" s="207"/>
      <c r="D878" s="207"/>
      <c r="E878" s="207"/>
      <c r="F878" s="207"/>
      <c r="G878" s="207"/>
      <c r="H878" s="207"/>
      <c r="I878" s="207"/>
      <c r="J878" s="207"/>
      <c r="K878" s="207"/>
      <c r="L878" s="207"/>
      <c r="M878" s="207"/>
      <c r="N878" s="207"/>
      <c r="O878" s="207"/>
      <c r="P878" s="207"/>
      <c r="Q878" s="207"/>
      <c r="R878" s="207"/>
      <c r="S878" s="207"/>
      <c r="T878" s="207"/>
      <c r="U878" s="207"/>
      <c r="V878" s="207"/>
      <c r="W878" s="207"/>
      <c r="X878" s="207"/>
      <c r="Y878" s="207"/>
      <c r="Z878" s="207"/>
      <c r="AA878" s="207"/>
      <c r="AB878" s="207"/>
      <c r="AC878" s="207"/>
      <c r="AD878" s="207"/>
      <c r="AE878" s="207"/>
      <c r="AF878" s="207"/>
      <c r="AG878" s="207"/>
      <c r="AH878" s="207"/>
      <c r="AI878" s="207"/>
      <c r="AJ878" s="207"/>
      <c r="AK878" s="207"/>
      <c r="AL878" s="207"/>
      <c r="AM878" s="207"/>
      <c r="AN878" s="207"/>
      <c r="AO878" s="207"/>
      <c r="AP878" s="207"/>
      <c r="AQ878" s="207"/>
      <c r="AR878" s="207"/>
      <c r="AS878" s="207"/>
      <c r="AT878" s="207"/>
      <c r="AU878" s="207"/>
      <c r="AV878" s="207"/>
      <c r="AW878" s="207"/>
      <c r="AX878" s="207"/>
      <c r="AY878" s="207"/>
      <c r="AZ878" s="207"/>
      <c r="BA878" s="207"/>
    </row>
    <row r="879" ht="18.75" hidden="1" customHeight="1">
      <c r="A879" s="207"/>
      <c r="B879" s="207"/>
      <c r="C879" s="207"/>
      <c r="D879" s="207"/>
      <c r="E879" s="207"/>
      <c r="F879" s="207"/>
      <c r="G879" s="207"/>
      <c r="H879" s="207"/>
      <c r="I879" s="207"/>
      <c r="J879" s="207"/>
      <c r="K879" s="207"/>
      <c r="L879" s="207"/>
      <c r="M879" s="207"/>
      <c r="N879" s="207"/>
      <c r="O879" s="207"/>
      <c r="P879" s="207"/>
      <c r="Q879" s="207"/>
      <c r="R879" s="207"/>
      <c r="S879" s="207"/>
      <c r="T879" s="207"/>
      <c r="U879" s="207"/>
      <c r="V879" s="207"/>
      <c r="W879" s="207"/>
      <c r="X879" s="207"/>
      <c r="Y879" s="207"/>
      <c r="Z879" s="207"/>
      <c r="AA879" s="207"/>
      <c r="AB879" s="207"/>
      <c r="AC879" s="207"/>
      <c r="AD879" s="207"/>
      <c r="AE879" s="207"/>
      <c r="AF879" s="207"/>
      <c r="AG879" s="207"/>
      <c r="AH879" s="207"/>
      <c r="AI879" s="207"/>
      <c r="AJ879" s="207"/>
      <c r="AK879" s="207"/>
      <c r="AL879" s="207"/>
      <c r="AM879" s="207"/>
      <c r="AN879" s="207"/>
      <c r="AO879" s="207"/>
      <c r="AP879" s="207"/>
      <c r="AQ879" s="207"/>
      <c r="AR879" s="207"/>
      <c r="AS879" s="207"/>
      <c r="AT879" s="207"/>
      <c r="AU879" s="207"/>
      <c r="AV879" s="207"/>
      <c r="AW879" s="207"/>
      <c r="AX879" s="207"/>
      <c r="AY879" s="207"/>
      <c r="AZ879" s="207"/>
      <c r="BA879" s="207"/>
    </row>
    <row r="880" ht="18.75" hidden="1" customHeight="1">
      <c r="A880" s="207"/>
      <c r="B880" s="207"/>
      <c r="C880" s="207"/>
      <c r="D880" s="207"/>
      <c r="E880" s="207"/>
      <c r="F880" s="207"/>
      <c r="G880" s="207"/>
      <c r="H880" s="207"/>
      <c r="I880" s="207"/>
      <c r="J880" s="207"/>
      <c r="K880" s="207"/>
      <c r="L880" s="207"/>
      <c r="M880" s="207"/>
      <c r="N880" s="207"/>
      <c r="O880" s="207"/>
      <c r="P880" s="207"/>
      <c r="Q880" s="207"/>
      <c r="R880" s="207"/>
      <c r="S880" s="207"/>
      <c r="T880" s="207"/>
      <c r="U880" s="207"/>
      <c r="V880" s="207"/>
      <c r="W880" s="207"/>
      <c r="X880" s="207"/>
      <c r="Y880" s="207"/>
      <c r="Z880" s="207"/>
      <c r="AA880" s="207"/>
      <c r="AB880" s="207"/>
      <c r="AC880" s="207"/>
      <c r="AD880" s="207"/>
      <c r="AE880" s="207"/>
      <c r="AF880" s="207"/>
      <c r="AG880" s="207"/>
      <c r="AH880" s="207"/>
      <c r="AI880" s="207"/>
      <c r="AJ880" s="207"/>
      <c r="AK880" s="207"/>
      <c r="AL880" s="207"/>
      <c r="AM880" s="207"/>
      <c r="AN880" s="207"/>
      <c r="AO880" s="207"/>
      <c r="AP880" s="207"/>
      <c r="AQ880" s="207"/>
      <c r="AR880" s="207"/>
      <c r="AS880" s="207"/>
      <c r="AT880" s="207"/>
      <c r="AU880" s="207"/>
      <c r="AV880" s="207"/>
      <c r="AW880" s="207"/>
      <c r="AX880" s="207"/>
      <c r="AY880" s="207"/>
      <c r="AZ880" s="207"/>
      <c r="BA880" s="207"/>
    </row>
    <row r="881" ht="18.75" hidden="1" customHeight="1">
      <c r="A881" s="207"/>
      <c r="B881" s="207"/>
      <c r="C881" s="207"/>
      <c r="D881" s="207"/>
      <c r="E881" s="207"/>
      <c r="F881" s="207"/>
      <c r="G881" s="207"/>
      <c r="H881" s="207"/>
      <c r="I881" s="207"/>
      <c r="J881" s="207"/>
      <c r="K881" s="207"/>
      <c r="L881" s="207"/>
      <c r="M881" s="207"/>
      <c r="N881" s="207"/>
      <c r="O881" s="207"/>
      <c r="P881" s="207"/>
      <c r="Q881" s="207"/>
      <c r="R881" s="207"/>
      <c r="S881" s="207"/>
      <c r="T881" s="207"/>
      <c r="U881" s="207"/>
      <c r="V881" s="207"/>
      <c r="W881" s="207"/>
      <c r="X881" s="207"/>
      <c r="Y881" s="207"/>
      <c r="Z881" s="207"/>
      <c r="AA881" s="207"/>
      <c r="AB881" s="207"/>
      <c r="AC881" s="207"/>
      <c r="AD881" s="207"/>
      <c r="AE881" s="207"/>
      <c r="AF881" s="207"/>
      <c r="AG881" s="207"/>
      <c r="AH881" s="207"/>
      <c r="AI881" s="207"/>
      <c r="AJ881" s="207"/>
      <c r="AK881" s="207"/>
      <c r="AL881" s="207"/>
      <c r="AM881" s="207"/>
      <c r="AN881" s="207"/>
      <c r="AO881" s="207"/>
      <c r="AP881" s="207"/>
      <c r="AQ881" s="207"/>
      <c r="AR881" s="207"/>
      <c r="AS881" s="207"/>
      <c r="AT881" s="207"/>
      <c r="AU881" s="207"/>
      <c r="AV881" s="207"/>
      <c r="AW881" s="207"/>
      <c r="AX881" s="207"/>
      <c r="AY881" s="207"/>
      <c r="AZ881" s="207"/>
      <c r="BA881" s="207"/>
    </row>
    <row r="882" ht="18.75" hidden="1" customHeight="1">
      <c r="A882" s="207"/>
      <c r="B882" s="207"/>
      <c r="C882" s="207"/>
      <c r="D882" s="207"/>
      <c r="E882" s="207"/>
      <c r="F882" s="207"/>
      <c r="G882" s="207"/>
      <c r="H882" s="207"/>
      <c r="I882" s="207"/>
      <c r="J882" s="207"/>
      <c r="K882" s="207"/>
      <c r="L882" s="207"/>
      <c r="M882" s="207"/>
      <c r="N882" s="207"/>
      <c r="O882" s="207"/>
      <c r="P882" s="207"/>
      <c r="Q882" s="207"/>
      <c r="R882" s="207"/>
      <c r="S882" s="207"/>
      <c r="T882" s="207"/>
      <c r="U882" s="207"/>
      <c r="V882" s="207"/>
      <c r="W882" s="207"/>
      <c r="X882" s="207"/>
      <c r="Y882" s="207"/>
      <c r="Z882" s="207"/>
      <c r="AA882" s="207"/>
      <c r="AB882" s="207"/>
      <c r="AC882" s="207"/>
      <c r="AD882" s="207"/>
      <c r="AE882" s="207"/>
      <c r="AF882" s="207"/>
      <c r="AG882" s="207"/>
      <c r="AH882" s="207"/>
      <c r="AI882" s="207"/>
      <c r="AJ882" s="207"/>
      <c r="AK882" s="207"/>
      <c r="AL882" s="207"/>
      <c r="AM882" s="207"/>
      <c r="AN882" s="207"/>
      <c r="AO882" s="207"/>
      <c r="AP882" s="207"/>
      <c r="AQ882" s="207"/>
      <c r="AR882" s="207"/>
      <c r="AS882" s="207"/>
      <c r="AT882" s="207"/>
      <c r="AU882" s="207"/>
      <c r="AV882" s="207"/>
      <c r="AW882" s="207"/>
      <c r="AX882" s="207"/>
      <c r="AY882" s="207"/>
      <c r="AZ882" s="207"/>
      <c r="BA882" s="207"/>
    </row>
    <row r="883" ht="18.75" hidden="1" customHeight="1">
      <c r="A883" s="207"/>
      <c r="B883" s="207"/>
      <c r="C883" s="207"/>
      <c r="D883" s="207"/>
      <c r="E883" s="207"/>
      <c r="F883" s="207"/>
      <c r="G883" s="207"/>
      <c r="H883" s="207"/>
      <c r="I883" s="207"/>
      <c r="J883" s="207"/>
      <c r="K883" s="207"/>
      <c r="L883" s="207"/>
      <c r="M883" s="207"/>
      <c r="N883" s="207"/>
      <c r="O883" s="207"/>
      <c r="P883" s="207"/>
      <c r="Q883" s="207"/>
      <c r="R883" s="207"/>
      <c r="S883" s="207"/>
      <c r="T883" s="207"/>
      <c r="U883" s="207"/>
      <c r="V883" s="207"/>
      <c r="W883" s="207"/>
      <c r="X883" s="207"/>
      <c r="Y883" s="207"/>
      <c r="Z883" s="207"/>
      <c r="AA883" s="207"/>
      <c r="AB883" s="207"/>
      <c r="AC883" s="207"/>
      <c r="AD883" s="207"/>
      <c r="AE883" s="207"/>
      <c r="AF883" s="207"/>
      <c r="AG883" s="207"/>
      <c r="AH883" s="207"/>
      <c r="AI883" s="207"/>
      <c r="AJ883" s="207"/>
      <c r="AK883" s="207"/>
      <c r="AL883" s="207"/>
      <c r="AM883" s="207"/>
      <c r="AN883" s="207"/>
      <c r="AO883" s="207"/>
      <c r="AP883" s="207"/>
      <c r="AQ883" s="207"/>
      <c r="AR883" s="207"/>
      <c r="AS883" s="207"/>
      <c r="AT883" s="207"/>
      <c r="AU883" s="207"/>
      <c r="AV883" s="207"/>
      <c r="AW883" s="207"/>
      <c r="AX883" s="207"/>
      <c r="AY883" s="207"/>
      <c r="AZ883" s="207"/>
      <c r="BA883" s="207"/>
    </row>
    <row r="884" ht="18.75" hidden="1" customHeight="1">
      <c r="A884" s="207"/>
      <c r="B884" s="207"/>
      <c r="C884" s="207"/>
      <c r="D884" s="207"/>
      <c r="E884" s="207"/>
      <c r="F884" s="207"/>
      <c r="G884" s="207"/>
      <c r="H884" s="207"/>
      <c r="I884" s="207"/>
      <c r="J884" s="207"/>
      <c r="K884" s="207"/>
      <c r="L884" s="207"/>
      <c r="M884" s="207"/>
      <c r="N884" s="207"/>
      <c r="O884" s="207"/>
      <c r="P884" s="207"/>
      <c r="Q884" s="207"/>
      <c r="R884" s="207"/>
      <c r="S884" s="207"/>
      <c r="T884" s="207"/>
      <c r="U884" s="207"/>
      <c r="V884" s="207"/>
      <c r="W884" s="207"/>
      <c r="X884" s="207"/>
      <c r="Y884" s="207"/>
      <c r="Z884" s="207"/>
      <c r="AA884" s="207"/>
      <c r="AB884" s="207"/>
      <c r="AC884" s="207"/>
      <c r="AD884" s="207"/>
      <c r="AE884" s="207"/>
      <c r="AF884" s="207"/>
      <c r="AG884" s="207"/>
      <c r="AH884" s="207"/>
      <c r="AI884" s="207"/>
      <c r="AJ884" s="207"/>
      <c r="AK884" s="207"/>
      <c r="AL884" s="207"/>
      <c r="AM884" s="207"/>
      <c r="AN884" s="207"/>
      <c r="AO884" s="207"/>
      <c r="AP884" s="207"/>
      <c r="AQ884" s="207"/>
      <c r="AR884" s="207"/>
      <c r="AS884" s="207"/>
      <c r="AT884" s="207"/>
      <c r="AU884" s="207"/>
      <c r="AV884" s="207"/>
      <c r="AW884" s="207"/>
      <c r="AX884" s="207"/>
      <c r="AY884" s="207"/>
      <c r="AZ884" s="207"/>
      <c r="BA884" s="207"/>
    </row>
    <row r="885" ht="18.75" hidden="1" customHeight="1">
      <c r="A885" s="207"/>
      <c r="B885" s="207"/>
      <c r="C885" s="207"/>
      <c r="D885" s="207"/>
      <c r="E885" s="207"/>
      <c r="F885" s="207"/>
      <c r="G885" s="207"/>
      <c r="H885" s="207"/>
      <c r="I885" s="207"/>
      <c r="J885" s="207"/>
      <c r="K885" s="207"/>
      <c r="L885" s="207"/>
      <c r="M885" s="207"/>
      <c r="N885" s="207"/>
      <c r="O885" s="207"/>
      <c r="P885" s="207"/>
      <c r="Q885" s="207"/>
      <c r="R885" s="207"/>
      <c r="S885" s="207"/>
      <c r="T885" s="207"/>
      <c r="U885" s="207"/>
      <c r="V885" s="207"/>
      <c r="W885" s="207"/>
      <c r="X885" s="207"/>
      <c r="Y885" s="207"/>
      <c r="Z885" s="207"/>
      <c r="AA885" s="207"/>
      <c r="AB885" s="207"/>
      <c r="AC885" s="207"/>
      <c r="AD885" s="207"/>
      <c r="AE885" s="207"/>
      <c r="AF885" s="207"/>
      <c r="AG885" s="207"/>
      <c r="AH885" s="207"/>
      <c r="AI885" s="207"/>
      <c r="AJ885" s="207"/>
      <c r="AK885" s="207"/>
      <c r="AL885" s="207"/>
      <c r="AM885" s="207"/>
      <c r="AN885" s="207"/>
      <c r="AO885" s="207"/>
      <c r="AP885" s="207"/>
      <c r="AQ885" s="207"/>
      <c r="AR885" s="207"/>
      <c r="AS885" s="207"/>
      <c r="AT885" s="207"/>
      <c r="AU885" s="207"/>
      <c r="AV885" s="207"/>
      <c r="AW885" s="207"/>
      <c r="AX885" s="207"/>
      <c r="AY885" s="207"/>
      <c r="AZ885" s="207"/>
      <c r="BA885" s="207"/>
    </row>
    <row r="886" ht="18.75" hidden="1" customHeight="1">
      <c r="A886" s="207"/>
      <c r="B886" s="207"/>
      <c r="C886" s="207"/>
      <c r="D886" s="207"/>
      <c r="E886" s="207"/>
      <c r="F886" s="207"/>
      <c r="G886" s="207"/>
      <c r="H886" s="207"/>
      <c r="I886" s="207"/>
      <c r="J886" s="207"/>
      <c r="K886" s="207"/>
      <c r="L886" s="207"/>
      <c r="M886" s="207"/>
      <c r="N886" s="207"/>
      <c r="O886" s="207"/>
      <c r="P886" s="207"/>
      <c r="Q886" s="207"/>
      <c r="R886" s="207"/>
      <c r="S886" s="207"/>
      <c r="T886" s="207"/>
      <c r="U886" s="207"/>
      <c r="V886" s="207"/>
      <c r="W886" s="207"/>
      <c r="X886" s="207"/>
      <c r="Y886" s="207"/>
      <c r="Z886" s="207"/>
      <c r="AA886" s="207"/>
      <c r="AB886" s="207"/>
      <c r="AC886" s="207"/>
      <c r="AD886" s="207"/>
      <c r="AE886" s="207"/>
      <c r="AF886" s="207"/>
      <c r="AG886" s="207"/>
      <c r="AH886" s="207"/>
      <c r="AI886" s="207"/>
      <c r="AJ886" s="207"/>
      <c r="AK886" s="207"/>
      <c r="AL886" s="207"/>
      <c r="AM886" s="207"/>
      <c r="AN886" s="207"/>
      <c r="AO886" s="207"/>
      <c r="AP886" s="207"/>
      <c r="AQ886" s="207"/>
      <c r="AR886" s="207"/>
      <c r="AS886" s="207"/>
      <c r="AT886" s="207"/>
      <c r="AU886" s="207"/>
      <c r="AV886" s="207"/>
      <c r="AW886" s="207"/>
      <c r="AX886" s="207"/>
      <c r="AY886" s="207"/>
      <c r="AZ886" s="207"/>
      <c r="BA886" s="207"/>
    </row>
    <row r="887" ht="18.75" hidden="1" customHeight="1">
      <c r="A887" s="207"/>
      <c r="B887" s="207"/>
      <c r="C887" s="207"/>
      <c r="D887" s="207"/>
      <c r="E887" s="207"/>
      <c r="F887" s="207"/>
      <c r="G887" s="207"/>
      <c r="H887" s="207"/>
      <c r="I887" s="207"/>
      <c r="J887" s="207"/>
      <c r="K887" s="207"/>
      <c r="L887" s="207"/>
      <c r="M887" s="207"/>
      <c r="N887" s="207"/>
      <c r="O887" s="207"/>
      <c r="P887" s="207"/>
      <c r="Q887" s="207"/>
      <c r="R887" s="207"/>
      <c r="S887" s="207"/>
      <c r="T887" s="207"/>
      <c r="U887" s="207"/>
      <c r="V887" s="207"/>
      <c r="W887" s="207"/>
      <c r="X887" s="207"/>
      <c r="Y887" s="207"/>
      <c r="Z887" s="207"/>
      <c r="AA887" s="207"/>
      <c r="AB887" s="207"/>
      <c r="AC887" s="207"/>
      <c r="AD887" s="207"/>
      <c r="AE887" s="207"/>
      <c r="AF887" s="207"/>
      <c r="AG887" s="207"/>
      <c r="AH887" s="207"/>
      <c r="AI887" s="207"/>
      <c r="AJ887" s="207"/>
      <c r="AK887" s="207"/>
      <c r="AL887" s="207"/>
      <c r="AM887" s="207"/>
      <c r="AN887" s="207"/>
      <c r="AO887" s="207"/>
      <c r="AP887" s="207"/>
      <c r="AQ887" s="207"/>
      <c r="AR887" s="207"/>
      <c r="AS887" s="207"/>
      <c r="AT887" s="207"/>
      <c r="AU887" s="207"/>
      <c r="AV887" s="207"/>
      <c r="AW887" s="207"/>
      <c r="AX887" s="207"/>
      <c r="AY887" s="207"/>
      <c r="AZ887" s="207"/>
      <c r="BA887" s="207"/>
    </row>
    <row r="888" ht="18.75" hidden="1" customHeight="1">
      <c r="A888" s="207"/>
      <c r="B888" s="207"/>
      <c r="C888" s="207"/>
      <c r="D888" s="207"/>
      <c r="E888" s="207"/>
      <c r="F888" s="207"/>
      <c r="G888" s="207"/>
      <c r="H888" s="207"/>
      <c r="I888" s="207"/>
      <c r="J888" s="207"/>
      <c r="K888" s="207"/>
      <c r="L888" s="207"/>
      <c r="M888" s="207"/>
      <c r="N888" s="207"/>
      <c r="O888" s="207"/>
      <c r="P888" s="207"/>
      <c r="Q888" s="207"/>
      <c r="R888" s="207"/>
      <c r="S888" s="207"/>
      <c r="T888" s="207"/>
      <c r="U888" s="207"/>
      <c r="V888" s="207"/>
      <c r="W888" s="207"/>
      <c r="X888" s="207"/>
      <c r="Y888" s="207"/>
      <c r="Z888" s="207"/>
      <c r="AA888" s="207"/>
      <c r="AB888" s="207"/>
      <c r="AC888" s="207"/>
      <c r="AD888" s="207"/>
      <c r="AE888" s="207"/>
      <c r="AF888" s="207"/>
      <c r="AG888" s="207"/>
      <c r="AH888" s="207"/>
      <c r="AI888" s="207"/>
      <c r="AJ888" s="207"/>
      <c r="AK888" s="207"/>
      <c r="AL888" s="207"/>
      <c r="AM888" s="207"/>
      <c r="AN888" s="207"/>
      <c r="AO888" s="207"/>
      <c r="AP888" s="207"/>
      <c r="AQ888" s="207"/>
      <c r="AR888" s="207"/>
      <c r="AS888" s="207"/>
      <c r="AT888" s="207"/>
      <c r="AU888" s="207"/>
      <c r="AV888" s="207"/>
      <c r="AW888" s="207"/>
      <c r="AX888" s="207"/>
      <c r="AY888" s="207"/>
      <c r="AZ888" s="207"/>
      <c r="BA888" s="207"/>
    </row>
    <row r="889" ht="18.75" hidden="1" customHeight="1">
      <c r="A889" s="207"/>
      <c r="B889" s="207"/>
      <c r="C889" s="207"/>
      <c r="D889" s="207"/>
      <c r="E889" s="207"/>
      <c r="F889" s="207"/>
      <c r="G889" s="207"/>
      <c r="H889" s="207"/>
      <c r="I889" s="207"/>
      <c r="J889" s="207"/>
      <c r="K889" s="207"/>
      <c r="L889" s="207"/>
      <c r="M889" s="207"/>
      <c r="N889" s="207"/>
      <c r="O889" s="207"/>
      <c r="P889" s="207"/>
      <c r="Q889" s="207"/>
      <c r="R889" s="207"/>
      <c r="S889" s="207"/>
      <c r="T889" s="207"/>
      <c r="U889" s="207"/>
      <c r="V889" s="207"/>
      <c r="W889" s="207"/>
      <c r="X889" s="207"/>
      <c r="Y889" s="207"/>
      <c r="Z889" s="207"/>
      <c r="AA889" s="207"/>
      <c r="AB889" s="207"/>
      <c r="AC889" s="207"/>
      <c r="AD889" s="207"/>
      <c r="AE889" s="207"/>
      <c r="AF889" s="207"/>
      <c r="AG889" s="207"/>
      <c r="AH889" s="207"/>
      <c r="AI889" s="207"/>
      <c r="AJ889" s="207"/>
      <c r="AK889" s="207"/>
      <c r="AL889" s="207"/>
      <c r="AM889" s="207"/>
      <c r="AN889" s="207"/>
      <c r="AO889" s="207"/>
      <c r="AP889" s="207"/>
      <c r="AQ889" s="207"/>
      <c r="AR889" s="207"/>
      <c r="AS889" s="207"/>
      <c r="AT889" s="207"/>
      <c r="AU889" s="207"/>
      <c r="AV889" s="207"/>
      <c r="AW889" s="207"/>
      <c r="AX889" s="207"/>
      <c r="AY889" s="207"/>
      <c r="AZ889" s="207"/>
      <c r="BA889" s="207"/>
    </row>
    <row r="890" ht="18.75" hidden="1" customHeight="1">
      <c r="A890" s="207"/>
      <c r="B890" s="207"/>
      <c r="C890" s="207"/>
      <c r="D890" s="207"/>
      <c r="E890" s="207"/>
      <c r="F890" s="207"/>
      <c r="G890" s="207"/>
      <c r="H890" s="207"/>
      <c r="I890" s="207"/>
      <c r="J890" s="207"/>
      <c r="K890" s="207"/>
      <c r="L890" s="207"/>
      <c r="M890" s="207"/>
      <c r="N890" s="207"/>
      <c r="O890" s="207"/>
      <c r="P890" s="207"/>
      <c r="Q890" s="207"/>
      <c r="R890" s="207"/>
      <c r="S890" s="207"/>
      <c r="T890" s="207"/>
      <c r="U890" s="207"/>
      <c r="V890" s="207"/>
      <c r="W890" s="207"/>
      <c r="X890" s="207"/>
      <c r="Y890" s="207"/>
      <c r="Z890" s="207"/>
      <c r="AA890" s="207"/>
      <c r="AB890" s="207"/>
      <c r="AC890" s="207"/>
      <c r="AD890" s="207"/>
      <c r="AE890" s="207"/>
      <c r="AF890" s="207"/>
      <c r="AG890" s="207"/>
      <c r="AH890" s="207"/>
      <c r="AI890" s="207"/>
      <c r="AJ890" s="207"/>
      <c r="AK890" s="207"/>
      <c r="AL890" s="207"/>
      <c r="AM890" s="207"/>
      <c r="AN890" s="207"/>
      <c r="AO890" s="207"/>
      <c r="AP890" s="207"/>
      <c r="AQ890" s="207"/>
      <c r="AR890" s="207"/>
      <c r="AS890" s="207"/>
      <c r="AT890" s="207"/>
      <c r="AU890" s="207"/>
      <c r="AV890" s="207"/>
      <c r="AW890" s="207"/>
      <c r="AX890" s="207"/>
      <c r="AY890" s="207"/>
      <c r="AZ890" s="207"/>
      <c r="BA890" s="207"/>
    </row>
    <row r="891" ht="18.75" hidden="1" customHeight="1">
      <c r="A891" s="207"/>
      <c r="B891" s="207"/>
      <c r="C891" s="207"/>
      <c r="D891" s="207"/>
      <c r="E891" s="207"/>
      <c r="F891" s="207"/>
      <c r="G891" s="207"/>
      <c r="H891" s="207"/>
      <c r="I891" s="207"/>
      <c r="J891" s="207"/>
      <c r="K891" s="207"/>
      <c r="L891" s="207"/>
      <c r="M891" s="207"/>
      <c r="N891" s="207"/>
      <c r="O891" s="207"/>
      <c r="P891" s="207"/>
      <c r="Q891" s="207"/>
      <c r="R891" s="207"/>
      <c r="S891" s="207"/>
      <c r="T891" s="207"/>
      <c r="U891" s="207"/>
      <c r="V891" s="207"/>
      <c r="W891" s="207"/>
      <c r="X891" s="207"/>
      <c r="Y891" s="207"/>
      <c r="Z891" s="207"/>
      <c r="AA891" s="207"/>
      <c r="AB891" s="207"/>
      <c r="AC891" s="207"/>
      <c r="AD891" s="207"/>
      <c r="AE891" s="207"/>
      <c r="AF891" s="207"/>
      <c r="AG891" s="207"/>
      <c r="AH891" s="207"/>
      <c r="AI891" s="207"/>
      <c r="AJ891" s="207"/>
      <c r="AK891" s="207"/>
      <c r="AL891" s="207"/>
      <c r="AM891" s="207"/>
      <c r="AN891" s="207"/>
      <c r="AO891" s="207"/>
      <c r="AP891" s="207"/>
      <c r="AQ891" s="207"/>
      <c r="AR891" s="207"/>
      <c r="AS891" s="207"/>
      <c r="AT891" s="207"/>
      <c r="AU891" s="207"/>
      <c r="AV891" s="207"/>
      <c r="AW891" s="207"/>
      <c r="AX891" s="207"/>
      <c r="AY891" s="207"/>
      <c r="AZ891" s="207"/>
      <c r="BA891" s="207"/>
    </row>
    <row r="892" ht="18.75" hidden="1" customHeight="1">
      <c r="A892" s="207"/>
      <c r="B892" s="207"/>
      <c r="C892" s="207"/>
      <c r="D892" s="207"/>
      <c r="E892" s="207"/>
      <c r="F892" s="207"/>
      <c r="G892" s="207"/>
      <c r="H892" s="207"/>
      <c r="I892" s="207"/>
      <c r="J892" s="207"/>
      <c r="K892" s="207"/>
      <c r="L892" s="207"/>
      <c r="M892" s="207"/>
      <c r="N892" s="207"/>
      <c r="O892" s="207"/>
      <c r="P892" s="207"/>
      <c r="Q892" s="207"/>
      <c r="R892" s="207"/>
      <c r="S892" s="207"/>
      <c r="T892" s="207"/>
      <c r="U892" s="207"/>
      <c r="V892" s="207"/>
      <c r="W892" s="207"/>
      <c r="X892" s="207"/>
      <c r="Y892" s="207"/>
      <c r="Z892" s="207"/>
      <c r="AA892" s="207"/>
      <c r="AB892" s="207"/>
      <c r="AC892" s="207"/>
      <c r="AD892" s="207"/>
      <c r="AE892" s="207"/>
      <c r="AF892" s="207"/>
      <c r="AG892" s="207"/>
      <c r="AH892" s="207"/>
      <c r="AI892" s="207"/>
      <c r="AJ892" s="207"/>
      <c r="AK892" s="207"/>
      <c r="AL892" s="207"/>
      <c r="AM892" s="207"/>
      <c r="AN892" s="207"/>
      <c r="AO892" s="207"/>
      <c r="AP892" s="207"/>
      <c r="AQ892" s="207"/>
      <c r="AR892" s="207"/>
      <c r="AS892" s="207"/>
      <c r="AT892" s="207"/>
      <c r="AU892" s="207"/>
      <c r="AV892" s="207"/>
      <c r="AW892" s="207"/>
      <c r="AX892" s="207"/>
      <c r="AY892" s="207"/>
      <c r="AZ892" s="207"/>
      <c r="BA892" s="207"/>
    </row>
    <row r="893" ht="18.75" hidden="1" customHeight="1">
      <c r="A893" s="207"/>
      <c r="B893" s="207"/>
      <c r="C893" s="207"/>
      <c r="D893" s="207"/>
      <c r="E893" s="207"/>
      <c r="F893" s="207"/>
      <c r="G893" s="207"/>
      <c r="H893" s="207"/>
      <c r="I893" s="207"/>
      <c r="J893" s="207"/>
      <c r="K893" s="207"/>
      <c r="L893" s="207"/>
      <c r="M893" s="207"/>
      <c r="N893" s="207"/>
      <c r="O893" s="207"/>
      <c r="P893" s="207"/>
      <c r="Q893" s="207"/>
      <c r="R893" s="207"/>
      <c r="S893" s="207"/>
      <c r="T893" s="207"/>
      <c r="U893" s="207"/>
      <c r="V893" s="207"/>
      <c r="W893" s="207"/>
      <c r="X893" s="207"/>
      <c r="Y893" s="207"/>
      <c r="Z893" s="207"/>
      <c r="AA893" s="207"/>
      <c r="AB893" s="207"/>
      <c r="AC893" s="207"/>
      <c r="AD893" s="207"/>
      <c r="AE893" s="207"/>
      <c r="AF893" s="207"/>
      <c r="AG893" s="207"/>
      <c r="AH893" s="207"/>
      <c r="AI893" s="207"/>
      <c r="AJ893" s="207"/>
      <c r="AK893" s="207"/>
      <c r="AL893" s="207"/>
      <c r="AM893" s="207"/>
      <c r="AN893" s="207"/>
      <c r="AO893" s="207"/>
      <c r="AP893" s="207"/>
      <c r="AQ893" s="207"/>
      <c r="AR893" s="207"/>
      <c r="AS893" s="207"/>
      <c r="AT893" s="207"/>
      <c r="AU893" s="207"/>
      <c r="AV893" s="207"/>
      <c r="AW893" s="207"/>
      <c r="AX893" s="207"/>
      <c r="AY893" s="207"/>
      <c r="AZ893" s="207"/>
      <c r="BA893" s="207"/>
    </row>
    <row r="894" ht="18.75" hidden="1" customHeight="1">
      <c r="A894" s="207"/>
      <c r="B894" s="207"/>
      <c r="C894" s="207"/>
      <c r="D894" s="207"/>
      <c r="E894" s="207"/>
      <c r="F894" s="207"/>
      <c r="G894" s="207"/>
      <c r="H894" s="207"/>
      <c r="I894" s="207"/>
      <c r="J894" s="207"/>
      <c r="K894" s="207"/>
      <c r="L894" s="207"/>
      <c r="M894" s="207"/>
      <c r="N894" s="207"/>
      <c r="O894" s="207"/>
      <c r="P894" s="207"/>
      <c r="Q894" s="207"/>
      <c r="R894" s="207"/>
      <c r="S894" s="207"/>
      <c r="T894" s="207"/>
      <c r="U894" s="207"/>
      <c r="V894" s="207"/>
      <c r="W894" s="207"/>
      <c r="X894" s="207"/>
      <c r="Y894" s="207"/>
      <c r="Z894" s="207"/>
      <c r="AA894" s="207"/>
      <c r="AB894" s="207"/>
      <c r="AC894" s="207"/>
      <c r="AD894" s="207"/>
      <c r="AE894" s="207"/>
      <c r="AF894" s="207"/>
      <c r="AG894" s="207"/>
      <c r="AH894" s="207"/>
      <c r="AI894" s="207"/>
      <c r="AJ894" s="207"/>
      <c r="AK894" s="207"/>
      <c r="AL894" s="207"/>
      <c r="AM894" s="207"/>
      <c r="AN894" s="207"/>
      <c r="AO894" s="207"/>
      <c r="AP894" s="207"/>
      <c r="AQ894" s="207"/>
      <c r="AR894" s="207"/>
      <c r="AS894" s="207"/>
      <c r="AT894" s="207"/>
      <c r="AU894" s="207"/>
      <c r="AV894" s="207"/>
      <c r="AW894" s="207"/>
      <c r="AX894" s="207"/>
      <c r="AY894" s="207"/>
      <c r="AZ894" s="207"/>
      <c r="BA894" s="207"/>
    </row>
    <row r="895" ht="18.75" hidden="1" customHeight="1">
      <c r="A895" s="207"/>
      <c r="B895" s="207"/>
      <c r="C895" s="207"/>
      <c r="D895" s="207"/>
      <c r="E895" s="207"/>
      <c r="F895" s="207"/>
      <c r="G895" s="207"/>
      <c r="H895" s="207"/>
      <c r="I895" s="207"/>
      <c r="J895" s="207"/>
      <c r="K895" s="207"/>
      <c r="L895" s="207"/>
      <c r="M895" s="207"/>
      <c r="N895" s="207"/>
      <c r="O895" s="207"/>
      <c r="P895" s="207"/>
      <c r="Q895" s="207"/>
      <c r="R895" s="207"/>
      <c r="S895" s="207"/>
      <c r="T895" s="207"/>
      <c r="U895" s="207"/>
      <c r="V895" s="207"/>
      <c r="W895" s="207"/>
      <c r="X895" s="207"/>
      <c r="Y895" s="207"/>
      <c r="Z895" s="207"/>
      <c r="AA895" s="207"/>
      <c r="AB895" s="207"/>
      <c r="AC895" s="207"/>
      <c r="AD895" s="207"/>
      <c r="AE895" s="207"/>
      <c r="AF895" s="207"/>
      <c r="AG895" s="207"/>
      <c r="AH895" s="207"/>
      <c r="AI895" s="207"/>
      <c r="AJ895" s="207"/>
      <c r="AK895" s="207"/>
      <c r="AL895" s="207"/>
      <c r="AM895" s="207"/>
      <c r="AN895" s="207"/>
      <c r="AO895" s="207"/>
      <c r="AP895" s="207"/>
      <c r="AQ895" s="207"/>
      <c r="AR895" s="207"/>
      <c r="AS895" s="207"/>
      <c r="AT895" s="207"/>
      <c r="AU895" s="207"/>
      <c r="AV895" s="207"/>
      <c r="AW895" s="207"/>
      <c r="AX895" s="207"/>
      <c r="AY895" s="207"/>
      <c r="AZ895" s="207"/>
      <c r="BA895" s="207"/>
    </row>
    <row r="896" ht="18.75" hidden="1" customHeight="1">
      <c r="A896" s="207"/>
      <c r="B896" s="207"/>
      <c r="C896" s="207"/>
      <c r="D896" s="207"/>
      <c r="E896" s="207"/>
      <c r="F896" s="207"/>
      <c r="G896" s="207"/>
      <c r="H896" s="207"/>
      <c r="I896" s="207"/>
      <c r="J896" s="207"/>
      <c r="K896" s="207"/>
      <c r="L896" s="207"/>
      <c r="M896" s="207"/>
      <c r="N896" s="207"/>
      <c r="O896" s="207"/>
      <c r="P896" s="207"/>
      <c r="Q896" s="207"/>
      <c r="R896" s="207"/>
      <c r="S896" s="207"/>
      <c r="T896" s="207"/>
      <c r="U896" s="207"/>
      <c r="V896" s="207"/>
      <c r="W896" s="207"/>
      <c r="X896" s="207"/>
      <c r="Y896" s="207"/>
      <c r="Z896" s="207"/>
      <c r="AA896" s="207"/>
      <c r="AB896" s="207"/>
      <c r="AC896" s="207"/>
      <c r="AD896" s="207"/>
      <c r="AE896" s="207"/>
      <c r="AF896" s="207"/>
      <c r="AG896" s="207"/>
      <c r="AH896" s="207"/>
      <c r="AI896" s="207"/>
      <c r="AJ896" s="207"/>
      <c r="AK896" s="207"/>
      <c r="AL896" s="207"/>
      <c r="AM896" s="207"/>
      <c r="AN896" s="207"/>
      <c r="AO896" s="207"/>
      <c r="AP896" s="207"/>
      <c r="AQ896" s="207"/>
      <c r="AR896" s="207"/>
      <c r="AS896" s="207"/>
      <c r="AT896" s="207"/>
      <c r="AU896" s="207"/>
      <c r="AV896" s="207"/>
      <c r="AW896" s="207"/>
      <c r="AX896" s="207"/>
      <c r="AY896" s="207"/>
      <c r="AZ896" s="207"/>
      <c r="BA896" s="207"/>
    </row>
    <row r="897" ht="18.75" hidden="1" customHeight="1">
      <c r="A897" s="207"/>
      <c r="B897" s="207"/>
      <c r="C897" s="207"/>
      <c r="D897" s="207"/>
      <c r="E897" s="207"/>
      <c r="F897" s="207"/>
      <c r="G897" s="207"/>
      <c r="H897" s="207"/>
      <c r="I897" s="207"/>
      <c r="J897" s="207"/>
      <c r="K897" s="207"/>
      <c r="L897" s="207"/>
      <c r="M897" s="207"/>
      <c r="N897" s="207"/>
      <c r="O897" s="207"/>
      <c r="P897" s="207"/>
      <c r="Q897" s="207"/>
      <c r="R897" s="207"/>
      <c r="S897" s="207"/>
      <c r="T897" s="207"/>
      <c r="U897" s="207"/>
      <c r="V897" s="207"/>
      <c r="W897" s="207"/>
      <c r="X897" s="207"/>
      <c r="Y897" s="207"/>
      <c r="Z897" s="207"/>
      <c r="AA897" s="207"/>
      <c r="AB897" s="207"/>
      <c r="AC897" s="207"/>
      <c r="AD897" s="207"/>
      <c r="AE897" s="207"/>
      <c r="AF897" s="207"/>
      <c r="AG897" s="207"/>
      <c r="AH897" s="207"/>
      <c r="AI897" s="207"/>
      <c r="AJ897" s="207"/>
      <c r="AK897" s="207"/>
      <c r="AL897" s="207"/>
      <c r="AM897" s="207"/>
      <c r="AN897" s="207"/>
      <c r="AO897" s="207"/>
      <c r="AP897" s="207"/>
      <c r="AQ897" s="207"/>
      <c r="AR897" s="207"/>
      <c r="AS897" s="207"/>
      <c r="AT897" s="207"/>
      <c r="AU897" s="207"/>
      <c r="AV897" s="207"/>
      <c r="AW897" s="207"/>
      <c r="AX897" s="207"/>
      <c r="AY897" s="207"/>
      <c r="AZ897" s="207"/>
      <c r="BA897" s="207"/>
    </row>
    <row r="898" ht="18.75" hidden="1" customHeight="1">
      <c r="A898" s="207"/>
      <c r="B898" s="207"/>
      <c r="C898" s="207"/>
      <c r="D898" s="207"/>
      <c r="E898" s="207"/>
      <c r="F898" s="207"/>
      <c r="G898" s="207"/>
      <c r="H898" s="207"/>
      <c r="I898" s="207"/>
      <c r="J898" s="207"/>
      <c r="K898" s="207"/>
      <c r="L898" s="207"/>
      <c r="M898" s="207"/>
      <c r="N898" s="207"/>
      <c r="O898" s="207"/>
      <c r="P898" s="207"/>
      <c r="Q898" s="207"/>
      <c r="R898" s="207"/>
      <c r="S898" s="207"/>
      <c r="T898" s="207"/>
      <c r="U898" s="207"/>
      <c r="V898" s="207"/>
      <c r="W898" s="207"/>
      <c r="X898" s="207"/>
      <c r="Y898" s="207"/>
      <c r="Z898" s="207"/>
      <c r="AA898" s="207"/>
      <c r="AB898" s="207"/>
      <c r="AC898" s="207"/>
      <c r="AD898" s="207"/>
      <c r="AE898" s="207"/>
      <c r="AF898" s="207"/>
      <c r="AG898" s="207"/>
      <c r="AH898" s="207"/>
      <c r="AI898" s="207"/>
      <c r="AJ898" s="207"/>
      <c r="AK898" s="207"/>
      <c r="AL898" s="207"/>
      <c r="AM898" s="207"/>
      <c r="AN898" s="207"/>
      <c r="AO898" s="207"/>
      <c r="AP898" s="207"/>
      <c r="AQ898" s="207"/>
      <c r="AR898" s="207"/>
      <c r="AS898" s="207"/>
      <c r="AT898" s="207"/>
      <c r="AU898" s="207"/>
      <c r="AV898" s="207"/>
      <c r="AW898" s="207"/>
      <c r="AX898" s="207"/>
      <c r="AY898" s="207"/>
      <c r="AZ898" s="207"/>
      <c r="BA898" s="207"/>
    </row>
    <row r="899" ht="18.75" hidden="1" customHeight="1">
      <c r="A899" s="207"/>
      <c r="B899" s="207"/>
      <c r="C899" s="207"/>
      <c r="D899" s="207"/>
      <c r="E899" s="207"/>
      <c r="F899" s="207"/>
      <c r="G899" s="207"/>
      <c r="H899" s="207"/>
      <c r="I899" s="207"/>
      <c r="J899" s="207"/>
      <c r="K899" s="207"/>
      <c r="L899" s="207"/>
      <c r="M899" s="207"/>
      <c r="N899" s="207"/>
      <c r="O899" s="207"/>
      <c r="P899" s="207"/>
      <c r="Q899" s="207"/>
      <c r="R899" s="207"/>
      <c r="S899" s="207"/>
      <c r="T899" s="207"/>
      <c r="U899" s="207"/>
      <c r="V899" s="207"/>
      <c r="W899" s="207"/>
      <c r="X899" s="207"/>
      <c r="Y899" s="207"/>
      <c r="Z899" s="207"/>
      <c r="AA899" s="207"/>
      <c r="AB899" s="207"/>
      <c r="AC899" s="207"/>
      <c r="AD899" s="207"/>
      <c r="AE899" s="207"/>
      <c r="AF899" s="207"/>
      <c r="AG899" s="207"/>
      <c r="AH899" s="207"/>
      <c r="AI899" s="207"/>
      <c r="AJ899" s="207"/>
      <c r="AK899" s="207"/>
      <c r="AL899" s="207"/>
      <c r="AM899" s="207"/>
      <c r="AN899" s="207"/>
      <c r="AO899" s="207"/>
      <c r="AP899" s="207"/>
      <c r="AQ899" s="207"/>
      <c r="AR899" s="207"/>
      <c r="AS899" s="207"/>
      <c r="AT899" s="207"/>
      <c r="AU899" s="207"/>
      <c r="AV899" s="207"/>
      <c r="AW899" s="207"/>
      <c r="AX899" s="207"/>
      <c r="AY899" s="207"/>
      <c r="AZ899" s="207"/>
      <c r="BA899" s="207"/>
    </row>
    <row r="900" ht="18.75" hidden="1" customHeight="1">
      <c r="A900" s="207"/>
      <c r="B900" s="207"/>
      <c r="C900" s="207"/>
      <c r="D900" s="207"/>
      <c r="E900" s="207"/>
      <c r="F900" s="207"/>
      <c r="G900" s="207"/>
      <c r="H900" s="207"/>
      <c r="I900" s="207"/>
      <c r="J900" s="207"/>
      <c r="K900" s="207"/>
      <c r="L900" s="207"/>
      <c r="M900" s="207"/>
      <c r="N900" s="207"/>
      <c r="O900" s="207"/>
      <c r="P900" s="207"/>
      <c r="Q900" s="207"/>
      <c r="R900" s="207"/>
      <c r="S900" s="207"/>
      <c r="T900" s="207"/>
      <c r="U900" s="207"/>
      <c r="V900" s="207"/>
      <c r="W900" s="207"/>
      <c r="X900" s="207"/>
      <c r="Y900" s="207"/>
      <c r="Z900" s="207"/>
      <c r="AA900" s="207"/>
      <c r="AB900" s="207"/>
      <c r="AC900" s="207"/>
      <c r="AD900" s="207"/>
      <c r="AE900" s="207"/>
      <c r="AF900" s="207"/>
      <c r="AG900" s="207"/>
      <c r="AH900" s="207"/>
      <c r="AI900" s="207"/>
      <c r="AJ900" s="207"/>
      <c r="AK900" s="207"/>
      <c r="AL900" s="207"/>
      <c r="AM900" s="207"/>
      <c r="AN900" s="207"/>
      <c r="AO900" s="207"/>
      <c r="AP900" s="207"/>
      <c r="AQ900" s="207"/>
      <c r="AR900" s="207"/>
      <c r="AS900" s="207"/>
      <c r="AT900" s="207"/>
      <c r="AU900" s="207"/>
      <c r="AV900" s="207"/>
      <c r="AW900" s="207"/>
      <c r="AX900" s="207"/>
      <c r="AY900" s="207"/>
      <c r="AZ900" s="207"/>
      <c r="BA900" s="207"/>
    </row>
    <row r="901" ht="18.75" hidden="1" customHeight="1">
      <c r="A901" s="207"/>
      <c r="B901" s="207"/>
      <c r="C901" s="207"/>
      <c r="D901" s="207"/>
      <c r="E901" s="207"/>
      <c r="F901" s="207"/>
      <c r="G901" s="207"/>
      <c r="H901" s="207"/>
      <c r="I901" s="207"/>
      <c r="J901" s="207"/>
      <c r="K901" s="207"/>
      <c r="L901" s="207"/>
      <c r="M901" s="207"/>
      <c r="N901" s="207"/>
      <c r="O901" s="207"/>
      <c r="P901" s="207"/>
      <c r="Q901" s="207"/>
      <c r="R901" s="207"/>
      <c r="S901" s="207"/>
      <c r="T901" s="207"/>
      <c r="U901" s="207"/>
      <c r="V901" s="207"/>
      <c r="W901" s="207"/>
      <c r="X901" s="207"/>
      <c r="Y901" s="207"/>
      <c r="Z901" s="207"/>
      <c r="AA901" s="207"/>
      <c r="AB901" s="207"/>
      <c r="AC901" s="207"/>
      <c r="AD901" s="207"/>
      <c r="AE901" s="207"/>
      <c r="AF901" s="207"/>
      <c r="AG901" s="207"/>
      <c r="AH901" s="207"/>
      <c r="AI901" s="207"/>
      <c r="AJ901" s="207"/>
      <c r="AK901" s="207"/>
      <c r="AL901" s="207"/>
      <c r="AM901" s="207"/>
      <c r="AN901" s="207"/>
      <c r="AO901" s="207"/>
      <c r="AP901" s="207"/>
      <c r="AQ901" s="207"/>
      <c r="AR901" s="207"/>
      <c r="AS901" s="207"/>
      <c r="AT901" s="207"/>
      <c r="AU901" s="207"/>
      <c r="AV901" s="207"/>
      <c r="AW901" s="207"/>
      <c r="AX901" s="207"/>
      <c r="AY901" s="207"/>
      <c r="AZ901" s="207"/>
      <c r="BA901" s="207"/>
    </row>
    <row r="902" ht="18.75" hidden="1" customHeight="1">
      <c r="A902" s="207"/>
      <c r="B902" s="207"/>
      <c r="C902" s="207"/>
      <c r="D902" s="207"/>
      <c r="E902" s="207"/>
      <c r="F902" s="207"/>
      <c r="G902" s="207"/>
      <c r="H902" s="207"/>
      <c r="I902" s="207"/>
      <c r="J902" s="207"/>
      <c r="K902" s="207"/>
      <c r="L902" s="207"/>
      <c r="M902" s="207"/>
      <c r="N902" s="207"/>
      <c r="O902" s="207"/>
      <c r="P902" s="207"/>
      <c r="Q902" s="207"/>
      <c r="R902" s="207"/>
      <c r="S902" s="207"/>
      <c r="T902" s="207"/>
      <c r="U902" s="207"/>
      <c r="V902" s="207"/>
      <c r="W902" s="207"/>
      <c r="X902" s="207"/>
      <c r="Y902" s="207"/>
      <c r="Z902" s="207"/>
      <c r="AA902" s="207"/>
      <c r="AB902" s="207"/>
      <c r="AC902" s="207"/>
      <c r="AD902" s="207"/>
      <c r="AE902" s="207"/>
      <c r="AF902" s="207"/>
      <c r="AG902" s="207"/>
      <c r="AH902" s="207"/>
      <c r="AI902" s="207"/>
      <c r="AJ902" s="207"/>
      <c r="AK902" s="207"/>
      <c r="AL902" s="207"/>
      <c r="AM902" s="207"/>
      <c r="AN902" s="207"/>
      <c r="AO902" s="207"/>
      <c r="AP902" s="207"/>
      <c r="AQ902" s="207"/>
      <c r="AR902" s="207"/>
      <c r="AS902" s="207"/>
      <c r="AT902" s="207"/>
      <c r="AU902" s="207"/>
      <c r="AV902" s="207"/>
      <c r="AW902" s="207"/>
      <c r="AX902" s="207"/>
      <c r="AY902" s="207"/>
      <c r="AZ902" s="207"/>
      <c r="BA902" s="207"/>
    </row>
    <row r="903" ht="18.75" hidden="1" customHeight="1">
      <c r="A903" s="207"/>
      <c r="B903" s="207"/>
      <c r="C903" s="207"/>
      <c r="D903" s="207"/>
      <c r="E903" s="207"/>
      <c r="F903" s="207"/>
      <c r="G903" s="207"/>
      <c r="H903" s="207"/>
      <c r="I903" s="207"/>
      <c r="J903" s="207"/>
      <c r="K903" s="207"/>
      <c r="L903" s="207"/>
      <c r="M903" s="207"/>
      <c r="N903" s="207"/>
      <c r="O903" s="207"/>
      <c r="P903" s="207"/>
      <c r="Q903" s="207"/>
      <c r="R903" s="207"/>
      <c r="S903" s="207"/>
      <c r="T903" s="207"/>
      <c r="U903" s="207"/>
      <c r="V903" s="207"/>
      <c r="W903" s="207"/>
      <c r="X903" s="207"/>
      <c r="Y903" s="207"/>
      <c r="Z903" s="207"/>
      <c r="AA903" s="207"/>
      <c r="AB903" s="207"/>
      <c r="AC903" s="207"/>
      <c r="AD903" s="207"/>
      <c r="AE903" s="207"/>
      <c r="AF903" s="207"/>
      <c r="AG903" s="207"/>
      <c r="AH903" s="207"/>
      <c r="AI903" s="207"/>
      <c r="AJ903" s="207"/>
      <c r="AK903" s="207"/>
      <c r="AL903" s="207"/>
      <c r="AM903" s="207"/>
      <c r="AN903" s="207"/>
      <c r="AO903" s="207"/>
      <c r="AP903" s="207"/>
      <c r="AQ903" s="207"/>
      <c r="AR903" s="207"/>
      <c r="AS903" s="207"/>
      <c r="AT903" s="207"/>
      <c r="AU903" s="207"/>
      <c r="AV903" s="207"/>
      <c r="AW903" s="207"/>
      <c r="AX903" s="207"/>
      <c r="AY903" s="207"/>
      <c r="AZ903" s="207"/>
      <c r="BA903" s="207"/>
    </row>
    <row r="904" ht="18.75" hidden="1" customHeight="1">
      <c r="A904" s="207"/>
      <c r="B904" s="207"/>
      <c r="C904" s="207"/>
      <c r="D904" s="207"/>
      <c r="E904" s="207"/>
      <c r="F904" s="207"/>
      <c r="G904" s="207"/>
      <c r="H904" s="207"/>
      <c r="I904" s="207"/>
      <c r="J904" s="207"/>
      <c r="K904" s="207"/>
      <c r="L904" s="207"/>
      <c r="M904" s="207"/>
      <c r="N904" s="207"/>
      <c r="O904" s="207"/>
      <c r="P904" s="207"/>
      <c r="Q904" s="207"/>
      <c r="R904" s="207"/>
      <c r="S904" s="207"/>
      <c r="T904" s="207"/>
      <c r="U904" s="207"/>
      <c r="V904" s="207"/>
      <c r="W904" s="207"/>
      <c r="X904" s="207"/>
      <c r="Y904" s="207"/>
      <c r="Z904" s="207"/>
      <c r="AA904" s="207"/>
      <c r="AB904" s="207"/>
      <c r="AC904" s="207"/>
      <c r="AD904" s="207"/>
      <c r="AE904" s="207"/>
      <c r="AF904" s="207"/>
      <c r="AG904" s="207"/>
      <c r="AH904" s="207"/>
      <c r="AI904" s="207"/>
      <c r="AJ904" s="207"/>
      <c r="AK904" s="207"/>
      <c r="AL904" s="207"/>
      <c r="AM904" s="207"/>
      <c r="AN904" s="207"/>
      <c r="AO904" s="207"/>
      <c r="AP904" s="207"/>
      <c r="AQ904" s="207"/>
      <c r="AR904" s="207"/>
      <c r="AS904" s="207"/>
      <c r="AT904" s="207"/>
      <c r="AU904" s="207"/>
      <c r="AV904" s="207"/>
      <c r="AW904" s="207"/>
      <c r="AX904" s="207"/>
      <c r="AY904" s="207"/>
      <c r="AZ904" s="207"/>
      <c r="BA904" s="207"/>
    </row>
    <row r="905" ht="18.75" hidden="1" customHeight="1">
      <c r="A905" s="207"/>
      <c r="B905" s="207"/>
      <c r="C905" s="207"/>
      <c r="D905" s="207"/>
      <c r="E905" s="207"/>
      <c r="F905" s="207"/>
      <c r="G905" s="207"/>
      <c r="H905" s="207"/>
      <c r="I905" s="207"/>
      <c r="J905" s="207"/>
      <c r="K905" s="207"/>
      <c r="L905" s="207"/>
      <c r="M905" s="207"/>
      <c r="N905" s="207"/>
      <c r="O905" s="207"/>
      <c r="P905" s="207"/>
      <c r="Q905" s="207"/>
      <c r="R905" s="207"/>
      <c r="S905" s="207"/>
      <c r="T905" s="207"/>
      <c r="U905" s="207"/>
      <c r="V905" s="207"/>
      <c r="W905" s="207"/>
      <c r="X905" s="207"/>
      <c r="Y905" s="207"/>
      <c r="Z905" s="207"/>
      <c r="AA905" s="207"/>
      <c r="AB905" s="207"/>
      <c r="AC905" s="207"/>
      <c r="AD905" s="207"/>
      <c r="AE905" s="207"/>
      <c r="AF905" s="207"/>
      <c r="AG905" s="207"/>
      <c r="AH905" s="207"/>
      <c r="AI905" s="207"/>
      <c r="AJ905" s="207"/>
      <c r="AK905" s="207"/>
      <c r="AL905" s="207"/>
      <c r="AM905" s="207"/>
      <c r="AN905" s="207"/>
      <c r="AO905" s="207"/>
      <c r="AP905" s="207"/>
      <c r="AQ905" s="207"/>
      <c r="AR905" s="207"/>
      <c r="AS905" s="207"/>
      <c r="AT905" s="207"/>
      <c r="AU905" s="207"/>
      <c r="AV905" s="207"/>
      <c r="AW905" s="207"/>
      <c r="AX905" s="207"/>
      <c r="AY905" s="207"/>
      <c r="AZ905" s="207"/>
      <c r="BA905" s="207"/>
    </row>
    <row r="906" ht="18.75" hidden="1" customHeight="1">
      <c r="A906" s="207"/>
      <c r="B906" s="207"/>
      <c r="C906" s="207"/>
      <c r="D906" s="207"/>
      <c r="E906" s="207"/>
      <c r="F906" s="207"/>
      <c r="G906" s="207"/>
      <c r="H906" s="207"/>
      <c r="I906" s="207"/>
      <c r="J906" s="207"/>
      <c r="K906" s="207"/>
      <c r="L906" s="207"/>
      <c r="M906" s="207"/>
      <c r="N906" s="207"/>
      <c r="O906" s="207"/>
      <c r="P906" s="207"/>
      <c r="Q906" s="207"/>
      <c r="R906" s="207"/>
      <c r="S906" s="207"/>
      <c r="T906" s="207"/>
      <c r="U906" s="207"/>
      <c r="V906" s="207"/>
      <c r="W906" s="207"/>
      <c r="X906" s="207"/>
      <c r="Y906" s="207"/>
      <c r="Z906" s="207"/>
      <c r="AA906" s="207"/>
      <c r="AB906" s="207"/>
      <c r="AC906" s="207"/>
      <c r="AD906" s="207"/>
      <c r="AE906" s="207"/>
      <c r="AF906" s="207"/>
      <c r="AG906" s="207"/>
      <c r="AH906" s="207"/>
      <c r="AI906" s="207"/>
      <c r="AJ906" s="207"/>
      <c r="AK906" s="207"/>
      <c r="AL906" s="207"/>
      <c r="AM906" s="207"/>
      <c r="AN906" s="207"/>
      <c r="AO906" s="207"/>
      <c r="AP906" s="207"/>
      <c r="AQ906" s="207"/>
      <c r="AR906" s="207"/>
      <c r="AS906" s="207"/>
      <c r="AT906" s="207"/>
      <c r="AU906" s="207"/>
      <c r="AV906" s="207"/>
      <c r="AW906" s="207"/>
      <c r="AX906" s="207"/>
      <c r="AY906" s="207"/>
      <c r="AZ906" s="207"/>
      <c r="BA906" s="207"/>
    </row>
    <row r="907" ht="18.75" hidden="1" customHeight="1">
      <c r="A907" s="207"/>
      <c r="B907" s="207"/>
      <c r="C907" s="207"/>
      <c r="D907" s="207"/>
      <c r="E907" s="207"/>
      <c r="F907" s="207"/>
      <c r="G907" s="207"/>
      <c r="H907" s="207"/>
      <c r="I907" s="207"/>
      <c r="J907" s="207"/>
      <c r="K907" s="207"/>
      <c r="L907" s="207"/>
      <c r="M907" s="207"/>
      <c r="N907" s="207"/>
      <c r="O907" s="207"/>
      <c r="P907" s="207"/>
      <c r="Q907" s="207"/>
      <c r="R907" s="207"/>
      <c r="S907" s="207"/>
      <c r="T907" s="207"/>
      <c r="U907" s="207"/>
      <c r="V907" s="207"/>
      <c r="W907" s="207"/>
      <c r="X907" s="207"/>
      <c r="Y907" s="207"/>
      <c r="Z907" s="207"/>
      <c r="AA907" s="207"/>
      <c r="AB907" s="207"/>
      <c r="AC907" s="207"/>
      <c r="AD907" s="207"/>
      <c r="AE907" s="207"/>
      <c r="AF907" s="207"/>
      <c r="AG907" s="207"/>
      <c r="AH907" s="207"/>
      <c r="AI907" s="207"/>
      <c r="AJ907" s="207"/>
      <c r="AK907" s="207"/>
      <c r="AL907" s="207"/>
      <c r="AM907" s="207"/>
      <c r="AN907" s="207"/>
      <c r="AO907" s="207"/>
      <c r="AP907" s="207"/>
      <c r="AQ907" s="207"/>
      <c r="AR907" s="207"/>
      <c r="AS907" s="207"/>
      <c r="AT907" s="207"/>
      <c r="AU907" s="207"/>
      <c r="AV907" s="207"/>
      <c r="AW907" s="207"/>
      <c r="AX907" s="207"/>
      <c r="AY907" s="207"/>
      <c r="AZ907" s="207"/>
      <c r="BA907" s="207"/>
    </row>
    <row r="908" ht="18.75" hidden="1" customHeight="1">
      <c r="A908" s="207"/>
      <c r="B908" s="207"/>
      <c r="C908" s="207"/>
      <c r="D908" s="207"/>
      <c r="E908" s="207"/>
      <c r="F908" s="207"/>
      <c r="G908" s="207"/>
      <c r="H908" s="207"/>
      <c r="I908" s="207"/>
      <c r="J908" s="207"/>
      <c r="K908" s="207"/>
      <c r="L908" s="207"/>
      <c r="M908" s="207"/>
      <c r="N908" s="207"/>
      <c r="O908" s="207"/>
      <c r="P908" s="207"/>
      <c r="Q908" s="207"/>
      <c r="R908" s="207"/>
      <c r="S908" s="207"/>
      <c r="T908" s="207"/>
      <c r="U908" s="207"/>
      <c r="V908" s="207"/>
      <c r="W908" s="207"/>
      <c r="X908" s="207"/>
      <c r="Y908" s="207"/>
      <c r="Z908" s="207"/>
      <c r="AA908" s="207"/>
      <c r="AB908" s="207"/>
      <c r="AC908" s="207"/>
      <c r="AD908" s="207"/>
      <c r="AE908" s="207"/>
      <c r="AF908" s="207"/>
      <c r="AG908" s="207"/>
      <c r="AH908" s="207"/>
      <c r="AI908" s="207"/>
      <c r="AJ908" s="207"/>
      <c r="AK908" s="207"/>
      <c r="AL908" s="207"/>
      <c r="AM908" s="207"/>
      <c r="AN908" s="207"/>
      <c r="AO908" s="207"/>
      <c r="AP908" s="207"/>
      <c r="AQ908" s="207"/>
      <c r="AR908" s="207"/>
      <c r="AS908" s="207"/>
      <c r="AT908" s="207"/>
      <c r="AU908" s="207"/>
      <c r="AV908" s="207"/>
      <c r="AW908" s="207"/>
      <c r="AX908" s="207"/>
      <c r="AY908" s="207"/>
      <c r="AZ908" s="207"/>
      <c r="BA908" s="207"/>
    </row>
    <row r="909" ht="18.75" hidden="1" customHeight="1">
      <c r="A909" s="207"/>
      <c r="B909" s="207"/>
      <c r="C909" s="207"/>
      <c r="D909" s="207"/>
      <c r="E909" s="207"/>
      <c r="F909" s="207"/>
      <c r="G909" s="207"/>
      <c r="H909" s="207"/>
      <c r="I909" s="207"/>
      <c r="J909" s="207"/>
      <c r="K909" s="207"/>
      <c r="L909" s="207"/>
      <c r="M909" s="207"/>
      <c r="N909" s="207"/>
      <c r="O909" s="207"/>
      <c r="P909" s="207"/>
      <c r="Q909" s="207"/>
      <c r="R909" s="207"/>
      <c r="S909" s="207"/>
      <c r="T909" s="207"/>
      <c r="U909" s="207"/>
      <c r="V909" s="207"/>
      <c r="W909" s="207"/>
      <c r="X909" s="207"/>
      <c r="Y909" s="207"/>
      <c r="Z909" s="207"/>
      <c r="AA909" s="207"/>
      <c r="AB909" s="207"/>
      <c r="AC909" s="207"/>
      <c r="AD909" s="207"/>
      <c r="AE909" s="207"/>
      <c r="AF909" s="207"/>
      <c r="AG909" s="207"/>
      <c r="AH909" s="207"/>
      <c r="AI909" s="207"/>
      <c r="AJ909" s="207"/>
      <c r="AK909" s="207"/>
      <c r="AL909" s="207"/>
      <c r="AM909" s="207"/>
      <c r="AN909" s="207"/>
      <c r="AO909" s="207"/>
      <c r="AP909" s="207"/>
      <c r="AQ909" s="207"/>
      <c r="AR909" s="207"/>
      <c r="AS909" s="207"/>
      <c r="AT909" s="207"/>
      <c r="AU909" s="207"/>
      <c r="AV909" s="207"/>
      <c r="AW909" s="207"/>
      <c r="AX909" s="207"/>
      <c r="AY909" s="207"/>
      <c r="AZ909" s="207"/>
      <c r="BA909" s="207"/>
    </row>
    <row r="910" ht="18.75" hidden="1" customHeight="1">
      <c r="A910" s="207"/>
      <c r="B910" s="207"/>
      <c r="C910" s="207"/>
      <c r="D910" s="207"/>
      <c r="E910" s="207"/>
      <c r="F910" s="207"/>
      <c r="G910" s="207"/>
      <c r="H910" s="207"/>
      <c r="I910" s="207"/>
      <c r="J910" s="207"/>
      <c r="K910" s="207"/>
      <c r="L910" s="207"/>
      <c r="M910" s="207"/>
      <c r="N910" s="207"/>
      <c r="O910" s="207"/>
      <c r="P910" s="207"/>
      <c r="Q910" s="207"/>
      <c r="R910" s="207"/>
      <c r="S910" s="207"/>
      <c r="T910" s="207"/>
      <c r="U910" s="207"/>
      <c r="V910" s="207"/>
      <c r="W910" s="207"/>
      <c r="X910" s="207"/>
      <c r="Y910" s="207"/>
      <c r="Z910" s="207"/>
      <c r="AA910" s="207"/>
      <c r="AB910" s="207"/>
      <c r="AC910" s="207"/>
      <c r="AD910" s="207"/>
      <c r="AE910" s="207"/>
      <c r="AF910" s="207"/>
      <c r="AG910" s="207"/>
      <c r="AH910" s="207"/>
      <c r="AI910" s="207"/>
      <c r="AJ910" s="207"/>
      <c r="AK910" s="207"/>
      <c r="AL910" s="207"/>
      <c r="AM910" s="207"/>
      <c r="AN910" s="207"/>
      <c r="AO910" s="207"/>
      <c r="AP910" s="207"/>
      <c r="AQ910" s="207"/>
      <c r="AR910" s="207"/>
      <c r="AS910" s="207"/>
      <c r="AT910" s="207"/>
      <c r="AU910" s="207"/>
      <c r="AV910" s="207"/>
      <c r="AW910" s="207"/>
      <c r="AX910" s="207"/>
      <c r="AY910" s="207"/>
      <c r="AZ910" s="207"/>
      <c r="BA910" s="207"/>
    </row>
    <row r="911" ht="18.75" hidden="1" customHeight="1">
      <c r="A911" s="207"/>
      <c r="B911" s="207"/>
      <c r="C911" s="207"/>
      <c r="D911" s="207"/>
      <c r="E911" s="207"/>
      <c r="F911" s="207"/>
      <c r="G911" s="207"/>
      <c r="H911" s="207"/>
      <c r="I911" s="207"/>
      <c r="J911" s="207"/>
      <c r="K911" s="207"/>
      <c r="L911" s="207"/>
      <c r="M911" s="207"/>
      <c r="N911" s="207"/>
      <c r="O911" s="207"/>
      <c r="P911" s="207"/>
      <c r="Q911" s="207"/>
      <c r="R911" s="207"/>
      <c r="S911" s="207"/>
      <c r="T911" s="207"/>
      <c r="U911" s="207"/>
      <c r="V911" s="207"/>
      <c r="W911" s="207"/>
      <c r="X911" s="207"/>
      <c r="Y911" s="207"/>
      <c r="Z911" s="207"/>
      <c r="AA911" s="207"/>
      <c r="AB911" s="207"/>
      <c r="AC911" s="207"/>
      <c r="AD911" s="207"/>
      <c r="AE911" s="207"/>
      <c r="AF911" s="207"/>
      <c r="AG911" s="207"/>
      <c r="AH911" s="207"/>
      <c r="AI911" s="207"/>
      <c r="AJ911" s="207"/>
      <c r="AK911" s="207"/>
      <c r="AL911" s="207"/>
      <c r="AM911" s="207"/>
      <c r="AN911" s="207"/>
      <c r="AO911" s="207"/>
      <c r="AP911" s="207"/>
      <c r="AQ911" s="207"/>
      <c r="AR911" s="207"/>
      <c r="AS911" s="207"/>
      <c r="AT911" s="207"/>
      <c r="AU911" s="207"/>
      <c r="AV911" s="207"/>
      <c r="AW911" s="207"/>
      <c r="AX911" s="207"/>
      <c r="AY911" s="207"/>
      <c r="AZ911" s="207"/>
      <c r="BA911" s="207"/>
    </row>
    <row r="912" ht="18.75" hidden="1" customHeight="1">
      <c r="A912" s="207"/>
      <c r="B912" s="207"/>
      <c r="C912" s="207"/>
      <c r="D912" s="207"/>
      <c r="E912" s="207"/>
      <c r="F912" s="207"/>
      <c r="G912" s="207"/>
      <c r="H912" s="207"/>
      <c r="I912" s="207"/>
      <c r="J912" s="207"/>
      <c r="K912" s="207"/>
      <c r="L912" s="207"/>
      <c r="M912" s="207"/>
      <c r="N912" s="207"/>
      <c r="O912" s="207"/>
      <c r="P912" s="207"/>
      <c r="Q912" s="207"/>
      <c r="R912" s="207"/>
      <c r="S912" s="207"/>
      <c r="T912" s="207"/>
      <c r="U912" s="207"/>
      <c r="V912" s="207"/>
      <c r="W912" s="207"/>
      <c r="X912" s="207"/>
      <c r="Y912" s="207"/>
      <c r="Z912" s="207"/>
      <c r="AA912" s="207"/>
      <c r="AB912" s="207"/>
      <c r="AC912" s="207"/>
      <c r="AD912" s="207"/>
      <c r="AE912" s="207"/>
      <c r="AF912" s="207"/>
      <c r="AG912" s="207"/>
      <c r="AH912" s="207"/>
      <c r="AI912" s="207"/>
      <c r="AJ912" s="207"/>
      <c r="AK912" s="207"/>
      <c r="AL912" s="207"/>
      <c r="AM912" s="207"/>
      <c r="AN912" s="207"/>
      <c r="AO912" s="207"/>
      <c r="AP912" s="207"/>
      <c r="AQ912" s="207"/>
      <c r="AR912" s="207"/>
      <c r="AS912" s="207"/>
      <c r="AT912" s="207"/>
      <c r="AU912" s="207"/>
      <c r="AV912" s="207"/>
      <c r="AW912" s="207"/>
      <c r="AX912" s="207"/>
      <c r="AY912" s="207"/>
      <c r="AZ912" s="207"/>
      <c r="BA912" s="207"/>
    </row>
    <row r="913" ht="18.75" hidden="1" customHeight="1">
      <c r="A913" s="207"/>
      <c r="B913" s="207"/>
      <c r="C913" s="207"/>
      <c r="D913" s="207"/>
      <c r="E913" s="207"/>
      <c r="F913" s="207"/>
      <c r="G913" s="207"/>
      <c r="H913" s="207"/>
      <c r="I913" s="207"/>
      <c r="J913" s="207"/>
      <c r="K913" s="207"/>
      <c r="L913" s="207"/>
      <c r="M913" s="207"/>
      <c r="N913" s="207"/>
      <c r="O913" s="207"/>
      <c r="P913" s="207"/>
      <c r="Q913" s="207"/>
      <c r="R913" s="207"/>
      <c r="S913" s="207"/>
      <c r="T913" s="207"/>
      <c r="U913" s="207"/>
      <c r="V913" s="207"/>
      <c r="W913" s="207"/>
      <c r="X913" s="207"/>
      <c r="Y913" s="207"/>
      <c r="Z913" s="207"/>
      <c r="AA913" s="207"/>
      <c r="AB913" s="207"/>
      <c r="AC913" s="207"/>
      <c r="AD913" s="207"/>
      <c r="AE913" s="207"/>
      <c r="AF913" s="207"/>
      <c r="AG913" s="207"/>
      <c r="AH913" s="207"/>
      <c r="AI913" s="207"/>
      <c r="AJ913" s="207"/>
      <c r="AK913" s="207"/>
      <c r="AL913" s="207"/>
      <c r="AM913" s="207"/>
      <c r="AN913" s="207"/>
      <c r="AO913" s="207"/>
      <c r="AP913" s="207"/>
      <c r="AQ913" s="207"/>
      <c r="AR913" s="207"/>
      <c r="AS913" s="207"/>
      <c r="AT913" s="207"/>
      <c r="AU913" s="207"/>
      <c r="AV913" s="207"/>
      <c r="AW913" s="207"/>
      <c r="AX913" s="207"/>
      <c r="AY913" s="207"/>
      <c r="AZ913" s="207"/>
      <c r="BA913" s="207"/>
    </row>
    <row r="914" ht="18.75" hidden="1" customHeight="1">
      <c r="A914" s="207"/>
      <c r="B914" s="207"/>
      <c r="C914" s="207"/>
      <c r="D914" s="207"/>
      <c r="E914" s="207"/>
      <c r="F914" s="207"/>
      <c r="G914" s="207"/>
      <c r="H914" s="207"/>
      <c r="I914" s="207"/>
      <c r="J914" s="207"/>
      <c r="K914" s="207"/>
      <c r="L914" s="207"/>
      <c r="M914" s="207"/>
      <c r="N914" s="207"/>
      <c r="O914" s="207"/>
      <c r="P914" s="207"/>
      <c r="Q914" s="207"/>
      <c r="R914" s="207"/>
      <c r="S914" s="207"/>
      <c r="T914" s="207"/>
      <c r="U914" s="207"/>
      <c r="V914" s="207"/>
      <c r="W914" s="207"/>
      <c r="X914" s="207"/>
      <c r="Y914" s="207"/>
      <c r="Z914" s="207"/>
      <c r="AA914" s="207"/>
      <c r="AB914" s="207"/>
      <c r="AC914" s="207"/>
      <c r="AD914" s="207"/>
      <c r="AE914" s="207"/>
      <c r="AF914" s="207"/>
      <c r="AG914" s="207"/>
      <c r="AH914" s="207"/>
      <c r="AI914" s="207"/>
      <c r="AJ914" s="207"/>
      <c r="AK914" s="207"/>
      <c r="AL914" s="207"/>
      <c r="AM914" s="207"/>
      <c r="AN914" s="207"/>
      <c r="AO914" s="207"/>
      <c r="AP914" s="207"/>
      <c r="AQ914" s="207"/>
      <c r="AR914" s="207"/>
      <c r="AS914" s="207"/>
      <c r="AT914" s="207"/>
      <c r="AU914" s="207"/>
      <c r="AV914" s="207"/>
      <c r="AW914" s="207"/>
      <c r="AX914" s="207"/>
      <c r="AY914" s="207"/>
      <c r="AZ914" s="207"/>
      <c r="BA914" s="207"/>
    </row>
    <row r="915" ht="18.75" hidden="1" customHeight="1">
      <c r="A915" s="207"/>
      <c r="B915" s="207"/>
      <c r="C915" s="207"/>
      <c r="D915" s="207"/>
      <c r="E915" s="207"/>
      <c r="F915" s="207"/>
      <c r="G915" s="207"/>
      <c r="H915" s="207"/>
      <c r="I915" s="207"/>
      <c r="J915" s="207"/>
      <c r="K915" s="207"/>
      <c r="L915" s="207"/>
      <c r="M915" s="207"/>
      <c r="N915" s="207"/>
      <c r="O915" s="207"/>
      <c r="P915" s="207"/>
      <c r="Q915" s="207"/>
      <c r="R915" s="207"/>
      <c r="S915" s="207"/>
      <c r="T915" s="207"/>
      <c r="U915" s="207"/>
      <c r="V915" s="207"/>
      <c r="W915" s="207"/>
      <c r="X915" s="207"/>
      <c r="Y915" s="207"/>
      <c r="Z915" s="207"/>
      <c r="AA915" s="207"/>
      <c r="AB915" s="207"/>
      <c r="AC915" s="207"/>
      <c r="AD915" s="207"/>
      <c r="AE915" s="207"/>
      <c r="AF915" s="207"/>
      <c r="AG915" s="207"/>
      <c r="AH915" s="207"/>
      <c r="AI915" s="207"/>
      <c r="AJ915" s="207"/>
      <c r="AK915" s="207"/>
      <c r="AL915" s="207"/>
      <c r="AM915" s="207"/>
      <c r="AN915" s="207"/>
      <c r="AO915" s="207"/>
      <c r="AP915" s="207"/>
      <c r="AQ915" s="207"/>
      <c r="AR915" s="207"/>
      <c r="AS915" s="207"/>
      <c r="AT915" s="207"/>
      <c r="AU915" s="207"/>
      <c r="AV915" s="207"/>
      <c r="AW915" s="207"/>
      <c r="AX915" s="207"/>
      <c r="AY915" s="207"/>
      <c r="AZ915" s="207"/>
      <c r="BA915" s="207"/>
    </row>
    <row r="916" ht="18.75" hidden="1" customHeight="1">
      <c r="A916" s="207"/>
      <c r="B916" s="207"/>
      <c r="C916" s="207"/>
      <c r="D916" s="207"/>
      <c r="E916" s="207"/>
      <c r="F916" s="207"/>
      <c r="G916" s="207"/>
      <c r="H916" s="207"/>
      <c r="I916" s="207"/>
      <c r="J916" s="207"/>
      <c r="K916" s="207"/>
      <c r="L916" s="207"/>
      <c r="M916" s="207"/>
      <c r="N916" s="207"/>
      <c r="O916" s="207"/>
      <c r="P916" s="207"/>
      <c r="Q916" s="207"/>
      <c r="R916" s="207"/>
      <c r="S916" s="207"/>
      <c r="T916" s="207"/>
      <c r="U916" s="207"/>
      <c r="V916" s="207"/>
      <c r="W916" s="207"/>
      <c r="X916" s="207"/>
      <c r="Y916" s="207"/>
      <c r="Z916" s="207"/>
      <c r="AA916" s="207"/>
      <c r="AB916" s="207"/>
      <c r="AC916" s="207"/>
      <c r="AD916" s="207"/>
      <c r="AE916" s="207"/>
      <c r="AF916" s="207"/>
      <c r="AG916" s="207"/>
      <c r="AH916" s="207"/>
      <c r="AI916" s="207"/>
      <c r="AJ916" s="207"/>
      <c r="AK916" s="207"/>
      <c r="AL916" s="207"/>
      <c r="AM916" s="207"/>
      <c r="AN916" s="207"/>
      <c r="AO916" s="207"/>
      <c r="AP916" s="207"/>
      <c r="AQ916" s="207"/>
      <c r="AR916" s="207"/>
      <c r="AS916" s="207"/>
      <c r="AT916" s="207"/>
      <c r="AU916" s="207"/>
      <c r="AV916" s="207"/>
      <c r="AW916" s="207"/>
      <c r="AX916" s="207"/>
      <c r="AY916" s="207"/>
      <c r="AZ916" s="207"/>
      <c r="BA916" s="207"/>
    </row>
    <row r="917" ht="18.75" hidden="1" customHeight="1">
      <c r="A917" s="207"/>
      <c r="B917" s="207"/>
      <c r="C917" s="207"/>
      <c r="D917" s="207"/>
      <c r="E917" s="207"/>
      <c r="F917" s="207"/>
      <c r="G917" s="207"/>
      <c r="H917" s="207"/>
      <c r="I917" s="207"/>
      <c r="J917" s="207"/>
      <c r="K917" s="207"/>
      <c r="L917" s="207"/>
      <c r="M917" s="207"/>
      <c r="N917" s="207"/>
      <c r="O917" s="207"/>
      <c r="P917" s="207"/>
      <c r="Q917" s="207"/>
      <c r="R917" s="207"/>
      <c r="S917" s="207"/>
      <c r="T917" s="207"/>
      <c r="U917" s="207"/>
      <c r="V917" s="207"/>
      <c r="W917" s="207"/>
      <c r="X917" s="207"/>
      <c r="Y917" s="207"/>
      <c r="Z917" s="207"/>
      <c r="AA917" s="207"/>
      <c r="AB917" s="207"/>
      <c r="AC917" s="207"/>
      <c r="AD917" s="207"/>
      <c r="AE917" s="207"/>
      <c r="AF917" s="207"/>
      <c r="AG917" s="207"/>
      <c r="AH917" s="207"/>
      <c r="AI917" s="207"/>
      <c r="AJ917" s="207"/>
      <c r="AK917" s="207"/>
      <c r="AL917" s="207"/>
      <c r="AM917" s="207"/>
      <c r="AN917" s="207"/>
      <c r="AO917" s="207"/>
      <c r="AP917" s="207"/>
      <c r="AQ917" s="207"/>
      <c r="AR917" s="207"/>
      <c r="AS917" s="207"/>
      <c r="AT917" s="207"/>
      <c r="AU917" s="207"/>
      <c r="AV917" s="207"/>
      <c r="AW917" s="207"/>
      <c r="AX917" s="207"/>
      <c r="AY917" s="207"/>
      <c r="AZ917" s="207"/>
      <c r="BA917" s="207"/>
    </row>
    <row r="918" ht="18.75" hidden="1" customHeight="1">
      <c r="A918" s="207"/>
      <c r="B918" s="207"/>
      <c r="C918" s="207"/>
      <c r="D918" s="207"/>
      <c r="E918" s="207"/>
      <c r="F918" s="207"/>
      <c r="G918" s="207"/>
      <c r="H918" s="207"/>
      <c r="I918" s="207"/>
      <c r="J918" s="207"/>
      <c r="K918" s="207"/>
      <c r="L918" s="207"/>
      <c r="M918" s="207"/>
      <c r="N918" s="207"/>
      <c r="O918" s="207"/>
      <c r="P918" s="207"/>
      <c r="Q918" s="207"/>
      <c r="R918" s="207"/>
      <c r="S918" s="207"/>
      <c r="T918" s="207"/>
      <c r="U918" s="207"/>
      <c r="V918" s="207"/>
      <c r="W918" s="207"/>
      <c r="X918" s="207"/>
      <c r="Y918" s="207"/>
      <c r="Z918" s="207"/>
      <c r="AA918" s="207"/>
      <c r="AB918" s="207"/>
      <c r="AC918" s="207"/>
      <c r="AD918" s="207"/>
      <c r="AE918" s="207"/>
      <c r="AF918" s="207"/>
      <c r="AG918" s="207"/>
      <c r="AH918" s="207"/>
      <c r="AI918" s="207"/>
      <c r="AJ918" s="207"/>
      <c r="AK918" s="207"/>
      <c r="AL918" s="207"/>
      <c r="AM918" s="207"/>
      <c r="AN918" s="207"/>
      <c r="AO918" s="207"/>
      <c r="AP918" s="207"/>
      <c r="AQ918" s="207"/>
      <c r="AR918" s="207"/>
      <c r="AS918" s="207"/>
      <c r="AT918" s="207"/>
      <c r="AU918" s="207"/>
      <c r="AV918" s="207"/>
      <c r="AW918" s="207"/>
      <c r="AX918" s="207"/>
      <c r="AY918" s="207"/>
      <c r="AZ918" s="207"/>
      <c r="BA918" s="207"/>
    </row>
    <row r="919" ht="18.75" hidden="1" customHeight="1">
      <c r="A919" s="207"/>
      <c r="B919" s="207"/>
      <c r="C919" s="207"/>
      <c r="D919" s="207"/>
      <c r="E919" s="207"/>
      <c r="F919" s="207"/>
      <c r="G919" s="207"/>
      <c r="H919" s="207"/>
      <c r="I919" s="207"/>
      <c r="J919" s="207"/>
      <c r="K919" s="207"/>
      <c r="L919" s="207"/>
      <c r="M919" s="207"/>
      <c r="N919" s="207"/>
      <c r="O919" s="207"/>
      <c r="P919" s="207"/>
      <c r="Q919" s="207"/>
      <c r="R919" s="207"/>
      <c r="S919" s="207"/>
      <c r="T919" s="207"/>
      <c r="U919" s="207"/>
      <c r="V919" s="207"/>
      <c r="W919" s="207"/>
      <c r="X919" s="207"/>
      <c r="Y919" s="207"/>
      <c r="Z919" s="207"/>
      <c r="AA919" s="207"/>
      <c r="AB919" s="207"/>
      <c r="AC919" s="207"/>
      <c r="AD919" s="207"/>
      <c r="AE919" s="207"/>
      <c r="AF919" s="207"/>
      <c r="AG919" s="207"/>
      <c r="AH919" s="207"/>
      <c r="AI919" s="207"/>
      <c r="AJ919" s="207"/>
      <c r="AK919" s="207"/>
      <c r="AL919" s="207"/>
      <c r="AM919" s="207"/>
      <c r="AN919" s="207"/>
      <c r="AO919" s="207"/>
      <c r="AP919" s="207"/>
      <c r="AQ919" s="207"/>
      <c r="AR919" s="207"/>
      <c r="AS919" s="207"/>
      <c r="AT919" s="207"/>
      <c r="AU919" s="207"/>
      <c r="AV919" s="207"/>
      <c r="AW919" s="207"/>
      <c r="AX919" s="207"/>
      <c r="AY919" s="207"/>
      <c r="AZ919" s="207"/>
      <c r="BA919" s="207"/>
    </row>
    <row r="920" ht="18.75" hidden="1" customHeight="1">
      <c r="A920" s="207"/>
      <c r="B920" s="207"/>
      <c r="C920" s="207"/>
      <c r="D920" s="207"/>
      <c r="E920" s="207"/>
      <c r="F920" s="207"/>
      <c r="G920" s="207"/>
      <c r="H920" s="207"/>
      <c r="I920" s="207"/>
      <c r="J920" s="207"/>
      <c r="K920" s="207"/>
      <c r="L920" s="207"/>
      <c r="M920" s="207"/>
      <c r="N920" s="207"/>
      <c r="O920" s="207"/>
      <c r="P920" s="207"/>
      <c r="Q920" s="207"/>
      <c r="R920" s="207"/>
      <c r="S920" s="207"/>
      <c r="T920" s="207"/>
      <c r="U920" s="207"/>
      <c r="V920" s="207"/>
      <c r="W920" s="207"/>
      <c r="X920" s="207"/>
      <c r="Y920" s="207"/>
      <c r="Z920" s="207"/>
      <c r="AA920" s="207"/>
      <c r="AB920" s="207"/>
      <c r="AC920" s="207"/>
      <c r="AD920" s="207"/>
      <c r="AE920" s="207"/>
      <c r="AF920" s="207"/>
      <c r="AG920" s="207"/>
      <c r="AH920" s="207"/>
      <c r="AI920" s="207"/>
      <c r="AJ920" s="207"/>
      <c r="AK920" s="207"/>
      <c r="AL920" s="207"/>
      <c r="AM920" s="207"/>
      <c r="AN920" s="207"/>
      <c r="AO920" s="207"/>
      <c r="AP920" s="207"/>
      <c r="AQ920" s="207"/>
      <c r="AR920" s="207"/>
      <c r="AS920" s="207"/>
      <c r="AT920" s="207"/>
      <c r="AU920" s="207"/>
      <c r="AV920" s="207"/>
      <c r="AW920" s="207"/>
      <c r="AX920" s="207"/>
      <c r="AY920" s="207"/>
      <c r="AZ920" s="207"/>
      <c r="BA920" s="207"/>
    </row>
    <row r="921" ht="18.75" hidden="1" customHeight="1">
      <c r="A921" s="207"/>
      <c r="B921" s="207"/>
      <c r="C921" s="207"/>
      <c r="D921" s="207"/>
      <c r="E921" s="207"/>
      <c r="F921" s="207"/>
      <c r="G921" s="207"/>
      <c r="H921" s="207"/>
      <c r="I921" s="207"/>
      <c r="J921" s="207"/>
      <c r="K921" s="207"/>
      <c r="L921" s="207"/>
      <c r="M921" s="207"/>
      <c r="N921" s="207"/>
      <c r="O921" s="207"/>
      <c r="P921" s="207"/>
      <c r="Q921" s="207"/>
      <c r="R921" s="207"/>
      <c r="S921" s="207"/>
      <c r="T921" s="207"/>
      <c r="U921" s="207"/>
      <c r="V921" s="207"/>
      <c r="W921" s="207"/>
      <c r="X921" s="207"/>
      <c r="Y921" s="207"/>
      <c r="Z921" s="207"/>
      <c r="AA921" s="207"/>
      <c r="AB921" s="207"/>
      <c r="AC921" s="207"/>
      <c r="AD921" s="207"/>
      <c r="AE921" s="207"/>
      <c r="AF921" s="207"/>
      <c r="AG921" s="207"/>
      <c r="AH921" s="207"/>
      <c r="AI921" s="207"/>
      <c r="AJ921" s="207"/>
      <c r="AK921" s="207"/>
      <c r="AL921" s="207"/>
      <c r="AM921" s="207"/>
      <c r="AN921" s="207"/>
      <c r="AO921" s="207"/>
      <c r="AP921" s="207"/>
      <c r="AQ921" s="207"/>
      <c r="AR921" s="207"/>
      <c r="AS921" s="207"/>
      <c r="AT921" s="207"/>
      <c r="AU921" s="207"/>
      <c r="AV921" s="207"/>
      <c r="AW921" s="207"/>
      <c r="AX921" s="207"/>
      <c r="AY921" s="207"/>
      <c r="AZ921" s="207"/>
      <c r="BA921" s="207"/>
    </row>
    <row r="922" ht="18.75" hidden="1" customHeight="1">
      <c r="A922" s="207"/>
      <c r="B922" s="207"/>
      <c r="C922" s="207"/>
      <c r="D922" s="207"/>
      <c r="E922" s="207"/>
      <c r="F922" s="207"/>
      <c r="G922" s="207"/>
      <c r="H922" s="207"/>
      <c r="I922" s="207"/>
      <c r="J922" s="207"/>
      <c r="K922" s="207"/>
      <c r="L922" s="207"/>
      <c r="M922" s="207"/>
      <c r="N922" s="207"/>
      <c r="O922" s="207"/>
      <c r="P922" s="207"/>
      <c r="Q922" s="207"/>
      <c r="R922" s="207"/>
      <c r="S922" s="207"/>
      <c r="T922" s="207"/>
      <c r="U922" s="207"/>
      <c r="V922" s="207"/>
      <c r="W922" s="207"/>
      <c r="X922" s="207"/>
      <c r="Y922" s="207"/>
      <c r="Z922" s="207"/>
      <c r="AA922" s="207"/>
      <c r="AB922" s="207"/>
      <c r="AC922" s="207"/>
      <c r="AD922" s="207"/>
      <c r="AE922" s="207"/>
      <c r="AF922" s="207"/>
      <c r="AG922" s="207"/>
      <c r="AH922" s="207"/>
      <c r="AI922" s="207"/>
      <c r="AJ922" s="207"/>
      <c r="AK922" s="207"/>
      <c r="AL922" s="207"/>
      <c r="AM922" s="207"/>
      <c r="AN922" s="207"/>
      <c r="AO922" s="207"/>
      <c r="AP922" s="207"/>
      <c r="AQ922" s="207"/>
      <c r="AR922" s="207"/>
      <c r="AS922" s="207"/>
      <c r="AT922" s="207"/>
      <c r="AU922" s="207"/>
      <c r="AV922" s="207"/>
      <c r="AW922" s="207"/>
      <c r="AX922" s="207"/>
      <c r="AY922" s="207"/>
      <c r="AZ922" s="207"/>
      <c r="BA922" s="207"/>
    </row>
    <row r="923" ht="18.75" hidden="1" customHeight="1">
      <c r="A923" s="207"/>
      <c r="B923" s="207"/>
      <c r="C923" s="207"/>
      <c r="D923" s="207"/>
      <c r="E923" s="207"/>
      <c r="F923" s="207"/>
      <c r="G923" s="207"/>
      <c r="H923" s="207"/>
      <c r="I923" s="207"/>
      <c r="J923" s="207"/>
      <c r="K923" s="207"/>
      <c r="L923" s="207"/>
      <c r="M923" s="207"/>
      <c r="N923" s="207"/>
      <c r="O923" s="207"/>
      <c r="P923" s="207"/>
      <c r="Q923" s="207"/>
      <c r="R923" s="207"/>
      <c r="S923" s="207"/>
      <c r="T923" s="207"/>
      <c r="U923" s="207"/>
      <c r="V923" s="207"/>
      <c r="W923" s="207"/>
      <c r="X923" s="207"/>
      <c r="Y923" s="207"/>
      <c r="Z923" s="207"/>
      <c r="AA923" s="207"/>
      <c r="AB923" s="207"/>
      <c r="AC923" s="207"/>
      <c r="AD923" s="207"/>
      <c r="AE923" s="207"/>
      <c r="AF923" s="207"/>
      <c r="AG923" s="207"/>
      <c r="AH923" s="207"/>
      <c r="AI923" s="207"/>
      <c r="AJ923" s="207"/>
      <c r="AK923" s="207"/>
      <c r="AL923" s="207"/>
      <c r="AM923" s="207"/>
      <c r="AN923" s="207"/>
      <c r="AO923" s="207"/>
      <c r="AP923" s="207"/>
      <c r="AQ923" s="207"/>
      <c r="AR923" s="207"/>
      <c r="AS923" s="207"/>
      <c r="AT923" s="207"/>
      <c r="AU923" s="207"/>
      <c r="AV923" s="207"/>
      <c r="AW923" s="207"/>
      <c r="AX923" s="207"/>
      <c r="AY923" s="207"/>
      <c r="AZ923" s="207"/>
      <c r="BA923" s="207"/>
    </row>
    <row r="924" ht="18.75" hidden="1" customHeight="1">
      <c r="A924" s="207"/>
      <c r="B924" s="207"/>
      <c r="C924" s="207"/>
      <c r="D924" s="207"/>
      <c r="E924" s="207"/>
      <c r="F924" s="207"/>
      <c r="G924" s="207"/>
      <c r="H924" s="207"/>
      <c r="I924" s="207"/>
      <c r="J924" s="207"/>
      <c r="K924" s="207"/>
      <c r="L924" s="207"/>
      <c r="M924" s="207"/>
      <c r="N924" s="207"/>
      <c r="O924" s="207"/>
      <c r="P924" s="207"/>
      <c r="Q924" s="207"/>
      <c r="R924" s="207"/>
      <c r="S924" s="207"/>
      <c r="T924" s="207"/>
      <c r="U924" s="207"/>
      <c r="V924" s="207"/>
      <c r="W924" s="207"/>
      <c r="X924" s="207"/>
      <c r="Y924" s="207"/>
      <c r="Z924" s="207"/>
      <c r="AA924" s="207"/>
      <c r="AB924" s="207"/>
      <c r="AC924" s="207"/>
      <c r="AD924" s="207"/>
      <c r="AE924" s="207"/>
      <c r="AF924" s="207"/>
      <c r="AG924" s="207"/>
      <c r="AH924" s="207"/>
      <c r="AI924" s="207"/>
      <c r="AJ924" s="207"/>
      <c r="AK924" s="207"/>
      <c r="AL924" s="207"/>
      <c r="AM924" s="207"/>
      <c r="AN924" s="207"/>
      <c r="AO924" s="207"/>
      <c r="AP924" s="207"/>
      <c r="AQ924" s="207"/>
      <c r="AR924" s="207"/>
      <c r="AS924" s="207"/>
      <c r="AT924" s="207"/>
      <c r="AU924" s="207"/>
      <c r="AV924" s="207"/>
      <c r="AW924" s="207"/>
      <c r="AX924" s="207"/>
      <c r="AY924" s="207"/>
      <c r="AZ924" s="207"/>
      <c r="BA924" s="207"/>
    </row>
    <row r="925" ht="18.75" hidden="1" customHeight="1">
      <c r="A925" s="207"/>
      <c r="B925" s="207"/>
      <c r="C925" s="207"/>
      <c r="D925" s="207"/>
      <c r="E925" s="207"/>
      <c r="F925" s="207"/>
      <c r="G925" s="207"/>
      <c r="H925" s="207"/>
      <c r="I925" s="207"/>
      <c r="J925" s="207"/>
      <c r="K925" s="207"/>
      <c r="L925" s="207"/>
      <c r="M925" s="207"/>
      <c r="N925" s="207"/>
      <c r="O925" s="207"/>
      <c r="P925" s="207"/>
      <c r="Q925" s="207"/>
      <c r="R925" s="207"/>
      <c r="S925" s="207"/>
      <c r="T925" s="207"/>
      <c r="U925" s="207"/>
      <c r="V925" s="207"/>
      <c r="W925" s="207"/>
      <c r="X925" s="207"/>
      <c r="Y925" s="207"/>
      <c r="Z925" s="207"/>
      <c r="AA925" s="207"/>
      <c r="AB925" s="207"/>
      <c r="AC925" s="207"/>
      <c r="AD925" s="207"/>
      <c r="AE925" s="207"/>
      <c r="AF925" s="207"/>
      <c r="AG925" s="207"/>
      <c r="AH925" s="207"/>
      <c r="AI925" s="207"/>
      <c r="AJ925" s="207"/>
      <c r="AK925" s="207"/>
      <c r="AL925" s="207"/>
      <c r="AM925" s="207"/>
      <c r="AN925" s="207"/>
      <c r="AO925" s="207"/>
      <c r="AP925" s="207"/>
      <c r="AQ925" s="207"/>
      <c r="AR925" s="207"/>
      <c r="AS925" s="207"/>
      <c r="AT925" s="207"/>
      <c r="AU925" s="207"/>
      <c r="AV925" s="207"/>
      <c r="AW925" s="207"/>
      <c r="AX925" s="207"/>
      <c r="AY925" s="207"/>
      <c r="AZ925" s="207"/>
      <c r="BA925" s="207"/>
    </row>
    <row r="926" ht="18.75" hidden="1" customHeight="1">
      <c r="A926" s="207"/>
      <c r="B926" s="207"/>
      <c r="C926" s="207"/>
      <c r="D926" s="207"/>
      <c r="E926" s="207"/>
      <c r="F926" s="207"/>
      <c r="G926" s="207"/>
      <c r="H926" s="207"/>
      <c r="I926" s="207"/>
      <c r="J926" s="207"/>
      <c r="K926" s="207"/>
      <c r="L926" s="207"/>
      <c r="M926" s="207"/>
      <c r="N926" s="207"/>
      <c r="O926" s="207"/>
      <c r="P926" s="207"/>
      <c r="Q926" s="207"/>
      <c r="R926" s="207"/>
      <c r="S926" s="207"/>
      <c r="T926" s="207"/>
      <c r="U926" s="207"/>
      <c r="V926" s="207"/>
      <c r="W926" s="207"/>
      <c r="X926" s="207"/>
      <c r="Y926" s="207"/>
      <c r="Z926" s="207"/>
      <c r="AA926" s="207"/>
      <c r="AB926" s="207"/>
      <c r="AC926" s="207"/>
      <c r="AD926" s="207"/>
      <c r="AE926" s="207"/>
      <c r="AF926" s="207"/>
      <c r="AG926" s="207"/>
      <c r="AH926" s="207"/>
      <c r="AI926" s="207"/>
      <c r="AJ926" s="207"/>
      <c r="AK926" s="207"/>
      <c r="AL926" s="207"/>
      <c r="AM926" s="207"/>
      <c r="AN926" s="207"/>
      <c r="AO926" s="207"/>
      <c r="AP926" s="207"/>
      <c r="AQ926" s="207"/>
      <c r="AR926" s="207"/>
      <c r="AS926" s="207"/>
      <c r="AT926" s="207"/>
      <c r="AU926" s="207"/>
      <c r="AV926" s="207"/>
      <c r="AW926" s="207"/>
      <c r="AX926" s="207"/>
      <c r="AY926" s="207"/>
      <c r="AZ926" s="207"/>
      <c r="BA926" s="207"/>
    </row>
    <row r="927" ht="18.75" hidden="1" customHeight="1">
      <c r="A927" s="207"/>
      <c r="B927" s="207"/>
      <c r="C927" s="207"/>
      <c r="D927" s="207"/>
      <c r="E927" s="207"/>
      <c r="F927" s="207"/>
      <c r="G927" s="207"/>
      <c r="H927" s="207"/>
      <c r="I927" s="207"/>
      <c r="J927" s="207"/>
      <c r="K927" s="207"/>
      <c r="L927" s="207"/>
      <c r="M927" s="207"/>
      <c r="N927" s="207"/>
      <c r="O927" s="207"/>
      <c r="P927" s="207"/>
      <c r="Q927" s="207"/>
      <c r="R927" s="207"/>
      <c r="S927" s="207"/>
      <c r="T927" s="207"/>
      <c r="U927" s="207"/>
      <c r="V927" s="207"/>
      <c r="W927" s="207"/>
      <c r="X927" s="207"/>
      <c r="Y927" s="207"/>
      <c r="Z927" s="207"/>
      <c r="AA927" s="207"/>
      <c r="AB927" s="207"/>
      <c r="AC927" s="207"/>
      <c r="AD927" s="207"/>
      <c r="AE927" s="207"/>
      <c r="AF927" s="207"/>
      <c r="AG927" s="207"/>
      <c r="AH927" s="207"/>
      <c r="AI927" s="207"/>
      <c r="AJ927" s="207"/>
      <c r="AK927" s="207"/>
      <c r="AL927" s="207"/>
      <c r="AM927" s="207"/>
      <c r="AN927" s="207"/>
      <c r="AO927" s="207"/>
      <c r="AP927" s="207"/>
      <c r="AQ927" s="207"/>
      <c r="AR927" s="207"/>
      <c r="AS927" s="207"/>
      <c r="AT927" s="207"/>
      <c r="AU927" s="207"/>
      <c r="AV927" s="207"/>
      <c r="AW927" s="207"/>
      <c r="AX927" s="207"/>
      <c r="AY927" s="207"/>
      <c r="AZ927" s="207"/>
      <c r="BA927" s="207"/>
    </row>
    <row r="928" ht="18.75" hidden="1" customHeight="1">
      <c r="A928" s="207"/>
      <c r="B928" s="207"/>
      <c r="C928" s="207"/>
      <c r="D928" s="207"/>
      <c r="E928" s="207"/>
      <c r="F928" s="207"/>
      <c r="G928" s="207"/>
      <c r="H928" s="207"/>
      <c r="I928" s="207"/>
      <c r="J928" s="207"/>
      <c r="K928" s="207"/>
      <c r="L928" s="207"/>
      <c r="M928" s="207"/>
      <c r="N928" s="207"/>
      <c r="O928" s="207"/>
      <c r="P928" s="207"/>
      <c r="Q928" s="207"/>
      <c r="R928" s="207"/>
      <c r="S928" s="207"/>
      <c r="T928" s="207"/>
      <c r="U928" s="207"/>
      <c r="V928" s="207"/>
      <c r="W928" s="207"/>
      <c r="X928" s="207"/>
      <c r="Y928" s="207"/>
      <c r="Z928" s="207"/>
      <c r="AA928" s="207"/>
      <c r="AB928" s="207"/>
      <c r="AC928" s="207"/>
      <c r="AD928" s="207"/>
      <c r="AE928" s="207"/>
      <c r="AF928" s="207"/>
      <c r="AG928" s="207"/>
      <c r="AH928" s="207"/>
      <c r="AI928" s="207"/>
      <c r="AJ928" s="207"/>
      <c r="AK928" s="207"/>
      <c r="AL928" s="207"/>
      <c r="AM928" s="207"/>
      <c r="AN928" s="207"/>
      <c r="AO928" s="207"/>
      <c r="AP928" s="207"/>
      <c r="AQ928" s="207"/>
      <c r="AR928" s="207"/>
      <c r="AS928" s="207"/>
      <c r="AT928" s="207"/>
      <c r="AU928" s="207"/>
      <c r="AV928" s="207"/>
      <c r="AW928" s="207"/>
      <c r="AX928" s="207"/>
      <c r="AY928" s="207"/>
      <c r="AZ928" s="207"/>
      <c r="BA928" s="207"/>
    </row>
    <row r="929" ht="18.75" hidden="1" customHeight="1">
      <c r="A929" s="207"/>
      <c r="B929" s="207"/>
      <c r="C929" s="207"/>
      <c r="D929" s="207"/>
      <c r="E929" s="207"/>
      <c r="F929" s="207"/>
      <c r="G929" s="207"/>
      <c r="H929" s="207"/>
      <c r="I929" s="207"/>
      <c r="J929" s="207"/>
      <c r="K929" s="207"/>
      <c r="L929" s="207"/>
      <c r="M929" s="207"/>
      <c r="N929" s="207"/>
      <c r="O929" s="207"/>
      <c r="P929" s="207"/>
      <c r="Q929" s="207"/>
      <c r="R929" s="207"/>
      <c r="S929" s="207"/>
      <c r="T929" s="207"/>
      <c r="U929" s="207"/>
      <c r="V929" s="207"/>
      <c r="W929" s="207"/>
      <c r="X929" s="207"/>
      <c r="Y929" s="207"/>
      <c r="Z929" s="207"/>
      <c r="AA929" s="207"/>
      <c r="AB929" s="207"/>
      <c r="AC929" s="207"/>
      <c r="AD929" s="207"/>
      <c r="AE929" s="207"/>
      <c r="AF929" s="207"/>
      <c r="AG929" s="207"/>
      <c r="AH929" s="207"/>
      <c r="AI929" s="207"/>
      <c r="AJ929" s="207"/>
      <c r="AK929" s="207"/>
      <c r="AL929" s="207"/>
      <c r="AM929" s="207"/>
      <c r="AN929" s="207"/>
      <c r="AO929" s="207"/>
      <c r="AP929" s="207"/>
      <c r="AQ929" s="207"/>
      <c r="AR929" s="207"/>
      <c r="AS929" s="207"/>
      <c r="AT929" s="207"/>
      <c r="AU929" s="207"/>
      <c r="AV929" s="207"/>
      <c r="AW929" s="207"/>
      <c r="AX929" s="207"/>
      <c r="AY929" s="207"/>
      <c r="AZ929" s="207"/>
      <c r="BA929" s="207"/>
    </row>
    <row r="930" ht="18.75" hidden="1" customHeight="1">
      <c r="A930" s="207"/>
      <c r="B930" s="207"/>
      <c r="C930" s="207"/>
      <c r="D930" s="207"/>
      <c r="E930" s="207"/>
      <c r="F930" s="207"/>
      <c r="G930" s="207"/>
      <c r="H930" s="207"/>
      <c r="I930" s="207"/>
      <c r="J930" s="207"/>
      <c r="K930" s="207"/>
      <c r="L930" s="207"/>
      <c r="M930" s="207"/>
      <c r="N930" s="207"/>
      <c r="O930" s="207"/>
      <c r="P930" s="207"/>
      <c r="Q930" s="207"/>
      <c r="R930" s="207"/>
      <c r="S930" s="207"/>
      <c r="T930" s="207"/>
      <c r="U930" s="207"/>
      <c r="V930" s="207"/>
      <c r="W930" s="207"/>
      <c r="X930" s="207"/>
      <c r="Y930" s="207"/>
      <c r="Z930" s="207"/>
      <c r="AA930" s="207"/>
      <c r="AB930" s="207"/>
      <c r="AC930" s="207"/>
      <c r="AD930" s="207"/>
      <c r="AE930" s="207"/>
      <c r="AF930" s="207"/>
      <c r="AG930" s="207"/>
      <c r="AH930" s="207"/>
      <c r="AI930" s="207"/>
      <c r="AJ930" s="207"/>
      <c r="AK930" s="207"/>
      <c r="AL930" s="207"/>
      <c r="AM930" s="207"/>
      <c r="AN930" s="207"/>
      <c r="AO930" s="207"/>
      <c r="AP930" s="207"/>
      <c r="AQ930" s="207"/>
      <c r="AR930" s="207"/>
      <c r="AS930" s="207"/>
      <c r="AT930" s="207"/>
      <c r="AU930" s="207"/>
      <c r="AV930" s="207"/>
      <c r="AW930" s="207"/>
      <c r="AX930" s="207"/>
      <c r="AY930" s="207"/>
      <c r="AZ930" s="207"/>
      <c r="BA930" s="207"/>
    </row>
    <row r="931" ht="18.75" hidden="1" customHeight="1">
      <c r="A931" s="207"/>
      <c r="B931" s="207"/>
      <c r="C931" s="207"/>
      <c r="D931" s="207"/>
      <c r="E931" s="207"/>
      <c r="F931" s="207"/>
      <c r="G931" s="207"/>
      <c r="H931" s="207"/>
      <c r="I931" s="207"/>
      <c r="J931" s="207"/>
      <c r="K931" s="207"/>
      <c r="L931" s="207"/>
      <c r="M931" s="207"/>
      <c r="N931" s="207"/>
      <c r="O931" s="207"/>
      <c r="P931" s="207"/>
      <c r="Q931" s="207"/>
      <c r="R931" s="207"/>
      <c r="S931" s="207"/>
      <c r="T931" s="207"/>
      <c r="U931" s="207"/>
      <c r="V931" s="207"/>
      <c r="W931" s="207"/>
      <c r="X931" s="207"/>
      <c r="Y931" s="207"/>
      <c r="Z931" s="207"/>
      <c r="AA931" s="207"/>
      <c r="AB931" s="207"/>
      <c r="AC931" s="207"/>
      <c r="AD931" s="207"/>
      <c r="AE931" s="207"/>
      <c r="AF931" s="207"/>
      <c r="AG931" s="207"/>
      <c r="AH931" s="207"/>
      <c r="AI931" s="207"/>
      <c r="AJ931" s="207"/>
      <c r="AK931" s="207"/>
      <c r="AL931" s="207"/>
      <c r="AM931" s="207"/>
      <c r="AN931" s="207"/>
      <c r="AO931" s="207"/>
      <c r="AP931" s="207"/>
      <c r="AQ931" s="207"/>
      <c r="AR931" s="207"/>
      <c r="AS931" s="207"/>
      <c r="AT931" s="207"/>
      <c r="AU931" s="207"/>
      <c r="AV931" s="207"/>
      <c r="AW931" s="207"/>
      <c r="AX931" s="207"/>
      <c r="AY931" s="207"/>
      <c r="AZ931" s="207"/>
      <c r="BA931" s="207"/>
    </row>
    <row r="932" ht="18.75" hidden="1" customHeight="1">
      <c r="A932" s="207"/>
      <c r="B932" s="207"/>
      <c r="C932" s="207"/>
      <c r="D932" s="207"/>
      <c r="E932" s="207"/>
      <c r="F932" s="207"/>
      <c r="G932" s="207"/>
      <c r="H932" s="207"/>
      <c r="I932" s="207"/>
      <c r="J932" s="207"/>
      <c r="K932" s="207"/>
      <c r="L932" s="207"/>
      <c r="M932" s="207"/>
      <c r="N932" s="207"/>
      <c r="O932" s="207"/>
      <c r="P932" s="207"/>
      <c r="Q932" s="207"/>
      <c r="R932" s="207"/>
      <c r="S932" s="207"/>
      <c r="T932" s="207"/>
      <c r="U932" s="207"/>
      <c r="V932" s="207"/>
      <c r="W932" s="207"/>
      <c r="X932" s="207"/>
      <c r="Y932" s="207"/>
      <c r="Z932" s="207"/>
      <c r="AA932" s="207"/>
      <c r="AB932" s="207"/>
      <c r="AC932" s="207"/>
      <c r="AD932" s="207"/>
      <c r="AE932" s="207"/>
      <c r="AF932" s="207"/>
      <c r="AG932" s="207"/>
      <c r="AH932" s="207"/>
      <c r="AI932" s="207"/>
      <c r="AJ932" s="207"/>
      <c r="AK932" s="207"/>
      <c r="AL932" s="207"/>
      <c r="AM932" s="207"/>
      <c r="AN932" s="207"/>
      <c r="AO932" s="207"/>
      <c r="AP932" s="207"/>
      <c r="AQ932" s="207"/>
      <c r="AR932" s="207"/>
      <c r="AS932" s="207"/>
      <c r="AT932" s="207"/>
      <c r="AU932" s="207"/>
      <c r="AV932" s="207"/>
      <c r="AW932" s="207"/>
      <c r="AX932" s="207"/>
      <c r="AY932" s="207"/>
      <c r="AZ932" s="207"/>
      <c r="BA932" s="207"/>
    </row>
    <row r="933" ht="18.75" hidden="1" customHeight="1">
      <c r="A933" s="207"/>
      <c r="B933" s="207"/>
      <c r="C933" s="207"/>
      <c r="D933" s="207"/>
      <c r="E933" s="207"/>
      <c r="F933" s="207"/>
      <c r="G933" s="207"/>
      <c r="H933" s="207"/>
      <c r="I933" s="207"/>
      <c r="J933" s="207"/>
      <c r="K933" s="207"/>
      <c r="L933" s="207"/>
      <c r="M933" s="207"/>
      <c r="N933" s="207"/>
      <c r="O933" s="207"/>
      <c r="P933" s="207"/>
      <c r="Q933" s="207"/>
      <c r="R933" s="207"/>
      <c r="S933" s="207"/>
      <c r="T933" s="207"/>
      <c r="U933" s="207"/>
      <c r="V933" s="207"/>
      <c r="W933" s="207"/>
      <c r="X933" s="207"/>
      <c r="Y933" s="207"/>
      <c r="Z933" s="207"/>
      <c r="AA933" s="207"/>
      <c r="AB933" s="207"/>
      <c r="AC933" s="207"/>
      <c r="AD933" s="207"/>
      <c r="AE933" s="207"/>
      <c r="AF933" s="207"/>
      <c r="AG933" s="207"/>
      <c r="AH933" s="207"/>
      <c r="AI933" s="207"/>
      <c r="AJ933" s="207"/>
      <c r="AK933" s="207"/>
      <c r="AL933" s="207"/>
      <c r="AM933" s="207"/>
      <c r="AN933" s="207"/>
      <c r="AO933" s="207"/>
      <c r="AP933" s="207"/>
      <c r="AQ933" s="207"/>
      <c r="AR933" s="207"/>
      <c r="AS933" s="207"/>
      <c r="AT933" s="207"/>
      <c r="AU933" s="207"/>
      <c r="AV933" s="207"/>
      <c r="AW933" s="207"/>
      <c r="AX933" s="207"/>
      <c r="AY933" s="207"/>
      <c r="AZ933" s="207"/>
      <c r="BA933" s="207"/>
    </row>
    <row r="934" ht="18.75" hidden="1" customHeight="1">
      <c r="A934" s="207"/>
      <c r="B934" s="207"/>
      <c r="C934" s="207"/>
      <c r="D934" s="207"/>
      <c r="E934" s="207"/>
      <c r="F934" s="207"/>
      <c r="G934" s="207"/>
      <c r="H934" s="207"/>
      <c r="I934" s="207"/>
      <c r="J934" s="207"/>
      <c r="K934" s="207"/>
      <c r="L934" s="207"/>
      <c r="M934" s="207"/>
      <c r="N934" s="207"/>
      <c r="O934" s="207"/>
      <c r="P934" s="207"/>
      <c r="Q934" s="207"/>
      <c r="R934" s="207"/>
      <c r="S934" s="207"/>
      <c r="T934" s="207"/>
      <c r="U934" s="207"/>
      <c r="V934" s="207"/>
      <c r="W934" s="207"/>
      <c r="X934" s="207"/>
      <c r="Y934" s="207"/>
      <c r="Z934" s="207"/>
      <c r="AA934" s="207"/>
      <c r="AB934" s="207"/>
      <c r="AC934" s="207"/>
      <c r="AD934" s="207"/>
      <c r="AE934" s="207"/>
      <c r="AF934" s="207"/>
      <c r="AG934" s="207"/>
      <c r="AH934" s="207"/>
      <c r="AI934" s="207"/>
      <c r="AJ934" s="207"/>
      <c r="AK934" s="207"/>
      <c r="AL934" s="207"/>
      <c r="AM934" s="207"/>
      <c r="AN934" s="207"/>
      <c r="AO934" s="207"/>
      <c r="AP934" s="207"/>
      <c r="AQ934" s="207"/>
      <c r="AR934" s="207"/>
      <c r="AS934" s="207"/>
      <c r="AT934" s="207"/>
      <c r="AU934" s="207"/>
      <c r="AV934" s="207"/>
      <c r="AW934" s="207"/>
      <c r="AX934" s="207"/>
      <c r="AY934" s="207"/>
      <c r="AZ934" s="207"/>
      <c r="BA934" s="207"/>
    </row>
    <row r="935" ht="18.75" hidden="1" customHeight="1">
      <c r="A935" s="207"/>
      <c r="B935" s="207"/>
      <c r="C935" s="207"/>
      <c r="D935" s="207"/>
      <c r="E935" s="207"/>
      <c r="F935" s="207"/>
      <c r="G935" s="207"/>
      <c r="H935" s="207"/>
      <c r="I935" s="207"/>
      <c r="J935" s="207"/>
      <c r="K935" s="207"/>
      <c r="L935" s="207"/>
      <c r="M935" s="207"/>
      <c r="N935" s="207"/>
      <c r="O935" s="207"/>
      <c r="P935" s="207"/>
      <c r="Q935" s="207"/>
      <c r="R935" s="207"/>
      <c r="S935" s="207"/>
      <c r="T935" s="207"/>
      <c r="U935" s="207"/>
      <c r="V935" s="207"/>
      <c r="W935" s="207"/>
      <c r="X935" s="207"/>
      <c r="Y935" s="207"/>
      <c r="Z935" s="207"/>
      <c r="AA935" s="207"/>
      <c r="AB935" s="207"/>
      <c r="AC935" s="207"/>
      <c r="AD935" s="207"/>
      <c r="AE935" s="207"/>
      <c r="AF935" s="207"/>
      <c r="AG935" s="207"/>
      <c r="AH935" s="207"/>
      <c r="AI935" s="207"/>
      <c r="AJ935" s="207"/>
      <c r="AK935" s="207"/>
      <c r="AL935" s="207"/>
      <c r="AM935" s="207"/>
      <c r="AN935" s="207"/>
      <c r="AO935" s="207"/>
      <c r="AP935" s="207"/>
      <c r="AQ935" s="207"/>
      <c r="AR935" s="207"/>
      <c r="AS935" s="207"/>
      <c r="AT935" s="207"/>
      <c r="AU935" s="207"/>
      <c r="AV935" s="207"/>
      <c r="AW935" s="207"/>
      <c r="AX935" s="207"/>
      <c r="AY935" s="207"/>
      <c r="AZ935" s="207"/>
      <c r="BA935" s="207"/>
    </row>
    <row r="936" ht="18.75" hidden="1" customHeight="1">
      <c r="A936" s="207"/>
      <c r="B936" s="207"/>
      <c r="C936" s="207"/>
      <c r="D936" s="207"/>
      <c r="E936" s="207"/>
      <c r="F936" s="207"/>
      <c r="G936" s="207"/>
      <c r="H936" s="207"/>
      <c r="I936" s="207"/>
      <c r="J936" s="207"/>
      <c r="K936" s="207"/>
      <c r="L936" s="207"/>
      <c r="M936" s="207"/>
      <c r="N936" s="207"/>
      <c r="O936" s="207"/>
      <c r="P936" s="207"/>
      <c r="Q936" s="207"/>
      <c r="R936" s="207"/>
      <c r="S936" s="207"/>
      <c r="T936" s="207"/>
      <c r="U936" s="207"/>
      <c r="V936" s="207"/>
      <c r="W936" s="207"/>
      <c r="X936" s="207"/>
      <c r="Y936" s="207"/>
      <c r="Z936" s="207"/>
      <c r="AA936" s="207"/>
      <c r="AB936" s="207"/>
      <c r="AC936" s="207"/>
      <c r="AD936" s="207"/>
      <c r="AE936" s="207"/>
      <c r="AF936" s="207"/>
      <c r="AG936" s="207"/>
      <c r="AH936" s="207"/>
      <c r="AI936" s="207"/>
      <c r="AJ936" s="207"/>
      <c r="AK936" s="207"/>
      <c r="AL936" s="207"/>
      <c r="AM936" s="207"/>
      <c r="AN936" s="207"/>
      <c r="AO936" s="207"/>
      <c r="AP936" s="207"/>
      <c r="AQ936" s="207"/>
      <c r="AR936" s="207"/>
      <c r="AS936" s="207"/>
      <c r="AT936" s="207"/>
      <c r="AU936" s="207"/>
      <c r="AV936" s="207"/>
      <c r="AW936" s="207"/>
      <c r="AX936" s="207"/>
      <c r="AY936" s="207"/>
      <c r="AZ936" s="207"/>
      <c r="BA936" s="207"/>
    </row>
    <row r="937" ht="18.75" hidden="1" customHeight="1">
      <c r="A937" s="207"/>
      <c r="B937" s="207"/>
      <c r="C937" s="207"/>
      <c r="D937" s="207"/>
      <c r="E937" s="207"/>
      <c r="F937" s="207"/>
      <c r="G937" s="207"/>
      <c r="H937" s="207"/>
      <c r="I937" s="207"/>
      <c r="J937" s="207"/>
      <c r="K937" s="207"/>
      <c r="L937" s="207"/>
      <c r="M937" s="207"/>
      <c r="N937" s="207"/>
      <c r="O937" s="207"/>
      <c r="P937" s="207"/>
      <c r="Q937" s="207"/>
      <c r="R937" s="207"/>
      <c r="S937" s="207"/>
      <c r="T937" s="207"/>
      <c r="U937" s="207"/>
      <c r="V937" s="207"/>
      <c r="W937" s="207"/>
      <c r="X937" s="207"/>
      <c r="Y937" s="207"/>
      <c r="Z937" s="207"/>
      <c r="AA937" s="207"/>
      <c r="AB937" s="207"/>
      <c r="AC937" s="207"/>
      <c r="AD937" s="207"/>
      <c r="AE937" s="207"/>
      <c r="AF937" s="207"/>
      <c r="AG937" s="207"/>
      <c r="AH937" s="207"/>
      <c r="AI937" s="207"/>
      <c r="AJ937" s="207"/>
      <c r="AK937" s="207"/>
      <c r="AL937" s="207"/>
      <c r="AM937" s="207"/>
      <c r="AN937" s="207"/>
      <c r="AO937" s="207"/>
      <c r="AP937" s="207"/>
      <c r="AQ937" s="207"/>
      <c r="AR937" s="207"/>
      <c r="AS937" s="207"/>
      <c r="AT937" s="207"/>
      <c r="AU937" s="207"/>
      <c r="AV937" s="207"/>
      <c r="AW937" s="207"/>
      <c r="AX937" s="207"/>
      <c r="AY937" s="207"/>
      <c r="AZ937" s="207"/>
      <c r="BA937" s="207"/>
    </row>
    <row r="938" ht="18.75" hidden="1" customHeight="1">
      <c r="A938" s="207"/>
      <c r="B938" s="207"/>
      <c r="C938" s="207"/>
      <c r="D938" s="207"/>
      <c r="E938" s="207"/>
      <c r="F938" s="207"/>
      <c r="G938" s="207"/>
      <c r="H938" s="207"/>
      <c r="I938" s="207"/>
      <c r="J938" s="207"/>
      <c r="K938" s="207"/>
      <c r="L938" s="207"/>
      <c r="M938" s="207"/>
      <c r="N938" s="207"/>
      <c r="O938" s="207"/>
      <c r="P938" s="207"/>
      <c r="Q938" s="207"/>
      <c r="R938" s="207"/>
      <c r="S938" s="207"/>
      <c r="T938" s="207"/>
      <c r="U938" s="207"/>
      <c r="V938" s="207"/>
      <c r="W938" s="207"/>
      <c r="X938" s="207"/>
      <c r="Y938" s="207"/>
      <c r="Z938" s="207"/>
      <c r="AA938" s="207"/>
      <c r="AB938" s="207"/>
      <c r="AC938" s="207"/>
      <c r="AD938" s="207"/>
      <c r="AE938" s="207"/>
      <c r="AF938" s="207"/>
      <c r="AG938" s="207"/>
      <c r="AH938" s="207"/>
      <c r="AI938" s="207"/>
      <c r="AJ938" s="207"/>
      <c r="AK938" s="207"/>
      <c r="AL938" s="207"/>
      <c r="AM938" s="207"/>
      <c r="AN938" s="207"/>
      <c r="AO938" s="207"/>
      <c r="AP938" s="207"/>
      <c r="AQ938" s="207"/>
      <c r="AR938" s="207"/>
      <c r="AS938" s="207"/>
      <c r="AT938" s="207"/>
      <c r="AU938" s="207"/>
      <c r="AV938" s="207"/>
      <c r="AW938" s="207"/>
      <c r="AX938" s="207"/>
      <c r="AY938" s="207"/>
      <c r="AZ938" s="207"/>
      <c r="BA938" s="207"/>
    </row>
    <row r="939" ht="18.75" hidden="1" customHeight="1">
      <c r="A939" s="207"/>
      <c r="B939" s="207"/>
      <c r="C939" s="207"/>
      <c r="D939" s="207"/>
      <c r="E939" s="207"/>
      <c r="F939" s="207"/>
      <c r="G939" s="207"/>
      <c r="H939" s="207"/>
      <c r="I939" s="207"/>
      <c r="J939" s="207"/>
      <c r="K939" s="207"/>
      <c r="L939" s="207"/>
      <c r="M939" s="207"/>
      <c r="N939" s="207"/>
      <c r="O939" s="207"/>
      <c r="P939" s="207"/>
      <c r="Q939" s="207"/>
      <c r="R939" s="207"/>
      <c r="S939" s="207"/>
      <c r="T939" s="207"/>
      <c r="U939" s="207"/>
      <c r="V939" s="207"/>
      <c r="W939" s="207"/>
      <c r="X939" s="207"/>
      <c r="Y939" s="207"/>
      <c r="Z939" s="207"/>
      <c r="AA939" s="207"/>
      <c r="AB939" s="207"/>
      <c r="AC939" s="207"/>
      <c r="AD939" s="207"/>
      <c r="AE939" s="207"/>
      <c r="AF939" s="207"/>
      <c r="AG939" s="207"/>
      <c r="AH939" s="207"/>
      <c r="AI939" s="207"/>
      <c r="AJ939" s="207"/>
      <c r="AK939" s="207"/>
      <c r="AL939" s="207"/>
      <c r="AM939" s="207"/>
      <c r="AN939" s="207"/>
      <c r="AO939" s="207"/>
      <c r="AP939" s="207"/>
      <c r="AQ939" s="207"/>
      <c r="AR939" s="207"/>
      <c r="AS939" s="207"/>
      <c r="AT939" s="207"/>
      <c r="AU939" s="207"/>
      <c r="AV939" s="207"/>
      <c r="AW939" s="207"/>
      <c r="AX939" s="207"/>
      <c r="AY939" s="207"/>
      <c r="AZ939" s="207"/>
      <c r="BA939" s="207"/>
    </row>
    <row r="940" ht="18.75" hidden="1" customHeight="1">
      <c r="A940" s="207"/>
      <c r="B940" s="207"/>
      <c r="C940" s="207"/>
      <c r="D940" s="207"/>
      <c r="E940" s="207"/>
      <c r="F940" s="207"/>
      <c r="G940" s="207"/>
      <c r="H940" s="207"/>
      <c r="I940" s="207"/>
      <c r="J940" s="207"/>
      <c r="K940" s="207"/>
      <c r="L940" s="207"/>
      <c r="M940" s="207"/>
      <c r="N940" s="207"/>
      <c r="O940" s="207"/>
      <c r="P940" s="207"/>
      <c r="Q940" s="207"/>
      <c r="R940" s="207"/>
      <c r="S940" s="207"/>
      <c r="T940" s="207"/>
      <c r="U940" s="207"/>
      <c r="V940" s="207"/>
      <c r="W940" s="207"/>
      <c r="X940" s="207"/>
      <c r="Y940" s="207"/>
      <c r="Z940" s="207"/>
      <c r="AA940" s="207"/>
      <c r="AB940" s="207"/>
      <c r="AC940" s="207"/>
      <c r="AD940" s="207"/>
      <c r="AE940" s="207"/>
      <c r="AF940" s="207"/>
      <c r="AG940" s="207"/>
      <c r="AH940" s="207"/>
      <c r="AI940" s="207"/>
      <c r="AJ940" s="207"/>
      <c r="AK940" s="207"/>
      <c r="AL940" s="207"/>
      <c r="AM940" s="207"/>
      <c r="AN940" s="207"/>
      <c r="AO940" s="207"/>
      <c r="AP940" s="207"/>
      <c r="AQ940" s="207"/>
      <c r="AR940" s="207"/>
      <c r="AS940" s="207"/>
      <c r="AT940" s="207"/>
      <c r="AU940" s="207"/>
      <c r="AV940" s="207"/>
      <c r="AW940" s="207"/>
      <c r="AX940" s="207"/>
      <c r="AY940" s="207"/>
      <c r="AZ940" s="207"/>
      <c r="BA940" s="207"/>
    </row>
    <row r="941" ht="18.75" hidden="1" customHeight="1">
      <c r="A941" s="207"/>
      <c r="B941" s="207"/>
      <c r="C941" s="207"/>
      <c r="D941" s="207"/>
      <c r="E941" s="207"/>
      <c r="F941" s="207"/>
      <c r="G941" s="207"/>
      <c r="H941" s="207"/>
      <c r="I941" s="207"/>
      <c r="J941" s="207"/>
      <c r="K941" s="207"/>
      <c r="L941" s="207"/>
      <c r="M941" s="207"/>
      <c r="N941" s="207"/>
      <c r="O941" s="207"/>
      <c r="P941" s="207"/>
      <c r="Q941" s="207"/>
      <c r="R941" s="207"/>
      <c r="S941" s="207"/>
      <c r="T941" s="207"/>
      <c r="U941" s="207"/>
      <c r="V941" s="207"/>
      <c r="W941" s="207"/>
      <c r="X941" s="207"/>
      <c r="Y941" s="207"/>
      <c r="Z941" s="207"/>
      <c r="AA941" s="207"/>
      <c r="AB941" s="207"/>
      <c r="AC941" s="207"/>
      <c r="AD941" s="207"/>
      <c r="AE941" s="207"/>
      <c r="AF941" s="207"/>
      <c r="AG941" s="207"/>
      <c r="AH941" s="207"/>
      <c r="AI941" s="207"/>
      <c r="AJ941" s="207"/>
      <c r="AK941" s="207"/>
      <c r="AL941" s="207"/>
      <c r="AM941" s="207"/>
      <c r="AN941" s="207"/>
      <c r="AO941" s="207"/>
      <c r="AP941" s="207"/>
      <c r="AQ941" s="207"/>
      <c r="AR941" s="207"/>
      <c r="AS941" s="207"/>
      <c r="AT941" s="207"/>
      <c r="AU941" s="207"/>
      <c r="AV941" s="207"/>
      <c r="AW941" s="207"/>
      <c r="AX941" s="207"/>
      <c r="AY941" s="207"/>
      <c r="AZ941" s="207"/>
      <c r="BA941" s="207"/>
    </row>
    <row r="942" ht="18.75" hidden="1" customHeight="1">
      <c r="A942" s="207"/>
      <c r="B942" s="207"/>
      <c r="C942" s="207"/>
      <c r="D942" s="207"/>
      <c r="E942" s="207"/>
      <c r="F942" s="207"/>
      <c r="G942" s="207"/>
      <c r="H942" s="207"/>
      <c r="I942" s="207"/>
      <c r="J942" s="207"/>
      <c r="K942" s="207"/>
      <c r="L942" s="207"/>
      <c r="M942" s="207"/>
      <c r="N942" s="207"/>
      <c r="O942" s="207"/>
      <c r="P942" s="207"/>
      <c r="Q942" s="207"/>
      <c r="R942" s="207"/>
      <c r="S942" s="207"/>
      <c r="T942" s="207"/>
      <c r="U942" s="207"/>
      <c r="V942" s="207"/>
      <c r="W942" s="207"/>
      <c r="X942" s="207"/>
      <c r="Y942" s="207"/>
      <c r="Z942" s="207"/>
      <c r="AA942" s="207"/>
      <c r="AB942" s="207"/>
      <c r="AC942" s="207"/>
      <c r="AD942" s="207"/>
      <c r="AE942" s="207"/>
      <c r="AF942" s="207"/>
      <c r="AG942" s="207"/>
      <c r="AH942" s="207"/>
      <c r="AI942" s="207"/>
      <c r="AJ942" s="207"/>
      <c r="AK942" s="207"/>
      <c r="AL942" s="207"/>
      <c r="AM942" s="207"/>
      <c r="AN942" s="207"/>
      <c r="AO942" s="207"/>
      <c r="AP942" s="207"/>
      <c r="AQ942" s="207"/>
      <c r="AR942" s="207"/>
      <c r="AS942" s="207"/>
      <c r="AT942" s="207"/>
      <c r="AU942" s="207"/>
      <c r="AV942" s="207"/>
      <c r="AW942" s="207"/>
      <c r="AX942" s="207"/>
      <c r="AY942" s="207"/>
      <c r="AZ942" s="207"/>
      <c r="BA942" s="207"/>
    </row>
    <row r="943" ht="18.75" hidden="1" customHeight="1">
      <c r="A943" s="207"/>
      <c r="B943" s="207"/>
      <c r="C943" s="207"/>
      <c r="D943" s="207"/>
      <c r="E943" s="207"/>
      <c r="F943" s="207"/>
      <c r="G943" s="207"/>
      <c r="H943" s="207"/>
      <c r="I943" s="207"/>
      <c r="J943" s="207"/>
      <c r="K943" s="207"/>
      <c r="L943" s="207"/>
      <c r="M943" s="207"/>
      <c r="N943" s="207"/>
      <c r="O943" s="207"/>
      <c r="P943" s="207"/>
      <c r="Q943" s="207"/>
      <c r="R943" s="207"/>
      <c r="S943" s="207"/>
      <c r="T943" s="207"/>
      <c r="U943" s="207"/>
      <c r="V943" s="207"/>
      <c r="W943" s="207"/>
      <c r="X943" s="207"/>
      <c r="Y943" s="207"/>
      <c r="Z943" s="207"/>
      <c r="AA943" s="207"/>
      <c r="AB943" s="207"/>
      <c r="AC943" s="207"/>
      <c r="AD943" s="207"/>
      <c r="AE943" s="207"/>
      <c r="AF943" s="207"/>
      <c r="AG943" s="207"/>
      <c r="AH943" s="207"/>
      <c r="AI943" s="207"/>
      <c r="AJ943" s="207"/>
      <c r="AK943" s="207"/>
      <c r="AL943" s="207"/>
      <c r="AM943" s="207"/>
      <c r="AN943" s="207"/>
      <c r="AO943" s="207"/>
      <c r="AP943" s="207"/>
      <c r="AQ943" s="207"/>
      <c r="AR943" s="207"/>
      <c r="AS943" s="207"/>
      <c r="AT943" s="207"/>
      <c r="AU943" s="207"/>
      <c r="AV943" s="207"/>
      <c r="AW943" s="207"/>
      <c r="AX943" s="207"/>
      <c r="AY943" s="207"/>
      <c r="AZ943" s="207"/>
      <c r="BA943" s="207"/>
    </row>
    <row r="944" ht="18.75" hidden="1" customHeight="1">
      <c r="A944" s="207"/>
      <c r="B944" s="207"/>
      <c r="C944" s="207"/>
      <c r="D944" s="207"/>
      <c r="E944" s="207"/>
      <c r="F944" s="207"/>
      <c r="G944" s="207"/>
      <c r="H944" s="207"/>
      <c r="I944" s="207"/>
      <c r="J944" s="207"/>
      <c r="K944" s="207"/>
      <c r="L944" s="207"/>
      <c r="M944" s="207"/>
      <c r="N944" s="207"/>
      <c r="O944" s="207"/>
      <c r="P944" s="207"/>
      <c r="Q944" s="207"/>
      <c r="R944" s="207"/>
      <c r="S944" s="207"/>
      <c r="T944" s="207"/>
      <c r="U944" s="207"/>
      <c r="V944" s="207"/>
      <c r="W944" s="207"/>
      <c r="X944" s="207"/>
      <c r="Y944" s="207"/>
      <c r="Z944" s="207"/>
      <c r="AA944" s="207"/>
      <c r="AB944" s="207"/>
      <c r="AC944" s="207"/>
      <c r="AD944" s="207"/>
      <c r="AE944" s="207"/>
      <c r="AF944" s="207"/>
      <c r="AG944" s="207"/>
      <c r="AH944" s="207"/>
      <c r="AI944" s="207"/>
      <c r="AJ944" s="207"/>
      <c r="AK944" s="207"/>
      <c r="AL944" s="207"/>
      <c r="AM944" s="207"/>
      <c r="AN944" s="207"/>
      <c r="AO944" s="207"/>
      <c r="AP944" s="207"/>
      <c r="AQ944" s="207"/>
      <c r="AR944" s="207"/>
      <c r="AS944" s="207"/>
      <c r="AT944" s="207"/>
      <c r="AU944" s="207"/>
      <c r="AV944" s="207"/>
      <c r="AW944" s="207"/>
      <c r="AX944" s="207"/>
      <c r="AY944" s="207"/>
      <c r="AZ944" s="207"/>
      <c r="BA944" s="207"/>
    </row>
    <row r="945" ht="18.75" hidden="1" customHeight="1">
      <c r="A945" s="207"/>
      <c r="B945" s="207"/>
      <c r="C945" s="207"/>
      <c r="D945" s="207"/>
      <c r="E945" s="207"/>
      <c r="F945" s="207"/>
      <c r="G945" s="207"/>
      <c r="H945" s="207"/>
      <c r="I945" s="207"/>
      <c r="J945" s="207"/>
      <c r="K945" s="207"/>
      <c r="L945" s="207"/>
      <c r="M945" s="207"/>
      <c r="N945" s="207"/>
      <c r="O945" s="207"/>
      <c r="P945" s="207"/>
      <c r="Q945" s="207"/>
      <c r="R945" s="207"/>
      <c r="S945" s="207"/>
      <c r="T945" s="207"/>
      <c r="U945" s="207"/>
      <c r="V945" s="207"/>
      <c r="W945" s="207"/>
      <c r="X945" s="207"/>
      <c r="Y945" s="207"/>
      <c r="Z945" s="207"/>
      <c r="AA945" s="207"/>
      <c r="AB945" s="207"/>
      <c r="AC945" s="207"/>
      <c r="AD945" s="207"/>
      <c r="AE945" s="207"/>
      <c r="AF945" s="207"/>
      <c r="AG945" s="207"/>
      <c r="AH945" s="207"/>
      <c r="AI945" s="207"/>
      <c r="AJ945" s="207"/>
      <c r="AK945" s="207"/>
      <c r="AL945" s="207"/>
      <c r="AM945" s="207"/>
      <c r="AN945" s="207"/>
      <c r="AO945" s="207"/>
      <c r="AP945" s="207"/>
      <c r="AQ945" s="207"/>
      <c r="AR945" s="207"/>
      <c r="AS945" s="207"/>
      <c r="AT945" s="207"/>
      <c r="AU945" s="207"/>
      <c r="AV945" s="207"/>
      <c r="AW945" s="207"/>
      <c r="AX945" s="207"/>
      <c r="AY945" s="207"/>
      <c r="AZ945" s="207"/>
      <c r="BA945" s="207"/>
    </row>
    <row r="946" ht="18.75" hidden="1" customHeight="1">
      <c r="A946" s="207"/>
      <c r="B946" s="207"/>
      <c r="C946" s="207"/>
      <c r="D946" s="207"/>
      <c r="E946" s="207"/>
      <c r="F946" s="207"/>
      <c r="G946" s="207"/>
      <c r="H946" s="207"/>
      <c r="I946" s="207"/>
      <c r="J946" s="207"/>
      <c r="K946" s="207"/>
      <c r="L946" s="207"/>
      <c r="M946" s="207"/>
      <c r="N946" s="207"/>
      <c r="O946" s="207"/>
      <c r="P946" s="207"/>
      <c r="Q946" s="207"/>
      <c r="R946" s="207"/>
      <c r="S946" s="207"/>
      <c r="T946" s="207"/>
      <c r="U946" s="207"/>
      <c r="V946" s="207"/>
      <c r="W946" s="207"/>
      <c r="X946" s="207"/>
      <c r="Y946" s="207"/>
      <c r="Z946" s="207"/>
      <c r="AA946" s="207"/>
      <c r="AB946" s="207"/>
      <c r="AC946" s="207"/>
      <c r="AD946" s="207"/>
      <c r="AE946" s="207"/>
      <c r="AF946" s="207"/>
      <c r="AG946" s="207"/>
      <c r="AH946" s="207"/>
      <c r="AI946" s="207"/>
      <c r="AJ946" s="207"/>
      <c r="AK946" s="207"/>
      <c r="AL946" s="207"/>
      <c r="AM946" s="207"/>
      <c r="AN946" s="207"/>
      <c r="AO946" s="207"/>
      <c r="AP946" s="207"/>
      <c r="AQ946" s="207"/>
      <c r="AR946" s="207"/>
      <c r="AS946" s="207"/>
      <c r="AT946" s="207"/>
      <c r="AU946" s="207"/>
      <c r="AV946" s="207"/>
      <c r="AW946" s="207"/>
      <c r="AX946" s="207"/>
      <c r="AY946" s="207"/>
      <c r="AZ946" s="207"/>
      <c r="BA946" s="207"/>
    </row>
    <row r="947" ht="18.75" hidden="1" customHeight="1">
      <c r="A947" s="207"/>
      <c r="B947" s="207"/>
      <c r="C947" s="207"/>
      <c r="D947" s="207"/>
      <c r="E947" s="207"/>
      <c r="F947" s="207"/>
      <c r="G947" s="207"/>
      <c r="H947" s="207"/>
      <c r="I947" s="207"/>
      <c r="J947" s="207"/>
      <c r="K947" s="207"/>
      <c r="L947" s="207"/>
      <c r="M947" s="207"/>
      <c r="N947" s="207"/>
      <c r="O947" s="207"/>
      <c r="P947" s="207"/>
      <c r="Q947" s="207"/>
      <c r="R947" s="207"/>
      <c r="S947" s="207"/>
      <c r="T947" s="207"/>
      <c r="U947" s="207"/>
      <c r="V947" s="207"/>
      <c r="W947" s="207"/>
      <c r="X947" s="207"/>
      <c r="Y947" s="207"/>
      <c r="Z947" s="207"/>
      <c r="AA947" s="207"/>
      <c r="AB947" s="207"/>
      <c r="AC947" s="207"/>
      <c r="AD947" s="207"/>
      <c r="AE947" s="207"/>
      <c r="AF947" s="207"/>
      <c r="AG947" s="207"/>
      <c r="AH947" s="207"/>
      <c r="AI947" s="207"/>
      <c r="AJ947" s="207"/>
      <c r="AK947" s="207"/>
      <c r="AL947" s="207"/>
      <c r="AM947" s="207"/>
      <c r="AN947" s="207"/>
      <c r="AO947" s="207"/>
      <c r="AP947" s="207"/>
      <c r="AQ947" s="207"/>
      <c r="AR947" s="207"/>
      <c r="AS947" s="207"/>
      <c r="AT947" s="207"/>
      <c r="AU947" s="207"/>
      <c r="AV947" s="207"/>
      <c r="AW947" s="207"/>
      <c r="AX947" s="207"/>
      <c r="AY947" s="207"/>
      <c r="AZ947" s="207"/>
      <c r="BA947" s="207"/>
    </row>
    <row r="948" ht="18.75" hidden="1" customHeight="1">
      <c r="A948" s="207"/>
      <c r="B948" s="207"/>
      <c r="C948" s="207"/>
      <c r="D948" s="207"/>
      <c r="E948" s="207"/>
      <c r="F948" s="207"/>
      <c r="G948" s="207"/>
      <c r="H948" s="207"/>
      <c r="I948" s="207"/>
      <c r="J948" s="207"/>
      <c r="K948" s="207"/>
      <c r="L948" s="207"/>
      <c r="M948" s="207"/>
      <c r="N948" s="207"/>
      <c r="O948" s="207"/>
      <c r="P948" s="207"/>
      <c r="Q948" s="207"/>
      <c r="R948" s="207"/>
      <c r="S948" s="207"/>
      <c r="T948" s="207"/>
      <c r="U948" s="207"/>
      <c r="V948" s="207"/>
      <c r="W948" s="207"/>
      <c r="X948" s="207"/>
      <c r="Y948" s="207"/>
      <c r="Z948" s="207"/>
      <c r="AA948" s="207"/>
      <c r="AB948" s="207"/>
      <c r="AC948" s="207"/>
      <c r="AD948" s="207"/>
      <c r="AE948" s="207"/>
      <c r="AF948" s="207"/>
      <c r="AG948" s="207"/>
      <c r="AH948" s="207"/>
      <c r="AI948" s="207"/>
      <c r="AJ948" s="207"/>
      <c r="AK948" s="207"/>
      <c r="AL948" s="207"/>
      <c r="AM948" s="207"/>
      <c r="AN948" s="207"/>
      <c r="AO948" s="207"/>
      <c r="AP948" s="207"/>
      <c r="AQ948" s="207"/>
      <c r="AR948" s="207"/>
      <c r="AS948" s="207"/>
      <c r="AT948" s="207"/>
      <c r="AU948" s="207"/>
      <c r="AV948" s="207"/>
      <c r="AW948" s="207"/>
      <c r="AX948" s="207"/>
      <c r="AY948" s="207"/>
      <c r="AZ948" s="207"/>
      <c r="BA948" s="207"/>
    </row>
    <row r="949" ht="18.75" hidden="1" customHeight="1">
      <c r="A949" s="207"/>
      <c r="B949" s="207"/>
      <c r="C949" s="207"/>
      <c r="D949" s="207"/>
      <c r="E949" s="207"/>
      <c r="F949" s="207"/>
      <c r="G949" s="207"/>
      <c r="H949" s="207"/>
      <c r="I949" s="207"/>
      <c r="J949" s="207"/>
      <c r="K949" s="207"/>
      <c r="L949" s="207"/>
      <c r="M949" s="207"/>
      <c r="N949" s="207"/>
      <c r="O949" s="207"/>
      <c r="P949" s="207"/>
      <c r="Q949" s="207"/>
      <c r="R949" s="207"/>
      <c r="S949" s="207"/>
      <c r="T949" s="207"/>
      <c r="U949" s="207"/>
      <c r="V949" s="207"/>
      <c r="W949" s="207"/>
      <c r="X949" s="207"/>
      <c r="Y949" s="207"/>
      <c r="Z949" s="207"/>
      <c r="AA949" s="207"/>
      <c r="AB949" s="207"/>
      <c r="AC949" s="207"/>
      <c r="AD949" s="207"/>
      <c r="AE949" s="207"/>
      <c r="AF949" s="207"/>
      <c r="AG949" s="207"/>
      <c r="AH949" s="207"/>
      <c r="AI949" s="207"/>
      <c r="AJ949" s="207"/>
      <c r="AK949" s="207"/>
      <c r="AL949" s="207"/>
      <c r="AM949" s="207"/>
      <c r="AN949" s="207"/>
      <c r="AO949" s="207"/>
      <c r="AP949" s="207"/>
      <c r="AQ949" s="207"/>
      <c r="AR949" s="207"/>
      <c r="AS949" s="207"/>
      <c r="AT949" s="207"/>
      <c r="AU949" s="207"/>
      <c r="AV949" s="207"/>
      <c r="AW949" s="207"/>
      <c r="AX949" s="207"/>
      <c r="AY949" s="207"/>
      <c r="AZ949" s="207"/>
      <c r="BA949" s="207"/>
    </row>
    <row r="950" ht="18.75" hidden="1" customHeight="1">
      <c r="A950" s="207"/>
      <c r="B950" s="207"/>
      <c r="C950" s="207"/>
      <c r="D950" s="207"/>
      <c r="E950" s="207"/>
      <c r="F950" s="207"/>
      <c r="G950" s="207"/>
      <c r="H950" s="207"/>
      <c r="I950" s="207"/>
      <c r="J950" s="207"/>
      <c r="K950" s="207"/>
      <c r="L950" s="207"/>
      <c r="M950" s="207"/>
      <c r="N950" s="207"/>
      <c r="O950" s="207"/>
      <c r="P950" s="207"/>
      <c r="Q950" s="207"/>
      <c r="R950" s="207"/>
      <c r="S950" s="207"/>
      <c r="T950" s="207"/>
      <c r="U950" s="207"/>
      <c r="V950" s="207"/>
      <c r="W950" s="207"/>
      <c r="X950" s="207"/>
      <c r="Y950" s="207"/>
      <c r="Z950" s="207"/>
      <c r="AA950" s="207"/>
      <c r="AB950" s="207"/>
      <c r="AC950" s="207"/>
      <c r="AD950" s="207"/>
      <c r="AE950" s="207"/>
      <c r="AF950" s="207"/>
      <c r="AG950" s="207"/>
      <c r="AH950" s="207"/>
      <c r="AI950" s="207"/>
      <c r="AJ950" s="207"/>
      <c r="AK950" s="207"/>
      <c r="AL950" s="207"/>
      <c r="AM950" s="207"/>
      <c r="AN950" s="207"/>
      <c r="AO950" s="207"/>
      <c r="AP950" s="207"/>
      <c r="AQ950" s="207"/>
      <c r="AR950" s="207"/>
      <c r="AS950" s="207"/>
      <c r="AT950" s="207"/>
      <c r="AU950" s="207"/>
      <c r="AV950" s="207"/>
      <c r="AW950" s="207"/>
      <c r="AX950" s="207"/>
      <c r="AY950" s="207"/>
      <c r="AZ950" s="207"/>
      <c r="BA950" s="207"/>
    </row>
    <row r="951" ht="18.75" hidden="1" customHeight="1">
      <c r="A951" s="207"/>
      <c r="B951" s="207"/>
      <c r="C951" s="207"/>
      <c r="D951" s="207"/>
      <c r="E951" s="207"/>
      <c r="F951" s="207"/>
      <c r="G951" s="207"/>
      <c r="H951" s="207"/>
      <c r="I951" s="207"/>
      <c r="J951" s="207"/>
      <c r="K951" s="207"/>
      <c r="L951" s="207"/>
      <c r="M951" s="207"/>
      <c r="N951" s="207"/>
      <c r="O951" s="207"/>
      <c r="P951" s="207"/>
      <c r="Q951" s="207"/>
      <c r="R951" s="207"/>
      <c r="S951" s="207"/>
      <c r="T951" s="207"/>
      <c r="U951" s="207"/>
      <c r="V951" s="207"/>
      <c r="W951" s="207"/>
      <c r="X951" s="207"/>
      <c r="Y951" s="207"/>
      <c r="Z951" s="207"/>
      <c r="AA951" s="207"/>
      <c r="AB951" s="207"/>
      <c r="AC951" s="207"/>
      <c r="AD951" s="207"/>
      <c r="AE951" s="207"/>
      <c r="AF951" s="207"/>
      <c r="AG951" s="207"/>
      <c r="AH951" s="207"/>
      <c r="AI951" s="207"/>
      <c r="AJ951" s="207"/>
      <c r="AK951" s="207"/>
      <c r="AL951" s="207"/>
      <c r="AM951" s="207"/>
      <c r="AN951" s="207"/>
      <c r="AO951" s="207"/>
      <c r="AP951" s="207"/>
      <c r="AQ951" s="207"/>
      <c r="AR951" s="207"/>
      <c r="AS951" s="207"/>
      <c r="AT951" s="207"/>
      <c r="AU951" s="207"/>
      <c r="AV951" s="207"/>
      <c r="AW951" s="207"/>
      <c r="AX951" s="207"/>
      <c r="AY951" s="207"/>
      <c r="AZ951" s="207"/>
      <c r="BA951" s="207"/>
    </row>
    <row r="952" ht="18.75" hidden="1" customHeight="1">
      <c r="A952" s="207"/>
      <c r="B952" s="207"/>
      <c r="C952" s="207"/>
      <c r="D952" s="207"/>
      <c r="E952" s="207"/>
      <c r="F952" s="207"/>
      <c r="G952" s="207"/>
      <c r="H952" s="207"/>
      <c r="I952" s="207"/>
      <c r="J952" s="207"/>
      <c r="K952" s="207"/>
      <c r="L952" s="207"/>
      <c r="M952" s="207"/>
      <c r="N952" s="207"/>
      <c r="O952" s="207"/>
      <c r="P952" s="207"/>
      <c r="Q952" s="207"/>
      <c r="R952" s="207"/>
      <c r="S952" s="207"/>
      <c r="T952" s="207"/>
      <c r="U952" s="207"/>
      <c r="V952" s="207"/>
      <c r="W952" s="207"/>
      <c r="X952" s="207"/>
      <c r="Y952" s="207"/>
      <c r="Z952" s="207"/>
      <c r="AA952" s="207"/>
      <c r="AB952" s="207"/>
      <c r="AC952" s="207"/>
      <c r="AD952" s="207"/>
      <c r="AE952" s="207"/>
      <c r="AF952" s="207"/>
      <c r="AG952" s="207"/>
      <c r="AH952" s="207"/>
      <c r="AI952" s="207"/>
      <c r="AJ952" s="207"/>
      <c r="AK952" s="207"/>
      <c r="AL952" s="207"/>
      <c r="AM952" s="207"/>
      <c r="AN952" s="207"/>
      <c r="AO952" s="207"/>
      <c r="AP952" s="207"/>
      <c r="AQ952" s="207"/>
      <c r="AR952" s="207"/>
      <c r="AS952" s="207"/>
      <c r="AT952" s="207"/>
      <c r="AU952" s="207"/>
      <c r="AV952" s="207"/>
      <c r="AW952" s="207"/>
      <c r="AX952" s="207"/>
      <c r="AY952" s="207"/>
      <c r="AZ952" s="207"/>
      <c r="BA952" s="207"/>
    </row>
    <row r="953" ht="18.75" hidden="1" customHeight="1">
      <c r="A953" s="207"/>
      <c r="B953" s="207"/>
      <c r="C953" s="207"/>
      <c r="D953" s="207"/>
      <c r="E953" s="207"/>
      <c r="F953" s="207"/>
      <c r="G953" s="207"/>
      <c r="H953" s="207"/>
      <c r="I953" s="207"/>
      <c r="J953" s="207"/>
      <c r="K953" s="207"/>
      <c r="L953" s="207"/>
      <c r="M953" s="207"/>
      <c r="N953" s="207"/>
      <c r="O953" s="207"/>
      <c r="P953" s="207"/>
      <c r="Q953" s="207"/>
      <c r="R953" s="207"/>
      <c r="S953" s="207"/>
      <c r="T953" s="207"/>
      <c r="U953" s="207"/>
      <c r="V953" s="207"/>
      <c r="W953" s="207"/>
      <c r="X953" s="207"/>
      <c r="Y953" s="207"/>
      <c r="Z953" s="207"/>
      <c r="AA953" s="207"/>
      <c r="AB953" s="207"/>
      <c r="AC953" s="207"/>
      <c r="AD953" s="207"/>
      <c r="AE953" s="207"/>
      <c r="AF953" s="207"/>
      <c r="AG953" s="207"/>
      <c r="AH953" s="207"/>
      <c r="AI953" s="207"/>
      <c r="AJ953" s="207"/>
      <c r="AK953" s="207"/>
      <c r="AL953" s="207"/>
      <c r="AM953" s="207"/>
      <c r="AN953" s="207"/>
      <c r="AO953" s="207"/>
      <c r="AP953" s="207"/>
      <c r="AQ953" s="207"/>
      <c r="AR953" s="207"/>
      <c r="AS953" s="207"/>
      <c r="AT953" s="207"/>
      <c r="AU953" s="207"/>
      <c r="AV953" s="207"/>
      <c r="AW953" s="207"/>
      <c r="AX953" s="207"/>
      <c r="AY953" s="207"/>
      <c r="AZ953" s="207"/>
      <c r="BA953" s="207"/>
    </row>
    <row r="954" ht="18.75" hidden="1" customHeight="1">
      <c r="A954" s="207"/>
      <c r="B954" s="207"/>
      <c r="C954" s="207"/>
      <c r="D954" s="207"/>
      <c r="E954" s="207"/>
      <c r="F954" s="207"/>
      <c r="G954" s="207"/>
      <c r="H954" s="207"/>
      <c r="I954" s="207"/>
      <c r="J954" s="207"/>
      <c r="K954" s="207"/>
      <c r="L954" s="207"/>
      <c r="M954" s="207"/>
      <c r="N954" s="207"/>
      <c r="O954" s="207"/>
      <c r="P954" s="207"/>
      <c r="Q954" s="207"/>
      <c r="R954" s="207"/>
      <c r="S954" s="207"/>
      <c r="T954" s="207"/>
      <c r="U954" s="207"/>
      <c r="V954" s="207"/>
      <c r="W954" s="207"/>
      <c r="X954" s="207"/>
      <c r="Y954" s="207"/>
      <c r="Z954" s="207"/>
      <c r="AA954" s="207"/>
      <c r="AB954" s="207"/>
      <c r="AC954" s="207"/>
      <c r="AD954" s="207"/>
      <c r="AE954" s="207"/>
      <c r="AF954" s="207"/>
      <c r="AG954" s="207"/>
      <c r="AH954" s="207"/>
      <c r="AI954" s="207"/>
      <c r="AJ954" s="207"/>
      <c r="AK954" s="207"/>
      <c r="AL954" s="207"/>
      <c r="AM954" s="207"/>
      <c r="AN954" s="207"/>
      <c r="AO954" s="207"/>
      <c r="AP954" s="207"/>
      <c r="AQ954" s="207"/>
      <c r="AR954" s="207"/>
      <c r="AS954" s="207"/>
      <c r="AT954" s="207"/>
      <c r="AU954" s="207"/>
      <c r="AV954" s="207"/>
      <c r="AW954" s="207"/>
      <c r="AX954" s="207"/>
      <c r="AY954" s="207"/>
      <c r="AZ954" s="207"/>
      <c r="BA954" s="207"/>
    </row>
    <row r="955" ht="18.75" hidden="1" customHeight="1">
      <c r="A955" s="207"/>
      <c r="B955" s="207"/>
      <c r="C955" s="207"/>
      <c r="D955" s="207"/>
      <c r="E955" s="207"/>
      <c r="F955" s="207"/>
      <c r="G955" s="207"/>
      <c r="H955" s="207"/>
      <c r="I955" s="207"/>
      <c r="J955" s="207"/>
      <c r="K955" s="207"/>
      <c r="L955" s="207"/>
      <c r="M955" s="207"/>
      <c r="N955" s="207"/>
      <c r="O955" s="207"/>
      <c r="P955" s="207"/>
      <c r="Q955" s="207"/>
      <c r="R955" s="207"/>
      <c r="S955" s="207"/>
      <c r="T955" s="207"/>
      <c r="U955" s="207"/>
      <c r="V955" s="207"/>
      <c r="W955" s="207"/>
      <c r="X955" s="207"/>
      <c r="Y955" s="207"/>
      <c r="Z955" s="207"/>
      <c r="AA955" s="207"/>
      <c r="AB955" s="207"/>
      <c r="AC955" s="207"/>
      <c r="AD955" s="207"/>
      <c r="AE955" s="207"/>
      <c r="AF955" s="207"/>
      <c r="AG955" s="207"/>
      <c r="AH955" s="207"/>
      <c r="AI955" s="207"/>
      <c r="AJ955" s="207"/>
      <c r="AK955" s="207"/>
      <c r="AL955" s="207"/>
      <c r="AM955" s="207"/>
      <c r="AN955" s="207"/>
      <c r="AO955" s="207"/>
      <c r="AP955" s="207"/>
      <c r="AQ955" s="207"/>
      <c r="AR955" s="207"/>
      <c r="AS955" s="207"/>
      <c r="AT955" s="207"/>
      <c r="AU955" s="207"/>
      <c r="AV955" s="207"/>
      <c r="AW955" s="207"/>
      <c r="AX955" s="207"/>
      <c r="AY955" s="207"/>
      <c r="AZ955" s="207"/>
      <c r="BA955" s="207"/>
    </row>
    <row r="956" ht="18.75" hidden="1" customHeight="1">
      <c r="A956" s="207"/>
      <c r="B956" s="207"/>
      <c r="C956" s="207"/>
      <c r="D956" s="207"/>
      <c r="E956" s="207"/>
      <c r="F956" s="207"/>
      <c r="G956" s="207"/>
      <c r="H956" s="207"/>
      <c r="I956" s="207"/>
      <c r="J956" s="207"/>
      <c r="K956" s="207"/>
      <c r="L956" s="207"/>
      <c r="M956" s="207"/>
      <c r="N956" s="207"/>
      <c r="O956" s="207"/>
      <c r="P956" s="207"/>
      <c r="Q956" s="207"/>
      <c r="R956" s="207"/>
      <c r="S956" s="207"/>
      <c r="T956" s="207"/>
      <c r="U956" s="207"/>
      <c r="V956" s="207"/>
      <c r="W956" s="207"/>
      <c r="X956" s="207"/>
      <c r="Y956" s="207"/>
      <c r="Z956" s="207"/>
      <c r="AA956" s="207"/>
      <c r="AB956" s="207"/>
      <c r="AC956" s="207"/>
      <c r="AD956" s="207"/>
      <c r="AE956" s="207"/>
      <c r="AF956" s="207"/>
      <c r="AG956" s="207"/>
      <c r="AH956" s="207"/>
      <c r="AI956" s="207"/>
      <c r="AJ956" s="207"/>
      <c r="AK956" s="207"/>
      <c r="AL956" s="207"/>
      <c r="AM956" s="207"/>
      <c r="AN956" s="207"/>
      <c r="AO956" s="207"/>
      <c r="AP956" s="207"/>
      <c r="AQ956" s="207"/>
      <c r="AR956" s="207"/>
      <c r="AS956" s="207"/>
      <c r="AT956" s="207"/>
      <c r="AU956" s="207"/>
      <c r="AV956" s="207"/>
      <c r="AW956" s="207"/>
      <c r="AX956" s="207"/>
      <c r="AY956" s="207"/>
      <c r="AZ956" s="207"/>
      <c r="BA956" s="207"/>
    </row>
    <row r="957" ht="18.75" hidden="1" customHeight="1">
      <c r="A957" s="207"/>
      <c r="B957" s="207"/>
      <c r="C957" s="207"/>
      <c r="D957" s="207"/>
      <c r="E957" s="207"/>
      <c r="F957" s="207"/>
      <c r="G957" s="207"/>
      <c r="H957" s="207"/>
      <c r="I957" s="207"/>
      <c r="J957" s="207"/>
      <c r="K957" s="207"/>
      <c r="L957" s="207"/>
      <c r="M957" s="207"/>
      <c r="N957" s="207"/>
      <c r="O957" s="207"/>
      <c r="P957" s="207"/>
      <c r="Q957" s="207"/>
      <c r="R957" s="207"/>
      <c r="S957" s="207"/>
      <c r="T957" s="207"/>
      <c r="U957" s="207"/>
      <c r="V957" s="207"/>
      <c r="W957" s="207"/>
      <c r="X957" s="207"/>
      <c r="Y957" s="207"/>
      <c r="Z957" s="207"/>
      <c r="AA957" s="207"/>
      <c r="AB957" s="207"/>
      <c r="AC957" s="207"/>
      <c r="AD957" s="207"/>
      <c r="AE957" s="207"/>
      <c r="AF957" s="207"/>
      <c r="AG957" s="207"/>
      <c r="AH957" s="207"/>
      <c r="AI957" s="207"/>
      <c r="AJ957" s="207"/>
      <c r="AK957" s="207"/>
      <c r="AL957" s="207"/>
      <c r="AM957" s="207"/>
      <c r="AN957" s="207"/>
      <c r="AO957" s="207"/>
      <c r="AP957" s="207"/>
      <c r="AQ957" s="207"/>
      <c r="AR957" s="207"/>
      <c r="AS957" s="207"/>
      <c r="AT957" s="207"/>
      <c r="AU957" s="207"/>
      <c r="AV957" s="207"/>
      <c r="AW957" s="207"/>
      <c r="AX957" s="207"/>
      <c r="AY957" s="207"/>
      <c r="AZ957" s="207"/>
      <c r="BA957" s="207"/>
    </row>
    <row r="958" ht="18.75" hidden="1" customHeight="1">
      <c r="A958" s="207"/>
      <c r="B958" s="207"/>
      <c r="C958" s="207"/>
      <c r="D958" s="207"/>
      <c r="E958" s="207"/>
      <c r="F958" s="207"/>
      <c r="G958" s="207"/>
      <c r="H958" s="207"/>
      <c r="I958" s="207"/>
      <c r="J958" s="207"/>
      <c r="K958" s="207"/>
      <c r="L958" s="207"/>
      <c r="M958" s="207"/>
      <c r="N958" s="207"/>
      <c r="O958" s="207"/>
      <c r="P958" s="207"/>
      <c r="Q958" s="207"/>
      <c r="R958" s="207"/>
      <c r="S958" s="207"/>
      <c r="T958" s="207"/>
      <c r="U958" s="207"/>
      <c r="V958" s="207"/>
      <c r="W958" s="207"/>
      <c r="X958" s="207"/>
      <c r="Y958" s="207"/>
      <c r="Z958" s="207"/>
      <c r="AA958" s="207"/>
      <c r="AB958" s="207"/>
      <c r="AC958" s="207"/>
      <c r="AD958" s="207"/>
      <c r="AE958" s="207"/>
      <c r="AF958" s="207"/>
      <c r="AG958" s="207"/>
      <c r="AH958" s="207"/>
      <c r="AI958" s="207"/>
      <c r="AJ958" s="207"/>
      <c r="AK958" s="207"/>
      <c r="AL958" s="207"/>
      <c r="AM958" s="207"/>
      <c r="AN958" s="207"/>
      <c r="AO958" s="207"/>
      <c r="AP958" s="207"/>
      <c r="AQ958" s="207"/>
      <c r="AR958" s="207"/>
      <c r="AS958" s="207"/>
      <c r="AT958" s="207"/>
      <c r="AU958" s="207"/>
      <c r="AV958" s="207"/>
      <c r="AW958" s="207"/>
      <c r="AX958" s="207"/>
      <c r="AY958" s="207"/>
      <c r="AZ958" s="207"/>
      <c r="BA958" s="207"/>
    </row>
    <row r="959" ht="18.75" hidden="1" customHeight="1">
      <c r="A959" s="207"/>
      <c r="B959" s="207"/>
      <c r="C959" s="207"/>
      <c r="D959" s="207"/>
      <c r="E959" s="207"/>
      <c r="F959" s="207"/>
      <c r="G959" s="207"/>
      <c r="H959" s="207"/>
      <c r="I959" s="207"/>
      <c r="J959" s="207"/>
      <c r="K959" s="207"/>
      <c r="L959" s="207"/>
      <c r="M959" s="207"/>
      <c r="N959" s="207"/>
      <c r="O959" s="207"/>
      <c r="P959" s="207"/>
      <c r="Q959" s="207"/>
      <c r="R959" s="207"/>
      <c r="S959" s="207"/>
      <c r="T959" s="207"/>
      <c r="U959" s="207"/>
      <c r="V959" s="207"/>
      <c r="W959" s="207"/>
      <c r="X959" s="207"/>
      <c r="Y959" s="207"/>
      <c r="Z959" s="207"/>
      <c r="AA959" s="207"/>
      <c r="AB959" s="207"/>
      <c r="AC959" s="207"/>
      <c r="AD959" s="207"/>
      <c r="AE959" s="207"/>
      <c r="AF959" s="207"/>
      <c r="AG959" s="207"/>
      <c r="AH959" s="207"/>
      <c r="AI959" s="207"/>
      <c r="AJ959" s="207"/>
      <c r="AK959" s="207"/>
      <c r="AL959" s="207"/>
      <c r="AM959" s="207"/>
      <c r="AN959" s="207"/>
      <c r="AO959" s="207"/>
      <c r="AP959" s="207"/>
      <c r="AQ959" s="207"/>
      <c r="AR959" s="207"/>
      <c r="AS959" s="207"/>
      <c r="AT959" s="207"/>
      <c r="AU959" s="207"/>
      <c r="AV959" s="207"/>
      <c r="AW959" s="207"/>
      <c r="AX959" s="207"/>
      <c r="AY959" s="207"/>
      <c r="AZ959" s="207"/>
      <c r="BA959" s="207"/>
    </row>
    <row r="960" ht="18.75" hidden="1" customHeight="1">
      <c r="A960" s="207"/>
      <c r="B960" s="207"/>
      <c r="C960" s="207"/>
      <c r="D960" s="207"/>
      <c r="E960" s="207"/>
      <c r="F960" s="207"/>
      <c r="G960" s="207"/>
      <c r="H960" s="207"/>
      <c r="I960" s="207"/>
      <c r="J960" s="207"/>
      <c r="K960" s="207"/>
      <c r="L960" s="207"/>
      <c r="M960" s="207"/>
      <c r="N960" s="207"/>
      <c r="O960" s="207"/>
      <c r="P960" s="207"/>
      <c r="Q960" s="207"/>
      <c r="R960" s="207"/>
      <c r="S960" s="207"/>
      <c r="T960" s="207"/>
      <c r="U960" s="207"/>
      <c r="V960" s="207"/>
      <c r="W960" s="207"/>
      <c r="X960" s="207"/>
      <c r="Y960" s="207"/>
      <c r="Z960" s="207"/>
      <c r="AA960" s="207"/>
      <c r="AB960" s="207"/>
      <c r="AC960" s="207"/>
      <c r="AD960" s="207"/>
      <c r="AE960" s="207"/>
      <c r="AF960" s="207"/>
      <c r="AG960" s="207"/>
      <c r="AH960" s="207"/>
      <c r="AI960" s="207"/>
      <c r="AJ960" s="207"/>
      <c r="AK960" s="207"/>
      <c r="AL960" s="207"/>
      <c r="AM960" s="207"/>
      <c r="AN960" s="207"/>
      <c r="AO960" s="207"/>
      <c r="AP960" s="207"/>
      <c r="AQ960" s="207"/>
      <c r="AR960" s="207"/>
      <c r="AS960" s="207"/>
      <c r="AT960" s="207"/>
      <c r="AU960" s="207"/>
      <c r="AV960" s="207"/>
      <c r="AW960" s="207"/>
      <c r="AX960" s="207"/>
      <c r="AY960" s="207"/>
      <c r="AZ960" s="207"/>
      <c r="BA960" s="207"/>
    </row>
    <row r="961" ht="18.75" hidden="1" customHeight="1">
      <c r="A961" s="207"/>
      <c r="B961" s="207"/>
      <c r="C961" s="207"/>
      <c r="D961" s="207"/>
      <c r="E961" s="207"/>
      <c r="F961" s="207"/>
      <c r="G961" s="207"/>
      <c r="H961" s="207"/>
      <c r="I961" s="207"/>
      <c r="J961" s="207"/>
      <c r="K961" s="207"/>
      <c r="L961" s="207"/>
      <c r="M961" s="207"/>
      <c r="N961" s="207"/>
      <c r="O961" s="207"/>
      <c r="P961" s="207"/>
      <c r="Q961" s="207"/>
      <c r="R961" s="207"/>
      <c r="S961" s="207"/>
      <c r="T961" s="207"/>
      <c r="U961" s="207"/>
      <c r="V961" s="207"/>
      <c r="W961" s="207"/>
      <c r="X961" s="207"/>
      <c r="Y961" s="207"/>
      <c r="Z961" s="207"/>
      <c r="AA961" s="207"/>
      <c r="AB961" s="207"/>
      <c r="AC961" s="207"/>
      <c r="AD961" s="207"/>
      <c r="AE961" s="207"/>
      <c r="AF961" s="207"/>
      <c r="AG961" s="207"/>
      <c r="AH961" s="207"/>
      <c r="AI961" s="207"/>
      <c r="AJ961" s="207"/>
      <c r="AK961" s="207"/>
      <c r="AL961" s="207"/>
      <c r="AM961" s="207"/>
      <c r="AN961" s="207"/>
      <c r="AO961" s="207"/>
      <c r="AP961" s="207"/>
      <c r="AQ961" s="207"/>
      <c r="AR961" s="207"/>
      <c r="AS961" s="207"/>
      <c r="AT961" s="207"/>
      <c r="AU961" s="207"/>
      <c r="AV961" s="207"/>
      <c r="AW961" s="207"/>
      <c r="AX961" s="207"/>
      <c r="AY961" s="207"/>
      <c r="AZ961" s="207"/>
      <c r="BA961" s="207"/>
    </row>
    <row r="962" ht="18.75" hidden="1" customHeight="1">
      <c r="A962" s="207"/>
      <c r="B962" s="207"/>
      <c r="C962" s="207"/>
      <c r="D962" s="207"/>
      <c r="E962" s="207"/>
      <c r="F962" s="207"/>
      <c r="G962" s="207"/>
      <c r="H962" s="207"/>
      <c r="I962" s="207"/>
      <c r="J962" s="207"/>
      <c r="K962" s="207"/>
      <c r="L962" s="207"/>
      <c r="M962" s="207"/>
      <c r="N962" s="207"/>
      <c r="O962" s="207"/>
      <c r="P962" s="207"/>
      <c r="Q962" s="207"/>
      <c r="R962" s="207"/>
      <c r="S962" s="207"/>
      <c r="T962" s="207"/>
      <c r="U962" s="207"/>
      <c r="V962" s="207"/>
      <c r="W962" s="207"/>
      <c r="X962" s="207"/>
      <c r="Y962" s="207"/>
      <c r="Z962" s="207"/>
      <c r="AA962" s="207"/>
      <c r="AB962" s="207"/>
      <c r="AC962" s="207"/>
      <c r="AD962" s="207"/>
      <c r="AE962" s="207"/>
      <c r="AF962" s="207"/>
      <c r="AG962" s="207"/>
      <c r="AH962" s="207"/>
      <c r="AI962" s="207"/>
      <c r="AJ962" s="207"/>
      <c r="AK962" s="207"/>
      <c r="AL962" s="207"/>
      <c r="AM962" s="207"/>
      <c r="AN962" s="207"/>
      <c r="AO962" s="207"/>
      <c r="AP962" s="207"/>
      <c r="AQ962" s="207"/>
      <c r="AR962" s="207"/>
      <c r="AS962" s="207"/>
      <c r="AT962" s="207"/>
      <c r="AU962" s="207"/>
      <c r="AV962" s="207"/>
      <c r="AW962" s="207"/>
      <c r="AX962" s="207"/>
      <c r="AY962" s="207"/>
      <c r="AZ962" s="207"/>
      <c r="BA962" s="207"/>
    </row>
    <row r="963" ht="18.75" hidden="1" customHeight="1">
      <c r="A963" s="207"/>
      <c r="B963" s="207"/>
      <c r="C963" s="207"/>
      <c r="D963" s="207"/>
      <c r="E963" s="207"/>
      <c r="F963" s="207"/>
      <c r="G963" s="207"/>
      <c r="H963" s="207"/>
      <c r="I963" s="207"/>
      <c r="J963" s="207"/>
      <c r="K963" s="207"/>
      <c r="L963" s="207"/>
      <c r="M963" s="207"/>
      <c r="N963" s="207"/>
      <c r="O963" s="207"/>
      <c r="P963" s="207"/>
      <c r="Q963" s="207"/>
      <c r="R963" s="207"/>
      <c r="S963" s="207"/>
      <c r="T963" s="207"/>
      <c r="U963" s="207"/>
      <c r="V963" s="207"/>
      <c r="W963" s="207"/>
      <c r="X963" s="207"/>
      <c r="Y963" s="207"/>
      <c r="Z963" s="207"/>
      <c r="AA963" s="207"/>
      <c r="AB963" s="207"/>
      <c r="AC963" s="207"/>
      <c r="AD963" s="207"/>
      <c r="AE963" s="207"/>
      <c r="AF963" s="207"/>
      <c r="AG963" s="207"/>
      <c r="AH963" s="207"/>
      <c r="AI963" s="207"/>
      <c r="AJ963" s="207"/>
      <c r="AK963" s="207"/>
      <c r="AL963" s="207"/>
      <c r="AM963" s="207"/>
      <c r="AN963" s="207"/>
      <c r="AO963" s="207"/>
      <c r="AP963" s="207"/>
      <c r="AQ963" s="207"/>
      <c r="AR963" s="207"/>
      <c r="AS963" s="207"/>
      <c r="AT963" s="207"/>
      <c r="AU963" s="207"/>
      <c r="AV963" s="207"/>
      <c r="AW963" s="207"/>
      <c r="AX963" s="207"/>
      <c r="AY963" s="207"/>
      <c r="AZ963" s="207"/>
      <c r="BA963" s="207"/>
    </row>
    <row r="964" ht="18.75" hidden="1" customHeight="1">
      <c r="A964" s="207"/>
      <c r="B964" s="207"/>
      <c r="C964" s="207"/>
      <c r="D964" s="207"/>
      <c r="E964" s="207"/>
      <c r="F964" s="207"/>
      <c r="G964" s="207"/>
      <c r="H964" s="207"/>
      <c r="I964" s="207"/>
      <c r="J964" s="207"/>
      <c r="K964" s="207"/>
      <c r="L964" s="207"/>
      <c r="M964" s="207"/>
      <c r="N964" s="207"/>
      <c r="O964" s="207"/>
      <c r="P964" s="207"/>
      <c r="Q964" s="207"/>
      <c r="R964" s="207"/>
      <c r="S964" s="207"/>
      <c r="T964" s="207"/>
      <c r="U964" s="207"/>
      <c r="V964" s="207"/>
      <c r="W964" s="207"/>
      <c r="X964" s="207"/>
      <c r="Y964" s="207"/>
      <c r="Z964" s="207"/>
      <c r="AA964" s="207"/>
      <c r="AB964" s="207"/>
      <c r="AC964" s="207"/>
      <c r="AD964" s="207"/>
      <c r="AE964" s="207"/>
      <c r="AF964" s="207"/>
      <c r="AG964" s="207"/>
      <c r="AH964" s="207"/>
      <c r="AI964" s="207"/>
      <c r="AJ964" s="207"/>
      <c r="AK964" s="207"/>
      <c r="AL964" s="207"/>
      <c r="AM964" s="207"/>
      <c r="AN964" s="207"/>
      <c r="AO964" s="207"/>
      <c r="AP964" s="207"/>
      <c r="AQ964" s="207"/>
      <c r="AR964" s="207"/>
      <c r="AS964" s="207"/>
      <c r="AT964" s="207"/>
      <c r="AU964" s="207"/>
      <c r="AV964" s="207"/>
      <c r="AW964" s="207"/>
      <c r="AX964" s="207"/>
      <c r="AY964" s="207"/>
      <c r="AZ964" s="207"/>
      <c r="BA964" s="207"/>
    </row>
    <row r="965" ht="18.75" hidden="1" customHeight="1">
      <c r="A965" s="207"/>
      <c r="B965" s="207"/>
      <c r="C965" s="207"/>
      <c r="D965" s="207"/>
      <c r="E965" s="207"/>
      <c r="F965" s="207"/>
      <c r="G965" s="207"/>
      <c r="H965" s="207"/>
      <c r="I965" s="207"/>
      <c r="J965" s="207"/>
      <c r="K965" s="207"/>
      <c r="L965" s="207"/>
      <c r="M965" s="207"/>
      <c r="N965" s="207"/>
      <c r="O965" s="207"/>
      <c r="P965" s="207"/>
      <c r="Q965" s="207"/>
      <c r="R965" s="207"/>
      <c r="S965" s="207"/>
      <c r="T965" s="207"/>
      <c r="U965" s="207"/>
      <c r="V965" s="207"/>
      <c r="W965" s="207"/>
      <c r="X965" s="207"/>
      <c r="Y965" s="207"/>
      <c r="Z965" s="207"/>
      <c r="AA965" s="207"/>
      <c r="AB965" s="207"/>
      <c r="AC965" s="207"/>
      <c r="AD965" s="207"/>
      <c r="AE965" s="207"/>
      <c r="AF965" s="207"/>
      <c r="AG965" s="207"/>
      <c r="AH965" s="207"/>
      <c r="AI965" s="207"/>
      <c r="AJ965" s="207"/>
      <c r="AK965" s="207"/>
      <c r="AL965" s="207"/>
      <c r="AM965" s="207"/>
      <c r="AN965" s="207"/>
      <c r="AO965" s="207"/>
      <c r="AP965" s="207"/>
      <c r="AQ965" s="207"/>
      <c r="AR965" s="207"/>
      <c r="AS965" s="207"/>
      <c r="AT965" s="207"/>
      <c r="AU965" s="207"/>
      <c r="AV965" s="207"/>
      <c r="AW965" s="207"/>
      <c r="AX965" s="207"/>
      <c r="AY965" s="207"/>
      <c r="AZ965" s="207"/>
      <c r="BA965" s="207"/>
    </row>
    <row r="966" ht="18.75" hidden="1" customHeight="1">
      <c r="A966" s="207"/>
      <c r="B966" s="207"/>
      <c r="C966" s="207"/>
      <c r="D966" s="207"/>
      <c r="E966" s="207"/>
      <c r="F966" s="207"/>
      <c r="G966" s="207"/>
      <c r="H966" s="207"/>
      <c r="I966" s="207"/>
      <c r="J966" s="207"/>
      <c r="K966" s="207"/>
      <c r="L966" s="207"/>
      <c r="M966" s="207"/>
      <c r="N966" s="207"/>
      <c r="O966" s="207"/>
      <c r="P966" s="207"/>
      <c r="Q966" s="207"/>
      <c r="R966" s="207"/>
      <c r="S966" s="207"/>
      <c r="T966" s="207"/>
      <c r="U966" s="207"/>
      <c r="V966" s="207"/>
      <c r="W966" s="207"/>
      <c r="X966" s="207"/>
      <c r="Y966" s="207"/>
      <c r="Z966" s="207"/>
      <c r="AA966" s="207"/>
      <c r="AB966" s="207"/>
      <c r="AC966" s="207"/>
      <c r="AD966" s="207"/>
      <c r="AE966" s="207"/>
      <c r="AF966" s="207"/>
      <c r="AG966" s="207"/>
      <c r="AH966" s="207"/>
      <c r="AI966" s="207"/>
      <c r="AJ966" s="207"/>
      <c r="AK966" s="207"/>
      <c r="AL966" s="207"/>
      <c r="AM966" s="207"/>
      <c r="AN966" s="207"/>
      <c r="AO966" s="207"/>
      <c r="AP966" s="207"/>
      <c r="AQ966" s="207"/>
      <c r="AR966" s="207"/>
      <c r="AS966" s="207"/>
      <c r="AT966" s="207"/>
      <c r="AU966" s="207"/>
      <c r="AV966" s="207"/>
      <c r="AW966" s="207"/>
      <c r="AX966" s="207"/>
      <c r="AY966" s="207"/>
      <c r="AZ966" s="207"/>
      <c r="BA966" s="207"/>
    </row>
    <row r="967" ht="18.75" hidden="1" customHeight="1">
      <c r="A967" s="207"/>
      <c r="B967" s="207"/>
      <c r="C967" s="207"/>
      <c r="D967" s="207"/>
      <c r="E967" s="207"/>
      <c r="F967" s="207"/>
      <c r="G967" s="207"/>
      <c r="H967" s="207"/>
      <c r="I967" s="207"/>
      <c r="J967" s="207"/>
      <c r="K967" s="207"/>
      <c r="L967" s="207"/>
      <c r="M967" s="207"/>
      <c r="N967" s="207"/>
      <c r="O967" s="207"/>
      <c r="P967" s="207"/>
      <c r="Q967" s="207"/>
      <c r="R967" s="207"/>
      <c r="S967" s="207"/>
      <c r="T967" s="207"/>
      <c r="U967" s="207"/>
      <c r="V967" s="207"/>
      <c r="W967" s="207"/>
      <c r="X967" s="207"/>
      <c r="Y967" s="207"/>
      <c r="Z967" s="207"/>
      <c r="AA967" s="207"/>
      <c r="AB967" s="207"/>
      <c r="AC967" s="207"/>
      <c r="AD967" s="207"/>
      <c r="AE967" s="207"/>
      <c r="AF967" s="207"/>
      <c r="AG967" s="207"/>
      <c r="AH967" s="207"/>
      <c r="AI967" s="207"/>
      <c r="AJ967" s="207"/>
      <c r="AK967" s="207"/>
      <c r="AL967" s="207"/>
      <c r="AM967" s="207"/>
      <c r="AN967" s="207"/>
      <c r="AO967" s="207"/>
      <c r="AP967" s="207"/>
      <c r="AQ967" s="207"/>
      <c r="AR967" s="207"/>
      <c r="AS967" s="207"/>
      <c r="AT967" s="207"/>
      <c r="AU967" s="207"/>
      <c r="AV967" s="207"/>
      <c r="AW967" s="207"/>
      <c r="AX967" s="207"/>
      <c r="AY967" s="207"/>
      <c r="AZ967" s="207"/>
      <c r="BA967" s="207"/>
    </row>
    <row r="968" ht="18.75" hidden="1" customHeight="1">
      <c r="A968" s="207"/>
      <c r="B968" s="207"/>
      <c r="C968" s="207"/>
      <c r="D968" s="207"/>
      <c r="E968" s="207"/>
      <c r="F968" s="207"/>
      <c r="G968" s="207"/>
      <c r="H968" s="207"/>
      <c r="I968" s="207"/>
      <c r="J968" s="207"/>
      <c r="K968" s="207"/>
      <c r="L968" s="207"/>
      <c r="M968" s="207"/>
      <c r="N968" s="207"/>
      <c r="O968" s="207"/>
      <c r="P968" s="207"/>
      <c r="Q968" s="207"/>
      <c r="R968" s="207"/>
      <c r="S968" s="207"/>
      <c r="T968" s="207"/>
      <c r="U968" s="207"/>
      <c r="V968" s="207"/>
      <c r="W968" s="207"/>
      <c r="X968" s="207"/>
      <c r="Y968" s="207"/>
      <c r="Z968" s="207"/>
      <c r="AA968" s="207"/>
      <c r="AB968" s="207"/>
      <c r="AC968" s="207"/>
      <c r="AD968" s="207"/>
      <c r="AE968" s="207"/>
      <c r="AF968" s="207"/>
      <c r="AG968" s="207"/>
      <c r="AH968" s="207"/>
      <c r="AI968" s="207"/>
      <c r="AJ968" s="207"/>
      <c r="AK968" s="207"/>
      <c r="AL968" s="207"/>
      <c r="AM968" s="207"/>
      <c r="AN968" s="207"/>
      <c r="AO968" s="207"/>
      <c r="AP968" s="207"/>
      <c r="AQ968" s="207"/>
      <c r="AR968" s="207"/>
      <c r="AS968" s="207"/>
      <c r="AT968" s="207"/>
      <c r="AU968" s="207"/>
      <c r="AV968" s="207"/>
      <c r="AW968" s="207"/>
      <c r="AX968" s="207"/>
      <c r="AY968" s="207"/>
      <c r="AZ968" s="207"/>
      <c r="BA968" s="207"/>
    </row>
    <row r="969" ht="18.75" hidden="1" customHeight="1">
      <c r="A969" s="207"/>
      <c r="B969" s="207"/>
      <c r="C969" s="207"/>
      <c r="D969" s="207"/>
      <c r="E969" s="207"/>
      <c r="F969" s="207"/>
      <c r="G969" s="207"/>
      <c r="H969" s="207"/>
      <c r="I969" s="207"/>
      <c r="J969" s="207"/>
      <c r="K969" s="207"/>
      <c r="L969" s="207"/>
      <c r="M969" s="207"/>
      <c r="N969" s="207"/>
      <c r="O969" s="207"/>
      <c r="P969" s="207"/>
      <c r="Q969" s="207"/>
      <c r="R969" s="207"/>
      <c r="S969" s="207"/>
      <c r="T969" s="207"/>
      <c r="U969" s="207"/>
      <c r="V969" s="207"/>
      <c r="W969" s="207"/>
      <c r="X969" s="207"/>
      <c r="Y969" s="207"/>
      <c r="Z969" s="207"/>
      <c r="AA969" s="207"/>
      <c r="AB969" s="207"/>
      <c r="AC969" s="207"/>
      <c r="AD969" s="207"/>
      <c r="AE969" s="207"/>
      <c r="AF969" s="207"/>
      <c r="AG969" s="207"/>
      <c r="AH969" s="207"/>
      <c r="AI969" s="207"/>
      <c r="AJ969" s="207"/>
      <c r="AK969" s="207"/>
      <c r="AL969" s="207"/>
      <c r="AM969" s="207"/>
      <c r="AN969" s="207"/>
      <c r="AO969" s="207"/>
      <c r="AP969" s="207"/>
      <c r="AQ969" s="207"/>
      <c r="AR969" s="207"/>
      <c r="AS969" s="207"/>
      <c r="AT969" s="207"/>
      <c r="AU969" s="207"/>
      <c r="AV969" s="207"/>
      <c r="AW969" s="207"/>
      <c r="AX969" s="207"/>
      <c r="AY969" s="207"/>
      <c r="AZ969" s="207"/>
      <c r="BA969" s="207"/>
    </row>
    <row r="970" ht="18.75" hidden="1" customHeight="1">
      <c r="A970" s="207"/>
      <c r="B970" s="207"/>
      <c r="C970" s="207"/>
      <c r="D970" s="207"/>
      <c r="E970" s="207"/>
      <c r="F970" s="207"/>
      <c r="G970" s="207"/>
      <c r="H970" s="207"/>
      <c r="I970" s="207"/>
      <c r="J970" s="207"/>
      <c r="K970" s="207"/>
      <c r="L970" s="207"/>
      <c r="M970" s="207"/>
      <c r="N970" s="207"/>
      <c r="O970" s="207"/>
      <c r="P970" s="207"/>
      <c r="Q970" s="207"/>
      <c r="R970" s="207"/>
      <c r="S970" s="207"/>
      <c r="T970" s="207"/>
      <c r="U970" s="207"/>
      <c r="V970" s="207"/>
      <c r="W970" s="207"/>
      <c r="X970" s="207"/>
      <c r="Y970" s="207"/>
      <c r="Z970" s="207"/>
      <c r="AA970" s="207"/>
      <c r="AB970" s="207"/>
      <c r="AC970" s="207"/>
      <c r="AD970" s="207"/>
      <c r="AE970" s="207"/>
      <c r="AF970" s="207"/>
      <c r="AG970" s="207"/>
      <c r="AH970" s="207"/>
      <c r="AI970" s="207"/>
      <c r="AJ970" s="207"/>
      <c r="AK970" s="207"/>
      <c r="AL970" s="207"/>
      <c r="AM970" s="207"/>
      <c r="AN970" s="207"/>
      <c r="AO970" s="207"/>
      <c r="AP970" s="207"/>
      <c r="AQ970" s="207"/>
      <c r="AR970" s="207"/>
      <c r="AS970" s="207"/>
      <c r="AT970" s="207"/>
      <c r="AU970" s="207"/>
      <c r="AV970" s="207"/>
      <c r="AW970" s="207"/>
      <c r="AX970" s="207"/>
      <c r="AY970" s="207"/>
      <c r="AZ970" s="207"/>
      <c r="BA970" s="207"/>
    </row>
    <row r="971" ht="18.75" hidden="1" customHeight="1">
      <c r="A971" s="207"/>
      <c r="B971" s="207"/>
      <c r="C971" s="207"/>
      <c r="D971" s="207"/>
      <c r="E971" s="207"/>
      <c r="F971" s="207"/>
      <c r="G971" s="207"/>
      <c r="H971" s="207"/>
      <c r="I971" s="207"/>
      <c r="J971" s="207"/>
      <c r="K971" s="207"/>
      <c r="L971" s="207"/>
      <c r="M971" s="207"/>
      <c r="N971" s="207"/>
      <c r="O971" s="207"/>
      <c r="P971" s="207"/>
      <c r="Q971" s="207"/>
      <c r="R971" s="207"/>
      <c r="S971" s="207"/>
      <c r="T971" s="207"/>
      <c r="U971" s="207"/>
      <c r="V971" s="207"/>
      <c r="W971" s="207"/>
      <c r="X971" s="207"/>
      <c r="Y971" s="207"/>
      <c r="Z971" s="207"/>
      <c r="AA971" s="207"/>
      <c r="AB971" s="207"/>
      <c r="AC971" s="207"/>
      <c r="AD971" s="207"/>
      <c r="AE971" s="207"/>
      <c r="AF971" s="207"/>
      <c r="AG971" s="207"/>
      <c r="AH971" s="207"/>
      <c r="AI971" s="207"/>
      <c r="AJ971" s="207"/>
      <c r="AK971" s="207"/>
      <c r="AL971" s="207"/>
      <c r="AM971" s="207"/>
      <c r="AN971" s="207"/>
      <c r="AO971" s="207"/>
      <c r="AP971" s="207"/>
      <c r="AQ971" s="207"/>
      <c r="AR971" s="207"/>
      <c r="AS971" s="207"/>
      <c r="AT971" s="207"/>
      <c r="AU971" s="207"/>
      <c r="AV971" s="207"/>
      <c r="AW971" s="207"/>
      <c r="AX971" s="207"/>
      <c r="AY971" s="207"/>
      <c r="AZ971" s="207"/>
      <c r="BA971" s="207"/>
    </row>
    <row r="972" ht="18.75" hidden="1" customHeight="1">
      <c r="A972" s="207"/>
      <c r="B972" s="207"/>
      <c r="C972" s="207"/>
      <c r="D972" s="207"/>
      <c r="E972" s="207"/>
      <c r="F972" s="207"/>
      <c r="G972" s="207"/>
      <c r="H972" s="207"/>
      <c r="I972" s="207"/>
      <c r="J972" s="207"/>
      <c r="K972" s="207"/>
      <c r="L972" s="207"/>
      <c r="M972" s="207"/>
      <c r="N972" s="207"/>
      <c r="O972" s="207"/>
      <c r="P972" s="207"/>
      <c r="Q972" s="207"/>
      <c r="R972" s="207"/>
      <c r="S972" s="207"/>
      <c r="T972" s="207"/>
      <c r="U972" s="207"/>
      <c r="V972" s="207"/>
      <c r="W972" s="207"/>
      <c r="X972" s="207"/>
      <c r="Y972" s="207"/>
      <c r="Z972" s="207"/>
      <c r="AA972" s="207"/>
      <c r="AB972" s="207"/>
      <c r="AC972" s="207"/>
      <c r="AD972" s="207"/>
      <c r="AE972" s="207"/>
      <c r="AF972" s="207"/>
      <c r="AG972" s="207"/>
      <c r="AH972" s="207"/>
      <c r="AI972" s="207"/>
      <c r="AJ972" s="207"/>
      <c r="AK972" s="207"/>
      <c r="AL972" s="207"/>
      <c r="AM972" s="207"/>
      <c r="AN972" s="207"/>
      <c r="AO972" s="207"/>
      <c r="AP972" s="207"/>
      <c r="AQ972" s="207"/>
      <c r="AR972" s="207"/>
      <c r="AS972" s="207"/>
      <c r="AT972" s="207"/>
      <c r="AU972" s="207"/>
      <c r="AV972" s="207"/>
      <c r="AW972" s="207"/>
      <c r="AX972" s="207"/>
      <c r="AY972" s="207"/>
      <c r="AZ972" s="207"/>
      <c r="BA972" s="207"/>
    </row>
    <row r="973" ht="18.75" hidden="1" customHeight="1">
      <c r="A973" s="207"/>
      <c r="B973" s="207"/>
      <c r="C973" s="207"/>
      <c r="D973" s="207"/>
      <c r="E973" s="207"/>
      <c r="F973" s="207"/>
      <c r="G973" s="207"/>
      <c r="H973" s="207"/>
      <c r="I973" s="207"/>
      <c r="J973" s="207"/>
      <c r="K973" s="207"/>
      <c r="L973" s="207"/>
      <c r="M973" s="207"/>
      <c r="N973" s="207"/>
      <c r="O973" s="207"/>
      <c r="P973" s="207"/>
      <c r="Q973" s="207"/>
      <c r="R973" s="207"/>
      <c r="S973" s="207"/>
      <c r="T973" s="207"/>
      <c r="U973" s="207"/>
      <c r="V973" s="207"/>
      <c r="W973" s="207"/>
      <c r="X973" s="207"/>
      <c r="Y973" s="207"/>
      <c r="Z973" s="207"/>
      <c r="AA973" s="207"/>
      <c r="AB973" s="207"/>
      <c r="AC973" s="207"/>
      <c r="AD973" s="207"/>
      <c r="AE973" s="207"/>
      <c r="AF973" s="207"/>
      <c r="AG973" s="207"/>
      <c r="AH973" s="207"/>
      <c r="AI973" s="207"/>
      <c r="AJ973" s="207"/>
      <c r="AK973" s="207"/>
      <c r="AL973" s="207"/>
      <c r="AM973" s="207"/>
      <c r="AN973" s="207"/>
      <c r="AO973" s="207"/>
      <c r="AP973" s="207"/>
      <c r="AQ973" s="207"/>
      <c r="AR973" s="207"/>
      <c r="AS973" s="207"/>
      <c r="AT973" s="207"/>
      <c r="AU973" s="207"/>
      <c r="AV973" s="207"/>
      <c r="AW973" s="207"/>
      <c r="AX973" s="207"/>
      <c r="AY973" s="207"/>
      <c r="AZ973" s="207"/>
      <c r="BA973" s="207"/>
    </row>
    <row r="974" ht="18.75" hidden="1" customHeight="1">
      <c r="A974" s="207"/>
      <c r="B974" s="207"/>
      <c r="C974" s="207"/>
      <c r="D974" s="207"/>
      <c r="E974" s="207"/>
      <c r="F974" s="207"/>
      <c r="G974" s="207"/>
      <c r="H974" s="207"/>
      <c r="I974" s="207"/>
      <c r="J974" s="207"/>
      <c r="K974" s="207"/>
      <c r="L974" s="207"/>
      <c r="M974" s="207"/>
      <c r="N974" s="207"/>
      <c r="O974" s="207"/>
      <c r="P974" s="207"/>
      <c r="Q974" s="207"/>
      <c r="R974" s="207"/>
      <c r="S974" s="207"/>
      <c r="T974" s="207"/>
      <c r="U974" s="207"/>
      <c r="V974" s="207"/>
      <c r="W974" s="207"/>
      <c r="X974" s="207"/>
      <c r="Y974" s="207"/>
      <c r="Z974" s="207"/>
      <c r="AA974" s="207"/>
      <c r="AB974" s="207"/>
      <c r="AC974" s="207"/>
      <c r="AD974" s="207"/>
      <c r="AE974" s="207"/>
      <c r="AF974" s="207"/>
      <c r="AG974" s="207"/>
      <c r="AH974" s="207"/>
      <c r="AI974" s="207"/>
      <c r="AJ974" s="207"/>
      <c r="AK974" s="207"/>
      <c r="AL974" s="207"/>
      <c r="AM974" s="207"/>
      <c r="AN974" s="207"/>
      <c r="AO974" s="207"/>
      <c r="AP974" s="207"/>
      <c r="AQ974" s="207"/>
      <c r="AR974" s="207"/>
      <c r="AS974" s="207"/>
      <c r="AT974" s="207"/>
      <c r="AU974" s="207"/>
      <c r="AV974" s="207"/>
      <c r="AW974" s="207"/>
      <c r="AX974" s="207"/>
      <c r="AY974" s="207"/>
      <c r="AZ974" s="207"/>
      <c r="BA974" s="207"/>
    </row>
    <row r="975" ht="18.75" hidden="1" customHeight="1">
      <c r="A975" s="207"/>
      <c r="B975" s="207"/>
      <c r="C975" s="207"/>
      <c r="D975" s="207"/>
      <c r="E975" s="207"/>
      <c r="F975" s="207"/>
      <c r="G975" s="207"/>
      <c r="H975" s="207"/>
      <c r="I975" s="207"/>
      <c r="J975" s="207"/>
      <c r="K975" s="207"/>
      <c r="L975" s="207"/>
      <c r="M975" s="207"/>
      <c r="N975" s="207"/>
      <c r="O975" s="207"/>
      <c r="P975" s="207"/>
      <c r="Q975" s="207"/>
      <c r="R975" s="207"/>
      <c r="S975" s="207"/>
      <c r="T975" s="207"/>
      <c r="U975" s="207"/>
      <c r="V975" s="207"/>
      <c r="W975" s="207"/>
      <c r="X975" s="207"/>
      <c r="Y975" s="207"/>
      <c r="Z975" s="207"/>
      <c r="AA975" s="207"/>
      <c r="AB975" s="207"/>
      <c r="AC975" s="207"/>
      <c r="AD975" s="207"/>
      <c r="AE975" s="207"/>
      <c r="AF975" s="207"/>
      <c r="AG975" s="207"/>
      <c r="AH975" s="207"/>
      <c r="AI975" s="207"/>
      <c r="AJ975" s="207"/>
      <c r="AK975" s="207"/>
      <c r="AL975" s="207"/>
      <c r="AM975" s="207"/>
      <c r="AN975" s="207"/>
      <c r="AO975" s="207"/>
      <c r="AP975" s="207"/>
      <c r="AQ975" s="207"/>
      <c r="AR975" s="207"/>
      <c r="AS975" s="207"/>
      <c r="AT975" s="207"/>
      <c r="AU975" s="207"/>
      <c r="AV975" s="207"/>
      <c r="AW975" s="207"/>
      <c r="AX975" s="207"/>
      <c r="AY975" s="207"/>
      <c r="AZ975" s="207"/>
      <c r="BA975" s="207"/>
    </row>
    <row r="976" ht="18.75" hidden="1" customHeight="1">
      <c r="A976" s="207"/>
      <c r="B976" s="207"/>
      <c r="C976" s="207"/>
      <c r="D976" s="207"/>
      <c r="E976" s="207"/>
      <c r="F976" s="207"/>
      <c r="G976" s="207"/>
      <c r="H976" s="207"/>
      <c r="I976" s="207"/>
      <c r="J976" s="207"/>
      <c r="K976" s="207"/>
      <c r="L976" s="207"/>
      <c r="M976" s="207"/>
      <c r="N976" s="207"/>
      <c r="O976" s="207"/>
      <c r="P976" s="207"/>
      <c r="Q976" s="207"/>
      <c r="R976" s="207"/>
      <c r="S976" s="207"/>
      <c r="T976" s="207"/>
      <c r="U976" s="207"/>
      <c r="V976" s="207"/>
      <c r="W976" s="207"/>
      <c r="X976" s="207"/>
      <c r="Y976" s="207"/>
      <c r="Z976" s="207"/>
      <c r="AA976" s="207"/>
      <c r="AB976" s="207"/>
      <c r="AC976" s="207"/>
      <c r="AD976" s="207"/>
      <c r="AE976" s="207"/>
      <c r="AF976" s="207"/>
      <c r="AG976" s="207"/>
      <c r="AH976" s="207"/>
      <c r="AI976" s="207"/>
      <c r="AJ976" s="207"/>
      <c r="AK976" s="207"/>
      <c r="AL976" s="207"/>
      <c r="AM976" s="207"/>
      <c r="AN976" s="207"/>
      <c r="AO976" s="207"/>
      <c r="AP976" s="207"/>
      <c r="AQ976" s="207"/>
      <c r="AR976" s="207"/>
      <c r="AS976" s="207"/>
      <c r="AT976" s="207"/>
      <c r="AU976" s="207"/>
      <c r="AV976" s="207"/>
      <c r="AW976" s="207"/>
      <c r="AX976" s="207"/>
      <c r="AY976" s="207"/>
      <c r="AZ976" s="207"/>
      <c r="BA976" s="207"/>
    </row>
    <row r="977" ht="18.75" hidden="1" customHeight="1">
      <c r="A977" s="207"/>
      <c r="B977" s="207"/>
      <c r="C977" s="207"/>
      <c r="D977" s="207"/>
      <c r="E977" s="207"/>
      <c r="F977" s="207"/>
      <c r="G977" s="207"/>
      <c r="H977" s="207"/>
      <c r="I977" s="207"/>
      <c r="J977" s="207"/>
      <c r="K977" s="207"/>
      <c r="L977" s="207"/>
      <c r="M977" s="207"/>
      <c r="N977" s="207"/>
      <c r="O977" s="207"/>
      <c r="P977" s="207"/>
      <c r="Q977" s="207"/>
      <c r="R977" s="207"/>
      <c r="S977" s="207"/>
      <c r="T977" s="207"/>
      <c r="U977" s="207"/>
      <c r="V977" s="207"/>
      <c r="W977" s="207"/>
      <c r="X977" s="207"/>
      <c r="Y977" s="207"/>
      <c r="Z977" s="207"/>
      <c r="AA977" s="207"/>
      <c r="AB977" s="207"/>
      <c r="AC977" s="207"/>
      <c r="AD977" s="207"/>
      <c r="AE977" s="207"/>
      <c r="AF977" s="207"/>
      <c r="AG977" s="207"/>
      <c r="AH977" s="207"/>
      <c r="AI977" s="207"/>
      <c r="AJ977" s="207"/>
      <c r="AK977" s="207"/>
      <c r="AL977" s="207"/>
      <c r="AM977" s="207"/>
      <c r="AN977" s="207"/>
      <c r="AO977" s="207"/>
      <c r="AP977" s="207"/>
      <c r="AQ977" s="207"/>
      <c r="AR977" s="207"/>
      <c r="AS977" s="207"/>
      <c r="AT977" s="207"/>
      <c r="AU977" s="207"/>
      <c r="AV977" s="207"/>
      <c r="AW977" s="207"/>
      <c r="AX977" s="207"/>
      <c r="AY977" s="207"/>
      <c r="AZ977" s="207"/>
      <c r="BA977" s="207"/>
    </row>
    <row r="978" ht="18.75" hidden="1" customHeight="1">
      <c r="A978" s="207"/>
      <c r="B978" s="207"/>
      <c r="C978" s="207"/>
      <c r="D978" s="207"/>
      <c r="E978" s="207"/>
      <c r="F978" s="207"/>
      <c r="G978" s="207"/>
      <c r="H978" s="207"/>
      <c r="I978" s="207"/>
      <c r="J978" s="207"/>
      <c r="K978" s="207"/>
      <c r="L978" s="207"/>
      <c r="M978" s="207"/>
      <c r="N978" s="207"/>
      <c r="O978" s="207"/>
      <c r="P978" s="207"/>
      <c r="Q978" s="207"/>
      <c r="R978" s="207"/>
      <c r="S978" s="207"/>
      <c r="T978" s="207"/>
      <c r="U978" s="207"/>
      <c r="V978" s="207"/>
      <c r="W978" s="207"/>
      <c r="X978" s="207"/>
      <c r="Y978" s="207"/>
      <c r="Z978" s="207"/>
      <c r="AA978" s="207"/>
      <c r="AB978" s="207"/>
      <c r="AC978" s="207"/>
      <c r="AD978" s="207"/>
      <c r="AE978" s="207"/>
      <c r="AF978" s="207"/>
      <c r="AG978" s="207"/>
      <c r="AH978" s="207"/>
      <c r="AI978" s="207"/>
      <c r="AJ978" s="207"/>
      <c r="AK978" s="207"/>
      <c r="AL978" s="207"/>
      <c r="AM978" s="207"/>
      <c r="AN978" s="207"/>
      <c r="AO978" s="207"/>
      <c r="AP978" s="207"/>
      <c r="AQ978" s="207"/>
      <c r="AR978" s="207"/>
      <c r="AS978" s="207"/>
      <c r="AT978" s="207"/>
      <c r="AU978" s="207"/>
      <c r="AV978" s="207"/>
      <c r="AW978" s="207"/>
      <c r="AX978" s="207"/>
      <c r="AY978" s="207"/>
      <c r="AZ978" s="207"/>
      <c r="BA978" s="207"/>
    </row>
    <row r="979" ht="18.75" hidden="1" customHeight="1">
      <c r="A979" s="207"/>
      <c r="B979" s="207"/>
      <c r="C979" s="207"/>
      <c r="D979" s="207"/>
      <c r="E979" s="207"/>
      <c r="F979" s="207"/>
      <c r="G979" s="207"/>
      <c r="H979" s="207"/>
      <c r="I979" s="207"/>
      <c r="J979" s="207"/>
      <c r="K979" s="207"/>
      <c r="L979" s="207"/>
      <c r="M979" s="207"/>
      <c r="N979" s="207"/>
      <c r="O979" s="207"/>
      <c r="P979" s="207"/>
      <c r="Q979" s="207"/>
      <c r="R979" s="207"/>
      <c r="S979" s="207"/>
      <c r="T979" s="207"/>
      <c r="U979" s="207"/>
      <c r="V979" s="207"/>
      <c r="W979" s="207"/>
      <c r="X979" s="207"/>
      <c r="Y979" s="207"/>
      <c r="Z979" s="207"/>
      <c r="AA979" s="207"/>
      <c r="AB979" s="207"/>
      <c r="AC979" s="207"/>
      <c r="AD979" s="207"/>
      <c r="AE979" s="207"/>
      <c r="AF979" s="207"/>
      <c r="AG979" s="207"/>
      <c r="AH979" s="207"/>
      <c r="AI979" s="207"/>
      <c r="AJ979" s="207"/>
      <c r="AK979" s="207"/>
      <c r="AL979" s="207"/>
      <c r="AM979" s="207"/>
      <c r="AN979" s="207"/>
      <c r="AO979" s="207"/>
      <c r="AP979" s="207"/>
      <c r="AQ979" s="207"/>
      <c r="AR979" s="207"/>
      <c r="AS979" s="207"/>
      <c r="AT979" s="207"/>
      <c r="AU979" s="207"/>
      <c r="AV979" s="207"/>
      <c r="AW979" s="207"/>
      <c r="AX979" s="207"/>
      <c r="AY979" s="207"/>
      <c r="AZ979" s="207"/>
      <c r="BA979" s="207"/>
    </row>
    <row r="980" ht="18.75" hidden="1" customHeight="1">
      <c r="A980" s="207"/>
      <c r="B980" s="207"/>
      <c r="C980" s="207"/>
      <c r="D980" s="207"/>
      <c r="E980" s="207"/>
      <c r="F980" s="207"/>
      <c r="G980" s="207"/>
      <c r="H980" s="207"/>
      <c r="I980" s="207"/>
      <c r="J980" s="207"/>
      <c r="K980" s="207"/>
      <c r="L980" s="207"/>
      <c r="M980" s="207"/>
      <c r="N980" s="207"/>
      <c r="O980" s="207"/>
      <c r="P980" s="207"/>
      <c r="Q980" s="207"/>
      <c r="R980" s="207"/>
      <c r="S980" s="207"/>
      <c r="T980" s="207"/>
      <c r="U980" s="207"/>
      <c r="V980" s="207"/>
      <c r="W980" s="207"/>
      <c r="X980" s="207"/>
      <c r="Y980" s="207"/>
      <c r="Z980" s="207"/>
      <c r="AA980" s="207"/>
      <c r="AB980" s="207"/>
      <c r="AC980" s="207"/>
      <c r="AD980" s="207"/>
      <c r="AE980" s="207"/>
      <c r="AF980" s="207"/>
      <c r="AG980" s="207"/>
      <c r="AH980" s="207"/>
      <c r="AI980" s="207"/>
      <c r="AJ980" s="207"/>
      <c r="AK980" s="207"/>
      <c r="AL980" s="207"/>
      <c r="AM980" s="207"/>
      <c r="AN980" s="207"/>
      <c r="AO980" s="207"/>
      <c r="AP980" s="207"/>
      <c r="AQ980" s="207"/>
      <c r="AR980" s="207"/>
      <c r="AS980" s="207"/>
      <c r="AT980" s="207"/>
      <c r="AU980" s="207"/>
      <c r="AV980" s="207"/>
      <c r="AW980" s="207"/>
      <c r="AX980" s="207"/>
      <c r="AY980" s="207"/>
      <c r="AZ980" s="207"/>
      <c r="BA980" s="207"/>
    </row>
    <row r="981" ht="18.75" hidden="1" customHeight="1">
      <c r="A981" s="207"/>
      <c r="B981" s="207"/>
      <c r="C981" s="207"/>
      <c r="D981" s="207"/>
      <c r="E981" s="207"/>
      <c r="F981" s="207"/>
      <c r="G981" s="207"/>
      <c r="H981" s="207"/>
      <c r="I981" s="207"/>
      <c r="J981" s="207"/>
      <c r="K981" s="207"/>
      <c r="L981" s="207"/>
      <c r="M981" s="207"/>
      <c r="N981" s="207"/>
      <c r="O981" s="207"/>
      <c r="P981" s="207"/>
      <c r="Q981" s="207"/>
      <c r="R981" s="207"/>
      <c r="S981" s="207"/>
      <c r="T981" s="207"/>
      <c r="U981" s="207"/>
      <c r="V981" s="207"/>
      <c r="W981" s="207"/>
      <c r="X981" s="207"/>
      <c r="Y981" s="207"/>
      <c r="Z981" s="207"/>
      <c r="AA981" s="207"/>
      <c r="AB981" s="207"/>
      <c r="AC981" s="207"/>
      <c r="AD981" s="207"/>
      <c r="AE981" s="207"/>
      <c r="AF981" s="207"/>
      <c r="AG981" s="207"/>
      <c r="AH981" s="207"/>
      <c r="AI981" s="207"/>
      <c r="AJ981" s="207"/>
      <c r="AK981" s="207"/>
      <c r="AL981" s="207"/>
      <c r="AM981" s="207"/>
      <c r="AN981" s="207"/>
      <c r="AO981" s="207"/>
      <c r="AP981" s="207"/>
      <c r="AQ981" s="207"/>
      <c r="AR981" s="207"/>
      <c r="AS981" s="207"/>
      <c r="AT981" s="207"/>
      <c r="AU981" s="207"/>
      <c r="AV981" s="207"/>
      <c r="AW981" s="207"/>
      <c r="AX981" s="207"/>
      <c r="AY981" s="207"/>
      <c r="AZ981" s="207"/>
      <c r="BA981" s="207"/>
    </row>
    <row r="982" ht="18.75" hidden="1" customHeight="1">
      <c r="A982" s="207"/>
      <c r="B982" s="207"/>
      <c r="C982" s="207"/>
      <c r="D982" s="207"/>
      <c r="E982" s="207"/>
      <c r="F982" s="207"/>
      <c r="G982" s="207"/>
      <c r="H982" s="207"/>
      <c r="I982" s="207"/>
      <c r="J982" s="207"/>
      <c r="K982" s="207"/>
      <c r="L982" s="207"/>
      <c r="M982" s="207"/>
      <c r="N982" s="207"/>
      <c r="O982" s="207"/>
      <c r="P982" s="207"/>
      <c r="Q982" s="207"/>
      <c r="R982" s="207"/>
      <c r="S982" s="207"/>
      <c r="T982" s="207"/>
      <c r="U982" s="207"/>
      <c r="V982" s="207"/>
      <c r="W982" s="207"/>
      <c r="X982" s="207"/>
      <c r="Y982" s="207"/>
      <c r="Z982" s="207"/>
      <c r="AA982" s="207"/>
      <c r="AB982" s="207"/>
      <c r="AC982" s="207"/>
      <c r="AD982" s="207"/>
      <c r="AE982" s="207"/>
      <c r="AF982" s="207"/>
      <c r="AG982" s="207"/>
      <c r="AH982" s="207"/>
      <c r="AI982" s="207"/>
      <c r="AJ982" s="207"/>
      <c r="AK982" s="207"/>
      <c r="AL982" s="207"/>
      <c r="AM982" s="207"/>
      <c r="AN982" s="207"/>
      <c r="AO982" s="207"/>
      <c r="AP982" s="207"/>
      <c r="AQ982" s="207"/>
      <c r="AR982" s="207"/>
      <c r="AS982" s="207"/>
      <c r="AT982" s="207"/>
      <c r="AU982" s="207"/>
      <c r="AV982" s="207"/>
      <c r="AW982" s="207"/>
      <c r="AX982" s="207"/>
      <c r="AY982" s="207"/>
      <c r="AZ982" s="207"/>
      <c r="BA982" s="207"/>
    </row>
    <row r="983" ht="18.75" hidden="1" customHeight="1">
      <c r="A983" s="207"/>
      <c r="B983" s="207"/>
      <c r="C983" s="207"/>
      <c r="D983" s="207"/>
      <c r="E983" s="207"/>
      <c r="F983" s="207"/>
      <c r="G983" s="207"/>
      <c r="H983" s="207"/>
      <c r="I983" s="207"/>
      <c r="J983" s="207"/>
      <c r="K983" s="207"/>
      <c r="L983" s="207"/>
      <c r="M983" s="207"/>
      <c r="N983" s="207"/>
      <c r="O983" s="207"/>
      <c r="P983" s="207"/>
      <c r="Q983" s="207"/>
      <c r="R983" s="207"/>
      <c r="S983" s="207"/>
      <c r="T983" s="207"/>
      <c r="U983" s="207"/>
      <c r="V983" s="207"/>
      <c r="W983" s="207"/>
      <c r="X983" s="207"/>
      <c r="Y983" s="207"/>
      <c r="Z983" s="207"/>
      <c r="AA983" s="207"/>
      <c r="AB983" s="207"/>
      <c r="AC983" s="207"/>
      <c r="AD983" s="207"/>
      <c r="AE983" s="207"/>
      <c r="AF983" s="207"/>
      <c r="AG983" s="207"/>
      <c r="AH983" s="207"/>
      <c r="AI983" s="207"/>
      <c r="AJ983" s="207"/>
      <c r="AK983" s="207"/>
      <c r="AL983" s="207"/>
      <c r="AM983" s="207"/>
      <c r="AN983" s="207"/>
      <c r="AO983" s="207"/>
      <c r="AP983" s="207"/>
      <c r="AQ983" s="207"/>
      <c r="AR983" s="207"/>
      <c r="AS983" s="207"/>
      <c r="AT983" s="207"/>
      <c r="AU983" s="207"/>
      <c r="AV983" s="207"/>
      <c r="AW983" s="207"/>
      <c r="AX983" s="207"/>
      <c r="AY983" s="207"/>
      <c r="AZ983" s="207"/>
      <c r="BA983" s="207"/>
    </row>
    <row r="984" ht="18.75" hidden="1" customHeight="1">
      <c r="A984" s="207"/>
      <c r="B984" s="207"/>
      <c r="C984" s="207"/>
      <c r="D984" s="207"/>
      <c r="E984" s="207"/>
      <c r="F984" s="207"/>
      <c r="G984" s="207"/>
      <c r="H984" s="207"/>
      <c r="I984" s="207"/>
      <c r="J984" s="207"/>
      <c r="K984" s="207"/>
      <c r="L984" s="207"/>
      <c r="M984" s="207"/>
      <c r="N984" s="207"/>
      <c r="O984" s="207"/>
      <c r="P984" s="207"/>
      <c r="Q984" s="207"/>
      <c r="R984" s="207"/>
      <c r="S984" s="207"/>
      <c r="T984" s="207"/>
      <c r="U984" s="207"/>
      <c r="V984" s="207"/>
      <c r="W984" s="207"/>
      <c r="X984" s="207"/>
      <c r="Y984" s="207"/>
      <c r="Z984" s="207"/>
      <c r="AA984" s="207"/>
      <c r="AB984" s="207"/>
      <c r="AC984" s="207"/>
      <c r="AD984" s="207"/>
      <c r="AE984" s="207"/>
      <c r="AF984" s="207"/>
      <c r="AG984" s="207"/>
      <c r="AH984" s="207"/>
      <c r="AI984" s="207"/>
      <c r="AJ984" s="207"/>
      <c r="AK984" s="207"/>
      <c r="AL984" s="207"/>
      <c r="AM984" s="207"/>
      <c r="AN984" s="207"/>
      <c r="AO984" s="207"/>
      <c r="AP984" s="207"/>
      <c r="AQ984" s="207"/>
      <c r="AR984" s="207"/>
      <c r="AS984" s="207"/>
      <c r="AT984" s="207"/>
      <c r="AU984" s="207"/>
      <c r="AV984" s="207"/>
      <c r="AW984" s="207"/>
      <c r="AX984" s="207"/>
      <c r="AY984" s="207"/>
      <c r="AZ984" s="207"/>
      <c r="BA984" s="207"/>
    </row>
    <row r="985" ht="18.75" hidden="1" customHeight="1">
      <c r="A985" s="207"/>
      <c r="B985" s="207"/>
      <c r="C985" s="207"/>
      <c r="D985" s="207"/>
      <c r="E985" s="207"/>
      <c r="F985" s="207"/>
      <c r="G985" s="207"/>
      <c r="H985" s="207"/>
      <c r="I985" s="207"/>
      <c r="J985" s="207"/>
      <c r="K985" s="207"/>
      <c r="L985" s="207"/>
      <c r="M985" s="207"/>
      <c r="N985" s="207"/>
      <c r="O985" s="207"/>
      <c r="P985" s="207"/>
      <c r="Q985" s="207"/>
      <c r="R985" s="207"/>
      <c r="S985" s="207"/>
      <c r="T985" s="207"/>
      <c r="U985" s="207"/>
      <c r="V985" s="207"/>
      <c r="W985" s="207"/>
      <c r="X985" s="207"/>
      <c r="Y985" s="207"/>
      <c r="Z985" s="207"/>
      <c r="AA985" s="207"/>
      <c r="AB985" s="207"/>
      <c r="AC985" s="207"/>
      <c r="AD985" s="207"/>
      <c r="AE985" s="207"/>
      <c r="AF985" s="207"/>
      <c r="AG985" s="207"/>
      <c r="AH985" s="207"/>
      <c r="AI985" s="207"/>
      <c r="AJ985" s="207"/>
      <c r="AK985" s="207"/>
      <c r="AL985" s="207"/>
      <c r="AM985" s="207"/>
      <c r="AN985" s="207"/>
      <c r="AO985" s="207"/>
      <c r="AP985" s="207"/>
      <c r="AQ985" s="207"/>
      <c r="AR985" s="207"/>
      <c r="AS985" s="207"/>
      <c r="AT985" s="207"/>
      <c r="AU985" s="207"/>
      <c r="AV985" s="207"/>
      <c r="AW985" s="207"/>
      <c r="AX985" s="207"/>
      <c r="AY985" s="207"/>
      <c r="AZ985" s="207"/>
      <c r="BA985" s="207"/>
    </row>
    <row r="986" ht="18.75" hidden="1" customHeight="1">
      <c r="A986" s="207"/>
      <c r="B986" s="207"/>
      <c r="C986" s="207"/>
      <c r="D986" s="207"/>
      <c r="E986" s="207"/>
      <c r="F986" s="207"/>
      <c r="G986" s="207"/>
      <c r="H986" s="207"/>
      <c r="I986" s="207"/>
      <c r="J986" s="207"/>
      <c r="K986" s="207"/>
      <c r="L986" s="207"/>
      <c r="M986" s="207"/>
      <c r="N986" s="207"/>
      <c r="O986" s="207"/>
      <c r="P986" s="207"/>
      <c r="Q986" s="207"/>
      <c r="R986" s="207"/>
      <c r="S986" s="207"/>
      <c r="T986" s="207"/>
      <c r="U986" s="207"/>
      <c r="V986" s="207"/>
      <c r="W986" s="207"/>
      <c r="X986" s="207"/>
      <c r="Y986" s="207"/>
      <c r="Z986" s="207"/>
      <c r="AA986" s="207"/>
      <c r="AB986" s="207"/>
      <c r="AC986" s="207"/>
      <c r="AD986" s="207"/>
      <c r="AE986" s="207"/>
      <c r="AF986" s="207"/>
      <c r="AG986" s="207"/>
      <c r="AH986" s="207"/>
      <c r="AI986" s="207"/>
      <c r="AJ986" s="207"/>
      <c r="AK986" s="207"/>
      <c r="AL986" s="207"/>
      <c r="AM986" s="207"/>
      <c r="AN986" s="207"/>
      <c r="AO986" s="207"/>
      <c r="AP986" s="207"/>
      <c r="AQ986" s="207"/>
      <c r="AR986" s="207"/>
      <c r="AS986" s="207"/>
      <c r="AT986" s="207"/>
      <c r="AU986" s="207"/>
      <c r="AV986" s="207"/>
      <c r="AW986" s="207"/>
      <c r="AX986" s="207"/>
      <c r="AY986" s="207"/>
      <c r="AZ986" s="207"/>
      <c r="BA986" s="207"/>
    </row>
    <row r="987" ht="18.75" hidden="1" customHeight="1">
      <c r="A987" s="207"/>
      <c r="B987" s="207"/>
      <c r="C987" s="207"/>
      <c r="D987" s="207"/>
      <c r="E987" s="207"/>
      <c r="F987" s="207"/>
      <c r="G987" s="207"/>
      <c r="H987" s="207"/>
      <c r="I987" s="207"/>
      <c r="J987" s="207"/>
      <c r="K987" s="207"/>
      <c r="L987" s="207"/>
      <c r="M987" s="207"/>
      <c r="N987" s="207"/>
      <c r="O987" s="207"/>
      <c r="P987" s="207"/>
      <c r="Q987" s="207"/>
      <c r="R987" s="207"/>
      <c r="S987" s="207"/>
      <c r="T987" s="207"/>
      <c r="U987" s="207"/>
      <c r="V987" s="207"/>
      <c r="W987" s="207"/>
      <c r="X987" s="207"/>
      <c r="Y987" s="207"/>
      <c r="Z987" s="207"/>
      <c r="AA987" s="207"/>
      <c r="AB987" s="207"/>
      <c r="AC987" s="207"/>
      <c r="AD987" s="207"/>
      <c r="AE987" s="207"/>
      <c r="AF987" s="207"/>
      <c r="AG987" s="207"/>
      <c r="AH987" s="207"/>
      <c r="AI987" s="207"/>
      <c r="AJ987" s="207"/>
      <c r="AK987" s="207"/>
      <c r="AL987" s="207"/>
      <c r="AM987" s="207"/>
      <c r="AN987" s="207"/>
      <c r="AO987" s="207"/>
      <c r="AP987" s="207"/>
      <c r="AQ987" s="207"/>
      <c r="AR987" s="207"/>
      <c r="AS987" s="207"/>
      <c r="AT987" s="207"/>
      <c r="AU987" s="207"/>
      <c r="AV987" s="207"/>
      <c r="AW987" s="207"/>
      <c r="AX987" s="207"/>
      <c r="AY987" s="207"/>
      <c r="AZ987" s="207"/>
      <c r="BA987" s="207"/>
    </row>
    <row r="988" ht="18.75" hidden="1" customHeight="1">
      <c r="A988" s="207"/>
      <c r="B988" s="207"/>
      <c r="C988" s="207"/>
      <c r="D988" s="207"/>
      <c r="E988" s="207"/>
      <c r="F988" s="207"/>
      <c r="G988" s="207"/>
      <c r="H988" s="207"/>
      <c r="I988" s="207"/>
      <c r="J988" s="207"/>
      <c r="K988" s="207"/>
      <c r="L988" s="207"/>
      <c r="M988" s="207"/>
      <c r="N988" s="207"/>
      <c r="O988" s="207"/>
      <c r="P988" s="207"/>
      <c r="Q988" s="207"/>
      <c r="R988" s="207"/>
      <c r="S988" s="207"/>
      <c r="T988" s="207"/>
      <c r="U988" s="207"/>
      <c r="V988" s="207"/>
      <c r="W988" s="207"/>
      <c r="X988" s="207"/>
      <c r="Y988" s="207"/>
      <c r="Z988" s="207"/>
      <c r="AA988" s="207"/>
      <c r="AB988" s="207"/>
      <c r="AC988" s="207"/>
      <c r="AD988" s="207"/>
      <c r="AE988" s="207"/>
      <c r="AF988" s="207"/>
      <c r="AG988" s="207"/>
      <c r="AH988" s="207"/>
      <c r="AI988" s="207"/>
      <c r="AJ988" s="207"/>
      <c r="AK988" s="207"/>
      <c r="AL988" s="207"/>
      <c r="AM988" s="207"/>
      <c r="AN988" s="207"/>
      <c r="AO988" s="207"/>
      <c r="AP988" s="207"/>
      <c r="AQ988" s="207"/>
      <c r="AR988" s="207"/>
      <c r="AS988" s="207"/>
      <c r="AT988" s="207"/>
      <c r="AU988" s="207"/>
      <c r="AV988" s="207"/>
      <c r="AW988" s="207"/>
      <c r="AX988" s="207"/>
      <c r="AY988" s="207"/>
      <c r="AZ988" s="207"/>
      <c r="BA988" s="207"/>
    </row>
    <row r="989" ht="18.75" hidden="1" customHeight="1">
      <c r="A989" s="207"/>
      <c r="B989" s="207"/>
      <c r="C989" s="207"/>
      <c r="D989" s="207"/>
      <c r="E989" s="207"/>
      <c r="F989" s="207"/>
      <c r="G989" s="207"/>
      <c r="H989" s="207"/>
      <c r="I989" s="207"/>
      <c r="J989" s="207"/>
      <c r="K989" s="207"/>
      <c r="L989" s="207"/>
      <c r="M989" s="207"/>
      <c r="N989" s="207"/>
      <c r="O989" s="207"/>
      <c r="P989" s="207"/>
      <c r="Q989" s="207"/>
      <c r="R989" s="207"/>
      <c r="S989" s="207"/>
      <c r="T989" s="207"/>
      <c r="U989" s="207"/>
      <c r="V989" s="207"/>
      <c r="W989" s="207"/>
      <c r="X989" s="207"/>
      <c r="Y989" s="207"/>
      <c r="Z989" s="207"/>
      <c r="AA989" s="207"/>
      <c r="AB989" s="207"/>
      <c r="AC989" s="207"/>
      <c r="AD989" s="207"/>
      <c r="AE989" s="207"/>
      <c r="AF989" s="207"/>
      <c r="AG989" s="207"/>
      <c r="AH989" s="207"/>
      <c r="AI989" s="207"/>
      <c r="AJ989" s="207"/>
      <c r="AK989" s="207"/>
      <c r="AL989" s="207"/>
      <c r="AM989" s="207"/>
      <c r="AN989" s="207"/>
      <c r="AO989" s="207"/>
      <c r="AP989" s="207"/>
      <c r="AQ989" s="207"/>
      <c r="AR989" s="207"/>
      <c r="AS989" s="207"/>
      <c r="AT989" s="207"/>
      <c r="AU989" s="207"/>
      <c r="AV989" s="207"/>
      <c r="AW989" s="207"/>
      <c r="AX989" s="207"/>
      <c r="AY989" s="207"/>
      <c r="AZ989" s="207"/>
      <c r="BA989" s="207"/>
    </row>
    <row r="990" ht="18.75" hidden="1" customHeight="1">
      <c r="A990" s="207"/>
      <c r="B990" s="207"/>
      <c r="C990" s="207"/>
      <c r="D990" s="207"/>
      <c r="E990" s="207"/>
      <c r="F990" s="207"/>
      <c r="G990" s="207"/>
      <c r="H990" s="207"/>
      <c r="I990" s="207"/>
      <c r="J990" s="207"/>
      <c r="K990" s="207"/>
      <c r="L990" s="207"/>
      <c r="M990" s="207"/>
      <c r="N990" s="207"/>
      <c r="O990" s="207"/>
      <c r="P990" s="207"/>
      <c r="Q990" s="207"/>
      <c r="R990" s="207"/>
      <c r="S990" s="207"/>
      <c r="T990" s="207"/>
      <c r="U990" s="207"/>
      <c r="V990" s="207"/>
      <c r="W990" s="207"/>
      <c r="X990" s="207"/>
      <c r="Y990" s="207"/>
      <c r="Z990" s="207"/>
      <c r="AA990" s="207"/>
      <c r="AB990" s="207"/>
      <c r="AC990" s="207"/>
      <c r="AD990" s="207"/>
      <c r="AE990" s="207"/>
      <c r="AF990" s="207"/>
      <c r="AG990" s="207"/>
      <c r="AH990" s="207"/>
      <c r="AI990" s="207"/>
      <c r="AJ990" s="207"/>
      <c r="AK990" s="207"/>
      <c r="AL990" s="207"/>
      <c r="AM990" s="207"/>
      <c r="AN990" s="207"/>
      <c r="AO990" s="207"/>
      <c r="AP990" s="207"/>
      <c r="AQ990" s="207"/>
      <c r="AR990" s="207"/>
      <c r="AS990" s="207"/>
      <c r="AT990" s="207"/>
      <c r="AU990" s="207"/>
      <c r="AV990" s="207"/>
      <c r="AW990" s="207"/>
      <c r="AX990" s="207"/>
      <c r="AY990" s="207"/>
      <c r="AZ990" s="207"/>
      <c r="BA990" s="207"/>
    </row>
    <row r="991" ht="18.75" hidden="1" customHeight="1">
      <c r="A991" s="207"/>
      <c r="B991" s="207"/>
      <c r="C991" s="207"/>
      <c r="D991" s="207"/>
      <c r="E991" s="207"/>
      <c r="F991" s="207"/>
      <c r="G991" s="207"/>
      <c r="H991" s="207"/>
      <c r="I991" s="207"/>
      <c r="J991" s="207"/>
      <c r="K991" s="207"/>
      <c r="L991" s="207"/>
      <c r="M991" s="207"/>
      <c r="N991" s="207"/>
      <c r="O991" s="207"/>
      <c r="P991" s="207"/>
      <c r="Q991" s="207"/>
      <c r="R991" s="207"/>
      <c r="S991" s="207"/>
      <c r="T991" s="207"/>
      <c r="U991" s="207"/>
      <c r="V991" s="207"/>
      <c r="W991" s="207"/>
      <c r="X991" s="207"/>
      <c r="Y991" s="207"/>
      <c r="Z991" s="207"/>
      <c r="AA991" s="207"/>
      <c r="AB991" s="207"/>
      <c r="AC991" s="207"/>
      <c r="AD991" s="207"/>
      <c r="AE991" s="207"/>
      <c r="AF991" s="207"/>
      <c r="AG991" s="207"/>
      <c r="AH991" s="207"/>
      <c r="AI991" s="207"/>
      <c r="AJ991" s="207"/>
      <c r="AK991" s="207"/>
      <c r="AL991" s="207"/>
      <c r="AM991" s="207"/>
      <c r="AN991" s="207"/>
      <c r="AO991" s="207"/>
      <c r="AP991" s="207"/>
      <c r="AQ991" s="207"/>
      <c r="AR991" s="207"/>
      <c r="AS991" s="207"/>
      <c r="AT991" s="207"/>
      <c r="AU991" s="207"/>
      <c r="AV991" s="207"/>
      <c r="AW991" s="207"/>
      <c r="AX991" s="207"/>
      <c r="AY991" s="207"/>
      <c r="AZ991" s="207"/>
      <c r="BA991" s="207"/>
    </row>
    <row r="992" ht="18.75" hidden="1" customHeight="1">
      <c r="A992" s="207"/>
      <c r="B992" s="207"/>
      <c r="C992" s="207"/>
      <c r="D992" s="207"/>
      <c r="E992" s="207"/>
      <c r="F992" s="207"/>
      <c r="G992" s="207"/>
      <c r="H992" s="207"/>
      <c r="I992" s="207"/>
      <c r="J992" s="207"/>
      <c r="K992" s="207"/>
      <c r="L992" s="207"/>
      <c r="M992" s="207"/>
      <c r="N992" s="207"/>
      <c r="O992" s="207"/>
      <c r="P992" s="207"/>
      <c r="Q992" s="207"/>
      <c r="R992" s="207"/>
      <c r="S992" s="207"/>
      <c r="T992" s="207"/>
      <c r="U992" s="207"/>
      <c r="V992" s="207"/>
      <c r="W992" s="207"/>
      <c r="X992" s="207"/>
      <c r="Y992" s="207"/>
      <c r="Z992" s="207"/>
      <c r="AA992" s="207"/>
      <c r="AB992" s="207"/>
      <c r="AC992" s="207"/>
      <c r="AD992" s="207"/>
      <c r="AE992" s="207"/>
      <c r="AF992" s="207"/>
      <c r="AG992" s="207"/>
      <c r="AH992" s="207"/>
      <c r="AI992" s="207"/>
      <c r="AJ992" s="207"/>
      <c r="AK992" s="207"/>
      <c r="AL992" s="207"/>
      <c r="AM992" s="207"/>
      <c r="AN992" s="207"/>
      <c r="AO992" s="207"/>
      <c r="AP992" s="207"/>
      <c r="AQ992" s="207"/>
      <c r="AR992" s="207"/>
      <c r="AS992" s="207"/>
      <c r="AT992" s="207"/>
      <c r="AU992" s="207"/>
      <c r="AV992" s="207"/>
      <c r="AW992" s="207"/>
      <c r="AX992" s="207"/>
      <c r="AY992" s="207"/>
      <c r="AZ992" s="207"/>
      <c r="BA992" s="207"/>
    </row>
    <row r="993" ht="18.75" hidden="1" customHeight="1">
      <c r="A993" s="207"/>
      <c r="B993" s="207"/>
      <c r="C993" s="207"/>
      <c r="D993" s="207"/>
      <c r="E993" s="207"/>
      <c r="F993" s="207"/>
      <c r="G993" s="207"/>
      <c r="H993" s="207"/>
      <c r="I993" s="207"/>
      <c r="J993" s="207"/>
      <c r="K993" s="207"/>
      <c r="L993" s="207"/>
      <c r="M993" s="207"/>
      <c r="N993" s="207"/>
      <c r="O993" s="207"/>
      <c r="P993" s="207"/>
      <c r="Q993" s="207"/>
      <c r="R993" s="207"/>
      <c r="S993" s="207"/>
      <c r="T993" s="207"/>
      <c r="U993" s="207"/>
      <c r="V993" s="207"/>
      <c r="W993" s="207"/>
      <c r="X993" s="207"/>
      <c r="Y993" s="207"/>
      <c r="Z993" s="207"/>
      <c r="AA993" s="207"/>
      <c r="AB993" s="207"/>
      <c r="AC993" s="207"/>
      <c r="AD993" s="207"/>
      <c r="AE993" s="207"/>
      <c r="AF993" s="207"/>
      <c r="AG993" s="207"/>
      <c r="AH993" s="207"/>
      <c r="AI993" s="207"/>
      <c r="AJ993" s="207"/>
      <c r="AK993" s="207"/>
      <c r="AL993" s="207"/>
      <c r="AM993" s="207"/>
      <c r="AN993" s="207"/>
      <c r="AO993" s="207"/>
      <c r="AP993" s="207"/>
      <c r="AQ993" s="207"/>
      <c r="AR993" s="207"/>
      <c r="AS993" s="207"/>
      <c r="AT993" s="207"/>
      <c r="AU993" s="207"/>
      <c r="AV993" s="207"/>
      <c r="AW993" s="207"/>
      <c r="AX993" s="207"/>
      <c r="AY993" s="207"/>
      <c r="AZ993" s="207"/>
      <c r="BA993" s="207"/>
    </row>
    <row r="994" ht="18.75" hidden="1" customHeight="1">
      <c r="A994" s="207"/>
      <c r="B994" s="207"/>
      <c r="C994" s="207"/>
      <c r="D994" s="207"/>
      <c r="E994" s="207"/>
      <c r="F994" s="207"/>
      <c r="G994" s="207"/>
      <c r="H994" s="207"/>
      <c r="I994" s="207"/>
      <c r="J994" s="207"/>
      <c r="K994" s="207"/>
      <c r="L994" s="207"/>
      <c r="M994" s="207"/>
      <c r="N994" s="207"/>
      <c r="O994" s="207"/>
      <c r="P994" s="207"/>
      <c r="Q994" s="207"/>
      <c r="R994" s="207"/>
      <c r="S994" s="207"/>
      <c r="T994" s="207"/>
      <c r="U994" s="207"/>
      <c r="V994" s="207"/>
      <c r="W994" s="207"/>
      <c r="X994" s="207"/>
      <c r="Y994" s="207"/>
      <c r="Z994" s="207"/>
      <c r="AA994" s="207"/>
      <c r="AB994" s="207"/>
      <c r="AC994" s="207"/>
      <c r="AD994" s="207"/>
      <c r="AE994" s="207"/>
      <c r="AF994" s="207"/>
      <c r="AG994" s="207"/>
      <c r="AH994" s="207"/>
      <c r="AI994" s="207"/>
      <c r="AJ994" s="207"/>
      <c r="AK994" s="207"/>
      <c r="AL994" s="207"/>
      <c r="AM994" s="207"/>
      <c r="AN994" s="207"/>
      <c r="AO994" s="207"/>
      <c r="AP994" s="207"/>
      <c r="AQ994" s="207"/>
      <c r="AR994" s="207"/>
      <c r="AS994" s="207"/>
      <c r="AT994" s="207"/>
      <c r="AU994" s="207"/>
      <c r="AV994" s="207"/>
      <c r="AW994" s="207"/>
      <c r="AX994" s="207"/>
      <c r="AY994" s="207"/>
      <c r="AZ994" s="207"/>
      <c r="BA994" s="207"/>
    </row>
    <row r="995" ht="18.75" hidden="1" customHeight="1">
      <c r="A995" s="207"/>
      <c r="B995" s="207"/>
      <c r="C995" s="207"/>
      <c r="D995" s="207"/>
      <c r="E995" s="207"/>
      <c r="F995" s="207"/>
      <c r="G995" s="207"/>
      <c r="H995" s="207"/>
      <c r="I995" s="207"/>
      <c r="J995" s="207"/>
      <c r="K995" s="207"/>
      <c r="L995" s="207"/>
      <c r="M995" s="207"/>
      <c r="N995" s="207"/>
      <c r="O995" s="207"/>
      <c r="P995" s="207"/>
      <c r="Q995" s="207"/>
      <c r="R995" s="207"/>
      <c r="S995" s="207"/>
      <c r="T995" s="207"/>
      <c r="U995" s="207"/>
      <c r="V995" s="207"/>
      <c r="W995" s="207"/>
      <c r="X995" s="207"/>
      <c r="Y995" s="207"/>
      <c r="Z995" s="207"/>
      <c r="AA995" s="207"/>
      <c r="AB995" s="207"/>
      <c r="AC995" s="207"/>
      <c r="AD995" s="207"/>
      <c r="AE995" s="207"/>
      <c r="AF995" s="207"/>
      <c r="AG995" s="207"/>
      <c r="AH995" s="207"/>
      <c r="AI995" s="207"/>
      <c r="AJ995" s="207"/>
      <c r="AK995" s="207"/>
      <c r="AL995" s="207"/>
      <c r="AM995" s="207"/>
      <c r="AN995" s="207"/>
      <c r="AO995" s="207"/>
      <c r="AP995" s="207"/>
      <c r="AQ995" s="207"/>
      <c r="AR995" s="207"/>
      <c r="AS995" s="207"/>
      <c r="AT995" s="207"/>
      <c r="AU995" s="207"/>
      <c r="AV995" s="207"/>
      <c r="AW995" s="207"/>
      <c r="AX995" s="207"/>
      <c r="AY995" s="207"/>
      <c r="AZ995" s="207"/>
      <c r="BA995" s="207"/>
    </row>
    <row r="996" ht="18.75" hidden="1" customHeight="1">
      <c r="A996" s="207"/>
      <c r="B996" s="207"/>
      <c r="C996" s="207"/>
      <c r="D996" s="207"/>
      <c r="E996" s="207"/>
      <c r="F996" s="207"/>
      <c r="G996" s="207"/>
      <c r="H996" s="207"/>
      <c r="I996" s="207"/>
      <c r="J996" s="207"/>
      <c r="K996" s="207"/>
      <c r="L996" s="207"/>
      <c r="M996" s="207"/>
      <c r="N996" s="207"/>
      <c r="O996" s="207"/>
      <c r="P996" s="207"/>
      <c r="Q996" s="207"/>
      <c r="R996" s="207"/>
      <c r="S996" s="207"/>
      <c r="T996" s="207"/>
      <c r="U996" s="207"/>
      <c r="V996" s="207"/>
      <c r="W996" s="207"/>
      <c r="X996" s="207"/>
      <c r="Y996" s="207"/>
      <c r="Z996" s="207"/>
      <c r="AA996" s="207"/>
      <c r="AB996" s="207"/>
      <c r="AC996" s="207"/>
      <c r="AD996" s="207"/>
      <c r="AE996" s="207"/>
      <c r="AF996" s="207"/>
      <c r="AG996" s="207"/>
      <c r="AH996" s="207"/>
      <c r="AI996" s="207"/>
      <c r="AJ996" s="207"/>
      <c r="AK996" s="207"/>
      <c r="AL996" s="207"/>
      <c r="AM996" s="207"/>
      <c r="AN996" s="207"/>
      <c r="AO996" s="207"/>
      <c r="AP996" s="207"/>
      <c r="AQ996" s="207"/>
      <c r="AR996" s="207"/>
      <c r="AS996" s="207"/>
      <c r="AT996" s="207"/>
      <c r="AU996" s="207"/>
      <c r="AV996" s="207"/>
      <c r="AW996" s="207"/>
      <c r="AX996" s="207"/>
      <c r="AY996" s="207"/>
      <c r="AZ996" s="207"/>
      <c r="BA996" s="207"/>
    </row>
    <row r="997" ht="18.75" hidden="1" customHeight="1">
      <c r="A997" s="207"/>
      <c r="B997" s="207"/>
      <c r="C997" s="207"/>
      <c r="D997" s="207"/>
      <c r="E997" s="207"/>
      <c r="F997" s="207"/>
      <c r="G997" s="207"/>
      <c r="H997" s="207"/>
      <c r="I997" s="207"/>
      <c r="J997" s="207"/>
      <c r="K997" s="207"/>
      <c r="L997" s="207"/>
      <c r="M997" s="207"/>
      <c r="N997" s="207"/>
      <c r="O997" s="207"/>
      <c r="P997" s="207"/>
      <c r="Q997" s="207"/>
      <c r="R997" s="207"/>
      <c r="S997" s="207"/>
      <c r="T997" s="207"/>
      <c r="U997" s="207"/>
      <c r="V997" s="207"/>
      <c r="W997" s="207"/>
      <c r="X997" s="207"/>
      <c r="Y997" s="207"/>
      <c r="Z997" s="207"/>
      <c r="AA997" s="207"/>
      <c r="AB997" s="207"/>
      <c r="AC997" s="207"/>
      <c r="AD997" s="207"/>
      <c r="AE997" s="207"/>
      <c r="AF997" s="207"/>
      <c r="AG997" s="207"/>
      <c r="AH997" s="207"/>
      <c r="AI997" s="207"/>
      <c r="AJ997" s="207"/>
      <c r="AK997" s="207"/>
      <c r="AL997" s="207"/>
      <c r="AM997" s="207"/>
      <c r="AN997" s="207"/>
      <c r="AO997" s="207"/>
      <c r="AP997" s="207"/>
      <c r="AQ997" s="207"/>
      <c r="AR997" s="207"/>
      <c r="AS997" s="207"/>
      <c r="AT997" s="207"/>
      <c r="AU997" s="207"/>
      <c r="AV997" s="207"/>
      <c r="AW997" s="207"/>
      <c r="AX997" s="207"/>
      <c r="AY997" s="207"/>
      <c r="AZ997" s="207"/>
      <c r="BA997" s="207"/>
    </row>
    <row r="998" ht="18.75" hidden="1" customHeight="1">
      <c r="A998" s="207"/>
      <c r="B998" s="207"/>
      <c r="C998" s="207"/>
      <c r="D998" s="207"/>
      <c r="E998" s="207"/>
      <c r="F998" s="207"/>
      <c r="G998" s="207"/>
      <c r="H998" s="207"/>
      <c r="I998" s="207"/>
      <c r="J998" s="207"/>
      <c r="K998" s="207"/>
      <c r="L998" s="207"/>
      <c r="M998" s="207"/>
      <c r="N998" s="207"/>
      <c r="O998" s="207"/>
      <c r="P998" s="207"/>
      <c r="Q998" s="207"/>
      <c r="R998" s="207"/>
      <c r="S998" s="207"/>
      <c r="T998" s="207"/>
      <c r="U998" s="207"/>
      <c r="V998" s="207"/>
      <c r="W998" s="207"/>
      <c r="X998" s="207"/>
      <c r="Y998" s="207"/>
      <c r="Z998" s="207"/>
      <c r="AA998" s="207"/>
      <c r="AB998" s="207"/>
      <c r="AC998" s="207"/>
      <c r="AD998" s="207"/>
      <c r="AE998" s="207"/>
      <c r="AF998" s="207"/>
      <c r="AG998" s="207"/>
      <c r="AH998" s="207"/>
      <c r="AI998" s="207"/>
      <c r="AJ998" s="207"/>
      <c r="AK998" s="207"/>
      <c r="AL998" s="207"/>
      <c r="AM998" s="207"/>
      <c r="AN998" s="207"/>
      <c r="AO998" s="207"/>
      <c r="AP998" s="207"/>
      <c r="AQ998" s="207"/>
      <c r="AR998" s="207"/>
      <c r="AS998" s="207"/>
      <c r="AT998" s="207"/>
      <c r="AU998" s="207"/>
      <c r="AV998" s="207"/>
      <c r="AW998" s="207"/>
      <c r="AX998" s="207"/>
      <c r="AY998" s="207"/>
      <c r="AZ998" s="207"/>
      <c r="BA998" s="207"/>
    </row>
    <row r="999" ht="18.75" hidden="1" customHeight="1">
      <c r="A999" s="207"/>
      <c r="B999" s="207"/>
      <c r="C999" s="207"/>
      <c r="D999" s="207"/>
      <c r="E999" s="207"/>
      <c r="F999" s="207"/>
      <c r="G999" s="207"/>
      <c r="H999" s="207"/>
      <c r="I999" s="207"/>
      <c r="J999" s="207"/>
      <c r="K999" s="207"/>
      <c r="L999" s="207"/>
      <c r="M999" s="207"/>
      <c r="N999" s="207"/>
      <c r="O999" s="207"/>
      <c r="P999" s="207"/>
      <c r="Q999" s="207"/>
      <c r="R999" s="207"/>
      <c r="S999" s="207"/>
      <c r="T999" s="207"/>
      <c r="U999" s="207"/>
      <c r="V999" s="207"/>
      <c r="W999" s="207"/>
      <c r="X999" s="207"/>
      <c r="Y999" s="207"/>
      <c r="Z999" s="207"/>
      <c r="AA999" s="207"/>
      <c r="AB999" s="207"/>
      <c r="AC999" s="207"/>
      <c r="AD999" s="207"/>
      <c r="AE999" s="207"/>
      <c r="AF999" s="207"/>
      <c r="AG999" s="207"/>
      <c r="AH999" s="207"/>
      <c r="AI999" s="207"/>
      <c r="AJ999" s="207"/>
      <c r="AK999" s="207"/>
      <c r="AL999" s="207"/>
      <c r="AM999" s="207"/>
      <c r="AN999" s="207"/>
      <c r="AO999" s="207"/>
      <c r="AP999" s="207"/>
      <c r="AQ999" s="207"/>
      <c r="AR999" s="207"/>
      <c r="AS999" s="207"/>
      <c r="AT999" s="207"/>
      <c r="AU999" s="207"/>
      <c r="AV999" s="207"/>
      <c r="AW999" s="207"/>
      <c r="AX999" s="207"/>
      <c r="AY999" s="207"/>
      <c r="AZ999" s="207"/>
      <c r="BA999" s="207"/>
    </row>
    <row r="1000" ht="18.75" hidden="1" customHeight="1">
      <c r="A1000" s="207"/>
      <c r="B1000" s="207"/>
      <c r="C1000" s="207"/>
      <c r="D1000" s="207"/>
      <c r="E1000" s="207"/>
      <c r="F1000" s="207"/>
      <c r="G1000" s="207"/>
      <c r="H1000" s="207"/>
      <c r="I1000" s="207"/>
      <c r="J1000" s="207"/>
      <c r="K1000" s="207"/>
      <c r="L1000" s="207"/>
      <c r="M1000" s="207"/>
      <c r="N1000" s="207"/>
      <c r="O1000" s="207"/>
      <c r="P1000" s="207"/>
      <c r="Q1000" s="207"/>
      <c r="R1000" s="207"/>
      <c r="S1000" s="207"/>
      <c r="T1000" s="207"/>
      <c r="U1000" s="207"/>
      <c r="V1000" s="207"/>
      <c r="W1000" s="207"/>
      <c r="X1000" s="207"/>
      <c r="Y1000" s="207"/>
      <c r="Z1000" s="207"/>
      <c r="AA1000" s="207"/>
      <c r="AB1000" s="207"/>
      <c r="AC1000" s="207"/>
      <c r="AD1000" s="207"/>
      <c r="AE1000" s="207"/>
      <c r="AF1000" s="207"/>
      <c r="AG1000" s="207"/>
      <c r="AH1000" s="207"/>
      <c r="AI1000" s="207"/>
      <c r="AJ1000" s="207"/>
      <c r="AK1000" s="207"/>
      <c r="AL1000" s="207"/>
      <c r="AM1000" s="207"/>
      <c r="AN1000" s="207"/>
      <c r="AO1000" s="207"/>
      <c r="AP1000" s="207"/>
      <c r="AQ1000" s="207"/>
      <c r="AR1000" s="207"/>
      <c r="AS1000" s="207"/>
      <c r="AT1000" s="207"/>
      <c r="AU1000" s="207"/>
      <c r="AV1000" s="207"/>
      <c r="AW1000" s="207"/>
      <c r="AX1000" s="207"/>
      <c r="AY1000" s="207"/>
      <c r="AZ1000" s="207"/>
      <c r="BA1000" s="207"/>
    </row>
    <row r="1001" ht="18.75" hidden="1" customHeight="1">
      <c r="A1001" s="207"/>
      <c r="B1001" s="207"/>
      <c r="C1001" s="207"/>
      <c r="D1001" s="207"/>
      <c r="E1001" s="207"/>
      <c r="F1001" s="207"/>
      <c r="G1001" s="207"/>
      <c r="H1001" s="207"/>
      <c r="I1001" s="207"/>
      <c r="J1001" s="207"/>
      <c r="K1001" s="207"/>
      <c r="L1001" s="207"/>
      <c r="M1001" s="207"/>
      <c r="N1001" s="207"/>
      <c r="O1001" s="207"/>
      <c r="P1001" s="207"/>
      <c r="Q1001" s="207"/>
      <c r="R1001" s="207"/>
      <c r="S1001" s="207"/>
      <c r="T1001" s="207"/>
      <c r="U1001" s="207"/>
      <c r="V1001" s="207"/>
      <c r="W1001" s="207"/>
      <c r="X1001" s="207"/>
      <c r="Y1001" s="207"/>
      <c r="Z1001" s="207"/>
      <c r="AA1001" s="207"/>
      <c r="AB1001" s="207"/>
      <c r="AC1001" s="207"/>
      <c r="AD1001" s="207"/>
      <c r="AE1001" s="207"/>
      <c r="AF1001" s="207"/>
      <c r="AG1001" s="207"/>
      <c r="AH1001" s="207"/>
      <c r="AI1001" s="207"/>
      <c r="AJ1001" s="207"/>
      <c r="AK1001" s="207"/>
      <c r="AL1001" s="207"/>
      <c r="AM1001" s="207"/>
      <c r="AN1001" s="207"/>
      <c r="AO1001" s="207"/>
      <c r="AP1001" s="207"/>
      <c r="AQ1001" s="207"/>
      <c r="AR1001" s="207"/>
      <c r="AS1001" s="207"/>
      <c r="AT1001" s="207"/>
      <c r="AU1001" s="207"/>
      <c r="AV1001" s="207"/>
      <c r="AW1001" s="207"/>
      <c r="AX1001" s="207"/>
      <c r="AY1001" s="207"/>
      <c r="AZ1001" s="207"/>
      <c r="BA1001" s="207"/>
    </row>
  </sheetData>
  <mergeCells count="41">
    <mergeCell ref="Y3:AB3"/>
    <mergeCell ref="AC3:AF3"/>
    <mergeCell ref="AG3:AJ3"/>
    <mergeCell ref="AK3:AN3"/>
    <mergeCell ref="AO3:AR3"/>
    <mergeCell ref="AS3:AV3"/>
    <mergeCell ref="AW3:AZ3"/>
    <mergeCell ref="B2:D2"/>
    <mergeCell ref="B3:D3"/>
    <mergeCell ref="E3:H3"/>
    <mergeCell ref="I3:L3"/>
    <mergeCell ref="M3:P3"/>
    <mergeCell ref="Q3:T3"/>
    <mergeCell ref="U3:X3"/>
    <mergeCell ref="B4:B5"/>
    <mergeCell ref="C4:C5"/>
    <mergeCell ref="D4:D5"/>
    <mergeCell ref="E4:E5"/>
    <mergeCell ref="F4:H4"/>
    <mergeCell ref="I4:I5"/>
    <mergeCell ref="M4:M5"/>
    <mergeCell ref="AL4:AN4"/>
    <mergeCell ref="AP4:AR4"/>
    <mergeCell ref="AT4:AV4"/>
    <mergeCell ref="AX4:AZ4"/>
    <mergeCell ref="J4:L4"/>
    <mergeCell ref="N4:P4"/>
    <mergeCell ref="R4:T4"/>
    <mergeCell ref="V4:X4"/>
    <mergeCell ref="Z4:AB4"/>
    <mergeCell ref="AD4:AF4"/>
    <mergeCell ref="AH4:AJ4"/>
    <mergeCell ref="AS4:AS5"/>
    <mergeCell ref="AW4:AW5"/>
    <mergeCell ref="Q4:Q5"/>
    <mergeCell ref="U4:U5"/>
    <mergeCell ref="Y4:Y5"/>
    <mergeCell ref="AC4:AC5"/>
    <mergeCell ref="AG4:AG5"/>
    <mergeCell ref="AK4:AK5"/>
    <mergeCell ref="AO4:AO5"/>
  </mergeCells>
  <hyperlinks>
    <hyperlink r:id="rId1" location="gid=1042480408" ref="B1"/>
  </hyperlinks>
  <printOptions/>
  <pageMargins bottom="0.75" footer="0.0" header="0.0" left="0.7" right="0.7" top="0.75"/>
  <pageSetup orientation="landscape"/>
  <drawing r:id="rId2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F0"/>
    <pageSetUpPr/>
  </sheetPr>
  <sheetViews>
    <sheetView showGridLines="0" workbookViewId="0">
      <pane xSplit="4.0" ySplit="6.0" topLeftCell="E7" activePane="bottomRight" state="frozen"/>
      <selection activeCell="E1" sqref="E1" pane="topRight"/>
      <selection activeCell="A7" sqref="A7" pane="bottomLeft"/>
      <selection activeCell="E7" sqref="E7" pane="bottomRight"/>
    </sheetView>
  </sheetViews>
  <sheetFormatPr customHeight="1" defaultColWidth="12.63" defaultRowHeight="15.0"/>
  <cols>
    <col customWidth="1" min="1" max="1" width="0.38"/>
    <col customWidth="1" min="2" max="2" width="29.25"/>
    <col customWidth="1" min="3" max="3" width="6.75"/>
    <col customWidth="1" min="4" max="4" width="5.88"/>
    <col customWidth="1" min="5" max="5" width="7.0"/>
    <col customWidth="1" min="6" max="6" width="6.88"/>
    <col customWidth="1" min="7" max="7" width="6.0"/>
    <col customWidth="1" min="8" max="8" width="6.13"/>
    <col customWidth="1" min="9" max="9" width="7.0"/>
    <col customWidth="1" min="10" max="10" width="6.88"/>
    <col customWidth="1" min="11" max="11" width="6.0"/>
    <col customWidth="1" min="12" max="12" width="6.13"/>
    <col customWidth="1" min="13" max="13" width="7.0"/>
    <col customWidth="1" min="14" max="14" width="6.88"/>
    <col customWidth="1" min="15" max="15" width="6.0"/>
    <col customWidth="1" min="16" max="16" width="6.13"/>
    <col customWidth="1" min="17" max="17" width="7.0"/>
    <col customWidth="1" min="18" max="18" width="6.88"/>
    <col customWidth="1" min="19" max="19" width="6.0"/>
    <col customWidth="1" min="20" max="20" width="6.13"/>
    <col customWidth="1" min="21" max="21" width="7.0"/>
    <col customWidth="1" min="22" max="22" width="6.88"/>
    <col customWidth="1" min="23" max="23" width="6.0"/>
    <col customWidth="1" min="24" max="24" width="6.13"/>
    <col customWidth="1" min="25" max="25" width="7.0"/>
    <col customWidth="1" min="26" max="26" width="6.88"/>
    <col customWidth="1" min="27" max="27" width="6.0"/>
    <col customWidth="1" min="28" max="28" width="6.13"/>
    <col customWidth="1" min="29" max="29" width="7.0"/>
    <col customWidth="1" min="30" max="30" width="6.88"/>
    <col customWidth="1" min="31" max="31" width="6.0"/>
    <col customWidth="1" min="32" max="32" width="6.13"/>
    <col customWidth="1" min="33" max="33" width="7.0"/>
    <col customWidth="1" min="34" max="34" width="6.88"/>
    <col customWidth="1" min="35" max="35" width="6.0"/>
    <col customWidth="1" min="36" max="36" width="6.13"/>
    <col customWidth="1" min="37" max="37" width="7.0"/>
    <col customWidth="1" min="38" max="38" width="6.88"/>
    <col customWidth="1" min="39" max="39" width="6.0"/>
    <col customWidth="1" min="40" max="40" width="6.13"/>
    <col customWidth="1" min="41" max="41" width="7.0"/>
    <col customWidth="1" min="42" max="42" width="6.88"/>
    <col customWidth="1" min="43" max="43" width="6.0"/>
    <col customWidth="1" min="44" max="44" width="6.13"/>
    <col customWidth="1" min="45" max="45" width="7.0"/>
    <col customWidth="1" min="46" max="46" width="6.88"/>
    <col customWidth="1" min="47" max="47" width="6.0"/>
    <col customWidth="1" min="48" max="48" width="6.13"/>
    <col customWidth="1" min="49" max="49" width="7.0"/>
    <col customWidth="1" min="50" max="50" width="6.88"/>
    <col customWidth="1" min="51" max="51" width="6.0"/>
    <col customWidth="1" min="52" max="52" width="6.13"/>
    <col customWidth="1" min="53" max="53" width="0.38"/>
  </cols>
  <sheetData>
    <row r="1">
      <c r="A1" s="183"/>
      <c r="B1" s="242" t="s">
        <v>163</v>
      </c>
      <c r="C1" s="183"/>
      <c r="D1" s="183"/>
      <c r="E1" s="183"/>
      <c r="F1" s="226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</row>
    <row r="2" ht="19.5" hidden="1" customHeight="1">
      <c r="A2" s="186" t="str">
        <f>IFERROR(__xludf.DUMMYFUNCTION("IMPORTRANGE(""https://docs.google.com/spreadsheets/d/1Y5-d70NLcbnkc59ix0PWaCEVUCPFWByN5g-qou18eM4/edit#gid=2096763933"",""TONG!A1:AZ79"")"),"")</f>
        <v/>
      </c>
      <c r="B2" s="243" t="str">
        <f>IFERROR(__xludf.DUMMYFUNCTION("""COMPUTED_VALUE"""),"Ngày báo cáo:[15 hàng tháng]")</f>
        <v>Ngày báo cáo:[15 hàng tháng]</v>
      </c>
      <c r="C2" s="244"/>
      <c r="D2" s="244"/>
      <c r="E2" s="245" t="str">
        <f>IFERROR(__xludf.DUMMYFUNCTION("""COMPUTED_VALUE"""),"* Lưu ý: chỉ nhập số liệu vào các ô tô màu vàng")</f>
        <v>* Lưu ý: chỉ nhập số liệu vào các ô tô màu vàng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7"/>
      <c r="BA2" s="248"/>
    </row>
    <row r="3" ht="18.75" customHeight="1">
      <c r="A3" s="6"/>
      <c r="B3" s="134" t="str">
        <f>IFERROR(__xludf.DUMMYFUNCTION("""COMPUTED_VALUE"""),"BIỂU THỐNG KÊ SỐ LIỆU CẤP THPT")</f>
        <v>BIỂU THỐNG KÊ SỐ LIỆU CẤP THPT</v>
      </c>
      <c r="C3" s="8"/>
      <c r="D3" s="9"/>
      <c r="E3" s="11" t="str">
        <f>IFERROR(__xludf.DUMMYFUNCTION("""COMPUTED_VALUE"""),"Kỳ tháng 10/2023")</f>
        <v>Kỳ tháng 10/2023</v>
      </c>
      <c r="F3" s="8"/>
      <c r="G3" s="8"/>
      <c r="H3" s="9"/>
      <c r="I3" s="11" t="str">
        <f>IFERROR(__xludf.DUMMYFUNCTION("""COMPUTED_VALUE"""),"Kỳ tháng 11/2023")</f>
        <v>Kỳ tháng 11/2023</v>
      </c>
      <c r="J3" s="8"/>
      <c r="K3" s="8"/>
      <c r="L3" s="9"/>
      <c r="M3" s="11" t="str">
        <f>IFERROR(__xludf.DUMMYFUNCTION("""COMPUTED_VALUE"""),"Kỳ tháng 12/2023")</f>
        <v>Kỳ tháng 12/2023</v>
      </c>
      <c r="N3" s="8"/>
      <c r="O3" s="8"/>
      <c r="P3" s="9"/>
      <c r="Q3" s="12" t="str">
        <f>IFERROR(__xludf.DUMMYFUNCTION("""COMPUTED_VALUE"""),"Kỳ tháng 1/2024")</f>
        <v>Kỳ tháng 1/2024</v>
      </c>
      <c r="R3" s="8"/>
      <c r="S3" s="8"/>
      <c r="T3" s="9"/>
      <c r="U3" s="12" t="str">
        <f>IFERROR(__xludf.DUMMYFUNCTION("""COMPUTED_VALUE"""),"Kỳ tháng 2/2024")</f>
        <v>Kỳ tháng 2/2024</v>
      </c>
      <c r="V3" s="8"/>
      <c r="W3" s="8"/>
      <c r="X3" s="9"/>
      <c r="Y3" s="12" t="str">
        <f>IFERROR(__xludf.DUMMYFUNCTION("""COMPUTED_VALUE"""),"Kỳ tháng 3/2024")</f>
        <v>Kỳ tháng 3/2024</v>
      </c>
      <c r="Z3" s="8"/>
      <c r="AA3" s="8"/>
      <c r="AB3" s="9"/>
      <c r="AC3" s="13" t="str">
        <f>IFERROR(__xludf.DUMMYFUNCTION("""COMPUTED_VALUE"""),"Kỳ tháng 4/2024")</f>
        <v>Kỳ tháng 4/2024</v>
      </c>
      <c r="AD3" s="8"/>
      <c r="AE3" s="8"/>
      <c r="AF3" s="9"/>
      <c r="AG3" s="13" t="str">
        <f>IFERROR(__xludf.DUMMYFUNCTION("""COMPUTED_VALUE"""),"Kỳ tháng 5/2024")</f>
        <v>Kỳ tháng 5/2024</v>
      </c>
      <c r="AH3" s="8"/>
      <c r="AI3" s="8"/>
      <c r="AJ3" s="9"/>
      <c r="AK3" s="13" t="str">
        <f>IFERROR(__xludf.DUMMYFUNCTION("""COMPUTED_VALUE"""),"Kỳ tháng 6/2024")</f>
        <v>Kỳ tháng 6/2024</v>
      </c>
      <c r="AL3" s="8"/>
      <c r="AM3" s="8"/>
      <c r="AN3" s="9"/>
      <c r="AO3" s="14" t="str">
        <f>IFERROR(__xludf.DUMMYFUNCTION("""COMPUTED_VALUE"""),"Kỳ tháng 7/2024")</f>
        <v>Kỳ tháng 7/2024</v>
      </c>
      <c r="AP3" s="8"/>
      <c r="AQ3" s="8"/>
      <c r="AR3" s="9"/>
      <c r="AS3" s="14" t="str">
        <f>IFERROR(__xludf.DUMMYFUNCTION("""COMPUTED_VALUE"""),"Kỳ tháng 8/2024")</f>
        <v>Kỳ tháng 8/2024</v>
      </c>
      <c r="AT3" s="8"/>
      <c r="AU3" s="8"/>
      <c r="AV3" s="9"/>
      <c r="AW3" s="14" t="str">
        <f>IFERROR(__xludf.DUMMYFUNCTION("""COMPUTED_VALUE"""),"Kỳ tháng 9/2024")</f>
        <v>Kỳ tháng 9/2024</v>
      </c>
      <c r="AX3" s="8"/>
      <c r="AY3" s="8"/>
      <c r="AZ3" s="15"/>
      <c r="BA3" s="16"/>
    </row>
    <row r="4" ht="14.25" customHeight="1">
      <c r="A4" s="6"/>
      <c r="B4" s="17" t="str">
        <f>IFERROR(__xludf.DUMMYFUNCTION("""COMPUTED_VALUE"""),"TOÀN TỈNH")</f>
        <v>TOÀN TỈNH</v>
      </c>
      <c r="C4" s="18" t="str">
        <f>IFERROR(__xludf.DUMMYFUNCTION("""COMPUTED_VALUE"""),"Tần suất
báo cáo")</f>
        <v>Tần suất
báo cáo</v>
      </c>
      <c r="D4" s="18" t="str">
        <f>IFERROR(__xludf.DUMMYFUNCTION("""COMPUTED_VALUE"""),"Đơn vị
tính")</f>
        <v>Đơn vị
tính</v>
      </c>
      <c r="E4" s="19" t="str">
        <f>IFERROR(__xludf.DUMMYFUNCTION("""COMPUTED_VALUE"""),"Tổng số")</f>
        <v>Tổng số</v>
      </c>
      <c r="F4" s="20" t="str">
        <f>IFERROR(__xludf.DUMMYFUNCTION("""COMPUTED_VALUE"""),"Trong đó")</f>
        <v>Trong đó</v>
      </c>
      <c r="G4" s="21"/>
      <c r="H4" s="22"/>
      <c r="I4" s="19" t="str">
        <f>IFERROR(__xludf.DUMMYFUNCTION("""COMPUTED_VALUE"""),"Tổng số")</f>
        <v>Tổng số</v>
      </c>
      <c r="J4" s="20" t="str">
        <f>IFERROR(__xludf.DUMMYFUNCTION("""COMPUTED_VALUE"""),"Trong đó")</f>
        <v>Trong đó</v>
      </c>
      <c r="K4" s="21"/>
      <c r="L4" s="22"/>
      <c r="M4" s="19" t="str">
        <f>IFERROR(__xludf.DUMMYFUNCTION("""COMPUTED_VALUE"""),"Tổng số")</f>
        <v>Tổng số</v>
      </c>
      <c r="N4" s="20" t="str">
        <f>IFERROR(__xludf.DUMMYFUNCTION("""COMPUTED_VALUE"""),"Trong đó")</f>
        <v>Trong đó</v>
      </c>
      <c r="O4" s="21"/>
      <c r="P4" s="22"/>
      <c r="Q4" s="19" t="str">
        <f>IFERROR(__xludf.DUMMYFUNCTION("""COMPUTED_VALUE"""),"Tổng số")</f>
        <v>Tổng số</v>
      </c>
      <c r="R4" s="20" t="str">
        <f>IFERROR(__xludf.DUMMYFUNCTION("""COMPUTED_VALUE"""),"Trong đó")</f>
        <v>Trong đó</v>
      </c>
      <c r="S4" s="21"/>
      <c r="T4" s="22"/>
      <c r="U4" s="19" t="str">
        <f>IFERROR(__xludf.DUMMYFUNCTION("""COMPUTED_VALUE"""),"Tổng số")</f>
        <v>Tổng số</v>
      </c>
      <c r="V4" s="20" t="str">
        <f>IFERROR(__xludf.DUMMYFUNCTION("""COMPUTED_VALUE"""),"Trong đó")</f>
        <v>Trong đó</v>
      </c>
      <c r="W4" s="21"/>
      <c r="X4" s="22"/>
      <c r="Y4" s="19" t="str">
        <f>IFERROR(__xludf.DUMMYFUNCTION("""COMPUTED_VALUE"""),"Tổng số")</f>
        <v>Tổng số</v>
      </c>
      <c r="Z4" s="20" t="str">
        <f>IFERROR(__xludf.DUMMYFUNCTION("""COMPUTED_VALUE"""),"Trong đó")</f>
        <v>Trong đó</v>
      </c>
      <c r="AA4" s="21"/>
      <c r="AB4" s="22"/>
      <c r="AC4" s="19" t="str">
        <f>IFERROR(__xludf.DUMMYFUNCTION("""COMPUTED_VALUE"""),"Tổng số")</f>
        <v>Tổng số</v>
      </c>
      <c r="AD4" s="20" t="str">
        <f>IFERROR(__xludf.DUMMYFUNCTION("""COMPUTED_VALUE"""),"Trong đó")</f>
        <v>Trong đó</v>
      </c>
      <c r="AE4" s="21"/>
      <c r="AF4" s="22"/>
      <c r="AG4" s="19" t="str">
        <f>IFERROR(__xludf.DUMMYFUNCTION("""COMPUTED_VALUE"""),"Tổng số")</f>
        <v>Tổng số</v>
      </c>
      <c r="AH4" s="20" t="str">
        <f>IFERROR(__xludf.DUMMYFUNCTION("""COMPUTED_VALUE"""),"Trong đó")</f>
        <v>Trong đó</v>
      </c>
      <c r="AI4" s="21"/>
      <c r="AJ4" s="22"/>
      <c r="AK4" s="19" t="str">
        <f>IFERROR(__xludf.DUMMYFUNCTION("""COMPUTED_VALUE"""),"Tổng số")</f>
        <v>Tổng số</v>
      </c>
      <c r="AL4" s="20" t="str">
        <f>IFERROR(__xludf.DUMMYFUNCTION("""COMPUTED_VALUE"""),"Trong đó")</f>
        <v>Trong đó</v>
      </c>
      <c r="AM4" s="21"/>
      <c r="AN4" s="22"/>
      <c r="AO4" s="19" t="str">
        <f>IFERROR(__xludf.DUMMYFUNCTION("""COMPUTED_VALUE"""),"Tổng số")</f>
        <v>Tổng số</v>
      </c>
      <c r="AP4" s="20" t="str">
        <f>IFERROR(__xludf.DUMMYFUNCTION("""COMPUTED_VALUE"""),"Trong đó")</f>
        <v>Trong đó</v>
      </c>
      <c r="AQ4" s="21"/>
      <c r="AR4" s="22"/>
      <c r="AS4" s="19" t="str">
        <f>IFERROR(__xludf.DUMMYFUNCTION("""COMPUTED_VALUE"""),"Tổng số")</f>
        <v>Tổng số</v>
      </c>
      <c r="AT4" s="20" t="str">
        <f>IFERROR(__xludf.DUMMYFUNCTION("""COMPUTED_VALUE"""),"Trong đó")</f>
        <v>Trong đó</v>
      </c>
      <c r="AU4" s="21"/>
      <c r="AV4" s="22"/>
      <c r="AW4" s="19" t="str">
        <f>IFERROR(__xludf.DUMMYFUNCTION("""COMPUTED_VALUE"""),"Tổng số")</f>
        <v>Tổng số</v>
      </c>
      <c r="AX4" s="20" t="str">
        <f>IFERROR(__xludf.DUMMYFUNCTION("""COMPUTED_VALUE"""),"Trong đó")</f>
        <v>Trong đó</v>
      </c>
      <c r="AY4" s="21"/>
      <c r="AZ4" s="23"/>
      <c r="BA4" s="16"/>
    </row>
    <row r="5" ht="14.25" customHeight="1">
      <c r="A5" s="6"/>
      <c r="B5" s="24"/>
      <c r="C5" s="25"/>
      <c r="D5" s="25"/>
      <c r="E5" s="25"/>
      <c r="F5" s="26" t="str">
        <f>IFERROR(__xludf.DUMMYFUNCTION("""COMPUTED_VALUE"""),"Công lập")</f>
        <v>Công lập</v>
      </c>
      <c r="G5" s="26" t="str">
        <f>IFERROR(__xludf.DUMMYFUNCTION("""COMPUTED_VALUE"""),"Dân lập")</f>
        <v>Dân lập</v>
      </c>
      <c r="H5" s="26" t="str">
        <f>IFERROR(__xludf.DUMMYFUNCTION("""COMPUTED_VALUE"""),"Tư thục")</f>
        <v>Tư thục</v>
      </c>
      <c r="I5" s="25"/>
      <c r="J5" s="26" t="str">
        <f>IFERROR(__xludf.DUMMYFUNCTION("""COMPUTED_VALUE"""),"Công lập")</f>
        <v>Công lập</v>
      </c>
      <c r="K5" s="26" t="str">
        <f>IFERROR(__xludf.DUMMYFUNCTION("""COMPUTED_VALUE"""),"Dân lập")</f>
        <v>Dân lập</v>
      </c>
      <c r="L5" s="26" t="str">
        <f>IFERROR(__xludf.DUMMYFUNCTION("""COMPUTED_VALUE"""),"Tư thục")</f>
        <v>Tư thục</v>
      </c>
      <c r="M5" s="25"/>
      <c r="N5" s="26" t="str">
        <f>IFERROR(__xludf.DUMMYFUNCTION("""COMPUTED_VALUE"""),"Công lập")</f>
        <v>Công lập</v>
      </c>
      <c r="O5" s="26" t="str">
        <f>IFERROR(__xludf.DUMMYFUNCTION("""COMPUTED_VALUE"""),"Dân lập")</f>
        <v>Dân lập</v>
      </c>
      <c r="P5" s="26" t="str">
        <f>IFERROR(__xludf.DUMMYFUNCTION("""COMPUTED_VALUE"""),"Tư thục")</f>
        <v>Tư thục</v>
      </c>
      <c r="Q5" s="25"/>
      <c r="R5" s="26" t="str">
        <f>IFERROR(__xludf.DUMMYFUNCTION("""COMPUTED_VALUE"""),"Công lập")</f>
        <v>Công lập</v>
      </c>
      <c r="S5" s="26" t="str">
        <f>IFERROR(__xludf.DUMMYFUNCTION("""COMPUTED_VALUE"""),"Dân lập")</f>
        <v>Dân lập</v>
      </c>
      <c r="T5" s="26" t="str">
        <f>IFERROR(__xludf.DUMMYFUNCTION("""COMPUTED_VALUE"""),"Tư thục")</f>
        <v>Tư thục</v>
      </c>
      <c r="U5" s="25"/>
      <c r="V5" s="26" t="str">
        <f>IFERROR(__xludf.DUMMYFUNCTION("""COMPUTED_VALUE"""),"Công lập")</f>
        <v>Công lập</v>
      </c>
      <c r="W5" s="26" t="str">
        <f>IFERROR(__xludf.DUMMYFUNCTION("""COMPUTED_VALUE"""),"Dân lập")</f>
        <v>Dân lập</v>
      </c>
      <c r="X5" s="26" t="str">
        <f>IFERROR(__xludf.DUMMYFUNCTION("""COMPUTED_VALUE"""),"Tư thục")</f>
        <v>Tư thục</v>
      </c>
      <c r="Y5" s="25"/>
      <c r="Z5" s="26" t="str">
        <f>IFERROR(__xludf.DUMMYFUNCTION("""COMPUTED_VALUE"""),"Công lập")</f>
        <v>Công lập</v>
      </c>
      <c r="AA5" s="26" t="str">
        <f>IFERROR(__xludf.DUMMYFUNCTION("""COMPUTED_VALUE"""),"Dân lập")</f>
        <v>Dân lập</v>
      </c>
      <c r="AB5" s="26" t="str">
        <f>IFERROR(__xludf.DUMMYFUNCTION("""COMPUTED_VALUE"""),"Tư thục")</f>
        <v>Tư thục</v>
      </c>
      <c r="AC5" s="25"/>
      <c r="AD5" s="26" t="str">
        <f>IFERROR(__xludf.DUMMYFUNCTION("""COMPUTED_VALUE"""),"Công lập")</f>
        <v>Công lập</v>
      </c>
      <c r="AE5" s="26" t="str">
        <f>IFERROR(__xludf.DUMMYFUNCTION("""COMPUTED_VALUE"""),"Dân lập")</f>
        <v>Dân lập</v>
      </c>
      <c r="AF5" s="26" t="str">
        <f>IFERROR(__xludf.DUMMYFUNCTION("""COMPUTED_VALUE"""),"Tư thục")</f>
        <v>Tư thục</v>
      </c>
      <c r="AG5" s="25"/>
      <c r="AH5" s="26" t="str">
        <f>IFERROR(__xludf.DUMMYFUNCTION("""COMPUTED_VALUE"""),"Công lập")</f>
        <v>Công lập</v>
      </c>
      <c r="AI5" s="26" t="str">
        <f>IFERROR(__xludf.DUMMYFUNCTION("""COMPUTED_VALUE"""),"Dân lập")</f>
        <v>Dân lập</v>
      </c>
      <c r="AJ5" s="26" t="str">
        <f>IFERROR(__xludf.DUMMYFUNCTION("""COMPUTED_VALUE"""),"Tư thục")</f>
        <v>Tư thục</v>
      </c>
      <c r="AK5" s="25"/>
      <c r="AL5" s="26" t="str">
        <f>IFERROR(__xludf.DUMMYFUNCTION("""COMPUTED_VALUE"""),"Công lập")</f>
        <v>Công lập</v>
      </c>
      <c r="AM5" s="26" t="str">
        <f>IFERROR(__xludf.DUMMYFUNCTION("""COMPUTED_VALUE"""),"Dân lập")</f>
        <v>Dân lập</v>
      </c>
      <c r="AN5" s="26" t="str">
        <f>IFERROR(__xludf.DUMMYFUNCTION("""COMPUTED_VALUE"""),"Tư thục")</f>
        <v>Tư thục</v>
      </c>
      <c r="AO5" s="25"/>
      <c r="AP5" s="26" t="str">
        <f>IFERROR(__xludf.DUMMYFUNCTION("""COMPUTED_VALUE"""),"Công lập")</f>
        <v>Công lập</v>
      </c>
      <c r="AQ5" s="26" t="str">
        <f>IFERROR(__xludf.DUMMYFUNCTION("""COMPUTED_VALUE"""),"Dân lập")</f>
        <v>Dân lập</v>
      </c>
      <c r="AR5" s="26" t="str">
        <f>IFERROR(__xludf.DUMMYFUNCTION("""COMPUTED_VALUE"""),"Tư thục")</f>
        <v>Tư thục</v>
      </c>
      <c r="AS5" s="25"/>
      <c r="AT5" s="26" t="str">
        <f>IFERROR(__xludf.DUMMYFUNCTION("""COMPUTED_VALUE"""),"Công lập")</f>
        <v>Công lập</v>
      </c>
      <c r="AU5" s="26" t="str">
        <f>IFERROR(__xludf.DUMMYFUNCTION("""COMPUTED_VALUE"""),"Dân lập")</f>
        <v>Dân lập</v>
      </c>
      <c r="AV5" s="26" t="str">
        <f>IFERROR(__xludf.DUMMYFUNCTION("""COMPUTED_VALUE"""),"Tư thục")</f>
        <v>Tư thục</v>
      </c>
      <c r="AW5" s="25"/>
      <c r="AX5" s="26" t="str">
        <f>IFERROR(__xludf.DUMMYFUNCTION("""COMPUTED_VALUE"""),"Công lập")</f>
        <v>Công lập</v>
      </c>
      <c r="AY5" s="26" t="str">
        <f>IFERROR(__xludf.DUMMYFUNCTION("""COMPUTED_VALUE"""),"Dân lập")</f>
        <v>Dân lập</v>
      </c>
      <c r="AZ5" s="27" t="str">
        <f>IFERROR(__xludf.DUMMYFUNCTION("""COMPUTED_VALUE"""),"Tư thục")</f>
        <v>Tư thục</v>
      </c>
      <c r="BA5" s="16"/>
    </row>
    <row r="6" ht="13.5" customHeight="1">
      <c r="A6" s="6"/>
      <c r="B6" s="28" t="str">
        <f>IFERROR(__xludf.DUMMYFUNCTION("""COMPUTED_VALUE"""),"A")</f>
        <v>A</v>
      </c>
      <c r="C6" s="26" t="str">
        <f>IFERROR(__xludf.DUMMYFUNCTION("""COMPUTED_VALUE"""),"B")</f>
        <v>B</v>
      </c>
      <c r="D6" s="26" t="str">
        <f>IFERROR(__xludf.DUMMYFUNCTION("""COMPUTED_VALUE"""),"C")</f>
        <v>C</v>
      </c>
      <c r="E6" s="26" t="str">
        <f>IFERROR(__xludf.DUMMYFUNCTION("""COMPUTED_VALUE"""),"1=2+3+4")</f>
        <v>1=2+3+4</v>
      </c>
      <c r="F6" s="26">
        <f>IFERROR(__xludf.DUMMYFUNCTION("""COMPUTED_VALUE"""),2.0)</f>
        <v>2</v>
      </c>
      <c r="G6" s="26">
        <f>IFERROR(__xludf.DUMMYFUNCTION("""COMPUTED_VALUE"""),3.0)</f>
        <v>3</v>
      </c>
      <c r="H6" s="26">
        <f>IFERROR(__xludf.DUMMYFUNCTION("""COMPUTED_VALUE"""),4.0)</f>
        <v>4</v>
      </c>
      <c r="I6" s="26" t="str">
        <f>IFERROR(__xludf.DUMMYFUNCTION("""COMPUTED_VALUE"""),"1=2+3+4")</f>
        <v>1=2+3+4</v>
      </c>
      <c r="J6" s="26">
        <f>IFERROR(__xludf.DUMMYFUNCTION("""COMPUTED_VALUE"""),2.0)</f>
        <v>2</v>
      </c>
      <c r="K6" s="26">
        <f>IFERROR(__xludf.DUMMYFUNCTION("""COMPUTED_VALUE"""),3.0)</f>
        <v>3</v>
      </c>
      <c r="L6" s="26">
        <f>IFERROR(__xludf.DUMMYFUNCTION("""COMPUTED_VALUE"""),4.0)</f>
        <v>4</v>
      </c>
      <c r="M6" s="26" t="str">
        <f>IFERROR(__xludf.DUMMYFUNCTION("""COMPUTED_VALUE"""),"1=2+3+4")</f>
        <v>1=2+3+4</v>
      </c>
      <c r="N6" s="26">
        <f>IFERROR(__xludf.DUMMYFUNCTION("""COMPUTED_VALUE"""),2.0)</f>
        <v>2</v>
      </c>
      <c r="O6" s="26">
        <f>IFERROR(__xludf.DUMMYFUNCTION("""COMPUTED_VALUE"""),3.0)</f>
        <v>3</v>
      </c>
      <c r="P6" s="26">
        <f>IFERROR(__xludf.DUMMYFUNCTION("""COMPUTED_VALUE"""),4.0)</f>
        <v>4</v>
      </c>
      <c r="Q6" s="26" t="str">
        <f>IFERROR(__xludf.DUMMYFUNCTION("""COMPUTED_VALUE"""),"1=2+3+4")</f>
        <v>1=2+3+4</v>
      </c>
      <c r="R6" s="26">
        <f>IFERROR(__xludf.DUMMYFUNCTION("""COMPUTED_VALUE"""),2.0)</f>
        <v>2</v>
      </c>
      <c r="S6" s="26">
        <f>IFERROR(__xludf.DUMMYFUNCTION("""COMPUTED_VALUE"""),3.0)</f>
        <v>3</v>
      </c>
      <c r="T6" s="26">
        <f>IFERROR(__xludf.DUMMYFUNCTION("""COMPUTED_VALUE"""),4.0)</f>
        <v>4</v>
      </c>
      <c r="U6" s="26" t="str">
        <f>IFERROR(__xludf.DUMMYFUNCTION("""COMPUTED_VALUE"""),"1=2+3+4")</f>
        <v>1=2+3+4</v>
      </c>
      <c r="V6" s="26">
        <f>IFERROR(__xludf.DUMMYFUNCTION("""COMPUTED_VALUE"""),2.0)</f>
        <v>2</v>
      </c>
      <c r="W6" s="26">
        <f>IFERROR(__xludf.DUMMYFUNCTION("""COMPUTED_VALUE"""),3.0)</f>
        <v>3</v>
      </c>
      <c r="X6" s="26">
        <f>IFERROR(__xludf.DUMMYFUNCTION("""COMPUTED_VALUE"""),4.0)</f>
        <v>4</v>
      </c>
      <c r="Y6" s="26" t="str">
        <f>IFERROR(__xludf.DUMMYFUNCTION("""COMPUTED_VALUE"""),"1=2+3+4")</f>
        <v>1=2+3+4</v>
      </c>
      <c r="Z6" s="26">
        <f>IFERROR(__xludf.DUMMYFUNCTION("""COMPUTED_VALUE"""),2.0)</f>
        <v>2</v>
      </c>
      <c r="AA6" s="26">
        <f>IFERROR(__xludf.DUMMYFUNCTION("""COMPUTED_VALUE"""),3.0)</f>
        <v>3</v>
      </c>
      <c r="AB6" s="26">
        <f>IFERROR(__xludf.DUMMYFUNCTION("""COMPUTED_VALUE"""),4.0)</f>
        <v>4</v>
      </c>
      <c r="AC6" s="26" t="str">
        <f>IFERROR(__xludf.DUMMYFUNCTION("""COMPUTED_VALUE"""),"1=2+3+4")</f>
        <v>1=2+3+4</v>
      </c>
      <c r="AD6" s="26">
        <f>IFERROR(__xludf.DUMMYFUNCTION("""COMPUTED_VALUE"""),2.0)</f>
        <v>2</v>
      </c>
      <c r="AE6" s="26">
        <f>IFERROR(__xludf.DUMMYFUNCTION("""COMPUTED_VALUE"""),3.0)</f>
        <v>3</v>
      </c>
      <c r="AF6" s="26">
        <f>IFERROR(__xludf.DUMMYFUNCTION("""COMPUTED_VALUE"""),4.0)</f>
        <v>4</v>
      </c>
      <c r="AG6" s="26" t="str">
        <f>IFERROR(__xludf.DUMMYFUNCTION("""COMPUTED_VALUE"""),"1=2+3+4")</f>
        <v>1=2+3+4</v>
      </c>
      <c r="AH6" s="26">
        <f>IFERROR(__xludf.DUMMYFUNCTION("""COMPUTED_VALUE"""),2.0)</f>
        <v>2</v>
      </c>
      <c r="AI6" s="26">
        <f>IFERROR(__xludf.DUMMYFUNCTION("""COMPUTED_VALUE"""),3.0)</f>
        <v>3</v>
      </c>
      <c r="AJ6" s="26">
        <f>IFERROR(__xludf.DUMMYFUNCTION("""COMPUTED_VALUE"""),4.0)</f>
        <v>4</v>
      </c>
      <c r="AK6" s="26" t="str">
        <f>IFERROR(__xludf.DUMMYFUNCTION("""COMPUTED_VALUE"""),"1=2+3+4")</f>
        <v>1=2+3+4</v>
      </c>
      <c r="AL6" s="26">
        <f>IFERROR(__xludf.DUMMYFUNCTION("""COMPUTED_VALUE"""),2.0)</f>
        <v>2</v>
      </c>
      <c r="AM6" s="26">
        <f>IFERROR(__xludf.DUMMYFUNCTION("""COMPUTED_VALUE"""),3.0)</f>
        <v>3</v>
      </c>
      <c r="AN6" s="26">
        <f>IFERROR(__xludf.DUMMYFUNCTION("""COMPUTED_VALUE"""),4.0)</f>
        <v>4</v>
      </c>
      <c r="AO6" s="26" t="str">
        <f>IFERROR(__xludf.DUMMYFUNCTION("""COMPUTED_VALUE"""),"1=2+3+4")</f>
        <v>1=2+3+4</v>
      </c>
      <c r="AP6" s="26">
        <f>IFERROR(__xludf.DUMMYFUNCTION("""COMPUTED_VALUE"""),2.0)</f>
        <v>2</v>
      </c>
      <c r="AQ6" s="26">
        <f>IFERROR(__xludf.DUMMYFUNCTION("""COMPUTED_VALUE"""),3.0)</f>
        <v>3</v>
      </c>
      <c r="AR6" s="26">
        <f>IFERROR(__xludf.DUMMYFUNCTION("""COMPUTED_VALUE"""),4.0)</f>
        <v>4</v>
      </c>
      <c r="AS6" s="26" t="str">
        <f>IFERROR(__xludf.DUMMYFUNCTION("""COMPUTED_VALUE"""),"1=2+3+4")</f>
        <v>1=2+3+4</v>
      </c>
      <c r="AT6" s="26">
        <f>IFERROR(__xludf.DUMMYFUNCTION("""COMPUTED_VALUE"""),2.0)</f>
        <v>2</v>
      </c>
      <c r="AU6" s="26">
        <f>IFERROR(__xludf.DUMMYFUNCTION("""COMPUTED_VALUE"""),3.0)</f>
        <v>3</v>
      </c>
      <c r="AV6" s="26">
        <f>IFERROR(__xludf.DUMMYFUNCTION("""COMPUTED_VALUE"""),4.0)</f>
        <v>4</v>
      </c>
      <c r="AW6" s="26" t="str">
        <f>IFERROR(__xludf.DUMMYFUNCTION("""COMPUTED_VALUE"""),"1=2+3+4")</f>
        <v>1=2+3+4</v>
      </c>
      <c r="AX6" s="26">
        <f>IFERROR(__xludf.DUMMYFUNCTION("""COMPUTED_VALUE"""),2.0)</f>
        <v>2</v>
      </c>
      <c r="AY6" s="26">
        <f>IFERROR(__xludf.DUMMYFUNCTION("""COMPUTED_VALUE"""),3.0)</f>
        <v>3</v>
      </c>
      <c r="AZ6" s="27">
        <f>IFERROR(__xludf.DUMMYFUNCTION("""COMPUTED_VALUE"""),4.0)</f>
        <v>4</v>
      </c>
      <c r="BA6" s="16"/>
    </row>
    <row r="7" ht="15.75" customHeight="1">
      <c r="A7" s="29"/>
      <c r="B7" s="30" t="str">
        <f>IFERROR(__xludf.DUMMYFUNCTION("""COMPUTED_VALUE"""),"1. TRƯỜNG")</f>
        <v>1. TRƯỜNG</v>
      </c>
      <c r="C7" s="31" t="str">
        <f>IFERROR(__xludf.DUMMYFUNCTION("""COMPUTED_VALUE"""),"Tháng")</f>
        <v>Tháng</v>
      </c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3"/>
      <c r="BA7" s="34"/>
    </row>
    <row r="8" ht="15.75" customHeight="1">
      <c r="A8" s="29"/>
      <c r="B8" s="196" t="str">
        <f>IFERROR(__xludf.DUMMYFUNCTION("""COMPUTED_VALUE"""),"1.1. Tổng số")</f>
        <v>1.1. Tổng số</v>
      </c>
      <c r="C8" s="57"/>
      <c r="D8" s="57" t="str">
        <f>IFERROR(__xludf.DUMMYFUNCTION("""COMPUTED_VALUE"""),"Trường")</f>
        <v>Trường</v>
      </c>
      <c r="E8" s="125">
        <f>IFERROR(__xludf.DUMMYFUNCTION("""COMPUTED_VALUE"""),24.0)</f>
        <v>24</v>
      </c>
      <c r="F8" s="201">
        <f>IFERROR(__xludf.DUMMYFUNCTION("""COMPUTED_VALUE"""),24.0)</f>
        <v>24</v>
      </c>
      <c r="G8" s="201">
        <f>IFERROR(__xludf.DUMMYFUNCTION("""COMPUTED_VALUE"""),0.0)</f>
        <v>0</v>
      </c>
      <c r="H8" s="201">
        <f>IFERROR(__xludf.DUMMYFUNCTION("""COMPUTED_VALUE"""),0.0)</f>
        <v>0</v>
      </c>
      <c r="I8" s="125">
        <f>IFERROR(__xludf.DUMMYFUNCTION("""COMPUTED_VALUE"""),24.0)</f>
        <v>24</v>
      </c>
      <c r="J8" s="201">
        <f>IFERROR(__xludf.DUMMYFUNCTION("""COMPUTED_VALUE"""),24.0)</f>
        <v>24</v>
      </c>
      <c r="K8" s="201">
        <f>IFERROR(__xludf.DUMMYFUNCTION("""COMPUTED_VALUE"""),0.0)</f>
        <v>0</v>
      </c>
      <c r="L8" s="201">
        <f>IFERROR(__xludf.DUMMYFUNCTION("""COMPUTED_VALUE"""),0.0)</f>
        <v>0</v>
      </c>
      <c r="M8" s="125">
        <f>IFERROR(__xludf.DUMMYFUNCTION("""COMPUTED_VALUE"""),24.0)</f>
        <v>24</v>
      </c>
      <c r="N8" s="201">
        <f>IFERROR(__xludf.DUMMYFUNCTION("""COMPUTED_VALUE"""),24.0)</f>
        <v>24</v>
      </c>
      <c r="O8" s="201">
        <f>IFERROR(__xludf.DUMMYFUNCTION("""COMPUTED_VALUE"""),0.0)</f>
        <v>0</v>
      </c>
      <c r="P8" s="201">
        <f>IFERROR(__xludf.DUMMYFUNCTION("""COMPUTED_VALUE"""),0.0)</f>
        <v>0</v>
      </c>
      <c r="Q8" s="125">
        <f>IFERROR(__xludf.DUMMYFUNCTION("""COMPUTED_VALUE"""),24.0)</f>
        <v>24</v>
      </c>
      <c r="R8" s="201">
        <f>IFERROR(__xludf.DUMMYFUNCTION("""COMPUTED_VALUE"""),24.0)</f>
        <v>24</v>
      </c>
      <c r="S8" s="201">
        <f>IFERROR(__xludf.DUMMYFUNCTION("""COMPUTED_VALUE"""),0.0)</f>
        <v>0</v>
      </c>
      <c r="T8" s="201">
        <f>IFERROR(__xludf.DUMMYFUNCTION("""COMPUTED_VALUE"""),0.0)</f>
        <v>0</v>
      </c>
      <c r="U8" s="125">
        <f>IFERROR(__xludf.DUMMYFUNCTION("""COMPUTED_VALUE"""),24.0)</f>
        <v>24</v>
      </c>
      <c r="V8" s="201">
        <f>IFERROR(__xludf.DUMMYFUNCTION("""COMPUTED_VALUE"""),24.0)</f>
        <v>24</v>
      </c>
      <c r="W8" s="201">
        <f>IFERROR(__xludf.DUMMYFUNCTION("""COMPUTED_VALUE"""),0.0)</f>
        <v>0</v>
      </c>
      <c r="X8" s="201">
        <f>IFERROR(__xludf.DUMMYFUNCTION("""COMPUTED_VALUE"""),0.0)</f>
        <v>0</v>
      </c>
      <c r="Y8" s="125">
        <f>IFERROR(__xludf.DUMMYFUNCTION("""COMPUTED_VALUE"""),24.0)</f>
        <v>24</v>
      </c>
      <c r="Z8" s="201">
        <f>IFERROR(__xludf.DUMMYFUNCTION("""COMPUTED_VALUE"""),24.0)</f>
        <v>24</v>
      </c>
      <c r="AA8" s="201">
        <f>IFERROR(__xludf.DUMMYFUNCTION("""COMPUTED_VALUE"""),0.0)</f>
        <v>0</v>
      </c>
      <c r="AB8" s="201">
        <f>IFERROR(__xludf.DUMMYFUNCTION("""COMPUTED_VALUE"""),0.0)</f>
        <v>0</v>
      </c>
      <c r="AC8" s="125">
        <f>IFERROR(__xludf.DUMMYFUNCTION("""COMPUTED_VALUE"""),24.0)</f>
        <v>24</v>
      </c>
      <c r="AD8" s="201">
        <f>IFERROR(__xludf.DUMMYFUNCTION("""COMPUTED_VALUE"""),24.0)</f>
        <v>24</v>
      </c>
      <c r="AE8" s="201">
        <f>IFERROR(__xludf.DUMMYFUNCTION("""COMPUTED_VALUE"""),0.0)</f>
        <v>0</v>
      </c>
      <c r="AF8" s="201">
        <f>IFERROR(__xludf.DUMMYFUNCTION("""COMPUTED_VALUE"""),0.0)</f>
        <v>0</v>
      </c>
      <c r="AG8" s="125">
        <f>IFERROR(__xludf.DUMMYFUNCTION("""COMPUTED_VALUE"""),6.0)</f>
        <v>6</v>
      </c>
      <c r="AH8" s="201">
        <f>IFERROR(__xludf.DUMMYFUNCTION("""COMPUTED_VALUE"""),6.0)</f>
        <v>6</v>
      </c>
      <c r="AI8" s="201">
        <f>IFERROR(__xludf.DUMMYFUNCTION("""COMPUTED_VALUE"""),0.0)</f>
        <v>0</v>
      </c>
      <c r="AJ8" s="201">
        <f>IFERROR(__xludf.DUMMYFUNCTION("""COMPUTED_VALUE"""),0.0)</f>
        <v>0</v>
      </c>
      <c r="AK8" s="125">
        <f>IFERROR(__xludf.DUMMYFUNCTION("""COMPUTED_VALUE"""),2.0)</f>
        <v>2</v>
      </c>
      <c r="AL8" s="201">
        <f>IFERROR(__xludf.DUMMYFUNCTION("""COMPUTED_VALUE"""),2.0)</f>
        <v>2</v>
      </c>
      <c r="AM8" s="201">
        <f>IFERROR(__xludf.DUMMYFUNCTION("""COMPUTED_VALUE"""),0.0)</f>
        <v>0</v>
      </c>
      <c r="AN8" s="201">
        <f>IFERROR(__xludf.DUMMYFUNCTION("""COMPUTED_VALUE"""),0.0)</f>
        <v>0</v>
      </c>
      <c r="AO8" s="125">
        <f>IFERROR(__xludf.DUMMYFUNCTION("""COMPUTED_VALUE"""),1.0)</f>
        <v>1</v>
      </c>
      <c r="AP8" s="201">
        <f>IFERROR(__xludf.DUMMYFUNCTION("""COMPUTED_VALUE"""),1.0)</f>
        <v>1</v>
      </c>
      <c r="AQ8" s="201">
        <f>IFERROR(__xludf.DUMMYFUNCTION("""COMPUTED_VALUE"""),0.0)</f>
        <v>0</v>
      </c>
      <c r="AR8" s="201">
        <f>IFERROR(__xludf.DUMMYFUNCTION("""COMPUTED_VALUE"""),0.0)</f>
        <v>0</v>
      </c>
      <c r="AS8" s="125">
        <f>IFERROR(__xludf.DUMMYFUNCTION("""COMPUTED_VALUE"""),1.0)</f>
        <v>1</v>
      </c>
      <c r="AT8" s="201">
        <f>IFERROR(__xludf.DUMMYFUNCTION("""COMPUTED_VALUE"""),1.0)</f>
        <v>1</v>
      </c>
      <c r="AU8" s="201">
        <f>IFERROR(__xludf.DUMMYFUNCTION("""COMPUTED_VALUE"""),0.0)</f>
        <v>0</v>
      </c>
      <c r="AV8" s="201">
        <f>IFERROR(__xludf.DUMMYFUNCTION("""COMPUTED_VALUE"""),0.0)</f>
        <v>0</v>
      </c>
      <c r="AW8" s="125">
        <f>IFERROR(__xludf.DUMMYFUNCTION("""COMPUTED_VALUE"""),1.0)</f>
        <v>1</v>
      </c>
      <c r="AX8" s="201">
        <f>IFERROR(__xludf.DUMMYFUNCTION("""COMPUTED_VALUE"""),1.0)</f>
        <v>1</v>
      </c>
      <c r="AY8" s="201">
        <f>IFERROR(__xludf.DUMMYFUNCTION("""COMPUTED_VALUE"""),0.0)</f>
        <v>0</v>
      </c>
      <c r="AZ8" s="202">
        <f>IFERROR(__xludf.DUMMYFUNCTION("""COMPUTED_VALUE"""),0.0)</f>
        <v>0</v>
      </c>
      <c r="BA8" s="34"/>
    </row>
    <row r="9" ht="15.75" customHeight="1">
      <c r="A9" s="29"/>
      <c r="B9" s="48" t="str">
        <f>IFERROR(__xludf.DUMMYFUNCTION("""COMPUTED_VALUE"""),"Trong tổng số có:")</f>
        <v>Trong tổng số có:</v>
      </c>
      <c r="C9" s="49"/>
      <c r="D9" s="3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50"/>
      <c r="BA9" s="34"/>
    </row>
    <row r="10" ht="15.75" customHeight="1">
      <c r="A10" s="29"/>
      <c r="B10" s="67" t="str">
        <f>IFERROR(__xludf.DUMMYFUNCTION("""COMPUTED_VALUE"""),"1.2. Số trường có điểm lẻ")</f>
        <v>1.2. Số trường có điểm lẻ</v>
      </c>
      <c r="C10" s="31"/>
      <c r="D10" s="31" t="str">
        <f>IFERROR(__xludf.DUMMYFUNCTION("""COMPUTED_VALUE"""),"Trường")</f>
        <v>Trường</v>
      </c>
      <c r="E10" s="41">
        <f>IFERROR(__xludf.DUMMYFUNCTION("""COMPUTED_VALUE"""),0.0)</f>
        <v>0</v>
      </c>
      <c r="F10" s="42">
        <f>IFERROR(__xludf.DUMMYFUNCTION("""COMPUTED_VALUE"""),0.0)</f>
        <v>0</v>
      </c>
      <c r="G10" s="42">
        <f>IFERROR(__xludf.DUMMYFUNCTION("""COMPUTED_VALUE"""),0.0)</f>
        <v>0</v>
      </c>
      <c r="H10" s="42">
        <f>IFERROR(__xludf.DUMMYFUNCTION("""COMPUTED_VALUE"""),0.0)</f>
        <v>0</v>
      </c>
      <c r="I10" s="41">
        <f>IFERROR(__xludf.DUMMYFUNCTION("""COMPUTED_VALUE"""),0.0)</f>
        <v>0</v>
      </c>
      <c r="J10" s="42">
        <f>IFERROR(__xludf.DUMMYFUNCTION("""COMPUTED_VALUE"""),0.0)</f>
        <v>0</v>
      </c>
      <c r="K10" s="42">
        <f>IFERROR(__xludf.DUMMYFUNCTION("""COMPUTED_VALUE"""),0.0)</f>
        <v>0</v>
      </c>
      <c r="L10" s="42">
        <f>IFERROR(__xludf.DUMMYFUNCTION("""COMPUTED_VALUE"""),0.0)</f>
        <v>0</v>
      </c>
      <c r="M10" s="41">
        <f>IFERROR(__xludf.DUMMYFUNCTION("""COMPUTED_VALUE"""),1.0)</f>
        <v>1</v>
      </c>
      <c r="N10" s="42">
        <f>IFERROR(__xludf.DUMMYFUNCTION("""COMPUTED_VALUE"""),1.0)</f>
        <v>1</v>
      </c>
      <c r="O10" s="42">
        <f>IFERROR(__xludf.DUMMYFUNCTION("""COMPUTED_VALUE"""),0.0)</f>
        <v>0</v>
      </c>
      <c r="P10" s="42">
        <f>IFERROR(__xludf.DUMMYFUNCTION("""COMPUTED_VALUE"""),0.0)</f>
        <v>0</v>
      </c>
      <c r="Q10" s="41">
        <f>IFERROR(__xludf.DUMMYFUNCTION("""COMPUTED_VALUE"""),1.0)</f>
        <v>1</v>
      </c>
      <c r="R10" s="42">
        <f>IFERROR(__xludf.DUMMYFUNCTION("""COMPUTED_VALUE"""),1.0)</f>
        <v>1</v>
      </c>
      <c r="S10" s="42">
        <f>IFERROR(__xludf.DUMMYFUNCTION("""COMPUTED_VALUE"""),0.0)</f>
        <v>0</v>
      </c>
      <c r="T10" s="42">
        <f>IFERROR(__xludf.DUMMYFUNCTION("""COMPUTED_VALUE"""),0.0)</f>
        <v>0</v>
      </c>
      <c r="U10" s="41">
        <f>IFERROR(__xludf.DUMMYFUNCTION("""COMPUTED_VALUE"""),1.0)</f>
        <v>1</v>
      </c>
      <c r="V10" s="42">
        <f>IFERROR(__xludf.DUMMYFUNCTION("""COMPUTED_VALUE"""),1.0)</f>
        <v>1</v>
      </c>
      <c r="W10" s="42">
        <f>IFERROR(__xludf.DUMMYFUNCTION("""COMPUTED_VALUE"""),0.0)</f>
        <v>0</v>
      </c>
      <c r="X10" s="42">
        <f>IFERROR(__xludf.DUMMYFUNCTION("""COMPUTED_VALUE"""),0.0)</f>
        <v>0</v>
      </c>
      <c r="Y10" s="41">
        <f>IFERROR(__xludf.DUMMYFUNCTION("""COMPUTED_VALUE"""),1.0)</f>
        <v>1</v>
      </c>
      <c r="Z10" s="42">
        <f>IFERROR(__xludf.DUMMYFUNCTION("""COMPUTED_VALUE"""),1.0)</f>
        <v>1</v>
      </c>
      <c r="AA10" s="42">
        <f>IFERROR(__xludf.DUMMYFUNCTION("""COMPUTED_VALUE"""),0.0)</f>
        <v>0</v>
      </c>
      <c r="AB10" s="42">
        <f>IFERROR(__xludf.DUMMYFUNCTION("""COMPUTED_VALUE"""),0.0)</f>
        <v>0</v>
      </c>
      <c r="AC10" s="41">
        <f>IFERROR(__xludf.DUMMYFUNCTION("""COMPUTED_VALUE"""),1.0)</f>
        <v>1</v>
      </c>
      <c r="AD10" s="42">
        <f>IFERROR(__xludf.DUMMYFUNCTION("""COMPUTED_VALUE"""),1.0)</f>
        <v>1</v>
      </c>
      <c r="AE10" s="42">
        <f>IFERROR(__xludf.DUMMYFUNCTION("""COMPUTED_VALUE"""),0.0)</f>
        <v>0</v>
      </c>
      <c r="AF10" s="42">
        <f>IFERROR(__xludf.DUMMYFUNCTION("""COMPUTED_VALUE"""),0.0)</f>
        <v>0</v>
      </c>
      <c r="AG10" s="41">
        <f>IFERROR(__xludf.DUMMYFUNCTION("""COMPUTED_VALUE"""),0.0)</f>
        <v>0</v>
      </c>
      <c r="AH10" s="42">
        <f>IFERROR(__xludf.DUMMYFUNCTION("""COMPUTED_VALUE"""),0.0)</f>
        <v>0</v>
      </c>
      <c r="AI10" s="42">
        <f>IFERROR(__xludf.DUMMYFUNCTION("""COMPUTED_VALUE"""),0.0)</f>
        <v>0</v>
      </c>
      <c r="AJ10" s="42">
        <f>IFERROR(__xludf.DUMMYFUNCTION("""COMPUTED_VALUE"""),0.0)</f>
        <v>0</v>
      </c>
      <c r="AK10" s="41">
        <f>IFERROR(__xludf.DUMMYFUNCTION("""COMPUTED_VALUE"""),0.0)</f>
        <v>0</v>
      </c>
      <c r="AL10" s="42">
        <f>IFERROR(__xludf.DUMMYFUNCTION("""COMPUTED_VALUE"""),0.0)</f>
        <v>0</v>
      </c>
      <c r="AM10" s="42">
        <f>IFERROR(__xludf.DUMMYFUNCTION("""COMPUTED_VALUE"""),0.0)</f>
        <v>0</v>
      </c>
      <c r="AN10" s="42">
        <f>IFERROR(__xludf.DUMMYFUNCTION("""COMPUTED_VALUE"""),0.0)</f>
        <v>0</v>
      </c>
      <c r="AO10" s="41">
        <f>IFERROR(__xludf.DUMMYFUNCTION("""COMPUTED_VALUE"""),0.0)</f>
        <v>0</v>
      </c>
      <c r="AP10" s="42">
        <f>IFERROR(__xludf.DUMMYFUNCTION("""COMPUTED_VALUE"""),0.0)</f>
        <v>0</v>
      </c>
      <c r="AQ10" s="42">
        <f>IFERROR(__xludf.DUMMYFUNCTION("""COMPUTED_VALUE"""),0.0)</f>
        <v>0</v>
      </c>
      <c r="AR10" s="42">
        <f>IFERROR(__xludf.DUMMYFUNCTION("""COMPUTED_VALUE"""),0.0)</f>
        <v>0</v>
      </c>
      <c r="AS10" s="41">
        <f>IFERROR(__xludf.DUMMYFUNCTION("""COMPUTED_VALUE"""),0.0)</f>
        <v>0</v>
      </c>
      <c r="AT10" s="42">
        <f>IFERROR(__xludf.DUMMYFUNCTION("""COMPUTED_VALUE"""),0.0)</f>
        <v>0</v>
      </c>
      <c r="AU10" s="42">
        <f>IFERROR(__xludf.DUMMYFUNCTION("""COMPUTED_VALUE"""),0.0)</f>
        <v>0</v>
      </c>
      <c r="AV10" s="42">
        <f>IFERROR(__xludf.DUMMYFUNCTION("""COMPUTED_VALUE"""),0.0)</f>
        <v>0</v>
      </c>
      <c r="AW10" s="41">
        <f>IFERROR(__xludf.DUMMYFUNCTION("""COMPUTED_VALUE"""),0.0)</f>
        <v>0</v>
      </c>
      <c r="AX10" s="42">
        <f>IFERROR(__xludf.DUMMYFUNCTION("""COMPUTED_VALUE"""),0.0)</f>
        <v>0</v>
      </c>
      <c r="AY10" s="42">
        <f>IFERROR(__xludf.DUMMYFUNCTION("""COMPUTED_VALUE"""),0.0)</f>
        <v>0</v>
      </c>
      <c r="AZ10" s="43">
        <f>IFERROR(__xludf.DUMMYFUNCTION("""COMPUTED_VALUE"""),0.0)</f>
        <v>0</v>
      </c>
      <c r="BA10" s="34"/>
    </row>
    <row r="11" ht="15.75" customHeight="1">
      <c r="A11" s="29"/>
      <c r="B11" s="52" t="str">
        <f>IFERROR(__xludf.DUMMYFUNCTION("""COMPUTED_VALUE"""),"Tổng số điểm lẻ")</f>
        <v>Tổng số điểm lẻ</v>
      </c>
      <c r="C11" s="49"/>
      <c r="D11" s="31" t="str">
        <f>IFERROR(__xludf.DUMMYFUNCTION("""COMPUTED_VALUE"""),"Điểm")</f>
        <v>Điểm</v>
      </c>
      <c r="E11" s="41">
        <f>IFERROR(__xludf.DUMMYFUNCTION("""COMPUTED_VALUE"""),0.0)</f>
        <v>0</v>
      </c>
      <c r="F11" s="42">
        <f>IFERROR(__xludf.DUMMYFUNCTION("""COMPUTED_VALUE"""),0.0)</f>
        <v>0</v>
      </c>
      <c r="G11" s="42">
        <f>IFERROR(__xludf.DUMMYFUNCTION("""COMPUTED_VALUE"""),0.0)</f>
        <v>0</v>
      </c>
      <c r="H11" s="42">
        <f>IFERROR(__xludf.DUMMYFUNCTION("""COMPUTED_VALUE"""),0.0)</f>
        <v>0</v>
      </c>
      <c r="I11" s="41">
        <f>IFERROR(__xludf.DUMMYFUNCTION("""COMPUTED_VALUE"""),0.0)</f>
        <v>0</v>
      </c>
      <c r="J11" s="42">
        <f>IFERROR(__xludf.DUMMYFUNCTION("""COMPUTED_VALUE"""),0.0)</f>
        <v>0</v>
      </c>
      <c r="K11" s="42">
        <f>IFERROR(__xludf.DUMMYFUNCTION("""COMPUTED_VALUE"""),0.0)</f>
        <v>0</v>
      </c>
      <c r="L11" s="42">
        <f>IFERROR(__xludf.DUMMYFUNCTION("""COMPUTED_VALUE"""),0.0)</f>
        <v>0</v>
      </c>
      <c r="M11" s="41">
        <f>IFERROR(__xludf.DUMMYFUNCTION("""COMPUTED_VALUE"""),0.0)</f>
        <v>0</v>
      </c>
      <c r="N11" s="42">
        <f>IFERROR(__xludf.DUMMYFUNCTION("""COMPUTED_VALUE"""),0.0)</f>
        <v>0</v>
      </c>
      <c r="O11" s="42">
        <f>IFERROR(__xludf.DUMMYFUNCTION("""COMPUTED_VALUE"""),0.0)</f>
        <v>0</v>
      </c>
      <c r="P11" s="42">
        <f>IFERROR(__xludf.DUMMYFUNCTION("""COMPUTED_VALUE"""),0.0)</f>
        <v>0</v>
      </c>
      <c r="Q11" s="41">
        <f>IFERROR(__xludf.DUMMYFUNCTION("""COMPUTED_VALUE"""),0.0)</f>
        <v>0</v>
      </c>
      <c r="R11" s="42">
        <f>IFERROR(__xludf.DUMMYFUNCTION("""COMPUTED_VALUE"""),0.0)</f>
        <v>0</v>
      </c>
      <c r="S11" s="42">
        <f>IFERROR(__xludf.DUMMYFUNCTION("""COMPUTED_VALUE"""),0.0)</f>
        <v>0</v>
      </c>
      <c r="T11" s="42">
        <f>IFERROR(__xludf.DUMMYFUNCTION("""COMPUTED_VALUE"""),0.0)</f>
        <v>0</v>
      </c>
      <c r="U11" s="41">
        <f>IFERROR(__xludf.DUMMYFUNCTION("""COMPUTED_VALUE"""),0.0)</f>
        <v>0</v>
      </c>
      <c r="V11" s="42">
        <f>IFERROR(__xludf.DUMMYFUNCTION("""COMPUTED_VALUE"""),0.0)</f>
        <v>0</v>
      </c>
      <c r="W11" s="42">
        <f>IFERROR(__xludf.DUMMYFUNCTION("""COMPUTED_VALUE"""),0.0)</f>
        <v>0</v>
      </c>
      <c r="X11" s="42">
        <f>IFERROR(__xludf.DUMMYFUNCTION("""COMPUTED_VALUE"""),0.0)</f>
        <v>0</v>
      </c>
      <c r="Y11" s="41">
        <f>IFERROR(__xludf.DUMMYFUNCTION("""COMPUTED_VALUE"""),0.0)</f>
        <v>0</v>
      </c>
      <c r="Z11" s="42">
        <f>IFERROR(__xludf.DUMMYFUNCTION("""COMPUTED_VALUE"""),0.0)</f>
        <v>0</v>
      </c>
      <c r="AA11" s="42">
        <f>IFERROR(__xludf.DUMMYFUNCTION("""COMPUTED_VALUE"""),0.0)</f>
        <v>0</v>
      </c>
      <c r="AB11" s="42">
        <f>IFERROR(__xludf.DUMMYFUNCTION("""COMPUTED_VALUE"""),0.0)</f>
        <v>0</v>
      </c>
      <c r="AC11" s="41">
        <f>IFERROR(__xludf.DUMMYFUNCTION("""COMPUTED_VALUE"""),0.0)</f>
        <v>0</v>
      </c>
      <c r="AD11" s="42">
        <f>IFERROR(__xludf.DUMMYFUNCTION("""COMPUTED_VALUE"""),0.0)</f>
        <v>0</v>
      </c>
      <c r="AE11" s="42">
        <f>IFERROR(__xludf.DUMMYFUNCTION("""COMPUTED_VALUE"""),0.0)</f>
        <v>0</v>
      </c>
      <c r="AF11" s="42">
        <f>IFERROR(__xludf.DUMMYFUNCTION("""COMPUTED_VALUE"""),0.0)</f>
        <v>0</v>
      </c>
      <c r="AG11" s="41">
        <f>IFERROR(__xludf.DUMMYFUNCTION("""COMPUTED_VALUE"""),0.0)</f>
        <v>0</v>
      </c>
      <c r="AH11" s="42">
        <f>IFERROR(__xludf.DUMMYFUNCTION("""COMPUTED_VALUE"""),0.0)</f>
        <v>0</v>
      </c>
      <c r="AI11" s="42">
        <f>IFERROR(__xludf.DUMMYFUNCTION("""COMPUTED_VALUE"""),0.0)</f>
        <v>0</v>
      </c>
      <c r="AJ11" s="42">
        <f>IFERROR(__xludf.DUMMYFUNCTION("""COMPUTED_VALUE"""),0.0)</f>
        <v>0</v>
      </c>
      <c r="AK11" s="41">
        <f>IFERROR(__xludf.DUMMYFUNCTION("""COMPUTED_VALUE"""),0.0)</f>
        <v>0</v>
      </c>
      <c r="AL11" s="42">
        <f>IFERROR(__xludf.DUMMYFUNCTION("""COMPUTED_VALUE"""),0.0)</f>
        <v>0</v>
      </c>
      <c r="AM11" s="42">
        <f>IFERROR(__xludf.DUMMYFUNCTION("""COMPUTED_VALUE"""),0.0)</f>
        <v>0</v>
      </c>
      <c r="AN11" s="42">
        <f>IFERROR(__xludf.DUMMYFUNCTION("""COMPUTED_VALUE"""),0.0)</f>
        <v>0</v>
      </c>
      <c r="AO11" s="41">
        <f>IFERROR(__xludf.DUMMYFUNCTION("""COMPUTED_VALUE"""),0.0)</f>
        <v>0</v>
      </c>
      <c r="AP11" s="42">
        <f>IFERROR(__xludf.DUMMYFUNCTION("""COMPUTED_VALUE"""),0.0)</f>
        <v>0</v>
      </c>
      <c r="AQ11" s="42">
        <f>IFERROR(__xludf.DUMMYFUNCTION("""COMPUTED_VALUE"""),0.0)</f>
        <v>0</v>
      </c>
      <c r="AR11" s="42">
        <f>IFERROR(__xludf.DUMMYFUNCTION("""COMPUTED_VALUE"""),0.0)</f>
        <v>0</v>
      </c>
      <c r="AS11" s="41">
        <f>IFERROR(__xludf.DUMMYFUNCTION("""COMPUTED_VALUE"""),0.0)</f>
        <v>0</v>
      </c>
      <c r="AT11" s="42">
        <f>IFERROR(__xludf.DUMMYFUNCTION("""COMPUTED_VALUE"""),0.0)</f>
        <v>0</v>
      </c>
      <c r="AU11" s="42">
        <f>IFERROR(__xludf.DUMMYFUNCTION("""COMPUTED_VALUE"""),0.0)</f>
        <v>0</v>
      </c>
      <c r="AV11" s="42">
        <f>IFERROR(__xludf.DUMMYFUNCTION("""COMPUTED_VALUE"""),0.0)</f>
        <v>0</v>
      </c>
      <c r="AW11" s="41">
        <f>IFERROR(__xludf.DUMMYFUNCTION("""COMPUTED_VALUE"""),0.0)</f>
        <v>0</v>
      </c>
      <c r="AX11" s="42">
        <f>IFERROR(__xludf.DUMMYFUNCTION("""COMPUTED_VALUE"""),0.0)</f>
        <v>0</v>
      </c>
      <c r="AY11" s="42">
        <f>IFERROR(__xludf.DUMMYFUNCTION("""COMPUTED_VALUE"""),0.0)</f>
        <v>0</v>
      </c>
      <c r="AZ11" s="43">
        <f>IFERROR(__xludf.DUMMYFUNCTION("""COMPUTED_VALUE"""),0.0)</f>
        <v>0</v>
      </c>
      <c r="BA11" s="34"/>
    </row>
    <row r="12" ht="15.75" customHeight="1">
      <c r="A12" s="29"/>
      <c r="B12" s="67" t="str">
        <f>IFERROR(__xludf.DUMMYFUNCTION("""COMPUTED_VALUE"""),"1.3. Số trường đạt chuẩn quốc gia")</f>
        <v>1.3. Số trường đạt chuẩn quốc gia</v>
      </c>
      <c r="C12" s="31"/>
      <c r="D12" s="31" t="str">
        <f>IFERROR(__xludf.DUMMYFUNCTION("""COMPUTED_VALUE"""),"Trường")</f>
        <v>Trường</v>
      </c>
      <c r="E12" s="41">
        <f>IFERROR(__xludf.DUMMYFUNCTION("""COMPUTED_VALUE"""),18.0)</f>
        <v>18</v>
      </c>
      <c r="F12" s="42">
        <f>IFERROR(__xludf.DUMMYFUNCTION("""COMPUTED_VALUE"""),18.0)</f>
        <v>18</v>
      </c>
      <c r="G12" s="42">
        <f>IFERROR(__xludf.DUMMYFUNCTION("""COMPUTED_VALUE"""),0.0)</f>
        <v>0</v>
      </c>
      <c r="H12" s="42">
        <f>IFERROR(__xludf.DUMMYFUNCTION("""COMPUTED_VALUE"""),0.0)</f>
        <v>0</v>
      </c>
      <c r="I12" s="41">
        <f>IFERROR(__xludf.DUMMYFUNCTION("""COMPUTED_VALUE"""),19.0)</f>
        <v>19</v>
      </c>
      <c r="J12" s="42">
        <f>IFERROR(__xludf.DUMMYFUNCTION("""COMPUTED_VALUE"""),19.0)</f>
        <v>19</v>
      </c>
      <c r="K12" s="42">
        <f>IFERROR(__xludf.DUMMYFUNCTION("""COMPUTED_VALUE"""),0.0)</f>
        <v>0</v>
      </c>
      <c r="L12" s="42">
        <f>IFERROR(__xludf.DUMMYFUNCTION("""COMPUTED_VALUE"""),0.0)</f>
        <v>0</v>
      </c>
      <c r="M12" s="41">
        <f>IFERROR(__xludf.DUMMYFUNCTION("""COMPUTED_VALUE"""),19.0)</f>
        <v>19</v>
      </c>
      <c r="N12" s="42">
        <f>IFERROR(__xludf.DUMMYFUNCTION("""COMPUTED_VALUE"""),19.0)</f>
        <v>19</v>
      </c>
      <c r="O12" s="42">
        <f>IFERROR(__xludf.DUMMYFUNCTION("""COMPUTED_VALUE"""),0.0)</f>
        <v>0</v>
      </c>
      <c r="P12" s="42">
        <f>IFERROR(__xludf.DUMMYFUNCTION("""COMPUTED_VALUE"""),0.0)</f>
        <v>0</v>
      </c>
      <c r="Q12" s="41">
        <f>IFERROR(__xludf.DUMMYFUNCTION("""COMPUTED_VALUE"""),18.0)</f>
        <v>18</v>
      </c>
      <c r="R12" s="42">
        <f>IFERROR(__xludf.DUMMYFUNCTION("""COMPUTED_VALUE"""),18.0)</f>
        <v>18</v>
      </c>
      <c r="S12" s="42">
        <f>IFERROR(__xludf.DUMMYFUNCTION("""COMPUTED_VALUE"""),0.0)</f>
        <v>0</v>
      </c>
      <c r="T12" s="42">
        <f>IFERROR(__xludf.DUMMYFUNCTION("""COMPUTED_VALUE"""),0.0)</f>
        <v>0</v>
      </c>
      <c r="U12" s="41">
        <f>IFERROR(__xludf.DUMMYFUNCTION("""COMPUTED_VALUE"""),18.0)</f>
        <v>18</v>
      </c>
      <c r="V12" s="42">
        <f>IFERROR(__xludf.DUMMYFUNCTION("""COMPUTED_VALUE"""),18.0)</f>
        <v>18</v>
      </c>
      <c r="W12" s="42">
        <f>IFERROR(__xludf.DUMMYFUNCTION("""COMPUTED_VALUE"""),0.0)</f>
        <v>0</v>
      </c>
      <c r="X12" s="42">
        <f>IFERROR(__xludf.DUMMYFUNCTION("""COMPUTED_VALUE"""),0.0)</f>
        <v>0</v>
      </c>
      <c r="Y12" s="41">
        <f>IFERROR(__xludf.DUMMYFUNCTION("""COMPUTED_VALUE"""),18.0)</f>
        <v>18</v>
      </c>
      <c r="Z12" s="42">
        <f>IFERROR(__xludf.DUMMYFUNCTION("""COMPUTED_VALUE"""),18.0)</f>
        <v>18</v>
      </c>
      <c r="AA12" s="42">
        <f>IFERROR(__xludf.DUMMYFUNCTION("""COMPUTED_VALUE"""),0.0)</f>
        <v>0</v>
      </c>
      <c r="AB12" s="42">
        <f>IFERROR(__xludf.DUMMYFUNCTION("""COMPUTED_VALUE"""),0.0)</f>
        <v>0</v>
      </c>
      <c r="AC12" s="41">
        <f>IFERROR(__xludf.DUMMYFUNCTION("""COMPUTED_VALUE"""),18.0)</f>
        <v>18</v>
      </c>
      <c r="AD12" s="42">
        <f>IFERROR(__xludf.DUMMYFUNCTION("""COMPUTED_VALUE"""),18.0)</f>
        <v>18</v>
      </c>
      <c r="AE12" s="42">
        <f>IFERROR(__xludf.DUMMYFUNCTION("""COMPUTED_VALUE"""),0.0)</f>
        <v>0</v>
      </c>
      <c r="AF12" s="42">
        <f>IFERROR(__xludf.DUMMYFUNCTION("""COMPUTED_VALUE"""),0.0)</f>
        <v>0</v>
      </c>
      <c r="AG12" s="41">
        <f>IFERROR(__xludf.DUMMYFUNCTION("""COMPUTED_VALUE"""),5.0)</f>
        <v>5</v>
      </c>
      <c r="AH12" s="42">
        <f>IFERROR(__xludf.DUMMYFUNCTION("""COMPUTED_VALUE"""),5.0)</f>
        <v>5</v>
      </c>
      <c r="AI12" s="42">
        <f>IFERROR(__xludf.DUMMYFUNCTION("""COMPUTED_VALUE"""),0.0)</f>
        <v>0</v>
      </c>
      <c r="AJ12" s="42">
        <f>IFERROR(__xludf.DUMMYFUNCTION("""COMPUTED_VALUE"""),0.0)</f>
        <v>0</v>
      </c>
      <c r="AK12" s="41">
        <f>IFERROR(__xludf.DUMMYFUNCTION("""COMPUTED_VALUE"""),2.0)</f>
        <v>2</v>
      </c>
      <c r="AL12" s="42">
        <f>IFERROR(__xludf.DUMMYFUNCTION("""COMPUTED_VALUE"""),2.0)</f>
        <v>2</v>
      </c>
      <c r="AM12" s="42">
        <f>IFERROR(__xludf.DUMMYFUNCTION("""COMPUTED_VALUE"""),0.0)</f>
        <v>0</v>
      </c>
      <c r="AN12" s="42">
        <f>IFERROR(__xludf.DUMMYFUNCTION("""COMPUTED_VALUE"""),0.0)</f>
        <v>0</v>
      </c>
      <c r="AO12" s="41">
        <f>IFERROR(__xludf.DUMMYFUNCTION("""COMPUTED_VALUE"""),1.0)</f>
        <v>1</v>
      </c>
      <c r="AP12" s="42">
        <f>IFERROR(__xludf.DUMMYFUNCTION("""COMPUTED_VALUE"""),1.0)</f>
        <v>1</v>
      </c>
      <c r="AQ12" s="42">
        <f>IFERROR(__xludf.DUMMYFUNCTION("""COMPUTED_VALUE"""),0.0)</f>
        <v>0</v>
      </c>
      <c r="AR12" s="42">
        <f>IFERROR(__xludf.DUMMYFUNCTION("""COMPUTED_VALUE"""),0.0)</f>
        <v>0</v>
      </c>
      <c r="AS12" s="41">
        <f>IFERROR(__xludf.DUMMYFUNCTION("""COMPUTED_VALUE"""),1.0)</f>
        <v>1</v>
      </c>
      <c r="AT12" s="42">
        <f>IFERROR(__xludf.DUMMYFUNCTION("""COMPUTED_VALUE"""),1.0)</f>
        <v>1</v>
      </c>
      <c r="AU12" s="42">
        <f>IFERROR(__xludf.DUMMYFUNCTION("""COMPUTED_VALUE"""),0.0)</f>
        <v>0</v>
      </c>
      <c r="AV12" s="42">
        <f>IFERROR(__xludf.DUMMYFUNCTION("""COMPUTED_VALUE"""),0.0)</f>
        <v>0</v>
      </c>
      <c r="AW12" s="41">
        <f>IFERROR(__xludf.DUMMYFUNCTION("""COMPUTED_VALUE"""),1.0)</f>
        <v>1</v>
      </c>
      <c r="AX12" s="42">
        <f>IFERROR(__xludf.DUMMYFUNCTION("""COMPUTED_VALUE"""),1.0)</f>
        <v>1</v>
      </c>
      <c r="AY12" s="42">
        <f>IFERROR(__xludf.DUMMYFUNCTION("""COMPUTED_VALUE"""),0.0)</f>
        <v>0</v>
      </c>
      <c r="AZ12" s="43">
        <f>IFERROR(__xludf.DUMMYFUNCTION("""COMPUTED_VALUE"""),0.0)</f>
        <v>0</v>
      </c>
      <c r="BA12" s="34"/>
    </row>
    <row r="13" ht="15.75" customHeight="1">
      <c r="A13" s="29"/>
      <c r="B13" s="67" t="str">
        <f>IFERROR(__xludf.DUMMYFUNCTION("""COMPUTED_VALUE"""),"1.4. Số trường ở vùng đặc biệt khó khăn")</f>
        <v>1.4. Số trường ở vùng đặc biệt khó khăn</v>
      </c>
      <c r="C13" s="31"/>
      <c r="D13" s="31" t="str">
        <f>IFERROR(__xludf.DUMMYFUNCTION("""COMPUTED_VALUE"""),"Trường")</f>
        <v>Trường</v>
      </c>
      <c r="E13" s="41">
        <f>IFERROR(__xludf.DUMMYFUNCTION("""COMPUTED_VALUE"""),5.0)</f>
        <v>5</v>
      </c>
      <c r="F13" s="42">
        <f>IFERROR(__xludf.DUMMYFUNCTION("""COMPUTED_VALUE"""),5.0)</f>
        <v>5</v>
      </c>
      <c r="G13" s="42">
        <f>IFERROR(__xludf.DUMMYFUNCTION("""COMPUTED_VALUE"""),0.0)</f>
        <v>0</v>
      </c>
      <c r="H13" s="42">
        <f>IFERROR(__xludf.DUMMYFUNCTION("""COMPUTED_VALUE"""),0.0)</f>
        <v>0</v>
      </c>
      <c r="I13" s="41">
        <f>IFERROR(__xludf.DUMMYFUNCTION("""COMPUTED_VALUE"""),4.0)</f>
        <v>4</v>
      </c>
      <c r="J13" s="42">
        <f>IFERROR(__xludf.DUMMYFUNCTION("""COMPUTED_VALUE"""),4.0)</f>
        <v>4</v>
      </c>
      <c r="K13" s="42">
        <f>IFERROR(__xludf.DUMMYFUNCTION("""COMPUTED_VALUE"""),0.0)</f>
        <v>0</v>
      </c>
      <c r="L13" s="42">
        <f>IFERROR(__xludf.DUMMYFUNCTION("""COMPUTED_VALUE"""),0.0)</f>
        <v>0</v>
      </c>
      <c r="M13" s="41">
        <f>IFERROR(__xludf.DUMMYFUNCTION("""COMPUTED_VALUE"""),4.0)</f>
        <v>4</v>
      </c>
      <c r="N13" s="42">
        <f>IFERROR(__xludf.DUMMYFUNCTION("""COMPUTED_VALUE"""),4.0)</f>
        <v>4</v>
      </c>
      <c r="O13" s="42">
        <f>IFERROR(__xludf.DUMMYFUNCTION("""COMPUTED_VALUE"""),0.0)</f>
        <v>0</v>
      </c>
      <c r="P13" s="42">
        <f>IFERROR(__xludf.DUMMYFUNCTION("""COMPUTED_VALUE"""),0.0)</f>
        <v>0</v>
      </c>
      <c r="Q13" s="41">
        <f>IFERROR(__xludf.DUMMYFUNCTION("""COMPUTED_VALUE"""),3.0)</f>
        <v>3</v>
      </c>
      <c r="R13" s="42">
        <f>IFERROR(__xludf.DUMMYFUNCTION("""COMPUTED_VALUE"""),3.0)</f>
        <v>3</v>
      </c>
      <c r="S13" s="42">
        <f>IFERROR(__xludf.DUMMYFUNCTION("""COMPUTED_VALUE"""),0.0)</f>
        <v>0</v>
      </c>
      <c r="T13" s="42">
        <f>IFERROR(__xludf.DUMMYFUNCTION("""COMPUTED_VALUE"""),0.0)</f>
        <v>0</v>
      </c>
      <c r="U13" s="41">
        <f>IFERROR(__xludf.DUMMYFUNCTION("""COMPUTED_VALUE"""),3.0)</f>
        <v>3</v>
      </c>
      <c r="V13" s="42">
        <f>IFERROR(__xludf.DUMMYFUNCTION("""COMPUTED_VALUE"""),3.0)</f>
        <v>3</v>
      </c>
      <c r="W13" s="42">
        <f>IFERROR(__xludf.DUMMYFUNCTION("""COMPUTED_VALUE"""),0.0)</f>
        <v>0</v>
      </c>
      <c r="X13" s="42">
        <f>IFERROR(__xludf.DUMMYFUNCTION("""COMPUTED_VALUE"""),0.0)</f>
        <v>0</v>
      </c>
      <c r="Y13" s="41">
        <f>IFERROR(__xludf.DUMMYFUNCTION("""COMPUTED_VALUE"""),3.0)</f>
        <v>3</v>
      </c>
      <c r="Z13" s="42">
        <f>IFERROR(__xludf.DUMMYFUNCTION("""COMPUTED_VALUE"""),3.0)</f>
        <v>3</v>
      </c>
      <c r="AA13" s="42">
        <f>IFERROR(__xludf.DUMMYFUNCTION("""COMPUTED_VALUE"""),0.0)</f>
        <v>0</v>
      </c>
      <c r="AB13" s="42">
        <f>IFERROR(__xludf.DUMMYFUNCTION("""COMPUTED_VALUE"""),0.0)</f>
        <v>0</v>
      </c>
      <c r="AC13" s="41">
        <f>IFERROR(__xludf.DUMMYFUNCTION("""COMPUTED_VALUE"""),2.0)</f>
        <v>2</v>
      </c>
      <c r="AD13" s="42">
        <f>IFERROR(__xludf.DUMMYFUNCTION("""COMPUTED_VALUE"""),2.0)</f>
        <v>2</v>
      </c>
      <c r="AE13" s="42">
        <f>IFERROR(__xludf.DUMMYFUNCTION("""COMPUTED_VALUE"""),0.0)</f>
        <v>0</v>
      </c>
      <c r="AF13" s="42">
        <f>IFERROR(__xludf.DUMMYFUNCTION("""COMPUTED_VALUE"""),0.0)</f>
        <v>0</v>
      </c>
      <c r="AG13" s="41">
        <f>IFERROR(__xludf.DUMMYFUNCTION("""COMPUTED_VALUE"""),1.0)</f>
        <v>1</v>
      </c>
      <c r="AH13" s="42">
        <f>IFERROR(__xludf.DUMMYFUNCTION("""COMPUTED_VALUE"""),1.0)</f>
        <v>1</v>
      </c>
      <c r="AI13" s="42">
        <f>IFERROR(__xludf.DUMMYFUNCTION("""COMPUTED_VALUE"""),0.0)</f>
        <v>0</v>
      </c>
      <c r="AJ13" s="42">
        <f>IFERROR(__xludf.DUMMYFUNCTION("""COMPUTED_VALUE"""),0.0)</f>
        <v>0</v>
      </c>
      <c r="AK13" s="41">
        <f>IFERROR(__xludf.DUMMYFUNCTION("""COMPUTED_VALUE"""),0.0)</f>
        <v>0</v>
      </c>
      <c r="AL13" s="42">
        <f>IFERROR(__xludf.DUMMYFUNCTION("""COMPUTED_VALUE"""),0.0)</f>
        <v>0</v>
      </c>
      <c r="AM13" s="42">
        <f>IFERROR(__xludf.DUMMYFUNCTION("""COMPUTED_VALUE"""),0.0)</f>
        <v>0</v>
      </c>
      <c r="AN13" s="42">
        <f>IFERROR(__xludf.DUMMYFUNCTION("""COMPUTED_VALUE"""),0.0)</f>
        <v>0</v>
      </c>
      <c r="AO13" s="41">
        <f>IFERROR(__xludf.DUMMYFUNCTION("""COMPUTED_VALUE"""),0.0)</f>
        <v>0</v>
      </c>
      <c r="AP13" s="42">
        <f>IFERROR(__xludf.DUMMYFUNCTION("""COMPUTED_VALUE"""),0.0)</f>
        <v>0</v>
      </c>
      <c r="AQ13" s="42">
        <f>IFERROR(__xludf.DUMMYFUNCTION("""COMPUTED_VALUE"""),0.0)</f>
        <v>0</v>
      </c>
      <c r="AR13" s="42">
        <f>IFERROR(__xludf.DUMMYFUNCTION("""COMPUTED_VALUE"""),0.0)</f>
        <v>0</v>
      </c>
      <c r="AS13" s="41">
        <f>IFERROR(__xludf.DUMMYFUNCTION("""COMPUTED_VALUE"""),0.0)</f>
        <v>0</v>
      </c>
      <c r="AT13" s="42">
        <f>IFERROR(__xludf.DUMMYFUNCTION("""COMPUTED_VALUE"""),0.0)</f>
        <v>0</v>
      </c>
      <c r="AU13" s="42">
        <f>IFERROR(__xludf.DUMMYFUNCTION("""COMPUTED_VALUE"""),0.0)</f>
        <v>0</v>
      </c>
      <c r="AV13" s="42">
        <f>IFERROR(__xludf.DUMMYFUNCTION("""COMPUTED_VALUE"""),0.0)</f>
        <v>0</v>
      </c>
      <c r="AW13" s="41">
        <f>IFERROR(__xludf.DUMMYFUNCTION("""COMPUTED_VALUE"""),0.0)</f>
        <v>0</v>
      </c>
      <c r="AX13" s="42">
        <f>IFERROR(__xludf.DUMMYFUNCTION("""COMPUTED_VALUE"""),0.0)</f>
        <v>0</v>
      </c>
      <c r="AY13" s="42">
        <f>IFERROR(__xludf.DUMMYFUNCTION("""COMPUTED_VALUE"""),0.0)</f>
        <v>0</v>
      </c>
      <c r="AZ13" s="43">
        <f>IFERROR(__xludf.DUMMYFUNCTION("""COMPUTED_VALUE"""),0.0)</f>
        <v>0</v>
      </c>
      <c r="BA13" s="34"/>
    </row>
    <row r="14" ht="15.75" customHeight="1">
      <c r="A14" s="29"/>
      <c r="B14" s="30" t="str">
        <f>IFERROR(__xludf.DUMMYFUNCTION("""COMPUTED_VALUE"""),"2. LỚP")</f>
        <v>2. LỚP</v>
      </c>
      <c r="C14" s="31" t="str">
        <f>IFERROR(__xludf.DUMMYFUNCTION("""COMPUTED_VALUE"""),"Tháng")</f>
        <v>Tháng</v>
      </c>
      <c r="D14" s="3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50"/>
      <c r="BA14" s="34"/>
    </row>
    <row r="15" ht="15.75" customHeight="1">
      <c r="A15" s="29"/>
      <c r="B15" s="196" t="str">
        <f>IFERROR(__xludf.DUMMYFUNCTION("""COMPUTED_VALUE"""),"Tổng số")</f>
        <v>Tổng số</v>
      </c>
      <c r="C15" s="57"/>
      <c r="D15" s="57" t="str">
        <f>IFERROR(__xludf.DUMMYFUNCTION("""COMPUTED_VALUE"""),"Lớp")</f>
        <v>Lớp</v>
      </c>
      <c r="E15" s="125">
        <f>IFERROR(__xludf.DUMMYFUNCTION("""COMPUTED_VALUE"""),617.0)</f>
        <v>617</v>
      </c>
      <c r="F15" s="125">
        <f>IFERROR(__xludf.DUMMYFUNCTION("""COMPUTED_VALUE"""),617.0)</f>
        <v>617</v>
      </c>
      <c r="G15" s="125">
        <f>IFERROR(__xludf.DUMMYFUNCTION("""COMPUTED_VALUE"""),0.0)</f>
        <v>0</v>
      </c>
      <c r="H15" s="125">
        <f>IFERROR(__xludf.DUMMYFUNCTION("""COMPUTED_VALUE"""),0.0)</f>
        <v>0</v>
      </c>
      <c r="I15" s="125">
        <f>IFERROR(__xludf.DUMMYFUNCTION("""COMPUTED_VALUE"""),617.0)</f>
        <v>617</v>
      </c>
      <c r="J15" s="125">
        <f>IFERROR(__xludf.DUMMYFUNCTION("""COMPUTED_VALUE"""),617.0)</f>
        <v>617</v>
      </c>
      <c r="K15" s="125">
        <f>IFERROR(__xludf.DUMMYFUNCTION("""COMPUTED_VALUE"""),0.0)</f>
        <v>0</v>
      </c>
      <c r="L15" s="125">
        <f>IFERROR(__xludf.DUMMYFUNCTION("""COMPUTED_VALUE"""),0.0)</f>
        <v>0</v>
      </c>
      <c r="M15" s="125">
        <f>IFERROR(__xludf.DUMMYFUNCTION("""COMPUTED_VALUE"""),602.0)</f>
        <v>602</v>
      </c>
      <c r="N15" s="125">
        <f>IFERROR(__xludf.DUMMYFUNCTION("""COMPUTED_VALUE"""),602.0)</f>
        <v>602</v>
      </c>
      <c r="O15" s="125">
        <f>IFERROR(__xludf.DUMMYFUNCTION("""COMPUTED_VALUE"""),0.0)</f>
        <v>0</v>
      </c>
      <c r="P15" s="125">
        <f>IFERROR(__xludf.DUMMYFUNCTION("""COMPUTED_VALUE"""),0.0)</f>
        <v>0</v>
      </c>
      <c r="Q15" s="125">
        <f>IFERROR(__xludf.DUMMYFUNCTION("""COMPUTED_VALUE"""),600.0)</f>
        <v>600</v>
      </c>
      <c r="R15" s="125">
        <f>IFERROR(__xludf.DUMMYFUNCTION("""COMPUTED_VALUE"""),600.0)</f>
        <v>600</v>
      </c>
      <c r="S15" s="125">
        <f>IFERROR(__xludf.DUMMYFUNCTION("""COMPUTED_VALUE"""),0.0)</f>
        <v>0</v>
      </c>
      <c r="T15" s="125">
        <f>IFERROR(__xludf.DUMMYFUNCTION("""COMPUTED_VALUE"""),0.0)</f>
        <v>0</v>
      </c>
      <c r="U15" s="125">
        <f>IFERROR(__xludf.DUMMYFUNCTION("""COMPUTED_VALUE"""),617.0)</f>
        <v>617</v>
      </c>
      <c r="V15" s="125">
        <f>IFERROR(__xludf.DUMMYFUNCTION("""COMPUTED_VALUE"""),617.0)</f>
        <v>617</v>
      </c>
      <c r="W15" s="125">
        <f>IFERROR(__xludf.DUMMYFUNCTION("""COMPUTED_VALUE"""),0.0)</f>
        <v>0</v>
      </c>
      <c r="X15" s="125">
        <f>IFERROR(__xludf.DUMMYFUNCTION("""COMPUTED_VALUE"""),0.0)</f>
        <v>0</v>
      </c>
      <c r="Y15" s="125">
        <f>IFERROR(__xludf.DUMMYFUNCTION("""COMPUTED_VALUE"""),617.0)</f>
        <v>617</v>
      </c>
      <c r="Z15" s="125">
        <f>IFERROR(__xludf.DUMMYFUNCTION("""COMPUTED_VALUE"""),617.0)</f>
        <v>617</v>
      </c>
      <c r="AA15" s="125">
        <f>IFERROR(__xludf.DUMMYFUNCTION("""COMPUTED_VALUE"""),0.0)</f>
        <v>0</v>
      </c>
      <c r="AB15" s="125">
        <f>IFERROR(__xludf.DUMMYFUNCTION("""COMPUTED_VALUE"""),0.0)</f>
        <v>0</v>
      </c>
      <c r="AC15" s="125">
        <f>IFERROR(__xludf.DUMMYFUNCTION("""COMPUTED_VALUE"""),617.0)</f>
        <v>617</v>
      </c>
      <c r="AD15" s="125">
        <f>IFERROR(__xludf.DUMMYFUNCTION("""COMPUTED_VALUE"""),617.0)</f>
        <v>617</v>
      </c>
      <c r="AE15" s="125">
        <f>IFERROR(__xludf.DUMMYFUNCTION("""COMPUTED_VALUE"""),0.0)</f>
        <v>0</v>
      </c>
      <c r="AF15" s="125">
        <f>IFERROR(__xludf.DUMMYFUNCTION("""COMPUTED_VALUE"""),0.0)</f>
        <v>0</v>
      </c>
      <c r="AG15" s="125">
        <f>IFERROR(__xludf.DUMMYFUNCTION("""COMPUTED_VALUE"""),207.0)</f>
        <v>207</v>
      </c>
      <c r="AH15" s="125">
        <f>IFERROR(__xludf.DUMMYFUNCTION("""COMPUTED_VALUE"""),207.0)</f>
        <v>207</v>
      </c>
      <c r="AI15" s="125">
        <f>IFERROR(__xludf.DUMMYFUNCTION("""COMPUTED_VALUE"""),0.0)</f>
        <v>0</v>
      </c>
      <c r="AJ15" s="125">
        <f>IFERROR(__xludf.DUMMYFUNCTION("""COMPUTED_VALUE"""),0.0)</f>
        <v>0</v>
      </c>
      <c r="AK15" s="125">
        <f>IFERROR(__xludf.DUMMYFUNCTION("""COMPUTED_VALUE"""),28.0)</f>
        <v>28</v>
      </c>
      <c r="AL15" s="125">
        <f>IFERROR(__xludf.DUMMYFUNCTION("""COMPUTED_VALUE"""),28.0)</f>
        <v>28</v>
      </c>
      <c r="AM15" s="125">
        <f>IFERROR(__xludf.DUMMYFUNCTION("""COMPUTED_VALUE"""),0.0)</f>
        <v>0</v>
      </c>
      <c r="AN15" s="125">
        <f>IFERROR(__xludf.DUMMYFUNCTION("""COMPUTED_VALUE"""),0.0)</f>
        <v>0</v>
      </c>
      <c r="AO15" s="125">
        <f>IFERROR(__xludf.DUMMYFUNCTION("""COMPUTED_VALUE"""),0.0)</f>
        <v>0</v>
      </c>
      <c r="AP15" s="125">
        <f>IFERROR(__xludf.DUMMYFUNCTION("""COMPUTED_VALUE"""),0.0)</f>
        <v>0</v>
      </c>
      <c r="AQ15" s="125">
        <f>IFERROR(__xludf.DUMMYFUNCTION("""COMPUTED_VALUE"""),0.0)</f>
        <v>0</v>
      </c>
      <c r="AR15" s="125">
        <f>IFERROR(__xludf.DUMMYFUNCTION("""COMPUTED_VALUE"""),0.0)</f>
        <v>0</v>
      </c>
      <c r="AS15" s="125">
        <f>IFERROR(__xludf.DUMMYFUNCTION("""COMPUTED_VALUE"""),0.0)</f>
        <v>0</v>
      </c>
      <c r="AT15" s="125">
        <f>IFERROR(__xludf.DUMMYFUNCTION("""COMPUTED_VALUE"""),0.0)</f>
        <v>0</v>
      </c>
      <c r="AU15" s="125">
        <f>IFERROR(__xludf.DUMMYFUNCTION("""COMPUTED_VALUE"""),0.0)</f>
        <v>0</v>
      </c>
      <c r="AV15" s="125">
        <f>IFERROR(__xludf.DUMMYFUNCTION("""COMPUTED_VALUE"""),0.0)</f>
        <v>0</v>
      </c>
      <c r="AW15" s="125">
        <f>IFERROR(__xludf.DUMMYFUNCTION("""COMPUTED_VALUE"""),0.0)</f>
        <v>0</v>
      </c>
      <c r="AX15" s="125">
        <f>IFERROR(__xludf.DUMMYFUNCTION("""COMPUTED_VALUE"""),0.0)</f>
        <v>0</v>
      </c>
      <c r="AY15" s="125">
        <f>IFERROR(__xludf.DUMMYFUNCTION("""COMPUTED_VALUE"""),0.0)</f>
        <v>0</v>
      </c>
      <c r="AZ15" s="127">
        <f>IFERROR(__xludf.DUMMYFUNCTION("""COMPUTED_VALUE"""),0.0)</f>
        <v>0</v>
      </c>
      <c r="BA15" s="34"/>
    </row>
    <row r="16" ht="15.75" customHeight="1">
      <c r="A16" s="29"/>
      <c r="B16" s="48" t="str">
        <f>IFERROR(__xludf.DUMMYFUNCTION("""COMPUTED_VALUE"""),"Chia ra:")</f>
        <v>Chia ra:</v>
      </c>
      <c r="C16" s="49"/>
      <c r="D16" s="3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50"/>
      <c r="BA16" s="34"/>
    </row>
    <row r="17" ht="15.75" customHeight="1">
      <c r="A17" s="29"/>
      <c r="B17" s="67" t="str">
        <f>IFERROR(__xludf.DUMMYFUNCTION("""COMPUTED_VALUE""")," + Số lớp 10")</f>
        <v> + Số lớp 10</v>
      </c>
      <c r="C17" s="31"/>
      <c r="D17" s="31" t="str">
        <f>IFERROR(__xludf.DUMMYFUNCTION("""COMPUTED_VALUE"""),"""")</f>
        <v>"</v>
      </c>
      <c r="E17" s="41">
        <f>IFERROR(__xludf.DUMMYFUNCTION("""COMPUTED_VALUE"""),220.0)</f>
        <v>220</v>
      </c>
      <c r="F17" s="42">
        <f>IFERROR(__xludf.DUMMYFUNCTION("""COMPUTED_VALUE"""),220.0)</f>
        <v>220</v>
      </c>
      <c r="G17" s="42">
        <f>IFERROR(__xludf.DUMMYFUNCTION("""COMPUTED_VALUE"""),0.0)</f>
        <v>0</v>
      </c>
      <c r="H17" s="42">
        <f>IFERROR(__xludf.DUMMYFUNCTION("""COMPUTED_VALUE"""),0.0)</f>
        <v>0</v>
      </c>
      <c r="I17" s="41">
        <f>IFERROR(__xludf.DUMMYFUNCTION("""COMPUTED_VALUE"""),220.0)</f>
        <v>220</v>
      </c>
      <c r="J17" s="42">
        <f>IFERROR(__xludf.DUMMYFUNCTION("""COMPUTED_VALUE"""),220.0)</f>
        <v>220</v>
      </c>
      <c r="K17" s="42">
        <f>IFERROR(__xludf.DUMMYFUNCTION("""COMPUTED_VALUE"""),0.0)</f>
        <v>0</v>
      </c>
      <c r="L17" s="42">
        <f>IFERROR(__xludf.DUMMYFUNCTION("""COMPUTED_VALUE"""),0.0)</f>
        <v>0</v>
      </c>
      <c r="M17" s="41">
        <f>IFERROR(__xludf.DUMMYFUNCTION("""COMPUTED_VALUE"""),214.0)</f>
        <v>214</v>
      </c>
      <c r="N17" s="42">
        <f>IFERROR(__xludf.DUMMYFUNCTION("""COMPUTED_VALUE"""),214.0)</f>
        <v>214</v>
      </c>
      <c r="O17" s="42">
        <f>IFERROR(__xludf.DUMMYFUNCTION("""COMPUTED_VALUE"""),0.0)</f>
        <v>0</v>
      </c>
      <c r="P17" s="42">
        <f>IFERROR(__xludf.DUMMYFUNCTION("""COMPUTED_VALUE"""),0.0)</f>
        <v>0</v>
      </c>
      <c r="Q17" s="41">
        <f>IFERROR(__xludf.DUMMYFUNCTION("""COMPUTED_VALUE"""),213.0)</f>
        <v>213</v>
      </c>
      <c r="R17" s="42">
        <f>IFERROR(__xludf.DUMMYFUNCTION("""COMPUTED_VALUE"""),213.0)</f>
        <v>213</v>
      </c>
      <c r="S17" s="42">
        <f>IFERROR(__xludf.DUMMYFUNCTION("""COMPUTED_VALUE"""),0.0)</f>
        <v>0</v>
      </c>
      <c r="T17" s="42">
        <f>IFERROR(__xludf.DUMMYFUNCTION("""COMPUTED_VALUE"""),0.0)</f>
        <v>0</v>
      </c>
      <c r="U17" s="41">
        <f>IFERROR(__xludf.DUMMYFUNCTION("""COMPUTED_VALUE"""),220.0)</f>
        <v>220</v>
      </c>
      <c r="V17" s="42">
        <f>IFERROR(__xludf.DUMMYFUNCTION("""COMPUTED_VALUE"""),220.0)</f>
        <v>220</v>
      </c>
      <c r="W17" s="42">
        <f>IFERROR(__xludf.DUMMYFUNCTION("""COMPUTED_VALUE"""),0.0)</f>
        <v>0</v>
      </c>
      <c r="X17" s="42">
        <f>IFERROR(__xludf.DUMMYFUNCTION("""COMPUTED_VALUE"""),0.0)</f>
        <v>0</v>
      </c>
      <c r="Y17" s="41">
        <f>IFERROR(__xludf.DUMMYFUNCTION("""COMPUTED_VALUE"""),220.0)</f>
        <v>220</v>
      </c>
      <c r="Z17" s="42">
        <f>IFERROR(__xludf.DUMMYFUNCTION("""COMPUTED_VALUE"""),220.0)</f>
        <v>220</v>
      </c>
      <c r="AA17" s="42">
        <f>IFERROR(__xludf.DUMMYFUNCTION("""COMPUTED_VALUE"""),0.0)</f>
        <v>0</v>
      </c>
      <c r="AB17" s="42">
        <f>IFERROR(__xludf.DUMMYFUNCTION("""COMPUTED_VALUE"""),0.0)</f>
        <v>0</v>
      </c>
      <c r="AC17" s="41">
        <f>IFERROR(__xludf.DUMMYFUNCTION("""COMPUTED_VALUE"""),220.0)</f>
        <v>220</v>
      </c>
      <c r="AD17" s="42">
        <f>IFERROR(__xludf.DUMMYFUNCTION("""COMPUTED_VALUE"""),220.0)</f>
        <v>220</v>
      </c>
      <c r="AE17" s="42">
        <f>IFERROR(__xludf.DUMMYFUNCTION("""COMPUTED_VALUE"""),0.0)</f>
        <v>0</v>
      </c>
      <c r="AF17" s="42">
        <f>IFERROR(__xludf.DUMMYFUNCTION("""COMPUTED_VALUE"""),0.0)</f>
        <v>0</v>
      </c>
      <c r="AG17" s="41">
        <f>IFERROR(__xludf.DUMMYFUNCTION("""COMPUTED_VALUE"""),71.0)</f>
        <v>71</v>
      </c>
      <c r="AH17" s="42">
        <f>IFERROR(__xludf.DUMMYFUNCTION("""COMPUTED_VALUE"""),71.0)</f>
        <v>71</v>
      </c>
      <c r="AI17" s="42">
        <f>IFERROR(__xludf.DUMMYFUNCTION("""COMPUTED_VALUE"""),0.0)</f>
        <v>0</v>
      </c>
      <c r="AJ17" s="42">
        <f>IFERROR(__xludf.DUMMYFUNCTION("""COMPUTED_VALUE"""),0.0)</f>
        <v>0</v>
      </c>
      <c r="AK17" s="41">
        <f>IFERROR(__xludf.DUMMYFUNCTION("""COMPUTED_VALUE"""),10.0)</f>
        <v>10</v>
      </c>
      <c r="AL17" s="42">
        <f>IFERROR(__xludf.DUMMYFUNCTION("""COMPUTED_VALUE"""),10.0)</f>
        <v>10</v>
      </c>
      <c r="AM17" s="42">
        <f>IFERROR(__xludf.DUMMYFUNCTION("""COMPUTED_VALUE"""),0.0)</f>
        <v>0</v>
      </c>
      <c r="AN17" s="42">
        <f>IFERROR(__xludf.DUMMYFUNCTION("""COMPUTED_VALUE"""),0.0)</f>
        <v>0</v>
      </c>
      <c r="AO17" s="41">
        <f>IFERROR(__xludf.DUMMYFUNCTION("""COMPUTED_VALUE"""),0.0)</f>
        <v>0</v>
      </c>
      <c r="AP17" s="42">
        <f>IFERROR(__xludf.DUMMYFUNCTION("""COMPUTED_VALUE"""),0.0)</f>
        <v>0</v>
      </c>
      <c r="AQ17" s="42">
        <f>IFERROR(__xludf.DUMMYFUNCTION("""COMPUTED_VALUE"""),0.0)</f>
        <v>0</v>
      </c>
      <c r="AR17" s="42">
        <f>IFERROR(__xludf.DUMMYFUNCTION("""COMPUTED_VALUE"""),0.0)</f>
        <v>0</v>
      </c>
      <c r="AS17" s="41">
        <f>IFERROR(__xludf.DUMMYFUNCTION("""COMPUTED_VALUE"""),0.0)</f>
        <v>0</v>
      </c>
      <c r="AT17" s="42">
        <f>IFERROR(__xludf.DUMMYFUNCTION("""COMPUTED_VALUE"""),0.0)</f>
        <v>0</v>
      </c>
      <c r="AU17" s="42">
        <f>IFERROR(__xludf.DUMMYFUNCTION("""COMPUTED_VALUE"""),0.0)</f>
        <v>0</v>
      </c>
      <c r="AV17" s="42">
        <f>IFERROR(__xludf.DUMMYFUNCTION("""COMPUTED_VALUE"""),0.0)</f>
        <v>0</v>
      </c>
      <c r="AW17" s="41">
        <f>IFERROR(__xludf.DUMMYFUNCTION("""COMPUTED_VALUE"""),0.0)</f>
        <v>0</v>
      </c>
      <c r="AX17" s="42">
        <f>IFERROR(__xludf.DUMMYFUNCTION("""COMPUTED_VALUE"""),0.0)</f>
        <v>0</v>
      </c>
      <c r="AY17" s="42">
        <f>IFERROR(__xludf.DUMMYFUNCTION("""COMPUTED_VALUE"""),0.0)</f>
        <v>0</v>
      </c>
      <c r="AZ17" s="43">
        <f>IFERROR(__xludf.DUMMYFUNCTION("""COMPUTED_VALUE"""),0.0)</f>
        <v>0</v>
      </c>
      <c r="BA17" s="34"/>
    </row>
    <row r="18" ht="15.75" customHeight="1">
      <c r="A18" s="29"/>
      <c r="B18" s="67" t="str">
        <f>IFERROR(__xludf.DUMMYFUNCTION("""COMPUTED_VALUE""")," + Số lớp 11")</f>
        <v> + Số lớp 11</v>
      </c>
      <c r="C18" s="31"/>
      <c r="D18" s="31" t="str">
        <f>IFERROR(__xludf.DUMMYFUNCTION("""COMPUTED_VALUE"""),"""")</f>
        <v>"</v>
      </c>
      <c r="E18" s="41">
        <f>IFERROR(__xludf.DUMMYFUNCTION("""COMPUTED_VALUE"""),208.0)</f>
        <v>208</v>
      </c>
      <c r="F18" s="42">
        <f>IFERROR(__xludf.DUMMYFUNCTION("""COMPUTED_VALUE"""),208.0)</f>
        <v>208</v>
      </c>
      <c r="G18" s="42">
        <f>IFERROR(__xludf.DUMMYFUNCTION("""COMPUTED_VALUE"""),0.0)</f>
        <v>0</v>
      </c>
      <c r="H18" s="42">
        <f>IFERROR(__xludf.DUMMYFUNCTION("""COMPUTED_VALUE"""),0.0)</f>
        <v>0</v>
      </c>
      <c r="I18" s="41">
        <f>IFERROR(__xludf.DUMMYFUNCTION("""COMPUTED_VALUE"""),208.0)</f>
        <v>208</v>
      </c>
      <c r="J18" s="42">
        <f>IFERROR(__xludf.DUMMYFUNCTION("""COMPUTED_VALUE"""),208.0)</f>
        <v>208</v>
      </c>
      <c r="K18" s="42">
        <f>IFERROR(__xludf.DUMMYFUNCTION("""COMPUTED_VALUE"""),0.0)</f>
        <v>0</v>
      </c>
      <c r="L18" s="42">
        <f>IFERROR(__xludf.DUMMYFUNCTION("""COMPUTED_VALUE"""),0.0)</f>
        <v>0</v>
      </c>
      <c r="M18" s="41">
        <f>IFERROR(__xludf.DUMMYFUNCTION("""COMPUTED_VALUE"""),203.0)</f>
        <v>203</v>
      </c>
      <c r="N18" s="42">
        <f>IFERROR(__xludf.DUMMYFUNCTION("""COMPUTED_VALUE"""),203.0)</f>
        <v>203</v>
      </c>
      <c r="O18" s="42">
        <f>IFERROR(__xludf.DUMMYFUNCTION("""COMPUTED_VALUE"""),0.0)</f>
        <v>0</v>
      </c>
      <c r="P18" s="42">
        <f>IFERROR(__xludf.DUMMYFUNCTION("""COMPUTED_VALUE"""),0.0)</f>
        <v>0</v>
      </c>
      <c r="Q18" s="41">
        <f>IFERROR(__xludf.DUMMYFUNCTION("""COMPUTED_VALUE"""),203.0)</f>
        <v>203</v>
      </c>
      <c r="R18" s="42">
        <f>IFERROR(__xludf.DUMMYFUNCTION("""COMPUTED_VALUE"""),203.0)</f>
        <v>203</v>
      </c>
      <c r="S18" s="42">
        <f>IFERROR(__xludf.DUMMYFUNCTION("""COMPUTED_VALUE"""),0.0)</f>
        <v>0</v>
      </c>
      <c r="T18" s="42">
        <f>IFERROR(__xludf.DUMMYFUNCTION("""COMPUTED_VALUE"""),0.0)</f>
        <v>0</v>
      </c>
      <c r="U18" s="41">
        <f>IFERROR(__xludf.DUMMYFUNCTION("""COMPUTED_VALUE"""),208.0)</f>
        <v>208</v>
      </c>
      <c r="V18" s="42">
        <f>IFERROR(__xludf.DUMMYFUNCTION("""COMPUTED_VALUE"""),208.0)</f>
        <v>208</v>
      </c>
      <c r="W18" s="42">
        <f>IFERROR(__xludf.DUMMYFUNCTION("""COMPUTED_VALUE"""),0.0)</f>
        <v>0</v>
      </c>
      <c r="X18" s="42">
        <f>IFERROR(__xludf.DUMMYFUNCTION("""COMPUTED_VALUE"""),0.0)</f>
        <v>0</v>
      </c>
      <c r="Y18" s="41">
        <f>IFERROR(__xludf.DUMMYFUNCTION("""COMPUTED_VALUE"""),208.0)</f>
        <v>208</v>
      </c>
      <c r="Z18" s="42">
        <f>IFERROR(__xludf.DUMMYFUNCTION("""COMPUTED_VALUE"""),208.0)</f>
        <v>208</v>
      </c>
      <c r="AA18" s="42">
        <f>IFERROR(__xludf.DUMMYFUNCTION("""COMPUTED_VALUE"""),0.0)</f>
        <v>0</v>
      </c>
      <c r="AB18" s="42">
        <f>IFERROR(__xludf.DUMMYFUNCTION("""COMPUTED_VALUE"""),0.0)</f>
        <v>0</v>
      </c>
      <c r="AC18" s="41">
        <f>IFERROR(__xludf.DUMMYFUNCTION("""COMPUTED_VALUE"""),208.0)</f>
        <v>208</v>
      </c>
      <c r="AD18" s="42">
        <f>IFERROR(__xludf.DUMMYFUNCTION("""COMPUTED_VALUE"""),208.0)</f>
        <v>208</v>
      </c>
      <c r="AE18" s="42">
        <f>IFERROR(__xludf.DUMMYFUNCTION("""COMPUTED_VALUE"""),0.0)</f>
        <v>0</v>
      </c>
      <c r="AF18" s="42">
        <f>IFERROR(__xludf.DUMMYFUNCTION("""COMPUTED_VALUE"""),0.0)</f>
        <v>0</v>
      </c>
      <c r="AG18" s="41">
        <f>IFERROR(__xludf.DUMMYFUNCTION("""COMPUTED_VALUE"""),69.0)</f>
        <v>69</v>
      </c>
      <c r="AH18" s="42">
        <f>IFERROR(__xludf.DUMMYFUNCTION("""COMPUTED_VALUE"""),69.0)</f>
        <v>69</v>
      </c>
      <c r="AI18" s="42">
        <f>IFERROR(__xludf.DUMMYFUNCTION("""COMPUTED_VALUE"""),0.0)</f>
        <v>0</v>
      </c>
      <c r="AJ18" s="42">
        <f>IFERROR(__xludf.DUMMYFUNCTION("""COMPUTED_VALUE"""),0.0)</f>
        <v>0</v>
      </c>
      <c r="AK18" s="41">
        <f>IFERROR(__xludf.DUMMYFUNCTION("""COMPUTED_VALUE"""),8.0)</f>
        <v>8</v>
      </c>
      <c r="AL18" s="42">
        <f>IFERROR(__xludf.DUMMYFUNCTION("""COMPUTED_VALUE"""),8.0)</f>
        <v>8</v>
      </c>
      <c r="AM18" s="42">
        <f>IFERROR(__xludf.DUMMYFUNCTION("""COMPUTED_VALUE"""),0.0)</f>
        <v>0</v>
      </c>
      <c r="AN18" s="42">
        <f>IFERROR(__xludf.DUMMYFUNCTION("""COMPUTED_VALUE"""),0.0)</f>
        <v>0</v>
      </c>
      <c r="AO18" s="41">
        <f>IFERROR(__xludf.DUMMYFUNCTION("""COMPUTED_VALUE"""),0.0)</f>
        <v>0</v>
      </c>
      <c r="AP18" s="42">
        <f>IFERROR(__xludf.DUMMYFUNCTION("""COMPUTED_VALUE"""),0.0)</f>
        <v>0</v>
      </c>
      <c r="AQ18" s="42">
        <f>IFERROR(__xludf.DUMMYFUNCTION("""COMPUTED_VALUE"""),0.0)</f>
        <v>0</v>
      </c>
      <c r="AR18" s="42">
        <f>IFERROR(__xludf.DUMMYFUNCTION("""COMPUTED_VALUE"""),0.0)</f>
        <v>0</v>
      </c>
      <c r="AS18" s="41">
        <f>IFERROR(__xludf.DUMMYFUNCTION("""COMPUTED_VALUE"""),0.0)</f>
        <v>0</v>
      </c>
      <c r="AT18" s="42">
        <f>IFERROR(__xludf.DUMMYFUNCTION("""COMPUTED_VALUE"""),0.0)</f>
        <v>0</v>
      </c>
      <c r="AU18" s="42">
        <f>IFERROR(__xludf.DUMMYFUNCTION("""COMPUTED_VALUE"""),0.0)</f>
        <v>0</v>
      </c>
      <c r="AV18" s="42">
        <f>IFERROR(__xludf.DUMMYFUNCTION("""COMPUTED_VALUE"""),0.0)</f>
        <v>0</v>
      </c>
      <c r="AW18" s="41">
        <f>IFERROR(__xludf.DUMMYFUNCTION("""COMPUTED_VALUE"""),0.0)</f>
        <v>0</v>
      </c>
      <c r="AX18" s="42">
        <f>IFERROR(__xludf.DUMMYFUNCTION("""COMPUTED_VALUE"""),0.0)</f>
        <v>0</v>
      </c>
      <c r="AY18" s="42">
        <f>IFERROR(__xludf.DUMMYFUNCTION("""COMPUTED_VALUE"""),0.0)</f>
        <v>0</v>
      </c>
      <c r="AZ18" s="43">
        <f>IFERROR(__xludf.DUMMYFUNCTION("""COMPUTED_VALUE"""),0.0)</f>
        <v>0</v>
      </c>
      <c r="BA18" s="34"/>
    </row>
    <row r="19" ht="15.75" customHeight="1">
      <c r="A19" s="29"/>
      <c r="B19" s="67" t="str">
        <f>IFERROR(__xludf.DUMMYFUNCTION("""COMPUTED_VALUE""")," + Số lớp 12")</f>
        <v> + Số lớp 12</v>
      </c>
      <c r="C19" s="31"/>
      <c r="D19" s="31" t="str">
        <f>IFERROR(__xludf.DUMMYFUNCTION("""COMPUTED_VALUE"""),"""")</f>
        <v>"</v>
      </c>
      <c r="E19" s="41">
        <f>IFERROR(__xludf.DUMMYFUNCTION("""COMPUTED_VALUE"""),189.0)</f>
        <v>189</v>
      </c>
      <c r="F19" s="42">
        <f>IFERROR(__xludf.DUMMYFUNCTION("""COMPUTED_VALUE"""),189.0)</f>
        <v>189</v>
      </c>
      <c r="G19" s="42">
        <f>IFERROR(__xludf.DUMMYFUNCTION("""COMPUTED_VALUE"""),0.0)</f>
        <v>0</v>
      </c>
      <c r="H19" s="42">
        <f>IFERROR(__xludf.DUMMYFUNCTION("""COMPUTED_VALUE"""),0.0)</f>
        <v>0</v>
      </c>
      <c r="I19" s="41">
        <f>IFERROR(__xludf.DUMMYFUNCTION("""COMPUTED_VALUE"""),189.0)</f>
        <v>189</v>
      </c>
      <c r="J19" s="42">
        <f>IFERROR(__xludf.DUMMYFUNCTION("""COMPUTED_VALUE"""),189.0)</f>
        <v>189</v>
      </c>
      <c r="K19" s="42">
        <f>IFERROR(__xludf.DUMMYFUNCTION("""COMPUTED_VALUE"""),0.0)</f>
        <v>0</v>
      </c>
      <c r="L19" s="42">
        <f>IFERROR(__xludf.DUMMYFUNCTION("""COMPUTED_VALUE"""),0.0)</f>
        <v>0</v>
      </c>
      <c r="M19" s="41">
        <f>IFERROR(__xludf.DUMMYFUNCTION("""COMPUTED_VALUE"""),185.0)</f>
        <v>185</v>
      </c>
      <c r="N19" s="42">
        <f>IFERROR(__xludf.DUMMYFUNCTION("""COMPUTED_VALUE"""),185.0)</f>
        <v>185</v>
      </c>
      <c r="O19" s="42">
        <f>IFERROR(__xludf.DUMMYFUNCTION("""COMPUTED_VALUE"""),0.0)</f>
        <v>0</v>
      </c>
      <c r="P19" s="42">
        <f>IFERROR(__xludf.DUMMYFUNCTION("""COMPUTED_VALUE"""),0.0)</f>
        <v>0</v>
      </c>
      <c r="Q19" s="41">
        <f>IFERROR(__xludf.DUMMYFUNCTION("""COMPUTED_VALUE"""),184.0)</f>
        <v>184</v>
      </c>
      <c r="R19" s="42">
        <f>IFERROR(__xludf.DUMMYFUNCTION("""COMPUTED_VALUE"""),184.0)</f>
        <v>184</v>
      </c>
      <c r="S19" s="42">
        <f>IFERROR(__xludf.DUMMYFUNCTION("""COMPUTED_VALUE"""),0.0)</f>
        <v>0</v>
      </c>
      <c r="T19" s="42">
        <f>IFERROR(__xludf.DUMMYFUNCTION("""COMPUTED_VALUE"""),0.0)</f>
        <v>0</v>
      </c>
      <c r="U19" s="41">
        <f>IFERROR(__xludf.DUMMYFUNCTION("""COMPUTED_VALUE"""),189.0)</f>
        <v>189</v>
      </c>
      <c r="V19" s="42">
        <f>IFERROR(__xludf.DUMMYFUNCTION("""COMPUTED_VALUE"""),189.0)</f>
        <v>189</v>
      </c>
      <c r="W19" s="42">
        <f>IFERROR(__xludf.DUMMYFUNCTION("""COMPUTED_VALUE"""),0.0)</f>
        <v>0</v>
      </c>
      <c r="X19" s="42">
        <f>IFERROR(__xludf.DUMMYFUNCTION("""COMPUTED_VALUE"""),0.0)</f>
        <v>0</v>
      </c>
      <c r="Y19" s="41">
        <f>IFERROR(__xludf.DUMMYFUNCTION("""COMPUTED_VALUE"""),189.0)</f>
        <v>189</v>
      </c>
      <c r="Z19" s="42">
        <f>IFERROR(__xludf.DUMMYFUNCTION("""COMPUTED_VALUE"""),189.0)</f>
        <v>189</v>
      </c>
      <c r="AA19" s="42">
        <f>IFERROR(__xludf.DUMMYFUNCTION("""COMPUTED_VALUE"""),0.0)</f>
        <v>0</v>
      </c>
      <c r="AB19" s="42">
        <f>IFERROR(__xludf.DUMMYFUNCTION("""COMPUTED_VALUE"""),0.0)</f>
        <v>0</v>
      </c>
      <c r="AC19" s="41">
        <f>IFERROR(__xludf.DUMMYFUNCTION("""COMPUTED_VALUE"""),189.0)</f>
        <v>189</v>
      </c>
      <c r="AD19" s="42">
        <f>IFERROR(__xludf.DUMMYFUNCTION("""COMPUTED_VALUE"""),189.0)</f>
        <v>189</v>
      </c>
      <c r="AE19" s="42">
        <f>IFERROR(__xludf.DUMMYFUNCTION("""COMPUTED_VALUE"""),0.0)</f>
        <v>0</v>
      </c>
      <c r="AF19" s="42">
        <f>IFERROR(__xludf.DUMMYFUNCTION("""COMPUTED_VALUE"""),0.0)</f>
        <v>0</v>
      </c>
      <c r="AG19" s="41">
        <f>IFERROR(__xludf.DUMMYFUNCTION("""COMPUTED_VALUE"""),67.0)</f>
        <v>67</v>
      </c>
      <c r="AH19" s="42">
        <f>IFERROR(__xludf.DUMMYFUNCTION("""COMPUTED_VALUE"""),67.0)</f>
        <v>67</v>
      </c>
      <c r="AI19" s="42">
        <f>IFERROR(__xludf.DUMMYFUNCTION("""COMPUTED_VALUE"""),0.0)</f>
        <v>0</v>
      </c>
      <c r="AJ19" s="42">
        <f>IFERROR(__xludf.DUMMYFUNCTION("""COMPUTED_VALUE"""),0.0)</f>
        <v>0</v>
      </c>
      <c r="AK19" s="41">
        <f>IFERROR(__xludf.DUMMYFUNCTION("""COMPUTED_VALUE"""),10.0)</f>
        <v>10</v>
      </c>
      <c r="AL19" s="42">
        <f>IFERROR(__xludf.DUMMYFUNCTION("""COMPUTED_VALUE"""),10.0)</f>
        <v>10</v>
      </c>
      <c r="AM19" s="42">
        <f>IFERROR(__xludf.DUMMYFUNCTION("""COMPUTED_VALUE"""),0.0)</f>
        <v>0</v>
      </c>
      <c r="AN19" s="42">
        <f>IFERROR(__xludf.DUMMYFUNCTION("""COMPUTED_VALUE"""),0.0)</f>
        <v>0</v>
      </c>
      <c r="AO19" s="41">
        <f>IFERROR(__xludf.DUMMYFUNCTION("""COMPUTED_VALUE"""),0.0)</f>
        <v>0</v>
      </c>
      <c r="AP19" s="42">
        <f>IFERROR(__xludf.DUMMYFUNCTION("""COMPUTED_VALUE"""),0.0)</f>
        <v>0</v>
      </c>
      <c r="AQ19" s="42">
        <f>IFERROR(__xludf.DUMMYFUNCTION("""COMPUTED_VALUE"""),0.0)</f>
        <v>0</v>
      </c>
      <c r="AR19" s="42">
        <f>IFERROR(__xludf.DUMMYFUNCTION("""COMPUTED_VALUE"""),0.0)</f>
        <v>0</v>
      </c>
      <c r="AS19" s="41">
        <f>IFERROR(__xludf.DUMMYFUNCTION("""COMPUTED_VALUE"""),0.0)</f>
        <v>0</v>
      </c>
      <c r="AT19" s="42">
        <f>IFERROR(__xludf.DUMMYFUNCTION("""COMPUTED_VALUE"""),0.0)</f>
        <v>0</v>
      </c>
      <c r="AU19" s="42">
        <f>IFERROR(__xludf.DUMMYFUNCTION("""COMPUTED_VALUE"""),0.0)</f>
        <v>0</v>
      </c>
      <c r="AV19" s="42">
        <f>IFERROR(__xludf.DUMMYFUNCTION("""COMPUTED_VALUE"""),0.0)</f>
        <v>0</v>
      </c>
      <c r="AW19" s="41">
        <f>IFERROR(__xludf.DUMMYFUNCTION("""COMPUTED_VALUE"""),0.0)</f>
        <v>0</v>
      </c>
      <c r="AX19" s="42">
        <f>IFERROR(__xludf.DUMMYFUNCTION("""COMPUTED_VALUE"""),0.0)</f>
        <v>0</v>
      </c>
      <c r="AY19" s="42">
        <f>IFERROR(__xludf.DUMMYFUNCTION("""COMPUTED_VALUE"""),0.0)</f>
        <v>0</v>
      </c>
      <c r="AZ19" s="43">
        <f>IFERROR(__xludf.DUMMYFUNCTION("""COMPUTED_VALUE"""),0.0)</f>
        <v>0</v>
      </c>
      <c r="BA19" s="34"/>
    </row>
    <row r="20" ht="15.75" customHeight="1">
      <c r="A20" s="29"/>
      <c r="B20" s="67" t="str">
        <f>IFERROR(__xludf.DUMMYFUNCTION("""COMPUTED_VALUE""")," + Số lớp ghép")</f>
        <v> + Số lớp ghép</v>
      </c>
      <c r="C20" s="31"/>
      <c r="D20" s="31" t="str">
        <f>IFERROR(__xludf.DUMMYFUNCTION("""COMPUTED_VALUE"""),"""")</f>
        <v>"</v>
      </c>
      <c r="E20" s="41">
        <f>IFERROR(__xludf.DUMMYFUNCTION("""COMPUTED_VALUE"""),0.0)</f>
        <v>0</v>
      </c>
      <c r="F20" s="42">
        <f>IFERROR(__xludf.DUMMYFUNCTION("""COMPUTED_VALUE"""),0.0)</f>
        <v>0</v>
      </c>
      <c r="G20" s="42">
        <f>IFERROR(__xludf.DUMMYFUNCTION("""COMPUTED_VALUE"""),0.0)</f>
        <v>0</v>
      </c>
      <c r="H20" s="42">
        <f>IFERROR(__xludf.DUMMYFUNCTION("""COMPUTED_VALUE"""),0.0)</f>
        <v>0</v>
      </c>
      <c r="I20" s="41">
        <f>IFERROR(__xludf.DUMMYFUNCTION("""COMPUTED_VALUE"""),0.0)</f>
        <v>0</v>
      </c>
      <c r="J20" s="42">
        <f>IFERROR(__xludf.DUMMYFUNCTION("""COMPUTED_VALUE"""),0.0)</f>
        <v>0</v>
      </c>
      <c r="K20" s="42">
        <f>IFERROR(__xludf.DUMMYFUNCTION("""COMPUTED_VALUE"""),0.0)</f>
        <v>0</v>
      </c>
      <c r="L20" s="42">
        <f>IFERROR(__xludf.DUMMYFUNCTION("""COMPUTED_VALUE"""),0.0)</f>
        <v>0</v>
      </c>
      <c r="M20" s="41">
        <f>IFERROR(__xludf.DUMMYFUNCTION("""COMPUTED_VALUE"""),0.0)</f>
        <v>0</v>
      </c>
      <c r="N20" s="42">
        <f>IFERROR(__xludf.DUMMYFUNCTION("""COMPUTED_VALUE"""),0.0)</f>
        <v>0</v>
      </c>
      <c r="O20" s="42">
        <f>IFERROR(__xludf.DUMMYFUNCTION("""COMPUTED_VALUE"""),0.0)</f>
        <v>0</v>
      </c>
      <c r="P20" s="42">
        <f>IFERROR(__xludf.DUMMYFUNCTION("""COMPUTED_VALUE"""),0.0)</f>
        <v>0</v>
      </c>
      <c r="Q20" s="41">
        <f>IFERROR(__xludf.DUMMYFUNCTION("""COMPUTED_VALUE"""),0.0)</f>
        <v>0</v>
      </c>
      <c r="R20" s="42">
        <f>IFERROR(__xludf.DUMMYFUNCTION("""COMPUTED_VALUE"""),0.0)</f>
        <v>0</v>
      </c>
      <c r="S20" s="42">
        <f>IFERROR(__xludf.DUMMYFUNCTION("""COMPUTED_VALUE"""),0.0)</f>
        <v>0</v>
      </c>
      <c r="T20" s="42">
        <f>IFERROR(__xludf.DUMMYFUNCTION("""COMPUTED_VALUE"""),0.0)</f>
        <v>0</v>
      </c>
      <c r="U20" s="41">
        <f>IFERROR(__xludf.DUMMYFUNCTION("""COMPUTED_VALUE"""),0.0)</f>
        <v>0</v>
      </c>
      <c r="V20" s="42">
        <f>IFERROR(__xludf.DUMMYFUNCTION("""COMPUTED_VALUE"""),0.0)</f>
        <v>0</v>
      </c>
      <c r="W20" s="42">
        <f>IFERROR(__xludf.DUMMYFUNCTION("""COMPUTED_VALUE"""),0.0)</f>
        <v>0</v>
      </c>
      <c r="X20" s="42">
        <f>IFERROR(__xludf.DUMMYFUNCTION("""COMPUTED_VALUE"""),0.0)</f>
        <v>0</v>
      </c>
      <c r="Y20" s="41">
        <f>IFERROR(__xludf.DUMMYFUNCTION("""COMPUTED_VALUE"""),0.0)</f>
        <v>0</v>
      </c>
      <c r="Z20" s="42">
        <f>IFERROR(__xludf.DUMMYFUNCTION("""COMPUTED_VALUE"""),0.0)</f>
        <v>0</v>
      </c>
      <c r="AA20" s="42">
        <f>IFERROR(__xludf.DUMMYFUNCTION("""COMPUTED_VALUE"""),0.0)</f>
        <v>0</v>
      </c>
      <c r="AB20" s="42">
        <f>IFERROR(__xludf.DUMMYFUNCTION("""COMPUTED_VALUE"""),0.0)</f>
        <v>0</v>
      </c>
      <c r="AC20" s="41">
        <f>IFERROR(__xludf.DUMMYFUNCTION("""COMPUTED_VALUE"""),0.0)</f>
        <v>0</v>
      </c>
      <c r="AD20" s="42">
        <f>IFERROR(__xludf.DUMMYFUNCTION("""COMPUTED_VALUE"""),0.0)</f>
        <v>0</v>
      </c>
      <c r="AE20" s="42">
        <f>IFERROR(__xludf.DUMMYFUNCTION("""COMPUTED_VALUE"""),0.0)</f>
        <v>0</v>
      </c>
      <c r="AF20" s="42">
        <f>IFERROR(__xludf.DUMMYFUNCTION("""COMPUTED_VALUE"""),0.0)</f>
        <v>0</v>
      </c>
      <c r="AG20" s="41">
        <f>IFERROR(__xludf.DUMMYFUNCTION("""COMPUTED_VALUE"""),0.0)</f>
        <v>0</v>
      </c>
      <c r="AH20" s="42">
        <f>IFERROR(__xludf.DUMMYFUNCTION("""COMPUTED_VALUE"""),0.0)</f>
        <v>0</v>
      </c>
      <c r="AI20" s="42">
        <f>IFERROR(__xludf.DUMMYFUNCTION("""COMPUTED_VALUE"""),0.0)</f>
        <v>0</v>
      </c>
      <c r="AJ20" s="42">
        <f>IFERROR(__xludf.DUMMYFUNCTION("""COMPUTED_VALUE"""),0.0)</f>
        <v>0</v>
      </c>
      <c r="AK20" s="41">
        <f>IFERROR(__xludf.DUMMYFUNCTION("""COMPUTED_VALUE"""),0.0)</f>
        <v>0</v>
      </c>
      <c r="AL20" s="42">
        <f>IFERROR(__xludf.DUMMYFUNCTION("""COMPUTED_VALUE"""),0.0)</f>
        <v>0</v>
      </c>
      <c r="AM20" s="42">
        <f>IFERROR(__xludf.DUMMYFUNCTION("""COMPUTED_VALUE"""),0.0)</f>
        <v>0</v>
      </c>
      <c r="AN20" s="42">
        <f>IFERROR(__xludf.DUMMYFUNCTION("""COMPUTED_VALUE"""),0.0)</f>
        <v>0</v>
      </c>
      <c r="AO20" s="41">
        <f>IFERROR(__xludf.DUMMYFUNCTION("""COMPUTED_VALUE"""),0.0)</f>
        <v>0</v>
      </c>
      <c r="AP20" s="42">
        <f>IFERROR(__xludf.DUMMYFUNCTION("""COMPUTED_VALUE"""),0.0)</f>
        <v>0</v>
      </c>
      <c r="AQ20" s="42">
        <f>IFERROR(__xludf.DUMMYFUNCTION("""COMPUTED_VALUE"""),0.0)</f>
        <v>0</v>
      </c>
      <c r="AR20" s="42">
        <f>IFERROR(__xludf.DUMMYFUNCTION("""COMPUTED_VALUE"""),0.0)</f>
        <v>0</v>
      </c>
      <c r="AS20" s="41">
        <f>IFERROR(__xludf.DUMMYFUNCTION("""COMPUTED_VALUE"""),0.0)</f>
        <v>0</v>
      </c>
      <c r="AT20" s="42">
        <f>IFERROR(__xludf.DUMMYFUNCTION("""COMPUTED_VALUE"""),0.0)</f>
        <v>0</v>
      </c>
      <c r="AU20" s="42">
        <f>IFERROR(__xludf.DUMMYFUNCTION("""COMPUTED_VALUE"""),0.0)</f>
        <v>0</v>
      </c>
      <c r="AV20" s="42">
        <f>IFERROR(__xludf.DUMMYFUNCTION("""COMPUTED_VALUE"""),0.0)</f>
        <v>0</v>
      </c>
      <c r="AW20" s="41">
        <f>IFERROR(__xludf.DUMMYFUNCTION("""COMPUTED_VALUE"""),0.0)</f>
        <v>0</v>
      </c>
      <c r="AX20" s="42">
        <f>IFERROR(__xludf.DUMMYFUNCTION("""COMPUTED_VALUE"""),0.0)</f>
        <v>0</v>
      </c>
      <c r="AY20" s="42">
        <f>IFERROR(__xludf.DUMMYFUNCTION("""COMPUTED_VALUE"""),0.0)</f>
        <v>0</v>
      </c>
      <c r="AZ20" s="43">
        <f>IFERROR(__xludf.DUMMYFUNCTION("""COMPUTED_VALUE"""),0.0)</f>
        <v>0</v>
      </c>
      <c r="BA20" s="34"/>
    </row>
    <row r="21" ht="15.75" customHeight="1">
      <c r="A21" s="29"/>
      <c r="B21" s="30" t="str">
        <f>IFERROR(__xludf.DUMMYFUNCTION("""COMPUTED_VALUE"""),"3. HỌC SINH")</f>
        <v>3. HỌC SINH</v>
      </c>
      <c r="C21" s="31" t="str">
        <f>IFERROR(__xludf.DUMMYFUNCTION("""COMPUTED_VALUE"""),"Tháng")</f>
        <v>Tháng</v>
      </c>
      <c r="D21" s="31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3"/>
      <c r="BA21" s="34"/>
    </row>
    <row r="22" ht="15.75" customHeight="1">
      <c r="A22" s="29"/>
      <c r="B22" s="196" t="str">
        <f>IFERROR(__xludf.DUMMYFUNCTION("""COMPUTED_VALUE"""),"3.1. Tổng số")</f>
        <v>3.1. Tổng số</v>
      </c>
      <c r="C22" s="57"/>
      <c r="D22" s="57" t="str">
        <f>IFERROR(__xludf.DUMMYFUNCTION("""COMPUTED_VALUE"""),"Người")</f>
        <v>Người</v>
      </c>
      <c r="E22" s="125">
        <f>IFERROR(__xludf.DUMMYFUNCTION("""COMPUTED_VALUE"""),24819.0)</f>
        <v>24819</v>
      </c>
      <c r="F22" s="125">
        <f>IFERROR(__xludf.DUMMYFUNCTION("""COMPUTED_VALUE"""),24819.0)</f>
        <v>24819</v>
      </c>
      <c r="G22" s="125">
        <f>IFERROR(__xludf.DUMMYFUNCTION("""COMPUTED_VALUE"""),0.0)</f>
        <v>0</v>
      </c>
      <c r="H22" s="125">
        <f>IFERROR(__xludf.DUMMYFUNCTION("""COMPUTED_VALUE"""),0.0)</f>
        <v>0</v>
      </c>
      <c r="I22" s="125">
        <f>IFERROR(__xludf.DUMMYFUNCTION("""COMPUTED_VALUE"""),24785.0)</f>
        <v>24785</v>
      </c>
      <c r="J22" s="125">
        <f>IFERROR(__xludf.DUMMYFUNCTION("""COMPUTED_VALUE"""),24785.0)</f>
        <v>24785</v>
      </c>
      <c r="K22" s="125">
        <f>IFERROR(__xludf.DUMMYFUNCTION("""COMPUTED_VALUE"""),0.0)</f>
        <v>0</v>
      </c>
      <c r="L22" s="125">
        <f>IFERROR(__xludf.DUMMYFUNCTION("""COMPUTED_VALUE"""),0.0)</f>
        <v>0</v>
      </c>
      <c r="M22" s="125">
        <f>IFERROR(__xludf.DUMMYFUNCTION("""COMPUTED_VALUE"""),24748.0)</f>
        <v>24748</v>
      </c>
      <c r="N22" s="125">
        <f>IFERROR(__xludf.DUMMYFUNCTION("""COMPUTED_VALUE"""),24748.0)</f>
        <v>24748</v>
      </c>
      <c r="O22" s="125">
        <f>IFERROR(__xludf.DUMMYFUNCTION("""COMPUTED_VALUE"""),0.0)</f>
        <v>0</v>
      </c>
      <c r="P22" s="125">
        <f>IFERROR(__xludf.DUMMYFUNCTION("""COMPUTED_VALUE"""),0.0)</f>
        <v>0</v>
      </c>
      <c r="Q22" s="125">
        <f>IFERROR(__xludf.DUMMYFUNCTION("""COMPUTED_VALUE"""),24652.0)</f>
        <v>24652</v>
      </c>
      <c r="R22" s="125">
        <f>IFERROR(__xludf.DUMMYFUNCTION("""COMPUTED_VALUE"""),24652.0)</f>
        <v>24652</v>
      </c>
      <c r="S22" s="125">
        <f>IFERROR(__xludf.DUMMYFUNCTION("""COMPUTED_VALUE"""),0.0)</f>
        <v>0</v>
      </c>
      <c r="T22" s="125">
        <f>IFERROR(__xludf.DUMMYFUNCTION("""COMPUTED_VALUE"""),0.0)</f>
        <v>0</v>
      </c>
      <c r="U22" s="125">
        <f>IFERROR(__xludf.DUMMYFUNCTION("""COMPUTED_VALUE"""),24623.0)</f>
        <v>24623</v>
      </c>
      <c r="V22" s="125">
        <f>IFERROR(__xludf.DUMMYFUNCTION("""COMPUTED_VALUE"""),24623.0)</f>
        <v>24623</v>
      </c>
      <c r="W22" s="125">
        <f>IFERROR(__xludf.DUMMYFUNCTION("""COMPUTED_VALUE"""),0.0)</f>
        <v>0</v>
      </c>
      <c r="X22" s="125">
        <f>IFERROR(__xludf.DUMMYFUNCTION("""COMPUTED_VALUE"""),0.0)</f>
        <v>0</v>
      </c>
      <c r="Y22" s="125">
        <f>IFERROR(__xludf.DUMMYFUNCTION("""COMPUTED_VALUE"""),24561.0)</f>
        <v>24561</v>
      </c>
      <c r="Z22" s="125">
        <f>IFERROR(__xludf.DUMMYFUNCTION("""COMPUTED_VALUE"""),24561.0)</f>
        <v>24561</v>
      </c>
      <c r="AA22" s="125">
        <f>IFERROR(__xludf.DUMMYFUNCTION("""COMPUTED_VALUE"""),0.0)</f>
        <v>0</v>
      </c>
      <c r="AB22" s="125">
        <f>IFERROR(__xludf.DUMMYFUNCTION("""COMPUTED_VALUE"""),0.0)</f>
        <v>0</v>
      </c>
      <c r="AC22" s="125">
        <f>IFERROR(__xludf.DUMMYFUNCTION("""COMPUTED_VALUE"""),24517.0)</f>
        <v>24517</v>
      </c>
      <c r="AD22" s="125">
        <f>IFERROR(__xludf.DUMMYFUNCTION("""COMPUTED_VALUE"""),24517.0)</f>
        <v>24517</v>
      </c>
      <c r="AE22" s="125">
        <f>IFERROR(__xludf.DUMMYFUNCTION("""COMPUTED_VALUE"""),0.0)</f>
        <v>0</v>
      </c>
      <c r="AF22" s="125">
        <f>IFERROR(__xludf.DUMMYFUNCTION("""COMPUTED_VALUE"""),0.0)</f>
        <v>0</v>
      </c>
      <c r="AG22" s="125">
        <f>IFERROR(__xludf.DUMMYFUNCTION("""COMPUTED_VALUE"""),2686.0)</f>
        <v>2686</v>
      </c>
      <c r="AH22" s="125">
        <f>IFERROR(__xludf.DUMMYFUNCTION("""COMPUTED_VALUE"""),2686.0)</f>
        <v>2686</v>
      </c>
      <c r="AI22" s="125">
        <f>IFERROR(__xludf.DUMMYFUNCTION("""COMPUTED_VALUE"""),0.0)</f>
        <v>0</v>
      </c>
      <c r="AJ22" s="125">
        <f>IFERROR(__xludf.DUMMYFUNCTION("""COMPUTED_VALUE"""),0.0)</f>
        <v>0</v>
      </c>
      <c r="AK22" s="125">
        <f>IFERROR(__xludf.DUMMYFUNCTION("""COMPUTED_VALUE"""),0.0)</f>
        <v>0</v>
      </c>
      <c r="AL22" s="125">
        <f>IFERROR(__xludf.DUMMYFUNCTION("""COMPUTED_VALUE"""),0.0)</f>
        <v>0</v>
      </c>
      <c r="AM22" s="125">
        <f>IFERROR(__xludf.DUMMYFUNCTION("""COMPUTED_VALUE"""),0.0)</f>
        <v>0</v>
      </c>
      <c r="AN22" s="125">
        <f>IFERROR(__xludf.DUMMYFUNCTION("""COMPUTED_VALUE"""),0.0)</f>
        <v>0</v>
      </c>
      <c r="AO22" s="125">
        <f>IFERROR(__xludf.DUMMYFUNCTION("""COMPUTED_VALUE"""),0.0)</f>
        <v>0</v>
      </c>
      <c r="AP22" s="125">
        <f>IFERROR(__xludf.DUMMYFUNCTION("""COMPUTED_VALUE"""),0.0)</f>
        <v>0</v>
      </c>
      <c r="AQ22" s="125">
        <f>IFERROR(__xludf.DUMMYFUNCTION("""COMPUTED_VALUE"""),0.0)</f>
        <v>0</v>
      </c>
      <c r="AR22" s="125">
        <f>IFERROR(__xludf.DUMMYFUNCTION("""COMPUTED_VALUE"""),0.0)</f>
        <v>0</v>
      </c>
      <c r="AS22" s="125">
        <f>IFERROR(__xludf.DUMMYFUNCTION("""COMPUTED_VALUE"""),0.0)</f>
        <v>0</v>
      </c>
      <c r="AT22" s="125">
        <f>IFERROR(__xludf.DUMMYFUNCTION("""COMPUTED_VALUE"""),0.0)</f>
        <v>0</v>
      </c>
      <c r="AU22" s="125">
        <f>IFERROR(__xludf.DUMMYFUNCTION("""COMPUTED_VALUE"""),0.0)</f>
        <v>0</v>
      </c>
      <c r="AV22" s="125">
        <f>IFERROR(__xludf.DUMMYFUNCTION("""COMPUTED_VALUE"""),0.0)</f>
        <v>0</v>
      </c>
      <c r="AW22" s="125">
        <f>IFERROR(__xludf.DUMMYFUNCTION("""COMPUTED_VALUE"""),0.0)</f>
        <v>0</v>
      </c>
      <c r="AX22" s="125">
        <f>IFERROR(__xludf.DUMMYFUNCTION("""COMPUTED_VALUE"""),0.0)</f>
        <v>0</v>
      </c>
      <c r="AY22" s="125">
        <f>IFERROR(__xludf.DUMMYFUNCTION("""COMPUTED_VALUE"""),0.0)</f>
        <v>0</v>
      </c>
      <c r="AZ22" s="127">
        <f>IFERROR(__xludf.DUMMYFUNCTION("""COMPUTED_VALUE"""),0.0)</f>
        <v>0</v>
      </c>
      <c r="BA22" s="34"/>
    </row>
    <row r="23" ht="15.75" customHeight="1">
      <c r="A23" s="29"/>
      <c r="B23" s="48" t="str">
        <f>IFERROR(__xludf.DUMMYFUNCTION("""COMPUTED_VALUE"""),"Chia ra:")</f>
        <v>Chia ra:</v>
      </c>
      <c r="C23" s="49"/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3"/>
      <c r="BA23" s="34"/>
    </row>
    <row r="24" ht="15.75" customHeight="1">
      <c r="A24" s="29"/>
      <c r="B24" s="67" t="str">
        <f>IFERROR(__xludf.DUMMYFUNCTION("""COMPUTED_VALUE""")," + Lớp 10")</f>
        <v> + Lớp 10</v>
      </c>
      <c r="C24" s="31"/>
      <c r="D24" s="31" t="str">
        <f>IFERROR(__xludf.DUMMYFUNCTION("""COMPUTED_VALUE"""),"""")</f>
        <v>"</v>
      </c>
      <c r="E24" s="41">
        <f>IFERROR(__xludf.DUMMYFUNCTION("""COMPUTED_VALUE"""),9065.0)</f>
        <v>9065</v>
      </c>
      <c r="F24" s="42">
        <f>IFERROR(__xludf.DUMMYFUNCTION("""COMPUTED_VALUE"""),9065.0)</f>
        <v>9065</v>
      </c>
      <c r="G24" s="42">
        <f>IFERROR(__xludf.DUMMYFUNCTION("""COMPUTED_VALUE"""),0.0)</f>
        <v>0</v>
      </c>
      <c r="H24" s="42">
        <f>IFERROR(__xludf.DUMMYFUNCTION("""COMPUTED_VALUE"""),0.0)</f>
        <v>0</v>
      </c>
      <c r="I24" s="41">
        <f>IFERROR(__xludf.DUMMYFUNCTION("""COMPUTED_VALUE"""),9046.0)</f>
        <v>9046</v>
      </c>
      <c r="J24" s="42">
        <f>IFERROR(__xludf.DUMMYFUNCTION("""COMPUTED_VALUE"""),9046.0)</f>
        <v>9046</v>
      </c>
      <c r="K24" s="42">
        <f>IFERROR(__xludf.DUMMYFUNCTION("""COMPUTED_VALUE"""),0.0)</f>
        <v>0</v>
      </c>
      <c r="L24" s="42">
        <f>IFERROR(__xludf.DUMMYFUNCTION("""COMPUTED_VALUE"""),0.0)</f>
        <v>0</v>
      </c>
      <c r="M24" s="41">
        <f>IFERROR(__xludf.DUMMYFUNCTION("""COMPUTED_VALUE"""),9029.0)</f>
        <v>9029</v>
      </c>
      <c r="N24" s="42">
        <f>IFERROR(__xludf.DUMMYFUNCTION("""COMPUTED_VALUE"""),9029.0)</f>
        <v>9029</v>
      </c>
      <c r="O24" s="42">
        <f>IFERROR(__xludf.DUMMYFUNCTION("""COMPUTED_VALUE"""),0.0)</f>
        <v>0</v>
      </c>
      <c r="P24" s="42">
        <f>IFERROR(__xludf.DUMMYFUNCTION("""COMPUTED_VALUE"""),0.0)</f>
        <v>0</v>
      </c>
      <c r="Q24" s="41">
        <f>IFERROR(__xludf.DUMMYFUNCTION("""COMPUTED_VALUE"""),8978.0)</f>
        <v>8978</v>
      </c>
      <c r="R24" s="42">
        <f>IFERROR(__xludf.DUMMYFUNCTION("""COMPUTED_VALUE"""),8978.0)</f>
        <v>8978</v>
      </c>
      <c r="S24" s="42">
        <f>IFERROR(__xludf.DUMMYFUNCTION("""COMPUTED_VALUE"""),0.0)</f>
        <v>0</v>
      </c>
      <c r="T24" s="42">
        <f>IFERROR(__xludf.DUMMYFUNCTION("""COMPUTED_VALUE"""),0.0)</f>
        <v>0</v>
      </c>
      <c r="U24" s="41">
        <f>IFERROR(__xludf.DUMMYFUNCTION("""COMPUTED_VALUE"""),8961.0)</f>
        <v>8961</v>
      </c>
      <c r="V24" s="42">
        <f>IFERROR(__xludf.DUMMYFUNCTION("""COMPUTED_VALUE"""),8961.0)</f>
        <v>8961</v>
      </c>
      <c r="W24" s="42">
        <f>IFERROR(__xludf.DUMMYFUNCTION("""COMPUTED_VALUE"""),0.0)</f>
        <v>0</v>
      </c>
      <c r="X24" s="42">
        <f>IFERROR(__xludf.DUMMYFUNCTION("""COMPUTED_VALUE"""),0.0)</f>
        <v>0</v>
      </c>
      <c r="Y24" s="41">
        <f>IFERROR(__xludf.DUMMYFUNCTION("""COMPUTED_VALUE"""),8919.0)</f>
        <v>8919</v>
      </c>
      <c r="Z24" s="42">
        <f>IFERROR(__xludf.DUMMYFUNCTION("""COMPUTED_VALUE"""),8919.0)</f>
        <v>8919</v>
      </c>
      <c r="AA24" s="42">
        <f>IFERROR(__xludf.DUMMYFUNCTION("""COMPUTED_VALUE"""),0.0)</f>
        <v>0</v>
      </c>
      <c r="AB24" s="42">
        <f>IFERROR(__xludf.DUMMYFUNCTION("""COMPUTED_VALUE"""),0.0)</f>
        <v>0</v>
      </c>
      <c r="AC24" s="41">
        <f>IFERROR(__xludf.DUMMYFUNCTION("""COMPUTED_VALUE"""),8892.0)</f>
        <v>8892</v>
      </c>
      <c r="AD24" s="42">
        <f>IFERROR(__xludf.DUMMYFUNCTION("""COMPUTED_VALUE"""),8892.0)</f>
        <v>8892</v>
      </c>
      <c r="AE24" s="42">
        <f>IFERROR(__xludf.DUMMYFUNCTION("""COMPUTED_VALUE"""),0.0)</f>
        <v>0</v>
      </c>
      <c r="AF24" s="42">
        <f>IFERROR(__xludf.DUMMYFUNCTION("""COMPUTED_VALUE"""),0.0)</f>
        <v>0</v>
      </c>
      <c r="AG24" s="41">
        <f>IFERROR(__xludf.DUMMYFUNCTION("""COMPUTED_VALUE"""),943.0)</f>
        <v>943</v>
      </c>
      <c r="AH24" s="42">
        <f>IFERROR(__xludf.DUMMYFUNCTION("""COMPUTED_VALUE"""),943.0)</f>
        <v>943</v>
      </c>
      <c r="AI24" s="42">
        <f>IFERROR(__xludf.DUMMYFUNCTION("""COMPUTED_VALUE"""),0.0)</f>
        <v>0</v>
      </c>
      <c r="AJ24" s="42">
        <f>IFERROR(__xludf.DUMMYFUNCTION("""COMPUTED_VALUE"""),0.0)</f>
        <v>0</v>
      </c>
      <c r="AK24" s="41">
        <f>IFERROR(__xludf.DUMMYFUNCTION("""COMPUTED_VALUE"""),0.0)</f>
        <v>0</v>
      </c>
      <c r="AL24" s="42">
        <f>IFERROR(__xludf.DUMMYFUNCTION("""COMPUTED_VALUE"""),0.0)</f>
        <v>0</v>
      </c>
      <c r="AM24" s="42">
        <f>IFERROR(__xludf.DUMMYFUNCTION("""COMPUTED_VALUE"""),0.0)</f>
        <v>0</v>
      </c>
      <c r="AN24" s="42">
        <f>IFERROR(__xludf.DUMMYFUNCTION("""COMPUTED_VALUE"""),0.0)</f>
        <v>0</v>
      </c>
      <c r="AO24" s="41">
        <f>IFERROR(__xludf.DUMMYFUNCTION("""COMPUTED_VALUE"""),0.0)</f>
        <v>0</v>
      </c>
      <c r="AP24" s="42">
        <f>IFERROR(__xludf.DUMMYFUNCTION("""COMPUTED_VALUE"""),0.0)</f>
        <v>0</v>
      </c>
      <c r="AQ24" s="42">
        <f>IFERROR(__xludf.DUMMYFUNCTION("""COMPUTED_VALUE"""),0.0)</f>
        <v>0</v>
      </c>
      <c r="AR24" s="42">
        <f>IFERROR(__xludf.DUMMYFUNCTION("""COMPUTED_VALUE"""),0.0)</f>
        <v>0</v>
      </c>
      <c r="AS24" s="41">
        <f>IFERROR(__xludf.DUMMYFUNCTION("""COMPUTED_VALUE"""),0.0)</f>
        <v>0</v>
      </c>
      <c r="AT24" s="42">
        <f>IFERROR(__xludf.DUMMYFUNCTION("""COMPUTED_VALUE"""),0.0)</f>
        <v>0</v>
      </c>
      <c r="AU24" s="42">
        <f>IFERROR(__xludf.DUMMYFUNCTION("""COMPUTED_VALUE"""),0.0)</f>
        <v>0</v>
      </c>
      <c r="AV24" s="42">
        <f>IFERROR(__xludf.DUMMYFUNCTION("""COMPUTED_VALUE"""),0.0)</f>
        <v>0</v>
      </c>
      <c r="AW24" s="41">
        <f>IFERROR(__xludf.DUMMYFUNCTION("""COMPUTED_VALUE"""),0.0)</f>
        <v>0</v>
      </c>
      <c r="AX24" s="42">
        <f>IFERROR(__xludf.DUMMYFUNCTION("""COMPUTED_VALUE"""),0.0)</f>
        <v>0</v>
      </c>
      <c r="AY24" s="42">
        <f>IFERROR(__xludf.DUMMYFUNCTION("""COMPUTED_VALUE"""),0.0)</f>
        <v>0</v>
      </c>
      <c r="AZ24" s="43">
        <f>IFERROR(__xludf.DUMMYFUNCTION("""COMPUTED_VALUE"""),0.0)</f>
        <v>0</v>
      </c>
      <c r="BA24" s="34"/>
    </row>
    <row r="25" ht="15.75" customHeight="1">
      <c r="A25" s="29"/>
      <c r="B25" s="67" t="str">
        <f>IFERROR(__xludf.DUMMYFUNCTION("""COMPUTED_VALUE""")," + Lớp 11")</f>
        <v> + Lớp 11</v>
      </c>
      <c r="C25" s="31"/>
      <c r="D25" s="31" t="str">
        <f>IFERROR(__xludf.DUMMYFUNCTION("""COMPUTED_VALUE"""),"""")</f>
        <v>"</v>
      </c>
      <c r="E25" s="41">
        <f>IFERROR(__xludf.DUMMYFUNCTION("""COMPUTED_VALUE"""),8150.0)</f>
        <v>8150</v>
      </c>
      <c r="F25" s="42">
        <f>IFERROR(__xludf.DUMMYFUNCTION("""COMPUTED_VALUE"""),8150.0)</f>
        <v>8150</v>
      </c>
      <c r="G25" s="42">
        <f>IFERROR(__xludf.DUMMYFUNCTION("""COMPUTED_VALUE"""),0.0)</f>
        <v>0</v>
      </c>
      <c r="H25" s="42">
        <f>IFERROR(__xludf.DUMMYFUNCTION("""COMPUTED_VALUE"""),0.0)</f>
        <v>0</v>
      </c>
      <c r="I25" s="41">
        <f>IFERROR(__xludf.DUMMYFUNCTION("""COMPUTED_VALUE"""),8137.0)</f>
        <v>8137</v>
      </c>
      <c r="J25" s="42">
        <f>IFERROR(__xludf.DUMMYFUNCTION("""COMPUTED_VALUE"""),8137.0)</f>
        <v>8137</v>
      </c>
      <c r="K25" s="42">
        <f>IFERROR(__xludf.DUMMYFUNCTION("""COMPUTED_VALUE"""),0.0)</f>
        <v>0</v>
      </c>
      <c r="L25" s="42">
        <f>IFERROR(__xludf.DUMMYFUNCTION("""COMPUTED_VALUE"""),0.0)</f>
        <v>0</v>
      </c>
      <c r="M25" s="41">
        <f>IFERROR(__xludf.DUMMYFUNCTION("""COMPUTED_VALUE"""),8126.0)</f>
        <v>8126</v>
      </c>
      <c r="N25" s="42">
        <f>IFERROR(__xludf.DUMMYFUNCTION("""COMPUTED_VALUE"""),8126.0)</f>
        <v>8126</v>
      </c>
      <c r="O25" s="42">
        <f>IFERROR(__xludf.DUMMYFUNCTION("""COMPUTED_VALUE"""),0.0)</f>
        <v>0</v>
      </c>
      <c r="P25" s="42">
        <f>IFERROR(__xludf.DUMMYFUNCTION("""COMPUTED_VALUE"""),0.0)</f>
        <v>0</v>
      </c>
      <c r="Q25" s="41">
        <f>IFERROR(__xludf.DUMMYFUNCTION("""COMPUTED_VALUE"""),8097.0)</f>
        <v>8097</v>
      </c>
      <c r="R25" s="42">
        <f>IFERROR(__xludf.DUMMYFUNCTION("""COMPUTED_VALUE"""),8097.0)</f>
        <v>8097</v>
      </c>
      <c r="S25" s="42">
        <f>IFERROR(__xludf.DUMMYFUNCTION("""COMPUTED_VALUE"""),0.0)</f>
        <v>0</v>
      </c>
      <c r="T25" s="42">
        <f>IFERROR(__xludf.DUMMYFUNCTION("""COMPUTED_VALUE"""),0.0)</f>
        <v>0</v>
      </c>
      <c r="U25" s="41">
        <f>IFERROR(__xludf.DUMMYFUNCTION("""COMPUTED_VALUE"""),8087.0)</f>
        <v>8087</v>
      </c>
      <c r="V25" s="42">
        <f>IFERROR(__xludf.DUMMYFUNCTION("""COMPUTED_VALUE"""),8087.0)</f>
        <v>8087</v>
      </c>
      <c r="W25" s="42">
        <f>IFERROR(__xludf.DUMMYFUNCTION("""COMPUTED_VALUE"""),0.0)</f>
        <v>0</v>
      </c>
      <c r="X25" s="42">
        <f>IFERROR(__xludf.DUMMYFUNCTION("""COMPUTED_VALUE"""),0.0)</f>
        <v>0</v>
      </c>
      <c r="Y25" s="41">
        <f>IFERROR(__xludf.DUMMYFUNCTION("""COMPUTED_VALUE"""),8077.0)</f>
        <v>8077</v>
      </c>
      <c r="Z25" s="42">
        <f>IFERROR(__xludf.DUMMYFUNCTION("""COMPUTED_VALUE"""),8077.0)</f>
        <v>8077</v>
      </c>
      <c r="AA25" s="42">
        <f>IFERROR(__xludf.DUMMYFUNCTION("""COMPUTED_VALUE"""),0.0)</f>
        <v>0</v>
      </c>
      <c r="AB25" s="42">
        <f>IFERROR(__xludf.DUMMYFUNCTION("""COMPUTED_VALUE"""),0.0)</f>
        <v>0</v>
      </c>
      <c r="AC25" s="41">
        <f>IFERROR(__xludf.DUMMYFUNCTION("""COMPUTED_VALUE"""),8064.0)</f>
        <v>8064</v>
      </c>
      <c r="AD25" s="42">
        <f>IFERROR(__xludf.DUMMYFUNCTION("""COMPUTED_VALUE"""),8064.0)</f>
        <v>8064</v>
      </c>
      <c r="AE25" s="42">
        <f>IFERROR(__xludf.DUMMYFUNCTION("""COMPUTED_VALUE"""),0.0)</f>
        <v>0</v>
      </c>
      <c r="AF25" s="42">
        <f>IFERROR(__xludf.DUMMYFUNCTION("""COMPUTED_VALUE"""),0.0)</f>
        <v>0</v>
      </c>
      <c r="AG25" s="41">
        <f>IFERROR(__xludf.DUMMYFUNCTION("""COMPUTED_VALUE"""),923.0)</f>
        <v>923</v>
      </c>
      <c r="AH25" s="42">
        <f>IFERROR(__xludf.DUMMYFUNCTION("""COMPUTED_VALUE"""),923.0)</f>
        <v>923</v>
      </c>
      <c r="AI25" s="42">
        <f>IFERROR(__xludf.DUMMYFUNCTION("""COMPUTED_VALUE"""),0.0)</f>
        <v>0</v>
      </c>
      <c r="AJ25" s="42">
        <f>IFERROR(__xludf.DUMMYFUNCTION("""COMPUTED_VALUE"""),0.0)</f>
        <v>0</v>
      </c>
      <c r="AK25" s="41">
        <f>IFERROR(__xludf.DUMMYFUNCTION("""COMPUTED_VALUE"""),0.0)</f>
        <v>0</v>
      </c>
      <c r="AL25" s="42">
        <f>IFERROR(__xludf.DUMMYFUNCTION("""COMPUTED_VALUE"""),0.0)</f>
        <v>0</v>
      </c>
      <c r="AM25" s="42">
        <f>IFERROR(__xludf.DUMMYFUNCTION("""COMPUTED_VALUE"""),0.0)</f>
        <v>0</v>
      </c>
      <c r="AN25" s="42">
        <f>IFERROR(__xludf.DUMMYFUNCTION("""COMPUTED_VALUE"""),0.0)</f>
        <v>0</v>
      </c>
      <c r="AO25" s="41">
        <f>IFERROR(__xludf.DUMMYFUNCTION("""COMPUTED_VALUE"""),0.0)</f>
        <v>0</v>
      </c>
      <c r="AP25" s="42">
        <f>IFERROR(__xludf.DUMMYFUNCTION("""COMPUTED_VALUE"""),0.0)</f>
        <v>0</v>
      </c>
      <c r="AQ25" s="42">
        <f>IFERROR(__xludf.DUMMYFUNCTION("""COMPUTED_VALUE"""),0.0)</f>
        <v>0</v>
      </c>
      <c r="AR25" s="42">
        <f>IFERROR(__xludf.DUMMYFUNCTION("""COMPUTED_VALUE"""),0.0)</f>
        <v>0</v>
      </c>
      <c r="AS25" s="41">
        <f>IFERROR(__xludf.DUMMYFUNCTION("""COMPUTED_VALUE"""),0.0)</f>
        <v>0</v>
      </c>
      <c r="AT25" s="42">
        <f>IFERROR(__xludf.DUMMYFUNCTION("""COMPUTED_VALUE"""),0.0)</f>
        <v>0</v>
      </c>
      <c r="AU25" s="42">
        <f>IFERROR(__xludf.DUMMYFUNCTION("""COMPUTED_VALUE"""),0.0)</f>
        <v>0</v>
      </c>
      <c r="AV25" s="42">
        <f>IFERROR(__xludf.DUMMYFUNCTION("""COMPUTED_VALUE"""),0.0)</f>
        <v>0</v>
      </c>
      <c r="AW25" s="41">
        <f>IFERROR(__xludf.DUMMYFUNCTION("""COMPUTED_VALUE"""),0.0)</f>
        <v>0</v>
      </c>
      <c r="AX25" s="42">
        <f>IFERROR(__xludf.DUMMYFUNCTION("""COMPUTED_VALUE"""),0.0)</f>
        <v>0</v>
      </c>
      <c r="AY25" s="42">
        <f>IFERROR(__xludf.DUMMYFUNCTION("""COMPUTED_VALUE"""),0.0)</f>
        <v>0</v>
      </c>
      <c r="AZ25" s="43">
        <f>IFERROR(__xludf.DUMMYFUNCTION("""COMPUTED_VALUE"""),0.0)</f>
        <v>0</v>
      </c>
      <c r="BA25" s="34"/>
    </row>
    <row r="26" ht="15.75" customHeight="1">
      <c r="A26" s="29"/>
      <c r="B26" s="67" t="str">
        <f>IFERROR(__xludf.DUMMYFUNCTION("""COMPUTED_VALUE""")," + Lớp 12")</f>
        <v> + Lớp 12</v>
      </c>
      <c r="C26" s="31"/>
      <c r="D26" s="31" t="str">
        <f>IFERROR(__xludf.DUMMYFUNCTION("""COMPUTED_VALUE"""),"""")</f>
        <v>"</v>
      </c>
      <c r="E26" s="41">
        <f>IFERROR(__xludf.DUMMYFUNCTION("""COMPUTED_VALUE"""),7604.0)</f>
        <v>7604</v>
      </c>
      <c r="F26" s="42">
        <f>IFERROR(__xludf.DUMMYFUNCTION("""COMPUTED_VALUE"""),7604.0)</f>
        <v>7604</v>
      </c>
      <c r="G26" s="42">
        <f>IFERROR(__xludf.DUMMYFUNCTION("""COMPUTED_VALUE"""),0.0)</f>
        <v>0</v>
      </c>
      <c r="H26" s="42">
        <f>IFERROR(__xludf.DUMMYFUNCTION("""COMPUTED_VALUE"""),0.0)</f>
        <v>0</v>
      </c>
      <c r="I26" s="41">
        <f>IFERROR(__xludf.DUMMYFUNCTION("""COMPUTED_VALUE"""),7602.0)</f>
        <v>7602</v>
      </c>
      <c r="J26" s="42">
        <f>IFERROR(__xludf.DUMMYFUNCTION("""COMPUTED_VALUE"""),7602.0)</f>
        <v>7602</v>
      </c>
      <c r="K26" s="42">
        <f>IFERROR(__xludf.DUMMYFUNCTION("""COMPUTED_VALUE"""),0.0)</f>
        <v>0</v>
      </c>
      <c r="L26" s="42">
        <f>IFERROR(__xludf.DUMMYFUNCTION("""COMPUTED_VALUE"""),0.0)</f>
        <v>0</v>
      </c>
      <c r="M26" s="41">
        <f>IFERROR(__xludf.DUMMYFUNCTION("""COMPUTED_VALUE"""),7593.0)</f>
        <v>7593</v>
      </c>
      <c r="N26" s="42">
        <f>IFERROR(__xludf.DUMMYFUNCTION("""COMPUTED_VALUE"""),7593.0)</f>
        <v>7593</v>
      </c>
      <c r="O26" s="42">
        <f>IFERROR(__xludf.DUMMYFUNCTION("""COMPUTED_VALUE"""),0.0)</f>
        <v>0</v>
      </c>
      <c r="P26" s="42">
        <f>IFERROR(__xludf.DUMMYFUNCTION("""COMPUTED_VALUE"""),0.0)</f>
        <v>0</v>
      </c>
      <c r="Q26" s="41">
        <f>IFERROR(__xludf.DUMMYFUNCTION("""COMPUTED_VALUE"""),7577.0)</f>
        <v>7577</v>
      </c>
      <c r="R26" s="42">
        <f>IFERROR(__xludf.DUMMYFUNCTION("""COMPUTED_VALUE"""),7577.0)</f>
        <v>7577</v>
      </c>
      <c r="S26" s="42">
        <f>IFERROR(__xludf.DUMMYFUNCTION("""COMPUTED_VALUE"""),0.0)</f>
        <v>0</v>
      </c>
      <c r="T26" s="42">
        <f>IFERROR(__xludf.DUMMYFUNCTION("""COMPUTED_VALUE"""),0.0)</f>
        <v>0</v>
      </c>
      <c r="U26" s="41">
        <f>IFERROR(__xludf.DUMMYFUNCTION("""COMPUTED_VALUE"""),7575.0)</f>
        <v>7575</v>
      </c>
      <c r="V26" s="42">
        <f>IFERROR(__xludf.DUMMYFUNCTION("""COMPUTED_VALUE"""),7575.0)</f>
        <v>7575</v>
      </c>
      <c r="W26" s="42">
        <f>IFERROR(__xludf.DUMMYFUNCTION("""COMPUTED_VALUE"""),0.0)</f>
        <v>0</v>
      </c>
      <c r="X26" s="42">
        <f>IFERROR(__xludf.DUMMYFUNCTION("""COMPUTED_VALUE"""),0.0)</f>
        <v>0</v>
      </c>
      <c r="Y26" s="41">
        <f>IFERROR(__xludf.DUMMYFUNCTION("""COMPUTED_VALUE"""),7565.0)</f>
        <v>7565</v>
      </c>
      <c r="Z26" s="42">
        <f>IFERROR(__xludf.DUMMYFUNCTION("""COMPUTED_VALUE"""),7565.0)</f>
        <v>7565</v>
      </c>
      <c r="AA26" s="42">
        <f>IFERROR(__xludf.DUMMYFUNCTION("""COMPUTED_VALUE"""),0.0)</f>
        <v>0</v>
      </c>
      <c r="AB26" s="42">
        <f>IFERROR(__xludf.DUMMYFUNCTION("""COMPUTED_VALUE"""),0.0)</f>
        <v>0</v>
      </c>
      <c r="AC26" s="41">
        <f>IFERROR(__xludf.DUMMYFUNCTION("""COMPUTED_VALUE"""),7561.0)</f>
        <v>7561</v>
      </c>
      <c r="AD26" s="42">
        <f>IFERROR(__xludf.DUMMYFUNCTION("""COMPUTED_VALUE"""),7561.0)</f>
        <v>7561</v>
      </c>
      <c r="AE26" s="42">
        <f>IFERROR(__xludf.DUMMYFUNCTION("""COMPUTED_VALUE"""),0.0)</f>
        <v>0</v>
      </c>
      <c r="AF26" s="42">
        <f>IFERROR(__xludf.DUMMYFUNCTION("""COMPUTED_VALUE"""),0.0)</f>
        <v>0</v>
      </c>
      <c r="AG26" s="41">
        <f>IFERROR(__xludf.DUMMYFUNCTION("""COMPUTED_VALUE"""),820.0)</f>
        <v>820</v>
      </c>
      <c r="AH26" s="42">
        <f>IFERROR(__xludf.DUMMYFUNCTION("""COMPUTED_VALUE"""),820.0)</f>
        <v>820</v>
      </c>
      <c r="AI26" s="42">
        <f>IFERROR(__xludf.DUMMYFUNCTION("""COMPUTED_VALUE"""),0.0)</f>
        <v>0</v>
      </c>
      <c r="AJ26" s="42">
        <f>IFERROR(__xludf.DUMMYFUNCTION("""COMPUTED_VALUE"""),0.0)</f>
        <v>0</v>
      </c>
      <c r="AK26" s="41">
        <f>IFERROR(__xludf.DUMMYFUNCTION("""COMPUTED_VALUE"""),0.0)</f>
        <v>0</v>
      </c>
      <c r="AL26" s="42">
        <f>IFERROR(__xludf.DUMMYFUNCTION("""COMPUTED_VALUE"""),0.0)</f>
        <v>0</v>
      </c>
      <c r="AM26" s="42">
        <f>IFERROR(__xludf.DUMMYFUNCTION("""COMPUTED_VALUE"""),0.0)</f>
        <v>0</v>
      </c>
      <c r="AN26" s="42">
        <f>IFERROR(__xludf.DUMMYFUNCTION("""COMPUTED_VALUE"""),0.0)</f>
        <v>0</v>
      </c>
      <c r="AO26" s="41">
        <f>IFERROR(__xludf.DUMMYFUNCTION("""COMPUTED_VALUE"""),0.0)</f>
        <v>0</v>
      </c>
      <c r="AP26" s="42">
        <f>IFERROR(__xludf.DUMMYFUNCTION("""COMPUTED_VALUE"""),0.0)</f>
        <v>0</v>
      </c>
      <c r="AQ26" s="42">
        <f>IFERROR(__xludf.DUMMYFUNCTION("""COMPUTED_VALUE"""),0.0)</f>
        <v>0</v>
      </c>
      <c r="AR26" s="42">
        <f>IFERROR(__xludf.DUMMYFUNCTION("""COMPUTED_VALUE"""),0.0)</f>
        <v>0</v>
      </c>
      <c r="AS26" s="41">
        <f>IFERROR(__xludf.DUMMYFUNCTION("""COMPUTED_VALUE"""),0.0)</f>
        <v>0</v>
      </c>
      <c r="AT26" s="42">
        <f>IFERROR(__xludf.DUMMYFUNCTION("""COMPUTED_VALUE"""),0.0)</f>
        <v>0</v>
      </c>
      <c r="AU26" s="42">
        <f>IFERROR(__xludf.DUMMYFUNCTION("""COMPUTED_VALUE"""),0.0)</f>
        <v>0</v>
      </c>
      <c r="AV26" s="42">
        <f>IFERROR(__xludf.DUMMYFUNCTION("""COMPUTED_VALUE"""),0.0)</f>
        <v>0</v>
      </c>
      <c r="AW26" s="41">
        <f>IFERROR(__xludf.DUMMYFUNCTION("""COMPUTED_VALUE"""),0.0)</f>
        <v>0</v>
      </c>
      <c r="AX26" s="42">
        <f>IFERROR(__xludf.DUMMYFUNCTION("""COMPUTED_VALUE"""),0.0)</f>
        <v>0</v>
      </c>
      <c r="AY26" s="42">
        <f>IFERROR(__xludf.DUMMYFUNCTION("""COMPUTED_VALUE"""),0.0)</f>
        <v>0</v>
      </c>
      <c r="AZ26" s="43">
        <f>IFERROR(__xludf.DUMMYFUNCTION("""COMPUTED_VALUE"""),0.0)</f>
        <v>0</v>
      </c>
      <c r="BA26" s="34"/>
    </row>
    <row r="27" ht="15.75" customHeight="1">
      <c r="A27" s="29"/>
      <c r="B27" s="67" t="str">
        <f>IFERROR(__xludf.DUMMYFUNCTION("""COMPUTED_VALUE""")," + Lớp ghép")</f>
        <v> + Lớp ghép</v>
      </c>
      <c r="C27" s="31"/>
      <c r="D27" s="31" t="str">
        <f>IFERROR(__xludf.DUMMYFUNCTION("""COMPUTED_VALUE"""),"""")</f>
        <v>"</v>
      </c>
      <c r="E27" s="41">
        <f>IFERROR(__xludf.DUMMYFUNCTION("""COMPUTED_VALUE"""),0.0)</f>
        <v>0</v>
      </c>
      <c r="F27" s="42">
        <f>IFERROR(__xludf.DUMMYFUNCTION("""COMPUTED_VALUE"""),0.0)</f>
        <v>0</v>
      </c>
      <c r="G27" s="42">
        <f>IFERROR(__xludf.DUMMYFUNCTION("""COMPUTED_VALUE"""),0.0)</f>
        <v>0</v>
      </c>
      <c r="H27" s="42">
        <f>IFERROR(__xludf.DUMMYFUNCTION("""COMPUTED_VALUE"""),0.0)</f>
        <v>0</v>
      </c>
      <c r="I27" s="41">
        <f>IFERROR(__xludf.DUMMYFUNCTION("""COMPUTED_VALUE"""),0.0)</f>
        <v>0</v>
      </c>
      <c r="J27" s="42">
        <f>IFERROR(__xludf.DUMMYFUNCTION("""COMPUTED_VALUE"""),0.0)</f>
        <v>0</v>
      </c>
      <c r="K27" s="42">
        <f>IFERROR(__xludf.DUMMYFUNCTION("""COMPUTED_VALUE"""),0.0)</f>
        <v>0</v>
      </c>
      <c r="L27" s="42">
        <f>IFERROR(__xludf.DUMMYFUNCTION("""COMPUTED_VALUE"""),0.0)</f>
        <v>0</v>
      </c>
      <c r="M27" s="41">
        <f>IFERROR(__xludf.DUMMYFUNCTION("""COMPUTED_VALUE"""),0.0)</f>
        <v>0</v>
      </c>
      <c r="N27" s="42">
        <f>IFERROR(__xludf.DUMMYFUNCTION("""COMPUTED_VALUE"""),0.0)</f>
        <v>0</v>
      </c>
      <c r="O27" s="42">
        <f>IFERROR(__xludf.DUMMYFUNCTION("""COMPUTED_VALUE"""),0.0)</f>
        <v>0</v>
      </c>
      <c r="P27" s="42">
        <f>IFERROR(__xludf.DUMMYFUNCTION("""COMPUTED_VALUE"""),0.0)</f>
        <v>0</v>
      </c>
      <c r="Q27" s="41">
        <f>IFERROR(__xludf.DUMMYFUNCTION("""COMPUTED_VALUE"""),0.0)</f>
        <v>0</v>
      </c>
      <c r="R27" s="42">
        <f>IFERROR(__xludf.DUMMYFUNCTION("""COMPUTED_VALUE"""),0.0)</f>
        <v>0</v>
      </c>
      <c r="S27" s="42">
        <f>IFERROR(__xludf.DUMMYFUNCTION("""COMPUTED_VALUE"""),0.0)</f>
        <v>0</v>
      </c>
      <c r="T27" s="42">
        <f>IFERROR(__xludf.DUMMYFUNCTION("""COMPUTED_VALUE"""),0.0)</f>
        <v>0</v>
      </c>
      <c r="U27" s="41">
        <f>IFERROR(__xludf.DUMMYFUNCTION("""COMPUTED_VALUE"""),0.0)</f>
        <v>0</v>
      </c>
      <c r="V27" s="42">
        <f>IFERROR(__xludf.DUMMYFUNCTION("""COMPUTED_VALUE"""),0.0)</f>
        <v>0</v>
      </c>
      <c r="W27" s="42">
        <f>IFERROR(__xludf.DUMMYFUNCTION("""COMPUTED_VALUE"""),0.0)</f>
        <v>0</v>
      </c>
      <c r="X27" s="42">
        <f>IFERROR(__xludf.DUMMYFUNCTION("""COMPUTED_VALUE"""),0.0)</f>
        <v>0</v>
      </c>
      <c r="Y27" s="41">
        <f>IFERROR(__xludf.DUMMYFUNCTION("""COMPUTED_VALUE"""),0.0)</f>
        <v>0</v>
      </c>
      <c r="Z27" s="42">
        <f>IFERROR(__xludf.DUMMYFUNCTION("""COMPUTED_VALUE"""),0.0)</f>
        <v>0</v>
      </c>
      <c r="AA27" s="42">
        <f>IFERROR(__xludf.DUMMYFUNCTION("""COMPUTED_VALUE"""),0.0)</f>
        <v>0</v>
      </c>
      <c r="AB27" s="42">
        <f>IFERROR(__xludf.DUMMYFUNCTION("""COMPUTED_VALUE"""),0.0)</f>
        <v>0</v>
      </c>
      <c r="AC27" s="41">
        <f>IFERROR(__xludf.DUMMYFUNCTION("""COMPUTED_VALUE"""),0.0)</f>
        <v>0</v>
      </c>
      <c r="AD27" s="42">
        <f>IFERROR(__xludf.DUMMYFUNCTION("""COMPUTED_VALUE"""),0.0)</f>
        <v>0</v>
      </c>
      <c r="AE27" s="42">
        <f>IFERROR(__xludf.DUMMYFUNCTION("""COMPUTED_VALUE"""),0.0)</f>
        <v>0</v>
      </c>
      <c r="AF27" s="42">
        <f>IFERROR(__xludf.DUMMYFUNCTION("""COMPUTED_VALUE"""),0.0)</f>
        <v>0</v>
      </c>
      <c r="AG27" s="41">
        <f>IFERROR(__xludf.DUMMYFUNCTION("""COMPUTED_VALUE"""),0.0)</f>
        <v>0</v>
      </c>
      <c r="AH27" s="42">
        <f>IFERROR(__xludf.DUMMYFUNCTION("""COMPUTED_VALUE"""),0.0)</f>
        <v>0</v>
      </c>
      <c r="AI27" s="42">
        <f>IFERROR(__xludf.DUMMYFUNCTION("""COMPUTED_VALUE"""),0.0)</f>
        <v>0</v>
      </c>
      <c r="AJ27" s="42">
        <f>IFERROR(__xludf.DUMMYFUNCTION("""COMPUTED_VALUE"""),0.0)</f>
        <v>0</v>
      </c>
      <c r="AK27" s="41">
        <f>IFERROR(__xludf.DUMMYFUNCTION("""COMPUTED_VALUE"""),0.0)</f>
        <v>0</v>
      </c>
      <c r="AL27" s="42">
        <f>IFERROR(__xludf.DUMMYFUNCTION("""COMPUTED_VALUE"""),0.0)</f>
        <v>0</v>
      </c>
      <c r="AM27" s="42">
        <f>IFERROR(__xludf.DUMMYFUNCTION("""COMPUTED_VALUE"""),0.0)</f>
        <v>0</v>
      </c>
      <c r="AN27" s="42">
        <f>IFERROR(__xludf.DUMMYFUNCTION("""COMPUTED_VALUE"""),0.0)</f>
        <v>0</v>
      </c>
      <c r="AO27" s="41">
        <f>IFERROR(__xludf.DUMMYFUNCTION("""COMPUTED_VALUE"""),0.0)</f>
        <v>0</v>
      </c>
      <c r="AP27" s="42">
        <f>IFERROR(__xludf.DUMMYFUNCTION("""COMPUTED_VALUE"""),0.0)</f>
        <v>0</v>
      </c>
      <c r="AQ27" s="42">
        <f>IFERROR(__xludf.DUMMYFUNCTION("""COMPUTED_VALUE"""),0.0)</f>
        <v>0</v>
      </c>
      <c r="AR27" s="42">
        <f>IFERROR(__xludf.DUMMYFUNCTION("""COMPUTED_VALUE"""),0.0)</f>
        <v>0</v>
      </c>
      <c r="AS27" s="41">
        <f>IFERROR(__xludf.DUMMYFUNCTION("""COMPUTED_VALUE"""),0.0)</f>
        <v>0</v>
      </c>
      <c r="AT27" s="42">
        <f>IFERROR(__xludf.DUMMYFUNCTION("""COMPUTED_VALUE"""),0.0)</f>
        <v>0</v>
      </c>
      <c r="AU27" s="42">
        <f>IFERROR(__xludf.DUMMYFUNCTION("""COMPUTED_VALUE"""),0.0)</f>
        <v>0</v>
      </c>
      <c r="AV27" s="42">
        <f>IFERROR(__xludf.DUMMYFUNCTION("""COMPUTED_VALUE"""),0.0)</f>
        <v>0</v>
      </c>
      <c r="AW27" s="41">
        <f>IFERROR(__xludf.DUMMYFUNCTION("""COMPUTED_VALUE"""),0.0)</f>
        <v>0</v>
      </c>
      <c r="AX27" s="42">
        <f>IFERROR(__xludf.DUMMYFUNCTION("""COMPUTED_VALUE"""),0.0)</f>
        <v>0</v>
      </c>
      <c r="AY27" s="42">
        <f>IFERROR(__xludf.DUMMYFUNCTION("""COMPUTED_VALUE"""),0.0)</f>
        <v>0</v>
      </c>
      <c r="AZ27" s="43">
        <f>IFERROR(__xludf.DUMMYFUNCTION("""COMPUTED_VALUE"""),0.0)</f>
        <v>0</v>
      </c>
      <c r="BA27" s="34"/>
    </row>
    <row r="28" ht="15.75" customHeight="1">
      <c r="A28" s="92"/>
      <c r="B28" s="93" t="str">
        <f>IFERROR(__xludf.DUMMYFUNCTION("""COMPUTED_VALUE"""),"3.2. Trong tổng số có")</f>
        <v>3.2. Trong tổng số có</v>
      </c>
      <c r="C28" s="94"/>
      <c r="D28" s="87"/>
      <c r="E28" s="88">
        <f>IFERROR(__xludf.DUMMYFUNCTION("""COMPUTED_VALUE"""),24819.0)</f>
        <v>24819</v>
      </c>
      <c r="F28" s="88">
        <f>IFERROR(__xludf.DUMMYFUNCTION("""COMPUTED_VALUE"""),24819.0)</f>
        <v>24819</v>
      </c>
      <c r="G28" s="88">
        <f>IFERROR(__xludf.DUMMYFUNCTION("""COMPUTED_VALUE"""),0.0)</f>
        <v>0</v>
      </c>
      <c r="H28" s="88">
        <f>IFERROR(__xludf.DUMMYFUNCTION("""COMPUTED_VALUE"""),0.0)</f>
        <v>0</v>
      </c>
      <c r="I28" s="88">
        <f>IFERROR(__xludf.DUMMYFUNCTION("""COMPUTED_VALUE"""),24785.0)</f>
        <v>24785</v>
      </c>
      <c r="J28" s="88">
        <f>IFERROR(__xludf.DUMMYFUNCTION("""COMPUTED_VALUE"""),24785.0)</f>
        <v>24785</v>
      </c>
      <c r="K28" s="88">
        <f>IFERROR(__xludf.DUMMYFUNCTION("""COMPUTED_VALUE"""),0.0)</f>
        <v>0</v>
      </c>
      <c r="L28" s="88">
        <f>IFERROR(__xludf.DUMMYFUNCTION("""COMPUTED_VALUE"""),0.0)</f>
        <v>0</v>
      </c>
      <c r="M28" s="88">
        <f>IFERROR(__xludf.DUMMYFUNCTION("""COMPUTED_VALUE"""),24748.0)</f>
        <v>24748</v>
      </c>
      <c r="N28" s="88">
        <f>IFERROR(__xludf.DUMMYFUNCTION("""COMPUTED_VALUE"""),24748.0)</f>
        <v>24748</v>
      </c>
      <c r="O28" s="88">
        <f>IFERROR(__xludf.DUMMYFUNCTION("""COMPUTED_VALUE"""),0.0)</f>
        <v>0</v>
      </c>
      <c r="P28" s="88">
        <f>IFERROR(__xludf.DUMMYFUNCTION("""COMPUTED_VALUE"""),0.0)</f>
        <v>0</v>
      </c>
      <c r="Q28" s="88">
        <f>IFERROR(__xludf.DUMMYFUNCTION("""COMPUTED_VALUE"""),24652.0)</f>
        <v>24652</v>
      </c>
      <c r="R28" s="88">
        <f>IFERROR(__xludf.DUMMYFUNCTION("""COMPUTED_VALUE"""),24652.0)</f>
        <v>24652</v>
      </c>
      <c r="S28" s="88">
        <f>IFERROR(__xludf.DUMMYFUNCTION("""COMPUTED_VALUE"""),0.0)</f>
        <v>0</v>
      </c>
      <c r="T28" s="88">
        <f>IFERROR(__xludf.DUMMYFUNCTION("""COMPUTED_VALUE"""),0.0)</f>
        <v>0</v>
      </c>
      <c r="U28" s="88">
        <f>IFERROR(__xludf.DUMMYFUNCTION("""COMPUTED_VALUE"""),24623.0)</f>
        <v>24623</v>
      </c>
      <c r="V28" s="88">
        <f>IFERROR(__xludf.DUMMYFUNCTION("""COMPUTED_VALUE"""),24623.0)</f>
        <v>24623</v>
      </c>
      <c r="W28" s="88">
        <f>IFERROR(__xludf.DUMMYFUNCTION("""COMPUTED_VALUE"""),0.0)</f>
        <v>0</v>
      </c>
      <c r="X28" s="88">
        <f>IFERROR(__xludf.DUMMYFUNCTION("""COMPUTED_VALUE"""),0.0)</f>
        <v>0</v>
      </c>
      <c r="Y28" s="88">
        <f>IFERROR(__xludf.DUMMYFUNCTION("""COMPUTED_VALUE"""),24561.0)</f>
        <v>24561</v>
      </c>
      <c r="Z28" s="88">
        <f>IFERROR(__xludf.DUMMYFUNCTION("""COMPUTED_VALUE"""),24561.0)</f>
        <v>24561</v>
      </c>
      <c r="AA28" s="88">
        <f>IFERROR(__xludf.DUMMYFUNCTION("""COMPUTED_VALUE"""),0.0)</f>
        <v>0</v>
      </c>
      <c r="AB28" s="88">
        <f>IFERROR(__xludf.DUMMYFUNCTION("""COMPUTED_VALUE"""),0.0)</f>
        <v>0</v>
      </c>
      <c r="AC28" s="88">
        <f>IFERROR(__xludf.DUMMYFUNCTION("""COMPUTED_VALUE"""),24517.0)</f>
        <v>24517</v>
      </c>
      <c r="AD28" s="88">
        <f>IFERROR(__xludf.DUMMYFUNCTION("""COMPUTED_VALUE"""),24517.0)</f>
        <v>24517</v>
      </c>
      <c r="AE28" s="88">
        <f>IFERROR(__xludf.DUMMYFUNCTION("""COMPUTED_VALUE"""),0.0)</f>
        <v>0</v>
      </c>
      <c r="AF28" s="88">
        <f>IFERROR(__xludf.DUMMYFUNCTION("""COMPUTED_VALUE"""),0.0)</f>
        <v>0</v>
      </c>
      <c r="AG28" s="88">
        <f>IFERROR(__xludf.DUMMYFUNCTION("""COMPUTED_VALUE"""),2686.0)</f>
        <v>2686</v>
      </c>
      <c r="AH28" s="88">
        <f>IFERROR(__xludf.DUMMYFUNCTION("""COMPUTED_VALUE"""),2686.0)</f>
        <v>2686</v>
      </c>
      <c r="AI28" s="88">
        <f>IFERROR(__xludf.DUMMYFUNCTION("""COMPUTED_VALUE"""),0.0)</f>
        <v>0</v>
      </c>
      <c r="AJ28" s="88">
        <f>IFERROR(__xludf.DUMMYFUNCTION("""COMPUTED_VALUE"""),0.0)</f>
        <v>0</v>
      </c>
      <c r="AK28" s="88">
        <f>IFERROR(__xludf.DUMMYFUNCTION("""COMPUTED_VALUE"""),0.0)</f>
        <v>0</v>
      </c>
      <c r="AL28" s="88">
        <f>IFERROR(__xludf.DUMMYFUNCTION("""COMPUTED_VALUE"""),0.0)</f>
        <v>0</v>
      </c>
      <c r="AM28" s="88">
        <f>IFERROR(__xludf.DUMMYFUNCTION("""COMPUTED_VALUE"""),0.0)</f>
        <v>0</v>
      </c>
      <c r="AN28" s="88">
        <f>IFERROR(__xludf.DUMMYFUNCTION("""COMPUTED_VALUE"""),0.0)</f>
        <v>0</v>
      </c>
      <c r="AO28" s="88">
        <f>IFERROR(__xludf.DUMMYFUNCTION("""COMPUTED_VALUE"""),0.0)</f>
        <v>0</v>
      </c>
      <c r="AP28" s="88">
        <f>IFERROR(__xludf.DUMMYFUNCTION("""COMPUTED_VALUE"""),0.0)</f>
        <v>0</v>
      </c>
      <c r="AQ28" s="88">
        <f>IFERROR(__xludf.DUMMYFUNCTION("""COMPUTED_VALUE"""),0.0)</f>
        <v>0</v>
      </c>
      <c r="AR28" s="88">
        <f>IFERROR(__xludf.DUMMYFUNCTION("""COMPUTED_VALUE"""),0.0)</f>
        <v>0</v>
      </c>
      <c r="AS28" s="88">
        <f>IFERROR(__xludf.DUMMYFUNCTION("""COMPUTED_VALUE"""),0.0)</f>
        <v>0</v>
      </c>
      <c r="AT28" s="88">
        <f>IFERROR(__xludf.DUMMYFUNCTION("""COMPUTED_VALUE"""),0.0)</f>
        <v>0</v>
      </c>
      <c r="AU28" s="88">
        <f>IFERROR(__xludf.DUMMYFUNCTION("""COMPUTED_VALUE"""),0.0)</f>
        <v>0</v>
      </c>
      <c r="AV28" s="88">
        <f>IFERROR(__xludf.DUMMYFUNCTION("""COMPUTED_VALUE"""),0.0)</f>
        <v>0</v>
      </c>
      <c r="AW28" s="88">
        <f>IFERROR(__xludf.DUMMYFUNCTION("""COMPUTED_VALUE"""),0.0)</f>
        <v>0</v>
      </c>
      <c r="AX28" s="88">
        <f>IFERROR(__xludf.DUMMYFUNCTION("""COMPUTED_VALUE"""),0.0)</f>
        <v>0</v>
      </c>
      <c r="AY28" s="88">
        <f>IFERROR(__xludf.DUMMYFUNCTION("""COMPUTED_VALUE"""),0.0)</f>
        <v>0</v>
      </c>
      <c r="AZ28" s="95">
        <f>IFERROR(__xludf.DUMMYFUNCTION("""COMPUTED_VALUE"""),0.0)</f>
        <v>0</v>
      </c>
      <c r="BA28" s="96"/>
    </row>
    <row r="29" ht="15.75" customHeight="1">
      <c r="A29" s="29"/>
      <c r="B29" s="67" t="str">
        <f>IFERROR(__xludf.DUMMYFUNCTION("""COMPUTED_VALUE""")," + Nữ")</f>
        <v> + Nữ</v>
      </c>
      <c r="C29" s="31"/>
      <c r="D29" s="31" t="str">
        <f>IFERROR(__xludf.DUMMYFUNCTION("""COMPUTED_VALUE""")," Người")</f>
        <v> Người</v>
      </c>
      <c r="E29" s="41">
        <f>IFERROR(__xludf.DUMMYFUNCTION("""COMPUTED_VALUE"""),13354.0)</f>
        <v>13354</v>
      </c>
      <c r="F29" s="42">
        <f>IFERROR(__xludf.DUMMYFUNCTION("""COMPUTED_VALUE"""),13354.0)</f>
        <v>13354</v>
      </c>
      <c r="G29" s="42">
        <f>IFERROR(__xludf.DUMMYFUNCTION("""COMPUTED_VALUE"""),0.0)</f>
        <v>0</v>
      </c>
      <c r="H29" s="42">
        <f>IFERROR(__xludf.DUMMYFUNCTION("""COMPUTED_VALUE"""),0.0)</f>
        <v>0</v>
      </c>
      <c r="I29" s="41">
        <f>IFERROR(__xludf.DUMMYFUNCTION("""COMPUTED_VALUE"""),13337.0)</f>
        <v>13337</v>
      </c>
      <c r="J29" s="42">
        <f>IFERROR(__xludf.DUMMYFUNCTION("""COMPUTED_VALUE"""),13337.0)</f>
        <v>13337</v>
      </c>
      <c r="K29" s="42">
        <f>IFERROR(__xludf.DUMMYFUNCTION("""COMPUTED_VALUE"""),0.0)</f>
        <v>0</v>
      </c>
      <c r="L29" s="42">
        <f>IFERROR(__xludf.DUMMYFUNCTION("""COMPUTED_VALUE"""),0.0)</f>
        <v>0</v>
      </c>
      <c r="M29" s="41">
        <f>IFERROR(__xludf.DUMMYFUNCTION("""COMPUTED_VALUE"""),13279.0)</f>
        <v>13279</v>
      </c>
      <c r="N29" s="42">
        <f>IFERROR(__xludf.DUMMYFUNCTION("""COMPUTED_VALUE"""),13279.0)</f>
        <v>13279</v>
      </c>
      <c r="O29" s="42">
        <f>IFERROR(__xludf.DUMMYFUNCTION("""COMPUTED_VALUE"""),0.0)</f>
        <v>0</v>
      </c>
      <c r="P29" s="42">
        <f>IFERROR(__xludf.DUMMYFUNCTION("""COMPUTED_VALUE"""),0.0)</f>
        <v>0</v>
      </c>
      <c r="Q29" s="41">
        <f>IFERROR(__xludf.DUMMYFUNCTION("""COMPUTED_VALUE"""),12953.0)</f>
        <v>12953</v>
      </c>
      <c r="R29" s="42">
        <f>IFERROR(__xludf.DUMMYFUNCTION("""COMPUTED_VALUE"""),12953.0)</f>
        <v>12953</v>
      </c>
      <c r="S29" s="42">
        <f>IFERROR(__xludf.DUMMYFUNCTION("""COMPUTED_VALUE"""),0.0)</f>
        <v>0</v>
      </c>
      <c r="T29" s="42">
        <f>IFERROR(__xludf.DUMMYFUNCTION("""COMPUTED_VALUE"""),0.0)</f>
        <v>0</v>
      </c>
      <c r="U29" s="41">
        <f>IFERROR(__xludf.DUMMYFUNCTION("""COMPUTED_VALUE"""),13244.0)</f>
        <v>13244</v>
      </c>
      <c r="V29" s="42">
        <f>IFERROR(__xludf.DUMMYFUNCTION("""COMPUTED_VALUE"""),13244.0)</f>
        <v>13244</v>
      </c>
      <c r="W29" s="42">
        <f>IFERROR(__xludf.DUMMYFUNCTION("""COMPUTED_VALUE"""),0.0)</f>
        <v>0</v>
      </c>
      <c r="X29" s="42">
        <f>IFERROR(__xludf.DUMMYFUNCTION("""COMPUTED_VALUE"""),0.0)</f>
        <v>0</v>
      </c>
      <c r="Y29" s="41">
        <f>IFERROR(__xludf.DUMMYFUNCTION("""COMPUTED_VALUE"""),13208.0)</f>
        <v>13208</v>
      </c>
      <c r="Z29" s="42">
        <f>IFERROR(__xludf.DUMMYFUNCTION("""COMPUTED_VALUE"""),13208.0)</f>
        <v>13208</v>
      </c>
      <c r="AA29" s="42">
        <f>IFERROR(__xludf.DUMMYFUNCTION("""COMPUTED_VALUE"""),0.0)</f>
        <v>0</v>
      </c>
      <c r="AB29" s="42">
        <f>IFERROR(__xludf.DUMMYFUNCTION("""COMPUTED_VALUE"""),0.0)</f>
        <v>0</v>
      </c>
      <c r="AC29" s="41">
        <f>IFERROR(__xludf.DUMMYFUNCTION("""COMPUTED_VALUE"""),13194.0)</f>
        <v>13194</v>
      </c>
      <c r="AD29" s="42">
        <f>IFERROR(__xludf.DUMMYFUNCTION("""COMPUTED_VALUE"""),13194.0)</f>
        <v>13194</v>
      </c>
      <c r="AE29" s="42">
        <f>IFERROR(__xludf.DUMMYFUNCTION("""COMPUTED_VALUE"""),0.0)</f>
        <v>0</v>
      </c>
      <c r="AF29" s="42">
        <f>IFERROR(__xludf.DUMMYFUNCTION("""COMPUTED_VALUE"""),0.0)</f>
        <v>0</v>
      </c>
      <c r="AG29" s="41">
        <f>IFERROR(__xludf.DUMMYFUNCTION("""COMPUTED_VALUE"""),1435.0)</f>
        <v>1435</v>
      </c>
      <c r="AH29" s="42">
        <f>IFERROR(__xludf.DUMMYFUNCTION("""COMPUTED_VALUE"""),1435.0)</f>
        <v>1435</v>
      </c>
      <c r="AI29" s="42">
        <f>IFERROR(__xludf.DUMMYFUNCTION("""COMPUTED_VALUE"""),0.0)</f>
        <v>0</v>
      </c>
      <c r="AJ29" s="42">
        <f>IFERROR(__xludf.DUMMYFUNCTION("""COMPUTED_VALUE"""),0.0)</f>
        <v>0</v>
      </c>
      <c r="AK29" s="41">
        <f>IFERROR(__xludf.DUMMYFUNCTION("""COMPUTED_VALUE"""),0.0)</f>
        <v>0</v>
      </c>
      <c r="AL29" s="42">
        <f>IFERROR(__xludf.DUMMYFUNCTION("""COMPUTED_VALUE"""),0.0)</f>
        <v>0</v>
      </c>
      <c r="AM29" s="42">
        <f>IFERROR(__xludf.DUMMYFUNCTION("""COMPUTED_VALUE"""),0.0)</f>
        <v>0</v>
      </c>
      <c r="AN29" s="42">
        <f>IFERROR(__xludf.DUMMYFUNCTION("""COMPUTED_VALUE"""),0.0)</f>
        <v>0</v>
      </c>
      <c r="AO29" s="41">
        <f>IFERROR(__xludf.DUMMYFUNCTION("""COMPUTED_VALUE"""),0.0)</f>
        <v>0</v>
      </c>
      <c r="AP29" s="42">
        <f>IFERROR(__xludf.DUMMYFUNCTION("""COMPUTED_VALUE"""),0.0)</f>
        <v>0</v>
      </c>
      <c r="AQ29" s="42">
        <f>IFERROR(__xludf.DUMMYFUNCTION("""COMPUTED_VALUE"""),0.0)</f>
        <v>0</v>
      </c>
      <c r="AR29" s="42">
        <f>IFERROR(__xludf.DUMMYFUNCTION("""COMPUTED_VALUE"""),0.0)</f>
        <v>0</v>
      </c>
      <c r="AS29" s="41">
        <f>IFERROR(__xludf.DUMMYFUNCTION("""COMPUTED_VALUE"""),0.0)</f>
        <v>0</v>
      </c>
      <c r="AT29" s="42">
        <f>IFERROR(__xludf.DUMMYFUNCTION("""COMPUTED_VALUE"""),0.0)</f>
        <v>0</v>
      </c>
      <c r="AU29" s="42">
        <f>IFERROR(__xludf.DUMMYFUNCTION("""COMPUTED_VALUE"""),0.0)</f>
        <v>0</v>
      </c>
      <c r="AV29" s="42">
        <f>IFERROR(__xludf.DUMMYFUNCTION("""COMPUTED_VALUE"""),0.0)</f>
        <v>0</v>
      </c>
      <c r="AW29" s="41">
        <f>IFERROR(__xludf.DUMMYFUNCTION("""COMPUTED_VALUE"""),0.0)</f>
        <v>0</v>
      </c>
      <c r="AX29" s="42">
        <f>IFERROR(__xludf.DUMMYFUNCTION("""COMPUTED_VALUE"""),0.0)</f>
        <v>0</v>
      </c>
      <c r="AY29" s="42">
        <f>IFERROR(__xludf.DUMMYFUNCTION("""COMPUTED_VALUE"""),0.0)</f>
        <v>0</v>
      </c>
      <c r="AZ29" s="43">
        <f>IFERROR(__xludf.DUMMYFUNCTION("""COMPUTED_VALUE"""),0.0)</f>
        <v>0</v>
      </c>
      <c r="BA29" s="34"/>
    </row>
    <row r="30" ht="15.75" customHeight="1">
      <c r="A30" s="29"/>
      <c r="B30" s="67" t="str">
        <f>IFERROR(__xludf.DUMMYFUNCTION("""COMPUTED_VALUE""")," + Dân tộc thiểu số")</f>
        <v> + Dân tộc thiểu số</v>
      </c>
      <c r="C30" s="31"/>
      <c r="D30" s="31" t="str">
        <f>IFERROR(__xludf.DUMMYFUNCTION("""COMPUTED_VALUE"""),"""")</f>
        <v>"</v>
      </c>
      <c r="E30" s="41">
        <f>IFERROR(__xludf.DUMMYFUNCTION("""COMPUTED_VALUE"""),6922.0)</f>
        <v>6922</v>
      </c>
      <c r="F30" s="42">
        <f>IFERROR(__xludf.DUMMYFUNCTION("""COMPUTED_VALUE"""),6922.0)</f>
        <v>6922</v>
      </c>
      <c r="G30" s="42">
        <f>IFERROR(__xludf.DUMMYFUNCTION("""COMPUTED_VALUE"""),0.0)</f>
        <v>0</v>
      </c>
      <c r="H30" s="42">
        <f>IFERROR(__xludf.DUMMYFUNCTION("""COMPUTED_VALUE"""),0.0)</f>
        <v>0</v>
      </c>
      <c r="I30" s="41">
        <f>IFERROR(__xludf.DUMMYFUNCTION("""COMPUTED_VALUE"""),6851.0)</f>
        <v>6851</v>
      </c>
      <c r="J30" s="42">
        <f>IFERROR(__xludf.DUMMYFUNCTION("""COMPUTED_VALUE"""),6851.0)</f>
        <v>6851</v>
      </c>
      <c r="K30" s="42">
        <f>IFERROR(__xludf.DUMMYFUNCTION("""COMPUTED_VALUE"""),0.0)</f>
        <v>0</v>
      </c>
      <c r="L30" s="42">
        <f>IFERROR(__xludf.DUMMYFUNCTION("""COMPUTED_VALUE"""),0.0)</f>
        <v>0</v>
      </c>
      <c r="M30" s="41">
        <f>IFERROR(__xludf.DUMMYFUNCTION("""COMPUTED_VALUE"""),6898.0)</f>
        <v>6898</v>
      </c>
      <c r="N30" s="42">
        <f>IFERROR(__xludf.DUMMYFUNCTION("""COMPUTED_VALUE"""),6898.0)</f>
        <v>6898</v>
      </c>
      <c r="O30" s="42">
        <f>IFERROR(__xludf.DUMMYFUNCTION("""COMPUTED_VALUE"""),0.0)</f>
        <v>0</v>
      </c>
      <c r="P30" s="42">
        <f>IFERROR(__xludf.DUMMYFUNCTION("""COMPUTED_VALUE"""),0.0)</f>
        <v>0</v>
      </c>
      <c r="Q30" s="41">
        <f>IFERROR(__xludf.DUMMYFUNCTION("""COMPUTED_VALUE"""),6482.0)</f>
        <v>6482</v>
      </c>
      <c r="R30" s="42">
        <f>IFERROR(__xludf.DUMMYFUNCTION("""COMPUTED_VALUE"""),6482.0)</f>
        <v>6482</v>
      </c>
      <c r="S30" s="42">
        <f>IFERROR(__xludf.DUMMYFUNCTION("""COMPUTED_VALUE"""),0.0)</f>
        <v>0</v>
      </c>
      <c r="T30" s="42">
        <f>IFERROR(__xludf.DUMMYFUNCTION("""COMPUTED_VALUE"""),0.0)</f>
        <v>0</v>
      </c>
      <c r="U30" s="41">
        <f>IFERROR(__xludf.DUMMYFUNCTION("""COMPUTED_VALUE"""),6876.0)</f>
        <v>6876</v>
      </c>
      <c r="V30" s="42">
        <f>IFERROR(__xludf.DUMMYFUNCTION("""COMPUTED_VALUE"""),6876.0)</f>
        <v>6876</v>
      </c>
      <c r="W30" s="42">
        <f>IFERROR(__xludf.DUMMYFUNCTION("""COMPUTED_VALUE"""),0.0)</f>
        <v>0</v>
      </c>
      <c r="X30" s="42">
        <f>IFERROR(__xludf.DUMMYFUNCTION("""COMPUTED_VALUE"""),0.0)</f>
        <v>0</v>
      </c>
      <c r="Y30" s="41">
        <f>IFERROR(__xludf.DUMMYFUNCTION("""COMPUTED_VALUE"""),6855.0)</f>
        <v>6855</v>
      </c>
      <c r="Z30" s="42">
        <f>IFERROR(__xludf.DUMMYFUNCTION("""COMPUTED_VALUE"""),6855.0)</f>
        <v>6855</v>
      </c>
      <c r="AA30" s="42">
        <f>IFERROR(__xludf.DUMMYFUNCTION("""COMPUTED_VALUE"""),0.0)</f>
        <v>0</v>
      </c>
      <c r="AB30" s="42">
        <f>IFERROR(__xludf.DUMMYFUNCTION("""COMPUTED_VALUE"""),0.0)</f>
        <v>0</v>
      </c>
      <c r="AC30" s="41">
        <f>IFERROR(__xludf.DUMMYFUNCTION("""COMPUTED_VALUE"""),6856.0)</f>
        <v>6856</v>
      </c>
      <c r="AD30" s="42">
        <f>IFERROR(__xludf.DUMMYFUNCTION("""COMPUTED_VALUE"""),6856.0)</f>
        <v>6856</v>
      </c>
      <c r="AE30" s="42">
        <f>IFERROR(__xludf.DUMMYFUNCTION("""COMPUTED_VALUE"""),0.0)</f>
        <v>0</v>
      </c>
      <c r="AF30" s="42">
        <f>IFERROR(__xludf.DUMMYFUNCTION("""COMPUTED_VALUE"""),0.0)</f>
        <v>0</v>
      </c>
      <c r="AG30" s="41">
        <f>IFERROR(__xludf.DUMMYFUNCTION("""COMPUTED_VALUE"""),490.0)</f>
        <v>490</v>
      </c>
      <c r="AH30" s="42">
        <f>IFERROR(__xludf.DUMMYFUNCTION("""COMPUTED_VALUE"""),490.0)</f>
        <v>490</v>
      </c>
      <c r="AI30" s="42">
        <f>IFERROR(__xludf.DUMMYFUNCTION("""COMPUTED_VALUE"""),0.0)</f>
        <v>0</v>
      </c>
      <c r="AJ30" s="42">
        <f>IFERROR(__xludf.DUMMYFUNCTION("""COMPUTED_VALUE"""),0.0)</f>
        <v>0</v>
      </c>
      <c r="AK30" s="41">
        <f>IFERROR(__xludf.DUMMYFUNCTION("""COMPUTED_VALUE"""),0.0)</f>
        <v>0</v>
      </c>
      <c r="AL30" s="42">
        <f>IFERROR(__xludf.DUMMYFUNCTION("""COMPUTED_VALUE"""),0.0)</f>
        <v>0</v>
      </c>
      <c r="AM30" s="42">
        <f>IFERROR(__xludf.DUMMYFUNCTION("""COMPUTED_VALUE"""),0.0)</f>
        <v>0</v>
      </c>
      <c r="AN30" s="42">
        <f>IFERROR(__xludf.DUMMYFUNCTION("""COMPUTED_VALUE"""),0.0)</f>
        <v>0</v>
      </c>
      <c r="AO30" s="41">
        <f>IFERROR(__xludf.DUMMYFUNCTION("""COMPUTED_VALUE"""),0.0)</f>
        <v>0</v>
      </c>
      <c r="AP30" s="42">
        <f>IFERROR(__xludf.DUMMYFUNCTION("""COMPUTED_VALUE"""),0.0)</f>
        <v>0</v>
      </c>
      <c r="AQ30" s="42">
        <f>IFERROR(__xludf.DUMMYFUNCTION("""COMPUTED_VALUE"""),0.0)</f>
        <v>0</v>
      </c>
      <c r="AR30" s="42">
        <f>IFERROR(__xludf.DUMMYFUNCTION("""COMPUTED_VALUE"""),0.0)</f>
        <v>0</v>
      </c>
      <c r="AS30" s="41">
        <f>IFERROR(__xludf.DUMMYFUNCTION("""COMPUTED_VALUE"""),0.0)</f>
        <v>0</v>
      </c>
      <c r="AT30" s="42">
        <f>IFERROR(__xludf.DUMMYFUNCTION("""COMPUTED_VALUE"""),0.0)</f>
        <v>0</v>
      </c>
      <c r="AU30" s="42">
        <f>IFERROR(__xludf.DUMMYFUNCTION("""COMPUTED_VALUE"""),0.0)</f>
        <v>0</v>
      </c>
      <c r="AV30" s="42">
        <f>IFERROR(__xludf.DUMMYFUNCTION("""COMPUTED_VALUE"""),0.0)</f>
        <v>0</v>
      </c>
      <c r="AW30" s="41">
        <f>IFERROR(__xludf.DUMMYFUNCTION("""COMPUTED_VALUE"""),0.0)</f>
        <v>0</v>
      </c>
      <c r="AX30" s="42">
        <f>IFERROR(__xludf.DUMMYFUNCTION("""COMPUTED_VALUE"""),0.0)</f>
        <v>0</v>
      </c>
      <c r="AY30" s="42">
        <f>IFERROR(__xludf.DUMMYFUNCTION("""COMPUTED_VALUE"""),0.0)</f>
        <v>0</v>
      </c>
      <c r="AZ30" s="43">
        <f>IFERROR(__xludf.DUMMYFUNCTION("""COMPUTED_VALUE"""),0.0)</f>
        <v>0</v>
      </c>
      <c r="BA30" s="34"/>
    </row>
    <row r="31" ht="15.75" customHeight="1">
      <c r="A31" s="29"/>
      <c r="B31" s="67" t="str">
        <f>IFERROR(__xludf.DUMMYFUNCTION("""COMPUTED_VALUE""")," + Nữ dân tộc thiểu số")</f>
        <v> + Nữ dân tộc thiểu số</v>
      </c>
      <c r="C31" s="31"/>
      <c r="D31" s="31" t="str">
        <f>IFERROR(__xludf.DUMMYFUNCTION("""COMPUTED_VALUE"""),"""")</f>
        <v>"</v>
      </c>
      <c r="E31" s="41">
        <f>IFERROR(__xludf.DUMMYFUNCTION("""COMPUTED_VALUE"""),3897.0)</f>
        <v>3897</v>
      </c>
      <c r="F31" s="42">
        <f>IFERROR(__xludf.DUMMYFUNCTION("""COMPUTED_VALUE"""),3897.0)</f>
        <v>3897</v>
      </c>
      <c r="G31" s="42">
        <f>IFERROR(__xludf.DUMMYFUNCTION("""COMPUTED_VALUE"""),0.0)</f>
        <v>0</v>
      </c>
      <c r="H31" s="42">
        <f>IFERROR(__xludf.DUMMYFUNCTION("""COMPUTED_VALUE"""),0.0)</f>
        <v>0</v>
      </c>
      <c r="I31" s="41">
        <f>IFERROR(__xludf.DUMMYFUNCTION("""COMPUTED_VALUE"""),3863.0)</f>
        <v>3863</v>
      </c>
      <c r="J31" s="42">
        <f>IFERROR(__xludf.DUMMYFUNCTION("""COMPUTED_VALUE"""),3863.0)</f>
        <v>3863</v>
      </c>
      <c r="K31" s="42">
        <f>IFERROR(__xludf.DUMMYFUNCTION("""COMPUTED_VALUE"""),0.0)</f>
        <v>0</v>
      </c>
      <c r="L31" s="42">
        <f>IFERROR(__xludf.DUMMYFUNCTION("""COMPUTED_VALUE"""),0.0)</f>
        <v>0</v>
      </c>
      <c r="M31" s="41">
        <f>IFERROR(__xludf.DUMMYFUNCTION("""COMPUTED_VALUE"""),3899.0)</f>
        <v>3899</v>
      </c>
      <c r="N31" s="42">
        <f>IFERROR(__xludf.DUMMYFUNCTION("""COMPUTED_VALUE"""),3899.0)</f>
        <v>3899</v>
      </c>
      <c r="O31" s="42">
        <f>IFERROR(__xludf.DUMMYFUNCTION("""COMPUTED_VALUE"""),0.0)</f>
        <v>0</v>
      </c>
      <c r="P31" s="42">
        <f>IFERROR(__xludf.DUMMYFUNCTION("""COMPUTED_VALUE"""),0.0)</f>
        <v>0</v>
      </c>
      <c r="Q31" s="41">
        <f>IFERROR(__xludf.DUMMYFUNCTION("""COMPUTED_VALUE"""),3673.0)</f>
        <v>3673</v>
      </c>
      <c r="R31" s="42">
        <f>IFERROR(__xludf.DUMMYFUNCTION("""COMPUTED_VALUE"""),3673.0)</f>
        <v>3673</v>
      </c>
      <c r="S31" s="42">
        <f>IFERROR(__xludf.DUMMYFUNCTION("""COMPUTED_VALUE"""),0.0)</f>
        <v>0</v>
      </c>
      <c r="T31" s="42">
        <f>IFERROR(__xludf.DUMMYFUNCTION("""COMPUTED_VALUE"""),0.0)</f>
        <v>0</v>
      </c>
      <c r="U31" s="41">
        <f>IFERROR(__xludf.DUMMYFUNCTION("""COMPUTED_VALUE"""),3876.0)</f>
        <v>3876</v>
      </c>
      <c r="V31" s="42">
        <f>IFERROR(__xludf.DUMMYFUNCTION("""COMPUTED_VALUE"""),3876.0)</f>
        <v>3876</v>
      </c>
      <c r="W31" s="42">
        <f>IFERROR(__xludf.DUMMYFUNCTION("""COMPUTED_VALUE"""),0.0)</f>
        <v>0</v>
      </c>
      <c r="X31" s="42">
        <f>IFERROR(__xludf.DUMMYFUNCTION("""COMPUTED_VALUE"""),0.0)</f>
        <v>0</v>
      </c>
      <c r="Y31" s="41">
        <f>IFERROR(__xludf.DUMMYFUNCTION("""COMPUTED_VALUE"""),3865.0)</f>
        <v>3865</v>
      </c>
      <c r="Z31" s="42">
        <f>IFERROR(__xludf.DUMMYFUNCTION("""COMPUTED_VALUE"""),3865.0)</f>
        <v>3865</v>
      </c>
      <c r="AA31" s="42">
        <f>IFERROR(__xludf.DUMMYFUNCTION("""COMPUTED_VALUE"""),0.0)</f>
        <v>0</v>
      </c>
      <c r="AB31" s="42">
        <f>IFERROR(__xludf.DUMMYFUNCTION("""COMPUTED_VALUE"""),0.0)</f>
        <v>0</v>
      </c>
      <c r="AC31" s="41">
        <f>IFERROR(__xludf.DUMMYFUNCTION("""COMPUTED_VALUE"""),3865.0)</f>
        <v>3865</v>
      </c>
      <c r="AD31" s="42">
        <f>IFERROR(__xludf.DUMMYFUNCTION("""COMPUTED_VALUE"""),3865.0)</f>
        <v>3865</v>
      </c>
      <c r="AE31" s="42">
        <f>IFERROR(__xludf.DUMMYFUNCTION("""COMPUTED_VALUE"""),0.0)</f>
        <v>0</v>
      </c>
      <c r="AF31" s="42">
        <f>IFERROR(__xludf.DUMMYFUNCTION("""COMPUTED_VALUE"""),0.0)</f>
        <v>0</v>
      </c>
      <c r="AG31" s="41">
        <f>IFERROR(__xludf.DUMMYFUNCTION("""COMPUTED_VALUE"""),272.0)</f>
        <v>272</v>
      </c>
      <c r="AH31" s="42">
        <f>IFERROR(__xludf.DUMMYFUNCTION("""COMPUTED_VALUE"""),272.0)</f>
        <v>272</v>
      </c>
      <c r="AI31" s="42">
        <f>IFERROR(__xludf.DUMMYFUNCTION("""COMPUTED_VALUE"""),0.0)</f>
        <v>0</v>
      </c>
      <c r="AJ31" s="42">
        <f>IFERROR(__xludf.DUMMYFUNCTION("""COMPUTED_VALUE"""),0.0)</f>
        <v>0</v>
      </c>
      <c r="AK31" s="41">
        <f>IFERROR(__xludf.DUMMYFUNCTION("""COMPUTED_VALUE"""),0.0)</f>
        <v>0</v>
      </c>
      <c r="AL31" s="42">
        <f>IFERROR(__xludf.DUMMYFUNCTION("""COMPUTED_VALUE"""),0.0)</f>
        <v>0</v>
      </c>
      <c r="AM31" s="42">
        <f>IFERROR(__xludf.DUMMYFUNCTION("""COMPUTED_VALUE"""),0.0)</f>
        <v>0</v>
      </c>
      <c r="AN31" s="42">
        <f>IFERROR(__xludf.DUMMYFUNCTION("""COMPUTED_VALUE"""),0.0)</f>
        <v>0</v>
      </c>
      <c r="AO31" s="41">
        <f>IFERROR(__xludf.DUMMYFUNCTION("""COMPUTED_VALUE"""),0.0)</f>
        <v>0</v>
      </c>
      <c r="AP31" s="42">
        <f>IFERROR(__xludf.DUMMYFUNCTION("""COMPUTED_VALUE"""),0.0)</f>
        <v>0</v>
      </c>
      <c r="AQ31" s="42">
        <f>IFERROR(__xludf.DUMMYFUNCTION("""COMPUTED_VALUE"""),0.0)</f>
        <v>0</v>
      </c>
      <c r="AR31" s="42">
        <f>IFERROR(__xludf.DUMMYFUNCTION("""COMPUTED_VALUE"""),0.0)</f>
        <v>0</v>
      </c>
      <c r="AS31" s="41">
        <f>IFERROR(__xludf.DUMMYFUNCTION("""COMPUTED_VALUE"""),0.0)</f>
        <v>0</v>
      </c>
      <c r="AT31" s="42">
        <f>IFERROR(__xludf.DUMMYFUNCTION("""COMPUTED_VALUE"""),0.0)</f>
        <v>0</v>
      </c>
      <c r="AU31" s="42">
        <f>IFERROR(__xludf.DUMMYFUNCTION("""COMPUTED_VALUE"""),0.0)</f>
        <v>0</v>
      </c>
      <c r="AV31" s="42">
        <f>IFERROR(__xludf.DUMMYFUNCTION("""COMPUTED_VALUE"""),0.0)</f>
        <v>0</v>
      </c>
      <c r="AW31" s="41">
        <f>IFERROR(__xludf.DUMMYFUNCTION("""COMPUTED_VALUE"""),0.0)</f>
        <v>0</v>
      </c>
      <c r="AX31" s="42">
        <f>IFERROR(__xludf.DUMMYFUNCTION("""COMPUTED_VALUE"""),0.0)</f>
        <v>0</v>
      </c>
      <c r="AY31" s="42">
        <f>IFERROR(__xludf.DUMMYFUNCTION("""COMPUTED_VALUE"""),0.0)</f>
        <v>0</v>
      </c>
      <c r="AZ31" s="43">
        <f>IFERROR(__xludf.DUMMYFUNCTION("""COMPUTED_VALUE"""),0.0)</f>
        <v>0</v>
      </c>
      <c r="BA31" s="34"/>
    </row>
    <row r="32" ht="15.75" customHeight="1">
      <c r="A32" s="29"/>
      <c r="B32" s="67" t="str">
        <f>IFERROR(__xludf.DUMMYFUNCTION("""COMPUTED_VALUE""")," + Khuyết tật")</f>
        <v> + Khuyết tật</v>
      </c>
      <c r="C32" s="31"/>
      <c r="D32" s="31" t="str">
        <f>IFERROR(__xludf.DUMMYFUNCTION("""COMPUTED_VALUE"""),"""")</f>
        <v>"</v>
      </c>
      <c r="E32" s="41">
        <f>IFERROR(__xludf.DUMMYFUNCTION("""COMPUTED_VALUE"""),6.0)</f>
        <v>6</v>
      </c>
      <c r="F32" s="42">
        <f>IFERROR(__xludf.DUMMYFUNCTION("""COMPUTED_VALUE"""),6.0)</f>
        <v>6</v>
      </c>
      <c r="G32" s="42">
        <f>IFERROR(__xludf.DUMMYFUNCTION("""COMPUTED_VALUE"""),0.0)</f>
        <v>0</v>
      </c>
      <c r="H32" s="42">
        <f>IFERROR(__xludf.DUMMYFUNCTION("""COMPUTED_VALUE"""),0.0)</f>
        <v>0</v>
      </c>
      <c r="I32" s="41">
        <f>IFERROR(__xludf.DUMMYFUNCTION("""COMPUTED_VALUE"""),6.0)</f>
        <v>6</v>
      </c>
      <c r="J32" s="42">
        <f>IFERROR(__xludf.DUMMYFUNCTION("""COMPUTED_VALUE"""),6.0)</f>
        <v>6</v>
      </c>
      <c r="K32" s="42">
        <f>IFERROR(__xludf.DUMMYFUNCTION("""COMPUTED_VALUE"""),0.0)</f>
        <v>0</v>
      </c>
      <c r="L32" s="42">
        <f>IFERROR(__xludf.DUMMYFUNCTION("""COMPUTED_VALUE"""),0.0)</f>
        <v>0</v>
      </c>
      <c r="M32" s="41">
        <f>IFERROR(__xludf.DUMMYFUNCTION("""COMPUTED_VALUE"""),6.0)</f>
        <v>6</v>
      </c>
      <c r="N32" s="42">
        <f>IFERROR(__xludf.DUMMYFUNCTION("""COMPUTED_VALUE"""),6.0)</f>
        <v>6</v>
      </c>
      <c r="O32" s="42">
        <f>IFERROR(__xludf.DUMMYFUNCTION("""COMPUTED_VALUE"""),0.0)</f>
        <v>0</v>
      </c>
      <c r="P32" s="42">
        <f>IFERROR(__xludf.DUMMYFUNCTION("""COMPUTED_VALUE"""),0.0)</f>
        <v>0</v>
      </c>
      <c r="Q32" s="41">
        <f>IFERROR(__xludf.DUMMYFUNCTION("""COMPUTED_VALUE"""),6.0)</f>
        <v>6</v>
      </c>
      <c r="R32" s="42">
        <f>IFERROR(__xludf.DUMMYFUNCTION("""COMPUTED_VALUE"""),6.0)</f>
        <v>6</v>
      </c>
      <c r="S32" s="42">
        <f>IFERROR(__xludf.DUMMYFUNCTION("""COMPUTED_VALUE"""),0.0)</f>
        <v>0</v>
      </c>
      <c r="T32" s="42">
        <f>IFERROR(__xludf.DUMMYFUNCTION("""COMPUTED_VALUE"""),0.0)</f>
        <v>0</v>
      </c>
      <c r="U32" s="41">
        <f>IFERROR(__xludf.DUMMYFUNCTION("""COMPUTED_VALUE"""),6.0)</f>
        <v>6</v>
      </c>
      <c r="V32" s="42">
        <f>IFERROR(__xludf.DUMMYFUNCTION("""COMPUTED_VALUE"""),6.0)</f>
        <v>6</v>
      </c>
      <c r="W32" s="42">
        <f>IFERROR(__xludf.DUMMYFUNCTION("""COMPUTED_VALUE"""),0.0)</f>
        <v>0</v>
      </c>
      <c r="X32" s="42">
        <f>IFERROR(__xludf.DUMMYFUNCTION("""COMPUTED_VALUE"""),0.0)</f>
        <v>0</v>
      </c>
      <c r="Y32" s="41">
        <f>IFERROR(__xludf.DUMMYFUNCTION("""COMPUTED_VALUE"""),6.0)</f>
        <v>6</v>
      </c>
      <c r="Z32" s="42">
        <f>IFERROR(__xludf.DUMMYFUNCTION("""COMPUTED_VALUE"""),6.0)</f>
        <v>6</v>
      </c>
      <c r="AA32" s="42">
        <f>IFERROR(__xludf.DUMMYFUNCTION("""COMPUTED_VALUE"""),0.0)</f>
        <v>0</v>
      </c>
      <c r="AB32" s="42">
        <f>IFERROR(__xludf.DUMMYFUNCTION("""COMPUTED_VALUE"""),0.0)</f>
        <v>0</v>
      </c>
      <c r="AC32" s="41">
        <f>IFERROR(__xludf.DUMMYFUNCTION("""COMPUTED_VALUE"""),6.0)</f>
        <v>6</v>
      </c>
      <c r="AD32" s="42">
        <f>IFERROR(__xludf.DUMMYFUNCTION("""COMPUTED_VALUE"""),6.0)</f>
        <v>6</v>
      </c>
      <c r="AE32" s="42">
        <f>IFERROR(__xludf.DUMMYFUNCTION("""COMPUTED_VALUE"""),0.0)</f>
        <v>0</v>
      </c>
      <c r="AF32" s="42">
        <f>IFERROR(__xludf.DUMMYFUNCTION("""COMPUTED_VALUE"""),0.0)</f>
        <v>0</v>
      </c>
      <c r="AG32" s="41">
        <f>IFERROR(__xludf.DUMMYFUNCTION("""COMPUTED_VALUE"""),0.0)</f>
        <v>0</v>
      </c>
      <c r="AH32" s="42">
        <f>IFERROR(__xludf.DUMMYFUNCTION("""COMPUTED_VALUE"""),0.0)</f>
        <v>0</v>
      </c>
      <c r="AI32" s="42">
        <f>IFERROR(__xludf.DUMMYFUNCTION("""COMPUTED_VALUE"""),0.0)</f>
        <v>0</v>
      </c>
      <c r="AJ32" s="42">
        <f>IFERROR(__xludf.DUMMYFUNCTION("""COMPUTED_VALUE"""),0.0)</f>
        <v>0</v>
      </c>
      <c r="AK32" s="41">
        <f>IFERROR(__xludf.DUMMYFUNCTION("""COMPUTED_VALUE"""),0.0)</f>
        <v>0</v>
      </c>
      <c r="AL32" s="42">
        <f>IFERROR(__xludf.DUMMYFUNCTION("""COMPUTED_VALUE"""),0.0)</f>
        <v>0</v>
      </c>
      <c r="AM32" s="42">
        <f>IFERROR(__xludf.DUMMYFUNCTION("""COMPUTED_VALUE"""),0.0)</f>
        <v>0</v>
      </c>
      <c r="AN32" s="42">
        <f>IFERROR(__xludf.DUMMYFUNCTION("""COMPUTED_VALUE"""),0.0)</f>
        <v>0</v>
      </c>
      <c r="AO32" s="41">
        <f>IFERROR(__xludf.DUMMYFUNCTION("""COMPUTED_VALUE"""),0.0)</f>
        <v>0</v>
      </c>
      <c r="AP32" s="42">
        <f>IFERROR(__xludf.DUMMYFUNCTION("""COMPUTED_VALUE"""),0.0)</f>
        <v>0</v>
      </c>
      <c r="AQ32" s="42">
        <f>IFERROR(__xludf.DUMMYFUNCTION("""COMPUTED_VALUE"""),0.0)</f>
        <v>0</v>
      </c>
      <c r="AR32" s="42">
        <f>IFERROR(__xludf.DUMMYFUNCTION("""COMPUTED_VALUE"""),0.0)</f>
        <v>0</v>
      </c>
      <c r="AS32" s="41">
        <f>IFERROR(__xludf.DUMMYFUNCTION("""COMPUTED_VALUE"""),0.0)</f>
        <v>0</v>
      </c>
      <c r="AT32" s="42">
        <f>IFERROR(__xludf.DUMMYFUNCTION("""COMPUTED_VALUE"""),0.0)</f>
        <v>0</v>
      </c>
      <c r="AU32" s="42">
        <f>IFERROR(__xludf.DUMMYFUNCTION("""COMPUTED_VALUE"""),0.0)</f>
        <v>0</v>
      </c>
      <c r="AV32" s="42">
        <f>IFERROR(__xludf.DUMMYFUNCTION("""COMPUTED_VALUE"""),0.0)</f>
        <v>0</v>
      </c>
      <c r="AW32" s="41">
        <f>IFERROR(__xludf.DUMMYFUNCTION("""COMPUTED_VALUE"""),0.0)</f>
        <v>0</v>
      </c>
      <c r="AX32" s="42">
        <f>IFERROR(__xludf.DUMMYFUNCTION("""COMPUTED_VALUE"""),0.0)</f>
        <v>0</v>
      </c>
      <c r="AY32" s="42">
        <f>IFERROR(__xludf.DUMMYFUNCTION("""COMPUTED_VALUE"""),0.0)</f>
        <v>0</v>
      </c>
      <c r="AZ32" s="43">
        <f>IFERROR(__xludf.DUMMYFUNCTION("""COMPUTED_VALUE"""),0.0)</f>
        <v>0</v>
      </c>
      <c r="BA32" s="34"/>
    </row>
    <row r="33" ht="15.75" customHeight="1">
      <c r="A33" s="29"/>
      <c r="B33" s="67" t="str">
        <f>IFERROR(__xludf.DUMMYFUNCTION("""COMPUTED_VALUE""")," + Nhóm tuổi (từ 15 đến 17 tuổi)")</f>
        <v> + Nhóm tuổi (từ 15 đến 17 tuổi)</v>
      </c>
      <c r="C33" s="31"/>
      <c r="D33" s="31" t="str">
        <f>IFERROR(__xludf.DUMMYFUNCTION("""COMPUTED_VALUE""")," Người")</f>
        <v> Người</v>
      </c>
      <c r="E33" s="41">
        <f>IFERROR(__xludf.DUMMYFUNCTION("""COMPUTED_VALUE"""),19820.0)</f>
        <v>19820</v>
      </c>
      <c r="F33" s="42">
        <f>IFERROR(__xludf.DUMMYFUNCTION("""COMPUTED_VALUE"""),19820.0)</f>
        <v>19820</v>
      </c>
      <c r="G33" s="42">
        <f>IFERROR(__xludf.DUMMYFUNCTION("""COMPUTED_VALUE"""),0.0)</f>
        <v>0</v>
      </c>
      <c r="H33" s="42">
        <f>IFERROR(__xludf.DUMMYFUNCTION("""COMPUTED_VALUE"""),0.0)</f>
        <v>0</v>
      </c>
      <c r="I33" s="41">
        <f>IFERROR(__xludf.DUMMYFUNCTION("""COMPUTED_VALUE"""),18153.0)</f>
        <v>18153</v>
      </c>
      <c r="J33" s="42">
        <f>IFERROR(__xludf.DUMMYFUNCTION("""COMPUTED_VALUE"""),18153.0)</f>
        <v>18153</v>
      </c>
      <c r="K33" s="42">
        <f>IFERROR(__xludf.DUMMYFUNCTION("""COMPUTED_VALUE"""),0.0)</f>
        <v>0</v>
      </c>
      <c r="L33" s="42">
        <f>IFERROR(__xludf.DUMMYFUNCTION("""COMPUTED_VALUE"""),0.0)</f>
        <v>0</v>
      </c>
      <c r="M33" s="41">
        <f>IFERROR(__xludf.DUMMYFUNCTION("""COMPUTED_VALUE"""),15378.0)</f>
        <v>15378</v>
      </c>
      <c r="N33" s="42">
        <f>IFERROR(__xludf.DUMMYFUNCTION("""COMPUTED_VALUE"""),15378.0)</f>
        <v>15378</v>
      </c>
      <c r="O33" s="42">
        <f>IFERROR(__xludf.DUMMYFUNCTION("""COMPUTED_VALUE"""),0.0)</f>
        <v>0</v>
      </c>
      <c r="P33" s="42">
        <f>IFERROR(__xludf.DUMMYFUNCTION("""COMPUTED_VALUE"""),0.0)</f>
        <v>0</v>
      </c>
      <c r="Q33" s="41">
        <f>IFERROR(__xludf.DUMMYFUNCTION("""COMPUTED_VALUE"""),13618.0)</f>
        <v>13618</v>
      </c>
      <c r="R33" s="42">
        <f>IFERROR(__xludf.DUMMYFUNCTION("""COMPUTED_VALUE"""),13618.0)</f>
        <v>13618</v>
      </c>
      <c r="S33" s="42">
        <f>IFERROR(__xludf.DUMMYFUNCTION("""COMPUTED_VALUE"""),0.0)</f>
        <v>0</v>
      </c>
      <c r="T33" s="42">
        <f>IFERROR(__xludf.DUMMYFUNCTION("""COMPUTED_VALUE"""),0.0)</f>
        <v>0</v>
      </c>
      <c r="U33" s="41">
        <f>IFERROR(__xludf.DUMMYFUNCTION("""COMPUTED_VALUE"""),13505.0)</f>
        <v>13505</v>
      </c>
      <c r="V33" s="42">
        <f>IFERROR(__xludf.DUMMYFUNCTION("""COMPUTED_VALUE"""),13505.0)</f>
        <v>13505</v>
      </c>
      <c r="W33" s="42">
        <f>IFERROR(__xludf.DUMMYFUNCTION("""COMPUTED_VALUE"""),0.0)</f>
        <v>0</v>
      </c>
      <c r="X33" s="42">
        <f>IFERROR(__xludf.DUMMYFUNCTION("""COMPUTED_VALUE"""),0.0)</f>
        <v>0</v>
      </c>
      <c r="Y33" s="41">
        <f>IFERROR(__xludf.DUMMYFUNCTION("""COMPUTED_VALUE"""),10955.0)</f>
        <v>10955</v>
      </c>
      <c r="Z33" s="42">
        <f>IFERROR(__xludf.DUMMYFUNCTION("""COMPUTED_VALUE"""),10955.0)</f>
        <v>10955</v>
      </c>
      <c r="AA33" s="42">
        <f>IFERROR(__xludf.DUMMYFUNCTION("""COMPUTED_VALUE"""),0.0)</f>
        <v>0</v>
      </c>
      <c r="AB33" s="42">
        <f>IFERROR(__xludf.DUMMYFUNCTION("""COMPUTED_VALUE"""),0.0)</f>
        <v>0</v>
      </c>
      <c r="AC33" s="41">
        <f>IFERROR(__xludf.DUMMYFUNCTION("""COMPUTED_VALUE"""),12618.0)</f>
        <v>12618</v>
      </c>
      <c r="AD33" s="42">
        <f>IFERROR(__xludf.DUMMYFUNCTION("""COMPUTED_VALUE"""),12618.0)</f>
        <v>12618</v>
      </c>
      <c r="AE33" s="42">
        <f>IFERROR(__xludf.DUMMYFUNCTION("""COMPUTED_VALUE"""),0.0)</f>
        <v>0</v>
      </c>
      <c r="AF33" s="42">
        <f>IFERROR(__xludf.DUMMYFUNCTION("""COMPUTED_VALUE"""),0.0)</f>
        <v>0</v>
      </c>
      <c r="AG33" s="41">
        <f>IFERROR(__xludf.DUMMYFUNCTION("""COMPUTED_VALUE"""),1195.0)</f>
        <v>1195</v>
      </c>
      <c r="AH33" s="42">
        <f>IFERROR(__xludf.DUMMYFUNCTION("""COMPUTED_VALUE"""),1195.0)</f>
        <v>1195</v>
      </c>
      <c r="AI33" s="42">
        <f>IFERROR(__xludf.DUMMYFUNCTION("""COMPUTED_VALUE"""),0.0)</f>
        <v>0</v>
      </c>
      <c r="AJ33" s="42">
        <f>IFERROR(__xludf.DUMMYFUNCTION("""COMPUTED_VALUE"""),0.0)</f>
        <v>0</v>
      </c>
      <c r="AK33" s="41">
        <f>IFERROR(__xludf.DUMMYFUNCTION("""COMPUTED_VALUE"""),0.0)</f>
        <v>0</v>
      </c>
      <c r="AL33" s="42">
        <f>IFERROR(__xludf.DUMMYFUNCTION("""COMPUTED_VALUE"""),0.0)</f>
        <v>0</v>
      </c>
      <c r="AM33" s="42">
        <f>IFERROR(__xludf.DUMMYFUNCTION("""COMPUTED_VALUE"""),0.0)</f>
        <v>0</v>
      </c>
      <c r="AN33" s="42">
        <f>IFERROR(__xludf.DUMMYFUNCTION("""COMPUTED_VALUE"""),0.0)</f>
        <v>0</v>
      </c>
      <c r="AO33" s="41">
        <f>IFERROR(__xludf.DUMMYFUNCTION("""COMPUTED_VALUE"""),0.0)</f>
        <v>0</v>
      </c>
      <c r="AP33" s="42">
        <f>IFERROR(__xludf.DUMMYFUNCTION("""COMPUTED_VALUE"""),0.0)</f>
        <v>0</v>
      </c>
      <c r="AQ33" s="42">
        <f>IFERROR(__xludf.DUMMYFUNCTION("""COMPUTED_VALUE"""),0.0)</f>
        <v>0</v>
      </c>
      <c r="AR33" s="42">
        <f>IFERROR(__xludf.DUMMYFUNCTION("""COMPUTED_VALUE"""),0.0)</f>
        <v>0</v>
      </c>
      <c r="AS33" s="41">
        <f>IFERROR(__xludf.DUMMYFUNCTION("""COMPUTED_VALUE"""),0.0)</f>
        <v>0</v>
      </c>
      <c r="AT33" s="42">
        <f>IFERROR(__xludf.DUMMYFUNCTION("""COMPUTED_VALUE"""),0.0)</f>
        <v>0</v>
      </c>
      <c r="AU33" s="42">
        <f>IFERROR(__xludf.DUMMYFUNCTION("""COMPUTED_VALUE"""),0.0)</f>
        <v>0</v>
      </c>
      <c r="AV33" s="42">
        <f>IFERROR(__xludf.DUMMYFUNCTION("""COMPUTED_VALUE"""),0.0)</f>
        <v>0</v>
      </c>
      <c r="AW33" s="41">
        <f>IFERROR(__xludf.DUMMYFUNCTION("""COMPUTED_VALUE"""),0.0)</f>
        <v>0</v>
      </c>
      <c r="AX33" s="42">
        <f>IFERROR(__xludf.DUMMYFUNCTION("""COMPUTED_VALUE"""),0.0)</f>
        <v>0</v>
      </c>
      <c r="AY33" s="42">
        <f>IFERROR(__xludf.DUMMYFUNCTION("""COMPUTED_VALUE"""),0.0)</f>
        <v>0</v>
      </c>
      <c r="AZ33" s="43">
        <f>IFERROR(__xludf.DUMMYFUNCTION("""COMPUTED_VALUE"""),0.0)</f>
        <v>0</v>
      </c>
      <c r="BA33" s="34"/>
    </row>
    <row r="34" ht="15.75" customHeight="1">
      <c r="A34" s="214"/>
      <c r="B34" s="215" t="str">
        <f>IFERROR(__xludf.DUMMYFUNCTION("""COMPUTED_VALUE"""),"4. Tỷ lệ học sinh đi học")</f>
        <v>4. Tỷ lệ học sinh đi học</v>
      </c>
      <c r="C34" s="216" t="str">
        <f>IFERROR(__xludf.DUMMYFUNCTION("""COMPUTED_VALUE"""),"Tháng")</f>
        <v>Tháng</v>
      </c>
      <c r="D34" s="216" t="str">
        <f>IFERROR(__xludf.DUMMYFUNCTION("""COMPUTED_VALUE"""),"%")</f>
        <v>%</v>
      </c>
      <c r="E34" s="217">
        <f>IFERROR(__xludf.DUMMYFUNCTION("""COMPUTED_VALUE"""),8.375)</f>
        <v>8.375</v>
      </c>
      <c r="F34" s="218" t="str">
        <f>IFERROR(__xludf.DUMMYFUNCTION("""COMPUTED_VALUE"""),"X")</f>
        <v>X</v>
      </c>
      <c r="G34" s="218" t="str">
        <f>IFERROR(__xludf.DUMMYFUNCTION("""COMPUTED_VALUE"""),"X")</f>
        <v>X</v>
      </c>
      <c r="H34" s="218" t="str">
        <f>IFERROR(__xludf.DUMMYFUNCTION("""COMPUTED_VALUE"""),"X")</f>
        <v>X</v>
      </c>
      <c r="I34" s="217">
        <f>IFERROR(__xludf.DUMMYFUNCTION("""COMPUTED_VALUE"""),0.0)</f>
        <v>0</v>
      </c>
      <c r="J34" s="218" t="str">
        <f>IFERROR(__xludf.DUMMYFUNCTION("""COMPUTED_VALUE"""),"X")</f>
        <v>X</v>
      </c>
      <c r="K34" s="218" t="str">
        <f>IFERROR(__xludf.DUMMYFUNCTION("""COMPUTED_VALUE"""),"X")</f>
        <v>X</v>
      </c>
      <c r="L34" s="218" t="str">
        <f>IFERROR(__xludf.DUMMYFUNCTION("""COMPUTED_VALUE"""),"X")</f>
        <v>X</v>
      </c>
      <c r="M34" s="217">
        <f>IFERROR(__xludf.DUMMYFUNCTION("""COMPUTED_VALUE"""),0.0)</f>
        <v>0</v>
      </c>
      <c r="N34" s="218" t="str">
        <f>IFERROR(__xludf.DUMMYFUNCTION("""COMPUTED_VALUE"""),"X")</f>
        <v>X</v>
      </c>
      <c r="O34" s="218" t="str">
        <f>IFERROR(__xludf.DUMMYFUNCTION("""COMPUTED_VALUE"""),"X")</f>
        <v>X</v>
      </c>
      <c r="P34" s="218" t="str">
        <f>IFERROR(__xludf.DUMMYFUNCTION("""COMPUTED_VALUE"""),"X")</f>
        <v>X</v>
      </c>
      <c r="Q34" s="217">
        <f>IFERROR(__xludf.DUMMYFUNCTION("""COMPUTED_VALUE"""),0.0)</f>
        <v>0</v>
      </c>
      <c r="R34" s="218" t="str">
        <f>IFERROR(__xludf.DUMMYFUNCTION("""COMPUTED_VALUE"""),"X")</f>
        <v>X</v>
      </c>
      <c r="S34" s="218" t="str">
        <f>IFERROR(__xludf.DUMMYFUNCTION("""COMPUTED_VALUE"""),"X")</f>
        <v>X</v>
      </c>
      <c r="T34" s="218" t="str">
        <f>IFERROR(__xludf.DUMMYFUNCTION("""COMPUTED_VALUE"""),"X")</f>
        <v>X</v>
      </c>
      <c r="U34" s="217">
        <f>IFERROR(__xludf.DUMMYFUNCTION("""COMPUTED_VALUE"""),0.0)</f>
        <v>0</v>
      </c>
      <c r="V34" s="218" t="str">
        <f>IFERROR(__xludf.DUMMYFUNCTION("""COMPUTED_VALUE"""),"X")</f>
        <v>X</v>
      </c>
      <c r="W34" s="218" t="str">
        <f>IFERROR(__xludf.DUMMYFUNCTION("""COMPUTED_VALUE"""),"X")</f>
        <v>X</v>
      </c>
      <c r="X34" s="218" t="str">
        <f>IFERROR(__xludf.DUMMYFUNCTION("""COMPUTED_VALUE"""),"X")</f>
        <v>X</v>
      </c>
      <c r="Y34" s="217">
        <f>IFERROR(__xludf.DUMMYFUNCTION("""COMPUTED_VALUE"""),0.0)</f>
        <v>0</v>
      </c>
      <c r="Z34" s="218" t="str">
        <f>IFERROR(__xludf.DUMMYFUNCTION("""COMPUTED_VALUE"""),"X")</f>
        <v>X</v>
      </c>
      <c r="AA34" s="218" t="str">
        <f>IFERROR(__xludf.DUMMYFUNCTION("""COMPUTED_VALUE"""),"X")</f>
        <v>X</v>
      </c>
      <c r="AB34" s="218" t="str">
        <f>IFERROR(__xludf.DUMMYFUNCTION("""COMPUTED_VALUE"""),"X")</f>
        <v>X</v>
      </c>
      <c r="AC34" s="217">
        <f>IFERROR(__xludf.DUMMYFUNCTION("""COMPUTED_VALUE"""),0.0)</f>
        <v>0</v>
      </c>
      <c r="AD34" s="218" t="str">
        <f>IFERROR(__xludf.DUMMYFUNCTION("""COMPUTED_VALUE"""),"X")</f>
        <v>X</v>
      </c>
      <c r="AE34" s="218" t="str">
        <f>IFERROR(__xludf.DUMMYFUNCTION("""COMPUTED_VALUE"""),"X")</f>
        <v>X</v>
      </c>
      <c r="AF34" s="218" t="str">
        <f>IFERROR(__xludf.DUMMYFUNCTION("""COMPUTED_VALUE"""),"X")</f>
        <v>X</v>
      </c>
      <c r="AG34" s="217">
        <f>IFERROR(__xludf.DUMMYFUNCTION("""COMPUTED_VALUE"""),0.0)</f>
        <v>0</v>
      </c>
      <c r="AH34" s="218" t="str">
        <f>IFERROR(__xludf.DUMMYFUNCTION("""COMPUTED_VALUE"""),"X")</f>
        <v>X</v>
      </c>
      <c r="AI34" s="218" t="str">
        <f>IFERROR(__xludf.DUMMYFUNCTION("""COMPUTED_VALUE"""),"X")</f>
        <v>X</v>
      </c>
      <c r="AJ34" s="218" t="str">
        <f>IFERROR(__xludf.DUMMYFUNCTION("""COMPUTED_VALUE"""),"X")</f>
        <v>X</v>
      </c>
      <c r="AK34" s="217">
        <f>IFERROR(__xludf.DUMMYFUNCTION("""COMPUTED_VALUE"""),0.0)</f>
        <v>0</v>
      </c>
      <c r="AL34" s="218" t="str">
        <f>IFERROR(__xludf.DUMMYFUNCTION("""COMPUTED_VALUE"""),"X")</f>
        <v>X</v>
      </c>
      <c r="AM34" s="218" t="str">
        <f>IFERROR(__xludf.DUMMYFUNCTION("""COMPUTED_VALUE"""),"X")</f>
        <v>X</v>
      </c>
      <c r="AN34" s="218" t="str">
        <f>IFERROR(__xludf.DUMMYFUNCTION("""COMPUTED_VALUE"""),"X")</f>
        <v>X</v>
      </c>
      <c r="AO34" s="217">
        <f>IFERROR(__xludf.DUMMYFUNCTION("""COMPUTED_VALUE"""),0.0)</f>
        <v>0</v>
      </c>
      <c r="AP34" s="218" t="str">
        <f>IFERROR(__xludf.DUMMYFUNCTION("""COMPUTED_VALUE"""),"X")</f>
        <v>X</v>
      </c>
      <c r="AQ34" s="218" t="str">
        <f>IFERROR(__xludf.DUMMYFUNCTION("""COMPUTED_VALUE"""),"X")</f>
        <v>X</v>
      </c>
      <c r="AR34" s="218" t="str">
        <f>IFERROR(__xludf.DUMMYFUNCTION("""COMPUTED_VALUE"""),"X")</f>
        <v>X</v>
      </c>
      <c r="AS34" s="217">
        <f>IFERROR(__xludf.DUMMYFUNCTION("""COMPUTED_VALUE"""),0.0)</f>
        <v>0</v>
      </c>
      <c r="AT34" s="218" t="str">
        <f>IFERROR(__xludf.DUMMYFUNCTION("""COMPUTED_VALUE"""),"X")</f>
        <v>X</v>
      </c>
      <c r="AU34" s="218" t="str">
        <f>IFERROR(__xludf.DUMMYFUNCTION("""COMPUTED_VALUE"""),"X")</f>
        <v>X</v>
      </c>
      <c r="AV34" s="218" t="str">
        <f>IFERROR(__xludf.DUMMYFUNCTION("""COMPUTED_VALUE"""),"X")</f>
        <v>X</v>
      </c>
      <c r="AW34" s="217">
        <f>IFERROR(__xludf.DUMMYFUNCTION("""COMPUTED_VALUE"""),0.0)</f>
        <v>0</v>
      </c>
      <c r="AX34" s="218" t="str">
        <f>IFERROR(__xludf.DUMMYFUNCTION("""COMPUTED_VALUE"""),"X")</f>
        <v>X</v>
      </c>
      <c r="AY34" s="218" t="str">
        <f>IFERROR(__xludf.DUMMYFUNCTION("""COMPUTED_VALUE"""),"X")</f>
        <v>X</v>
      </c>
      <c r="AZ34" s="219" t="str">
        <f>IFERROR(__xludf.DUMMYFUNCTION("""COMPUTED_VALUE"""),"X")</f>
        <v>X</v>
      </c>
      <c r="BA34" s="227"/>
    </row>
    <row r="35" ht="15.75" customHeight="1">
      <c r="A35" s="29"/>
      <c r="B35" s="30" t="str">
        <f>IFERROR(__xludf.DUMMYFUNCTION("""COMPUTED_VALUE"""),"5. ĐỘI NGŨ")</f>
        <v>5. ĐỘI NGŨ</v>
      </c>
      <c r="C35" s="31" t="str">
        <f>IFERROR(__xludf.DUMMYFUNCTION("""COMPUTED_VALUE"""),"Quí")</f>
        <v>Quí</v>
      </c>
      <c r="D35" s="31" t="str">
        <f>IFERROR(__xludf.DUMMYFUNCTION("""COMPUTED_VALUE"""),"Người")</f>
        <v>Người</v>
      </c>
      <c r="E35" s="32">
        <f>IFERROR(__xludf.DUMMYFUNCTION("""COMPUTED_VALUE"""),1456.0)</f>
        <v>1456</v>
      </c>
      <c r="F35" s="32">
        <f>IFERROR(__xludf.DUMMYFUNCTION("""COMPUTED_VALUE"""),1456.0)</f>
        <v>1456</v>
      </c>
      <c r="G35" s="32">
        <f>IFERROR(__xludf.DUMMYFUNCTION("""COMPUTED_VALUE"""),0.0)</f>
        <v>0</v>
      </c>
      <c r="H35" s="32">
        <f>IFERROR(__xludf.DUMMYFUNCTION("""COMPUTED_VALUE"""),0.0)</f>
        <v>0</v>
      </c>
      <c r="I35" s="32">
        <f>IFERROR(__xludf.DUMMYFUNCTION("""COMPUTED_VALUE"""),1445.0)</f>
        <v>1445</v>
      </c>
      <c r="J35" s="32">
        <f>IFERROR(__xludf.DUMMYFUNCTION("""COMPUTED_VALUE"""),1445.0)</f>
        <v>1445</v>
      </c>
      <c r="K35" s="32">
        <f>IFERROR(__xludf.DUMMYFUNCTION("""COMPUTED_VALUE"""),0.0)</f>
        <v>0</v>
      </c>
      <c r="L35" s="32">
        <f>IFERROR(__xludf.DUMMYFUNCTION("""COMPUTED_VALUE"""),0.0)</f>
        <v>0</v>
      </c>
      <c r="M35" s="32">
        <f>IFERROR(__xludf.DUMMYFUNCTION("""COMPUTED_VALUE"""),1435.0)</f>
        <v>1435</v>
      </c>
      <c r="N35" s="32">
        <f>IFERROR(__xludf.DUMMYFUNCTION("""COMPUTED_VALUE"""),1435.0)</f>
        <v>1435</v>
      </c>
      <c r="O35" s="32">
        <f>IFERROR(__xludf.DUMMYFUNCTION("""COMPUTED_VALUE"""),0.0)</f>
        <v>0</v>
      </c>
      <c r="P35" s="32">
        <f>IFERROR(__xludf.DUMMYFUNCTION("""COMPUTED_VALUE"""),0.0)</f>
        <v>0</v>
      </c>
      <c r="Q35" s="32">
        <f>IFERROR(__xludf.DUMMYFUNCTION("""COMPUTED_VALUE"""),1423.0)</f>
        <v>1423</v>
      </c>
      <c r="R35" s="32">
        <f>IFERROR(__xludf.DUMMYFUNCTION("""COMPUTED_VALUE"""),1423.0)</f>
        <v>1423</v>
      </c>
      <c r="S35" s="32">
        <f>IFERROR(__xludf.DUMMYFUNCTION("""COMPUTED_VALUE"""),0.0)</f>
        <v>0</v>
      </c>
      <c r="T35" s="32">
        <f>IFERROR(__xludf.DUMMYFUNCTION("""COMPUTED_VALUE"""),0.0)</f>
        <v>0</v>
      </c>
      <c r="U35" s="32">
        <f>IFERROR(__xludf.DUMMYFUNCTION("""COMPUTED_VALUE"""),1427.0)</f>
        <v>1427</v>
      </c>
      <c r="V35" s="32">
        <f>IFERROR(__xludf.DUMMYFUNCTION("""COMPUTED_VALUE"""),1427.0)</f>
        <v>1427</v>
      </c>
      <c r="W35" s="32">
        <f>IFERROR(__xludf.DUMMYFUNCTION("""COMPUTED_VALUE"""),0.0)</f>
        <v>0</v>
      </c>
      <c r="X35" s="32">
        <f>IFERROR(__xludf.DUMMYFUNCTION("""COMPUTED_VALUE"""),0.0)</f>
        <v>0</v>
      </c>
      <c r="Y35" s="32">
        <f>IFERROR(__xludf.DUMMYFUNCTION("""COMPUTED_VALUE"""),1416.0)</f>
        <v>1416</v>
      </c>
      <c r="Z35" s="32">
        <f>IFERROR(__xludf.DUMMYFUNCTION("""COMPUTED_VALUE"""),1416.0)</f>
        <v>1416</v>
      </c>
      <c r="AA35" s="32">
        <f>IFERROR(__xludf.DUMMYFUNCTION("""COMPUTED_VALUE"""),0.0)</f>
        <v>0</v>
      </c>
      <c r="AB35" s="32">
        <f>IFERROR(__xludf.DUMMYFUNCTION("""COMPUTED_VALUE"""),0.0)</f>
        <v>0</v>
      </c>
      <c r="AC35" s="32">
        <f>IFERROR(__xludf.DUMMYFUNCTION("""COMPUTED_VALUE"""),1336.0)</f>
        <v>1336</v>
      </c>
      <c r="AD35" s="32">
        <f>IFERROR(__xludf.DUMMYFUNCTION("""COMPUTED_VALUE"""),1336.0)</f>
        <v>1336</v>
      </c>
      <c r="AE35" s="32">
        <f>IFERROR(__xludf.DUMMYFUNCTION("""COMPUTED_VALUE"""),0.0)</f>
        <v>0</v>
      </c>
      <c r="AF35" s="32">
        <f>IFERROR(__xludf.DUMMYFUNCTION("""COMPUTED_VALUE"""),0.0)</f>
        <v>0</v>
      </c>
      <c r="AG35" s="32">
        <f>IFERROR(__xludf.DUMMYFUNCTION("""COMPUTED_VALUE"""),245.0)</f>
        <v>245</v>
      </c>
      <c r="AH35" s="32">
        <f>IFERROR(__xludf.DUMMYFUNCTION("""COMPUTED_VALUE"""),245.0)</f>
        <v>245</v>
      </c>
      <c r="AI35" s="32">
        <f>IFERROR(__xludf.DUMMYFUNCTION("""COMPUTED_VALUE"""),0.0)</f>
        <v>0</v>
      </c>
      <c r="AJ35" s="32">
        <f>IFERROR(__xludf.DUMMYFUNCTION("""COMPUTED_VALUE"""),0.0)</f>
        <v>0</v>
      </c>
      <c r="AK35" s="32">
        <f>IFERROR(__xludf.DUMMYFUNCTION("""COMPUTED_VALUE"""),0.0)</f>
        <v>0</v>
      </c>
      <c r="AL35" s="32">
        <f>IFERROR(__xludf.DUMMYFUNCTION("""COMPUTED_VALUE"""),0.0)</f>
        <v>0</v>
      </c>
      <c r="AM35" s="32">
        <f>IFERROR(__xludf.DUMMYFUNCTION("""COMPUTED_VALUE"""),0.0)</f>
        <v>0</v>
      </c>
      <c r="AN35" s="32">
        <f>IFERROR(__xludf.DUMMYFUNCTION("""COMPUTED_VALUE"""),0.0)</f>
        <v>0</v>
      </c>
      <c r="AO35" s="32">
        <f>IFERROR(__xludf.DUMMYFUNCTION("""COMPUTED_VALUE"""),0.0)</f>
        <v>0</v>
      </c>
      <c r="AP35" s="32">
        <f>IFERROR(__xludf.DUMMYFUNCTION("""COMPUTED_VALUE"""),0.0)</f>
        <v>0</v>
      </c>
      <c r="AQ35" s="32">
        <f>IFERROR(__xludf.DUMMYFUNCTION("""COMPUTED_VALUE"""),0.0)</f>
        <v>0</v>
      </c>
      <c r="AR35" s="32">
        <f>IFERROR(__xludf.DUMMYFUNCTION("""COMPUTED_VALUE"""),0.0)</f>
        <v>0</v>
      </c>
      <c r="AS35" s="32">
        <f>IFERROR(__xludf.DUMMYFUNCTION("""COMPUTED_VALUE"""),0.0)</f>
        <v>0</v>
      </c>
      <c r="AT35" s="32">
        <f>IFERROR(__xludf.DUMMYFUNCTION("""COMPUTED_VALUE"""),0.0)</f>
        <v>0</v>
      </c>
      <c r="AU35" s="32">
        <f>IFERROR(__xludf.DUMMYFUNCTION("""COMPUTED_VALUE"""),0.0)</f>
        <v>0</v>
      </c>
      <c r="AV35" s="32">
        <f>IFERROR(__xludf.DUMMYFUNCTION("""COMPUTED_VALUE"""),0.0)</f>
        <v>0</v>
      </c>
      <c r="AW35" s="32">
        <f>IFERROR(__xludf.DUMMYFUNCTION("""COMPUTED_VALUE"""),0.0)</f>
        <v>0</v>
      </c>
      <c r="AX35" s="32">
        <f>IFERROR(__xludf.DUMMYFUNCTION("""COMPUTED_VALUE"""),0.0)</f>
        <v>0</v>
      </c>
      <c r="AY35" s="32">
        <f>IFERROR(__xludf.DUMMYFUNCTION("""COMPUTED_VALUE"""),0.0)</f>
        <v>0</v>
      </c>
      <c r="AZ35" s="33">
        <f>IFERROR(__xludf.DUMMYFUNCTION("""COMPUTED_VALUE"""),0.0)</f>
        <v>0</v>
      </c>
      <c r="BA35" s="34"/>
    </row>
    <row r="36" ht="15.75" customHeight="1">
      <c r="A36" s="29"/>
      <c r="B36" s="196" t="str">
        <f>IFERROR(__xludf.DUMMYFUNCTION("""COMPUTED_VALUE"""),"5.1. Tổng số cán bộ quản lí (C.chức+V.chức)")</f>
        <v>5.1. Tổng số cán bộ quản lí (C.chức+V.chức)</v>
      </c>
      <c r="C36" s="57"/>
      <c r="D36" s="57" t="str">
        <f>IFERROR(__xludf.DUMMYFUNCTION("""COMPUTED_VALUE""")," Người")</f>
        <v> Người</v>
      </c>
      <c r="E36" s="125">
        <f>IFERROR(__xludf.DUMMYFUNCTION("""COMPUTED_VALUE"""),65.0)</f>
        <v>65</v>
      </c>
      <c r="F36" s="61">
        <f>IFERROR(__xludf.DUMMYFUNCTION("""COMPUTED_VALUE"""),65.0)</f>
        <v>65</v>
      </c>
      <c r="G36" s="61">
        <f>IFERROR(__xludf.DUMMYFUNCTION("""COMPUTED_VALUE"""),0.0)</f>
        <v>0</v>
      </c>
      <c r="H36" s="61">
        <f>IFERROR(__xludf.DUMMYFUNCTION("""COMPUTED_VALUE"""),0.0)</f>
        <v>0</v>
      </c>
      <c r="I36" s="125">
        <f>IFERROR(__xludf.DUMMYFUNCTION("""COMPUTED_VALUE"""),65.0)</f>
        <v>65</v>
      </c>
      <c r="J36" s="61">
        <f>IFERROR(__xludf.DUMMYFUNCTION("""COMPUTED_VALUE"""),65.0)</f>
        <v>65</v>
      </c>
      <c r="K36" s="61">
        <f>IFERROR(__xludf.DUMMYFUNCTION("""COMPUTED_VALUE"""),0.0)</f>
        <v>0</v>
      </c>
      <c r="L36" s="61">
        <f>IFERROR(__xludf.DUMMYFUNCTION("""COMPUTED_VALUE"""),0.0)</f>
        <v>0</v>
      </c>
      <c r="M36" s="125">
        <f>IFERROR(__xludf.DUMMYFUNCTION("""COMPUTED_VALUE"""),62.0)</f>
        <v>62</v>
      </c>
      <c r="N36" s="61">
        <f>IFERROR(__xludf.DUMMYFUNCTION("""COMPUTED_VALUE"""),62.0)</f>
        <v>62</v>
      </c>
      <c r="O36" s="61">
        <f>IFERROR(__xludf.DUMMYFUNCTION("""COMPUTED_VALUE"""),0.0)</f>
        <v>0</v>
      </c>
      <c r="P36" s="61">
        <f>IFERROR(__xludf.DUMMYFUNCTION("""COMPUTED_VALUE"""),0.0)</f>
        <v>0</v>
      </c>
      <c r="Q36" s="125">
        <f>IFERROR(__xludf.DUMMYFUNCTION("""COMPUTED_VALUE"""),62.0)</f>
        <v>62</v>
      </c>
      <c r="R36" s="61">
        <f>IFERROR(__xludf.DUMMYFUNCTION("""COMPUTED_VALUE"""),62.0)</f>
        <v>62</v>
      </c>
      <c r="S36" s="61">
        <f>IFERROR(__xludf.DUMMYFUNCTION("""COMPUTED_VALUE"""),0.0)</f>
        <v>0</v>
      </c>
      <c r="T36" s="61">
        <f>IFERROR(__xludf.DUMMYFUNCTION("""COMPUTED_VALUE"""),0.0)</f>
        <v>0</v>
      </c>
      <c r="U36" s="125">
        <f>IFERROR(__xludf.DUMMYFUNCTION("""COMPUTED_VALUE"""),66.0)</f>
        <v>66</v>
      </c>
      <c r="V36" s="61">
        <f>IFERROR(__xludf.DUMMYFUNCTION("""COMPUTED_VALUE"""),66.0)</f>
        <v>66</v>
      </c>
      <c r="W36" s="61">
        <f>IFERROR(__xludf.DUMMYFUNCTION("""COMPUTED_VALUE"""),0.0)</f>
        <v>0</v>
      </c>
      <c r="X36" s="61">
        <f>IFERROR(__xludf.DUMMYFUNCTION("""COMPUTED_VALUE"""),0.0)</f>
        <v>0</v>
      </c>
      <c r="Y36" s="125">
        <f>IFERROR(__xludf.DUMMYFUNCTION("""COMPUTED_VALUE"""),66.0)</f>
        <v>66</v>
      </c>
      <c r="Z36" s="61">
        <f>IFERROR(__xludf.DUMMYFUNCTION("""COMPUTED_VALUE"""),66.0)</f>
        <v>66</v>
      </c>
      <c r="AA36" s="61">
        <f>IFERROR(__xludf.DUMMYFUNCTION("""COMPUTED_VALUE"""),0.0)</f>
        <v>0</v>
      </c>
      <c r="AB36" s="61">
        <f>IFERROR(__xludf.DUMMYFUNCTION("""COMPUTED_VALUE"""),0.0)</f>
        <v>0</v>
      </c>
      <c r="AC36" s="125">
        <f>IFERROR(__xludf.DUMMYFUNCTION("""COMPUTED_VALUE"""),63.0)</f>
        <v>63</v>
      </c>
      <c r="AD36" s="61">
        <f>IFERROR(__xludf.DUMMYFUNCTION("""COMPUTED_VALUE"""),63.0)</f>
        <v>63</v>
      </c>
      <c r="AE36" s="61">
        <f>IFERROR(__xludf.DUMMYFUNCTION("""COMPUTED_VALUE"""),0.0)</f>
        <v>0</v>
      </c>
      <c r="AF36" s="61">
        <f>IFERROR(__xludf.DUMMYFUNCTION("""COMPUTED_VALUE"""),0.0)</f>
        <v>0</v>
      </c>
      <c r="AG36" s="125">
        <f>IFERROR(__xludf.DUMMYFUNCTION("""COMPUTED_VALUE"""),13.0)</f>
        <v>13</v>
      </c>
      <c r="AH36" s="61">
        <f>IFERROR(__xludf.DUMMYFUNCTION("""COMPUTED_VALUE"""),13.0)</f>
        <v>13</v>
      </c>
      <c r="AI36" s="61">
        <f>IFERROR(__xludf.DUMMYFUNCTION("""COMPUTED_VALUE"""),0.0)</f>
        <v>0</v>
      </c>
      <c r="AJ36" s="61">
        <f>IFERROR(__xludf.DUMMYFUNCTION("""COMPUTED_VALUE"""),0.0)</f>
        <v>0</v>
      </c>
      <c r="AK36" s="125">
        <f>IFERROR(__xludf.DUMMYFUNCTION("""COMPUTED_VALUE"""),0.0)</f>
        <v>0</v>
      </c>
      <c r="AL36" s="61">
        <f>IFERROR(__xludf.DUMMYFUNCTION("""COMPUTED_VALUE"""),0.0)</f>
        <v>0</v>
      </c>
      <c r="AM36" s="61">
        <f>IFERROR(__xludf.DUMMYFUNCTION("""COMPUTED_VALUE"""),0.0)</f>
        <v>0</v>
      </c>
      <c r="AN36" s="61">
        <f>IFERROR(__xludf.DUMMYFUNCTION("""COMPUTED_VALUE"""),0.0)</f>
        <v>0</v>
      </c>
      <c r="AO36" s="125">
        <f>IFERROR(__xludf.DUMMYFUNCTION("""COMPUTED_VALUE"""),0.0)</f>
        <v>0</v>
      </c>
      <c r="AP36" s="61">
        <f>IFERROR(__xludf.DUMMYFUNCTION("""COMPUTED_VALUE"""),0.0)</f>
        <v>0</v>
      </c>
      <c r="AQ36" s="61">
        <f>IFERROR(__xludf.DUMMYFUNCTION("""COMPUTED_VALUE"""),0.0)</f>
        <v>0</v>
      </c>
      <c r="AR36" s="61">
        <f>IFERROR(__xludf.DUMMYFUNCTION("""COMPUTED_VALUE"""),0.0)</f>
        <v>0</v>
      </c>
      <c r="AS36" s="125">
        <f>IFERROR(__xludf.DUMMYFUNCTION("""COMPUTED_VALUE"""),0.0)</f>
        <v>0</v>
      </c>
      <c r="AT36" s="61">
        <f>IFERROR(__xludf.DUMMYFUNCTION("""COMPUTED_VALUE"""),0.0)</f>
        <v>0</v>
      </c>
      <c r="AU36" s="61">
        <f>IFERROR(__xludf.DUMMYFUNCTION("""COMPUTED_VALUE"""),0.0)</f>
        <v>0</v>
      </c>
      <c r="AV36" s="61">
        <f>IFERROR(__xludf.DUMMYFUNCTION("""COMPUTED_VALUE"""),0.0)</f>
        <v>0</v>
      </c>
      <c r="AW36" s="125">
        <f>IFERROR(__xludf.DUMMYFUNCTION("""COMPUTED_VALUE"""),0.0)</f>
        <v>0</v>
      </c>
      <c r="AX36" s="61">
        <f>IFERROR(__xludf.DUMMYFUNCTION("""COMPUTED_VALUE"""),0.0)</f>
        <v>0</v>
      </c>
      <c r="AY36" s="61">
        <f>IFERROR(__xludf.DUMMYFUNCTION("""COMPUTED_VALUE"""),0.0)</f>
        <v>0</v>
      </c>
      <c r="AZ36" s="62">
        <f>IFERROR(__xludf.DUMMYFUNCTION("""COMPUTED_VALUE"""),0.0)</f>
        <v>0</v>
      </c>
      <c r="BA36" s="34"/>
    </row>
    <row r="37" ht="15.75" customHeight="1">
      <c r="A37" s="29"/>
      <c r="B37" s="196" t="str">
        <f>IFERROR(__xludf.DUMMYFUNCTION("""COMPUTED_VALUE"""),"5.2. Tổng số giáo viên biên chế")</f>
        <v>5.2. Tổng số giáo viên biên chế</v>
      </c>
      <c r="C37" s="57"/>
      <c r="D37" s="57" t="str">
        <f>IFERROR(__xludf.DUMMYFUNCTION("""COMPUTED_VALUE""")," Người")</f>
        <v> Người</v>
      </c>
      <c r="E37" s="125">
        <f>IFERROR(__xludf.DUMMYFUNCTION("""COMPUTED_VALUE"""),1254.0)</f>
        <v>1254</v>
      </c>
      <c r="F37" s="42">
        <f>IFERROR(__xludf.DUMMYFUNCTION("""COMPUTED_VALUE"""),1254.0)</f>
        <v>1254</v>
      </c>
      <c r="G37" s="42">
        <f>IFERROR(__xludf.DUMMYFUNCTION("""COMPUTED_VALUE"""),0.0)</f>
        <v>0</v>
      </c>
      <c r="H37" s="42">
        <f>IFERROR(__xludf.DUMMYFUNCTION("""COMPUTED_VALUE"""),0.0)</f>
        <v>0</v>
      </c>
      <c r="I37" s="125">
        <f>IFERROR(__xludf.DUMMYFUNCTION("""COMPUTED_VALUE"""),1247.0)</f>
        <v>1247</v>
      </c>
      <c r="J37" s="42">
        <f>IFERROR(__xludf.DUMMYFUNCTION("""COMPUTED_VALUE"""),1247.0)</f>
        <v>1247</v>
      </c>
      <c r="K37" s="42">
        <f>IFERROR(__xludf.DUMMYFUNCTION("""COMPUTED_VALUE"""),0.0)</f>
        <v>0</v>
      </c>
      <c r="L37" s="42">
        <f>IFERROR(__xludf.DUMMYFUNCTION("""COMPUTED_VALUE"""),0.0)</f>
        <v>0</v>
      </c>
      <c r="M37" s="125">
        <f>IFERROR(__xludf.DUMMYFUNCTION("""COMPUTED_VALUE"""),1243.0)</f>
        <v>1243</v>
      </c>
      <c r="N37" s="42">
        <f>IFERROR(__xludf.DUMMYFUNCTION("""COMPUTED_VALUE"""),1243.0)</f>
        <v>1243</v>
      </c>
      <c r="O37" s="42">
        <f>IFERROR(__xludf.DUMMYFUNCTION("""COMPUTED_VALUE"""),0.0)</f>
        <v>0</v>
      </c>
      <c r="P37" s="42">
        <f>IFERROR(__xludf.DUMMYFUNCTION("""COMPUTED_VALUE"""),0.0)</f>
        <v>0</v>
      </c>
      <c r="Q37" s="125">
        <f>IFERROR(__xludf.DUMMYFUNCTION("""COMPUTED_VALUE"""),1240.0)</f>
        <v>1240</v>
      </c>
      <c r="R37" s="42">
        <f>IFERROR(__xludf.DUMMYFUNCTION("""COMPUTED_VALUE"""),1240.0)</f>
        <v>1240</v>
      </c>
      <c r="S37" s="42">
        <f>IFERROR(__xludf.DUMMYFUNCTION("""COMPUTED_VALUE"""),0.0)</f>
        <v>0</v>
      </c>
      <c r="T37" s="42">
        <f>IFERROR(__xludf.DUMMYFUNCTION("""COMPUTED_VALUE"""),0.0)</f>
        <v>0</v>
      </c>
      <c r="U37" s="125">
        <f>IFERROR(__xludf.DUMMYFUNCTION("""COMPUTED_VALUE"""),1240.0)</f>
        <v>1240</v>
      </c>
      <c r="V37" s="42">
        <f>IFERROR(__xludf.DUMMYFUNCTION("""COMPUTED_VALUE"""),1240.0)</f>
        <v>1240</v>
      </c>
      <c r="W37" s="42">
        <f>IFERROR(__xludf.DUMMYFUNCTION("""COMPUTED_VALUE"""),0.0)</f>
        <v>0</v>
      </c>
      <c r="X37" s="42">
        <f>IFERROR(__xludf.DUMMYFUNCTION("""COMPUTED_VALUE"""),0.0)</f>
        <v>0</v>
      </c>
      <c r="Y37" s="125">
        <f>IFERROR(__xludf.DUMMYFUNCTION("""COMPUTED_VALUE"""),1240.0)</f>
        <v>1240</v>
      </c>
      <c r="Z37" s="42">
        <f>IFERROR(__xludf.DUMMYFUNCTION("""COMPUTED_VALUE"""),1240.0)</f>
        <v>1240</v>
      </c>
      <c r="AA37" s="42">
        <f>IFERROR(__xludf.DUMMYFUNCTION("""COMPUTED_VALUE"""),0.0)</f>
        <v>0</v>
      </c>
      <c r="AB37" s="42">
        <f>IFERROR(__xludf.DUMMYFUNCTION("""COMPUTED_VALUE"""),0.0)</f>
        <v>0</v>
      </c>
      <c r="AC37" s="125">
        <f>IFERROR(__xludf.DUMMYFUNCTION("""COMPUTED_VALUE"""),1163.0)</f>
        <v>1163</v>
      </c>
      <c r="AD37" s="42">
        <f>IFERROR(__xludf.DUMMYFUNCTION("""COMPUTED_VALUE"""),1163.0)</f>
        <v>1163</v>
      </c>
      <c r="AE37" s="42">
        <f>IFERROR(__xludf.DUMMYFUNCTION("""COMPUTED_VALUE"""),0.0)</f>
        <v>0</v>
      </c>
      <c r="AF37" s="42">
        <f>IFERROR(__xludf.DUMMYFUNCTION("""COMPUTED_VALUE"""),0.0)</f>
        <v>0</v>
      </c>
      <c r="AG37" s="125">
        <f>IFERROR(__xludf.DUMMYFUNCTION("""COMPUTED_VALUE"""),219.0)</f>
        <v>219</v>
      </c>
      <c r="AH37" s="42">
        <f>IFERROR(__xludf.DUMMYFUNCTION("""COMPUTED_VALUE"""),219.0)</f>
        <v>219</v>
      </c>
      <c r="AI37" s="42">
        <f>IFERROR(__xludf.DUMMYFUNCTION("""COMPUTED_VALUE"""),0.0)</f>
        <v>0</v>
      </c>
      <c r="AJ37" s="42">
        <f>IFERROR(__xludf.DUMMYFUNCTION("""COMPUTED_VALUE"""),0.0)</f>
        <v>0</v>
      </c>
      <c r="AK37" s="125">
        <f>IFERROR(__xludf.DUMMYFUNCTION("""COMPUTED_VALUE"""),0.0)</f>
        <v>0</v>
      </c>
      <c r="AL37" s="42">
        <f>IFERROR(__xludf.DUMMYFUNCTION("""COMPUTED_VALUE"""),0.0)</f>
        <v>0</v>
      </c>
      <c r="AM37" s="42">
        <f>IFERROR(__xludf.DUMMYFUNCTION("""COMPUTED_VALUE"""),0.0)</f>
        <v>0</v>
      </c>
      <c r="AN37" s="42">
        <f>IFERROR(__xludf.DUMMYFUNCTION("""COMPUTED_VALUE"""),0.0)</f>
        <v>0</v>
      </c>
      <c r="AO37" s="125">
        <f>IFERROR(__xludf.DUMMYFUNCTION("""COMPUTED_VALUE"""),0.0)</f>
        <v>0</v>
      </c>
      <c r="AP37" s="42">
        <f>IFERROR(__xludf.DUMMYFUNCTION("""COMPUTED_VALUE"""),0.0)</f>
        <v>0</v>
      </c>
      <c r="AQ37" s="42">
        <f>IFERROR(__xludf.DUMMYFUNCTION("""COMPUTED_VALUE"""),0.0)</f>
        <v>0</v>
      </c>
      <c r="AR37" s="42">
        <f>IFERROR(__xludf.DUMMYFUNCTION("""COMPUTED_VALUE"""),0.0)</f>
        <v>0</v>
      </c>
      <c r="AS37" s="125">
        <f>IFERROR(__xludf.DUMMYFUNCTION("""COMPUTED_VALUE"""),0.0)</f>
        <v>0</v>
      </c>
      <c r="AT37" s="42">
        <f>IFERROR(__xludf.DUMMYFUNCTION("""COMPUTED_VALUE"""),0.0)</f>
        <v>0</v>
      </c>
      <c r="AU37" s="42">
        <f>IFERROR(__xludf.DUMMYFUNCTION("""COMPUTED_VALUE"""),0.0)</f>
        <v>0</v>
      </c>
      <c r="AV37" s="42">
        <f>IFERROR(__xludf.DUMMYFUNCTION("""COMPUTED_VALUE"""),0.0)</f>
        <v>0</v>
      </c>
      <c r="AW37" s="125">
        <f>IFERROR(__xludf.DUMMYFUNCTION("""COMPUTED_VALUE"""),0.0)</f>
        <v>0</v>
      </c>
      <c r="AX37" s="42">
        <f>IFERROR(__xludf.DUMMYFUNCTION("""COMPUTED_VALUE"""),0.0)</f>
        <v>0</v>
      </c>
      <c r="AY37" s="42">
        <f>IFERROR(__xludf.DUMMYFUNCTION("""COMPUTED_VALUE"""),0.0)</f>
        <v>0</v>
      </c>
      <c r="AZ37" s="43">
        <f>IFERROR(__xludf.DUMMYFUNCTION("""COMPUTED_VALUE"""),0.0)</f>
        <v>0</v>
      </c>
      <c r="BA37" s="34"/>
    </row>
    <row r="38" ht="15.75" customHeight="1">
      <c r="A38" s="29"/>
      <c r="B38" s="48" t="str">
        <f>IFERROR(__xludf.DUMMYFUNCTION("""COMPUTED_VALUE"""),"Chia ra:")</f>
        <v>Chia ra:</v>
      </c>
      <c r="C38" s="49"/>
      <c r="D38" s="3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50"/>
      <c r="BA38" s="34"/>
    </row>
    <row r="39" ht="15.75" customHeight="1">
      <c r="A39" s="29"/>
      <c r="B39" s="67" t="str">
        <f>IFERROR(__xludf.DUMMYFUNCTION("""COMPUTED_VALUE""")," + Chưa đạt chuẩn")</f>
        <v> + Chưa đạt chuẩn</v>
      </c>
      <c r="C39" s="31"/>
      <c r="D39" s="31" t="str">
        <f>IFERROR(__xludf.DUMMYFUNCTION("""COMPUTED_VALUE""")," Người")</f>
        <v> Người</v>
      </c>
      <c r="E39" s="41">
        <f>IFERROR(__xludf.DUMMYFUNCTION("""COMPUTED_VALUE"""),0.0)</f>
        <v>0</v>
      </c>
      <c r="F39" s="42">
        <f>IFERROR(__xludf.DUMMYFUNCTION("""COMPUTED_VALUE"""),0.0)</f>
        <v>0</v>
      </c>
      <c r="G39" s="42">
        <f>IFERROR(__xludf.DUMMYFUNCTION("""COMPUTED_VALUE"""),0.0)</f>
        <v>0</v>
      </c>
      <c r="H39" s="42">
        <f>IFERROR(__xludf.DUMMYFUNCTION("""COMPUTED_VALUE"""),0.0)</f>
        <v>0</v>
      </c>
      <c r="I39" s="41">
        <f>IFERROR(__xludf.DUMMYFUNCTION("""COMPUTED_VALUE"""),0.0)</f>
        <v>0</v>
      </c>
      <c r="J39" s="42">
        <f>IFERROR(__xludf.DUMMYFUNCTION("""COMPUTED_VALUE"""),0.0)</f>
        <v>0</v>
      </c>
      <c r="K39" s="42">
        <f>IFERROR(__xludf.DUMMYFUNCTION("""COMPUTED_VALUE"""),0.0)</f>
        <v>0</v>
      </c>
      <c r="L39" s="42">
        <f>IFERROR(__xludf.DUMMYFUNCTION("""COMPUTED_VALUE"""),0.0)</f>
        <v>0</v>
      </c>
      <c r="M39" s="41">
        <f>IFERROR(__xludf.DUMMYFUNCTION("""COMPUTED_VALUE"""),0.0)</f>
        <v>0</v>
      </c>
      <c r="N39" s="42">
        <f>IFERROR(__xludf.DUMMYFUNCTION("""COMPUTED_VALUE"""),0.0)</f>
        <v>0</v>
      </c>
      <c r="O39" s="42">
        <f>IFERROR(__xludf.DUMMYFUNCTION("""COMPUTED_VALUE"""),0.0)</f>
        <v>0</v>
      </c>
      <c r="P39" s="42">
        <f>IFERROR(__xludf.DUMMYFUNCTION("""COMPUTED_VALUE"""),0.0)</f>
        <v>0</v>
      </c>
      <c r="Q39" s="41">
        <f>IFERROR(__xludf.DUMMYFUNCTION("""COMPUTED_VALUE"""),0.0)</f>
        <v>0</v>
      </c>
      <c r="R39" s="42">
        <f>IFERROR(__xludf.DUMMYFUNCTION("""COMPUTED_VALUE"""),0.0)</f>
        <v>0</v>
      </c>
      <c r="S39" s="42">
        <f>IFERROR(__xludf.DUMMYFUNCTION("""COMPUTED_VALUE"""),0.0)</f>
        <v>0</v>
      </c>
      <c r="T39" s="42">
        <f>IFERROR(__xludf.DUMMYFUNCTION("""COMPUTED_VALUE"""),0.0)</f>
        <v>0</v>
      </c>
      <c r="U39" s="41">
        <f>IFERROR(__xludf.DUMMYFUNCTION("""COMPUTED_VALUE"""),0.0)</f>
        <v>0</v>
      </c>
      <c r="V39" s="42">
        <f>IFERROR(__xludf.DUMMYFUNCTION("""COMPUTED_VALUE"""),0.0)</f>
        <v>0</v>
      </c>
      <c r="W39" s="42">
        <f>IFERROR(__xludf.DUMMYFUNCTION("""COMPUTED_VALUE"""),0.0)</f>
        <v>0</v>
      </c>
      <c r="X39" s="42">
        <f>IFERROR(__xludf.DUMMYFUNCTION("""COMPUTED_VALUE"""),0.0)</f>
        <v>0</v>
      </c>
      <c r="Y39" s="41">
        <f>IFERROR(__xludf.DUMMYFUNCTION("""COMPUTED_VALUE"""),0.0)</f>
        <v>0</v>
      </c>
      <c r="Z39" s="42">
        <f>IFERROR(__xludf.DUMMYFUNCTION("""COMPUTED_VALUE"""),0.0)</f>
        <v>0</v>
      </c>
      <c r="AA39" s="42">
        <f>IFERROR(__xludf.DUMMYFUNCTION("""COMPUTED_VALUE"""),0.0)</f>
        <v>0</v>
      </c>
      <c r="AB39" s="42">
        <f>IFERROR(__xludf.DUMMYFUNCTION("""COMPUTED_VALUE"""),0.0)</f>
        <v>0</v>
      </c>
      <c r="AC39" s="41">
        <f>IFERROR(__xludf.DUMMYFUNCTION("""COMPUTED_VALUE"""),0.0)</f>
        <v>0</v>
      </c>
      <c r="AD39" s="42">
        <f>IFERROR(__xludf.DUMMYFUNCTION("""COMPUTED_VALUE"""),0.0)</f>
        <v>0</v>
      </c>
      <c r="AE39" s="42">
        <f>IFERROR(__xludf.DUMMYFUNCTION("""COMPUTED_VALUE"""),0.0)</f>
        <v>0</v>
      </c>
      <c r="AF39" s="42">
        <f>IFERROR(__xludf.DUMMYFUNCTION("""COMPUTED_VALUE"""),0.0)</f>
        <v>0</v>
      </c>
      <c r="AG39" s="41">
        <f>IFERROR(__xludf.DUMMYFUNCTION("""COMPUTED_VALUE"""),0.0)</f>
        <v>0</v>
      </c>
      <c r="AH39" s="42">
        <f>IFERROR(__xludf.DUMMYFUNCTION("""COMPUTED_VALUE"""),0.0)</f>
        <v>0</v>
      </c>
      <c r="AI39" s="42">
        <f>IFERROR(__xludf.DUMMYFUNCTION("""COMPUTED_VALUE"""),0.0)</f>
        <v>0</v>
      </c>
      <c r="AJ39" s="42">
        <f>IFERROR(__xludf.DUMMYFUNCTION("""COMPUTED_VALUE"""),0.0)</f>
        <v>0</v>
      </c>
      <c r="AK39" s="41">
        <f>IFERROR(__xludf.DUMMYFUNCTION("""COMPUTED_VALUE"""),0.0)</f>
        <v>0</v>
      </c>
      <c r="AL39" s="42">
        <f>IFERROR(__xludf.DUMMYFUNCTION("""COMPUTED_VALUE"""),0.0)</f>
        <v>0</v>
      </c>
      <c r="AM39" s="42">
        <f>IFERROR(__xludf.DUMMYFUNCTION("""COMPUTED_VALUE"""),0.0)</f>
        <v>0</v>
      </c>
      <c r="AN39" s="42">
        <f>IFERROR(__xludf.DUMMYFUNCTION("""COMPUTED_VALUE"""),0.0)</f>
        <v>0</v>
      </c>
      <c r="AO39" s="41">
        <f>IFERROR(__xludf.DUMMYFUNCTION("""COMPUTED_VALUE"""),0.0)</f>
        <v>0</v>
      </c>
      <c r="AP39" s="42">
        <f>IFERROR(__xludf.DUMMYFUNCTION("""COMPUTED_VALUE"""),0.0)</f>
        <v>0</v>
      </c>
      <c r="AQ39" s="42">
        <f>IFERROR(__xludf.DUMMYFUNCTION("""COMPUTED_VALUE"""),0.0)</f>
        <v>0</v>
      </c>
      <c r="AR39" s="42">
        <f>IFERROR(__xludf.DUMMYFUNCTION("""COMPUTED_VALUE"""),0.0)</f>
        <v>0</v>
      </c>
      <c r="AS39" s="41">
        <f>IFERROR(__xludf.DUMMYFUNCTION("""COMPUTED_VALUE"""),0.0)</f>
        <v>0</v>
      </c>
      <c r="AT39" s="42">
        <f>IFERROR(__xludf.DUMMYFUNCTION("""COMPUTED_VALUE"""),0.0)</f>
        <v>0</v>
      </c>
      <c r="AU39" s="42">
        <f>IFERROR(__xludf.DUMMYFUNCTION("""COMPUTED_VALUE"""),0.0)</f>
        <v>0</v>
      </c>
      <c r="AV39" s="42">
        <f>IFERROR(__xludf.DUMMYFUNCTION("""COMPUTED_VALUE"""),0.0)</f>
        <v>0</v>
      </c>
      <c r="AW39" s="41">
        <f>IFERROR(__xludf.DUMMYFUNCTION("""COMPUTED_VALUE"""),0.0)</f>
        <v>0</v>
      </c>
      <c r="AX39" s="42">
        <f>IFERROR(__xludf.DUMMYFUNCTION("""COMPUTED_VALUE"""),0.0)</f>
        <v>0</v>
      </c>
      <c r="AY39" s="42">
        <f>IFERROR(__xludf.DUMMYFUNCTION("""COMPUTED_VALUE"""),0.0)</f>
        <v>0</v>
      </c>
      <c r="AZ39" s="43">
        <f>IFERROR(__xludf.DUMMYFUNCTION("""COMPUTED_VALUE"""),0.0)</f>
        <v>0</v>
      </c>
      <c r="BA39" s="34"/>
    </row>
    <row r="40" ht="15.75" customHeight="1">
      <c r="A40" s="29"/>
      <c r="B40" s="67" t="str">
        <f>IFERROR(__xludf.DUMMYFUNCTION("""COMPUTED_VALUE""")," + Đạt chuẩn")</f>
        <v> + Đạt chuẩn</v>
      </c>
      <c r="C40" s="31"/>
      <c r="D40" s="31" t="str">
        <f>IFERROR(__xludf.DUMMYFUNCTION("""COMPUTED_VALUE"""),"""")</f>
        <v>"</v>
      </c>
      <c r="E40" s="41">
        <f>IFERROR(__xludf.DUMMYFUNCTION("""COMPUTED_VALUE"""),1096.0)</f>
        <v>1096</v>
      </c>
      <c r="F40" s="42">
        <f>IFERROR(__xludf.DUMMYFUNCTION("""COMPUTED_VALUE"""),1096.0)</f>
        <v>1096</v>
      </c>
      <c r="G40" s="42">
        <f>IFERROR(__xludf.DUMMYFUNCTION("""COMPUTED_VALUE"""),0.0)</f>
        <v>0</v>
      </c>
      <c r="H40" s="42">
        <f>IFERROR(__xludf.DUMMYFUNCTION("""COMPUTED_VALUE"""),0.0)</f>
        <v>0</v>
      </c>
      <c r="I40" s="41">
        <f>IFERROR(__xludf.DUMMYFUNCTION("""COMPUTED_VALUE"""),1087.0)</f>
        <v>1087</v>
      </c>
      <c r="J40" s="42">
        <f>IFERROR(__xludf.DUMMYFUNCTION("""COMPUTED_VALUE"""),1087.0)</f>
        <v>1087</v>
      </c>
      <c r="K40" s="42">
        <f>IFERROR(__xludf.DUMMYFUNCTION("""COMPUTED_VALUE"""),0.0)</f>
        <v>0</v>
      </c>
      <c r="L40" s="42">
        <f>IFERROR(__xludf.DUMMYFUNCTION("""COMPUTED_VALUE"""),0.0)</f>
        <v>0</v>
      </c>
      <c r="M40" s="41">
        <f>IFERROR(__xludf.DUMMYFUNCTION("""COMPUTED_VALUE"""),1083.0)</f>
        <v>1083</v>
      </c>
      <c r="N40" s="42">
        <f>IFERROR(__xludf.DUMMYFUNCTION("""COMPUTED_VALUE"""),1083.0)</f>
        <v>1083</v>
      </c>
      <c r="O40" s="42">
        <f>IFERROR(__xludf.DUMMYFUNCTION("""COMPUTED_VALUE"""),0.0)</f>
        <v>0</v>
      </c>
      <c r="P40" s="42">
        <f>IFERROR(__xludf.DUMMYFUNCTION("""COMPUTED_VALUE"""),0.0)</f>
        <v>0</v>
      </c>
      <c r="Q40" s="41">
        <f>IFERROR(__xludf.DUMMYFUNCTION("""COMPUTED_VALUE"""),1079.0)</f>
        <v>1079</v>
      </c>
      <c r="R40" s="42">
        <f>IFERROR(__xludf.DUMMYFUNCTION("""COMPUTED_VALUE"""),1079.0)</f>
        <v>1079</v>
      </c>
      <c r="S40" s="42">
        <f>IFERROR(__xludf.DUMMYFUNCTION("""COMPUTED_VALUE"""),0.0)</f>
        <v>0</v>
      </c>
      <c r="T40" s="42">
        <f>IFERROR(__xludf.DUMMYFUNCTION("""COMPUTED_VALUE"""),0.0)</f>
        <v>0</v>
      </c>
      <c r="U40" s="41">
        <f>IFERROR(__xludf.DUMMYFUNCTION("""COMPUTED_VALUE"""),1079.0)</f>
        <v>1079</v>
      </c>
      <c r="V40" s="42">
        <f>IFERROR(__xludf.DUMMYFUNCTION("""COMPUTED_VALUE"""),1079.0)</f>
        <v>1079</v>
      </c>
      <c r="W40" s="42">
        <f>IFERROR(__xludf.DUMMYFUNCTION("""COMPUTED_VALUE"""),0.0)</f>
        <v>0</v>
      </c>
      <c r="X40" s="42">
        <f>IFERROR(__xludf.DUMMYFUNCTION("""COMPUTED_VALUE"""),0.0)</f>
        <v>0</v>
      </c>
      <c r="Y40" s="41">
        <f>IFERROR(__xludf.DUMMYFUNCTION("""COMPUTED_VALUE"""),1076.0)</f>
        <v>1076</v>
      </c>
      <c r="Z40" s="42">
        <f>IFERROR(__xludf.DUMMYFUNCTION("""COMPUTED_VALUE"""),1076.0)</f>
        <v>1076</v>
      </c>
      <c r="AA40" s="42">
        <f>IFERROR(__xludf.DUMMYFUNCTION("""COMPUTED_VALUE"""),0.0)</f>
        <v>0</v>
      </c>
      <c r="AB40" s="42">
        <f>IFERROR(__xludf.DUMMYFUNCTION("""COMPUTED_VALUE"""),0.0)</f>
        <v>0</v>
      </c>
      <c r="AC40" s="41">
        <f>IFERROR(__xludf.DUMMYFUNCTION("""COMPUTED_VALUE"""),1078.0)</f>
        <v>1078</v>
      </c>
      <c r="AD40" s="42">
        <f>IFERROR(__xludf.DUMMYFUNCTION("""COMPUTED_VALUE"""),1078.0)</f>
        <v>1078</v>
      </c>
      <c r="AE40" s="42">
        <f>IFERROR(__xludf.DUMMYFUNCTION("""COMPUTED_VALUE"""),0.0)</f>
        <v>0</v>
      </c>
      <c r="AF40" s="42">
        <f>IFERROR(__xludf.DUMMYFUNCTION("""COMPUTED_VALUE"""),0.0)</f>
        <v>0</v>
      </c>
      <c r="AG40" s="41">
        <f>IFERROR(__xludf.DUMMYFUNCTION("""COMPUTED_VALUE"""),232.0)</f>
        <v>232</v>
      </c>
      <c r="AH40" s="42">
        <f>IFERROR(__xludf.DUMMYFUNCTION("""COMPUTED_VALUE"""),232.0)</f>
        <v>232</v>
      </c>
      <c r="AI40" s="42">
        <f>IFERROR(__xludf.DUMMYFUNCTION("""COMPUTED_VALUE"""),0.0)</f>
        <v>0</v>
      </c>
      <c r="AJ40" s="42">
        <f>IFERROR(__xludf.DUMMYFUNCTION("""COMPUTED_VALUE"""),0.0)</f>
        <v>0</v>
      </c>
      <c r="AK40" s="41">
        <f>IFERROR(__xludf.DUMMYFUNCTION("""COMPUTED_VALUE"""),0.0)</f>
        <v>0</v>
      </c>
      <c r="AL40" s="42">
        <f>IFERROR(__xludf.DUMMYFUNCTION("""COMPUTED_VALUE"""),0.0)</f>
        <v>0</v>
      </c>
      <c r="AM40" s="42">
        <f>IFERROR(__xludf.DUMMYFUNCTION("""COMPUTED_VALUE"""),0.0)</f>
        <v>0</v>
      </c>
      <c r="AN40" s="42">
        <f>IFERROR(__xludf.DUMMYFUNCTION("""COMPUTED_VALUE"""),0.0)</f>
        <v>0</v>
      </c>
      <c r="AO40" s="41">
        <f>IFERROR(__xludf.DUMMYFUNCTION("""COMPUTED_VALUE"""),0.0)</f>
        <v>0</v>
      </c>
      <c r="AP40" s="42">
        <f>IFERROR(__xludf.DUMMYFUNCTION("""COMPUTED_VALUE"""),0.0)</f>
        <v>0</v>
      </c>
      <c r="AQ40" s="42">
        <f>IFERROR(__xludf.DUMMYFUNCTION("""COMPUTED_VALUE"""),0.0)</f>
        <v>0</v>
      </c>
      <c r="AR40" s="42">
        <f>IFERROR(__xludf.DUMMYFUNCTION("""COMPUTED_VALUE"""),0.0)</f>
        <v>0</v>
      </c>
      <c r="AS40" s="41">
        <f>IFERROR(__xludf.DUMMYFUNCTION("""COMPUTED_VALUE"""),0.0)</f>
        <v>0</v>
      </c>
      <c r="AT40" s="42">
        <f>IFERROR(__xludf.DUMMYFUNCTION("""COMPUTED_VALUE"""),0.0)</f>
        <v>0</v>
      </c>
      <c r="AU40" s="42">
        <f>IFERROR(__xludf.DUMMYFUNCTION("""COMPUTED_VALUE"""),0.0)</f>
        <v>0</v>
      </c>
      <c r="AV40" s="42">
        <f>IFERROR(__xludf.DUMMYFUNCTION("""COMPUTED_VALUE"""),0.0)</f>
        <v>0</v>
      </c>
      <c r="AW40" s="41">
        <f>IFERROR(__xludf.DUMMYFUNCTION("""COMPUTED_VALUE"""),0.0)</f>
        <v>0</v>
      </c>
      <c r="AX40" s="42">
        <f>IFERROR(__xludf.DUMMYFUNCTION("""COMPUTED_VALUE"""),0.0)</f>
        <v>0</v>
      </c>
      <c r="AY40" s="42">
        <f>IFERROR(__xludf.DUMMYFUNCTION("""COMPUTED_VALUE"""),0.0)</f>
        <v>0</v>
      </c>
      <c r="AZ40" s="43">
        <f>IFERROR(__xludf.DUMMYFUNCTION("""COMPUTED_VALUE"""),0.0)</f>
        <v>0</v>
      </c>
      <c r="BA40" s="34"/>
    </row>
    <row r="41" ht="15.75" customHeight="1">
      <c r="A41" s="29"/>
      <c r="B41" s="67" t="str">
        <f>IFERROR(__xludf.DUMMYFUNCTION("""COMPUTED_VALUE""")," + Trên chuẩn")</f>
        <v> + Trên chuẩn</v>
      </c>
      <c r="C41" s="31"/>
      <c r="D41" s="31" t="str">
        <f>IFERROR(__xludf.DUMMYFUNCTION("""COMPUTED_VALUE"""),"""")</f>
        <v>"</v>
      </c>
      <c r="E41" s="41">
        <f>IFERROR(__xludf.DUMMYFUNCTION("""COMPUTED_VALUE"""),219.0)</f>
        <v>219</v>
      </c>
      <c r="F41" s="42">
        <f>IFERROR(__xludf.DUMMYFUNCTION("""COMPUTED_VALUE"""),219.0)</f>
        <v>219</v>
      </c>
      <c r="G41" s="42">
        <f>IFERROR(__xludf.DUMMYFUNCTION("""COMPUTED_VALUE"""),0.0)</f>
        <v>0</v>
      </c>
      <c r="H41" s="42">
        <f>IFERROR(__xludf.DUMMYFUNCTION("""COMPUTED_VALUE"""),0.0)</f>
        <v>0</v>
      </c>
      <c r="I41" s="41">
        <f>IFERROR(__xludf.DUMMYFUNCTION("""COMPUTED_VALUE"""),218.0)</f>
        <v>218</v>
      </c>
      <c r="J41" s="42">
        <f>IFERROR(__xludf.DUMMYFUNCTION("""COMPUTED_VALUE"""),218.0)</f>
        <v>218</v>
      </c>
      <c r="K41" s="42">
        <f>IFERROR(__xludf.DUMMYFUNCTION("""COMPUTED_VALUE"""),0.0)</f>
        <v>0</v>
      </c>
      <c r="L41" s="42">
        <f>IFERROR(__xludf.DUMMYFUNCTION("""COMPUTED_VALUE"""),0.0)</f>
        <v>0</v>
      </c>
      <c r="M41" s="41">
        <f>IFERROR(__xludf.DUMMYFUNCTION("""COMPUTED_VALUE"""),218.0)</f>
        <v>218</v>
      </c>
      <c r="N41" s="42">
        <f>IFERROR(__xludf.DUMMYFUNCTION("""COMPUTED_VALUE"""),218.0)</f>
        <v>218</v>
      </c>
      <c r="O41" s="42">
        <f>IFERROR(__xludf.DUMMYFUNCTION("""COMPUTED_VALUE"""),0.0)</f>
        <v>0</v>
      </c>
      <c r="P41" s="42">
        <f>IFERROR(__xludf.DUMMYFUNCTION("""COMPUTED_VALUE"""),0.0)</f>
        <v>0</v>
      </c>
      <c r="Q41" s="41">
        <f>IFERROR(__xludf.DUMMYFUNCTION("""COMPUTED_VALUE"""),220.0)</f>
        <v>220</v>
      </c>
      <c r="R41" s="42">
        <f>IFERROR(__xludf.DUMMYFUNCTION("""COMPUTED_VALUE"""),220.0)</f>
        <v>220</v>
      </c>
      <c r="S41" s="42">
        <f>IFERROR(__xludf.DUMMYFUNCTION("""COMPUTED_VALUE"""),0.0)</f>
        <v>0</v>
      </c>
      <c r="T41" s="42">
        <f>IFERROR(__xludf.DUMMYFUNCTION("""COMPUTED_VALUE"""),0.0)</f>
        <v>0</v>
      </c>
      <c r="U41" s="41">
        <f>IFERROR(__xludf.DUMMYFUNCTION("""COMPUTED_VALUE"""),220.0)</f>
        <v>220</v>
      </c>
      <c r="V41" s="42">
        <f>IFERROR(__xludf.DUMMYFUNCTION("""COMPUTED_VALUE"""),220.0)</f>
        <v>220</v>
      </c>
      <c r="W41" s="42">
        <f>IFERROR(__xludf.DUMMYFUNCTION("""COMPUTED_VALUE"""),0.0)</f>
        <v>0</v>
      </c>
      <c r="X41" s="42">
        <f>IFERROR(__xludf.DUMMYFUNCTION("""COMPUTED_VALUE"""),0.0)</f>
        <v>0</v>
      </c>
      <c r="Y41" s="41">
        <f>IFERROR(__xludf.DUMMYFUNCTION("""COMPUTED_VALUE"""),223.0)</f>
        <v>223</v>
      </c>
      <c r="Z41" s="42">
        <f>IFERROR(__xludf.DUMMYFUNCTION("""COMPUTED_VALUE"""),223.0)</f>
        <v>223</v>
      </c>
      <c r="AA41" s="42">
        <f>IFERROR(__xludf.DUMMYFUNCTION("""COMPUTED_VALUE"""),0.0)</f>
        <v>0</v>
      </c>
      <c r="AB41" s="42">
        <f>IFERROR(__xludf.DUMMYFUNCTION("""COMPUTED_VALUE"""),0.0)</f>
        <v>0</v>
      </c>
      <c r="AC41" s="41">
        <f>IFERROR(__xludf.DUMMYFUNCTION("""COMPUTED_VALUE"""),223.0)</f>
        <v>223</v>
      </c>
      <c r="AD41" s="42">
        <f>IFERROR(__xludf.DUMMYFUNCTION("""COMPUTED_VALUE"""),223.0)</f>
        <v>223</v>
      </c>
      <c r="AE41" s="42">
        <f>IFERROR(__xludf.DUMMYFUNCTION("""COMPUTED_VALUE"""),0.0)</f>
        <v>0</v>
      </c>
      <c r="AF41" s="42">
        <f>IFERROR(__xludf.DUMMYFUNCTION("""COMPUTED_VALUE"""),0.0)</f>
        <v>0</v>
      </c>
      <c r="AG41" s="41">
        <f>IFERROR(__xludf.DUMMYFUNCTION("""COMPUTED_VALUE"""),90.0)</f>
        <v>90</v>
      </c>
      <c r="AH41" s="42">
        <f>IFERROR(__xludf.DUMMYFUNCTION("""COMPUTED_VALUE"""),90.0)</f>
        <v>90</v>
      </c>
      <c r="AI41" s="42">
        <f>IFERROR(__xludf.DUMMYFUNCTION("""COMPUTED_VALUE"""),0.0)</f>
        <v>0</v>
      </c>
      <c r="AJ41" s="42">
        <f>IFERROR(__xludf.DUMMYFUNCTION("""COMPUTED_VALUE"""),0.0)</f>
        <v>0</v>
      </c>
      <c r="AK41" s="41">
        <f>IFERROR(__xludf.DUMMYFUNCTION("""COMPUTED_VALUE"""),0.0)</f>
        <v>0</v>
      </c>
      <c r="AL41" s="42">
        <f>IFERROR(__xludf.DUMMYFUNCTION("""COMPUTED_VALUE"""),0.0)</f>
        <v>0</v>
      </c>
      <c r="AM41" s="42">
        <f>IFERROR(__xludf.DUMMYFUNCTION("""COMPUTED_VALUE"""),0.0)</f>
        <v>0</v>
      </c>
      <c r="AN41" s="42">
        <f>IFERROR(__xludf.DUMMYFUNCTION("""COMPUTED_VALUE"""),0.0)</f>
        <v>0</v>
      </c>
      <c r="AO41" s="41">
        <f>IFERROR(__xludf.DUMMYFUNCTION("""COMPUTED_VALUE"""),0.0)</f>
        <v>0</v>
      </c>
      <c r="AP41" s="42">
        <f>IFERROR(__xludf.DUMMYFUNCTION("""COMPUTED_VALUE"""),0.0)</f>
        <v>0</v>
      </c>
      <c r="AQ41" s="42">
        <f>IFERROR(__xludf.DUMMYFUNCTION("""COMPUTED_VALUE"""),0.0)</f>
        <v>0</v>
      </c>
      <c r="AR41" s="42">
        <f>IFERROR(__xludf.DUMMYFUNCTION("""COMPUTED_VALUE"""),0.0)</f>
        <v>0</v>
      </c>
      <c r="AS41" s="41">
        <f>IFERROR(__xludf.DUMMYFUNCTION("""COMPUTED_VALUE"""),0.0)</f>
        <v>0</v>
      </c>
      <c r="AT41" s="42">
        <f>IFERROR(__xludf.DUMMYFUNCTION("""COMPUTED_VALUE"""),0.0)</f>
        <v>0</v>
      </c>
      <c r="AU41" s="42">
        <f>IFERROR(__xludf.DUMMYFUNCTION("""COMPUTED_VALUE"""),0.0)</f>
        <v>0</v>
      </c>
      <c r="AV41" s="42">
        <f>IFERROR(__xludf.DUMMYFUNCTION("""COMPUTED_VALUE"""),0.0)</f>
        <v>0</v>
      </c>
      <c r="AW41" s="41">
        <f>IFERROR(__xludf.DUMMYFUNCTION("""COMPUTED_VALUE"""),0.0)</f>
        <v>0</v>
      </c>
      <c r="AX41" s="42">
        <f>IFERROR(__xludf.DUMMYFUNCTION("""COMPUTED_VALUE"""),0.0)</f>
        <v>0</v>
      </c>
      <c r="AY41" s="42">
        <f>IFERROR(__xludf.DUMMYFUNCTION("""COMPUTED_VALUE"""),0.0)</f>
        <v>0</v>
      </c>
      <c r="AZ41" s="43">
        <f>IFERROR(__xludf.DUMMYFUNCTION("""COMPUTED_VALUE"""),0.0)</f>
        <v>0</v>
      </c>
      <c r="BA41" s="34"/>
    </row>
    <row r="42" ht="15.75" customHeight="1">
      <c r="A42" s="29"/>
      <c r="B42" s="196" t="str">
        <f>IFERROR(__xludf.DUMMYFUNCTION("""COMPUTED_VALUE"""),"5.3. Tổng số giáo viên hợp đồng")</f>
        <v>5.3. Tổng số giáo viên hợp đồng</v>
      </c>
      <c r="C42" s="57"/>
      <c r="D42" s="57" t="str">
        <f>IFERROR(__xludf.DUMMYFUNCTION("""COMPUTED_VALUE""")," Người")</f>
        <v> Người</v>
      </c>
      <c r="E42" s="125">
        <f>IFERROR(__xludf.DUMMYFUNCTION("""COMPUTED_VALUE"""),4.0)</f>
        <v>4</v>
      </c>
      <c r="F42" s="42">
        <f>IFERROR(__xludf.DUMMYFUNCTION("""COMPUTED_VALUE"""),4.0)</f>
        <v>4</v>
      </c>
      <c r="G42" s="42">
        <f>IFERROR(__xludf.DUMMYFUNCTION("""COMPUTED_VALUE"""),0.0)</f>
        <v>0</v>
      </c>
      <c r="H42" s="42">
        <f>IFERROR(__xludf.DUMMYFUNCTION("""COMPUTED_VALUE"""),0.0)</f>
        <v>0</v>
      </c>
      <c r="I42" s="125">
        <f>IFERROR(__xludf.DUMMYFUNCTION("""COMPUTED_VALUE"""),4.0)</f>
        <v>4</v>
      </c>
      <c r="J42" s="42">
        <f>IFERROR(__xludf.DUMMYFUNCTION("""COMPUTED_VALUE"""),4.0)</f>
        <v>4</v>
      </c>
      <c r="K42" s="42">
        <f>IFERROR(__xludf.DUMMYFUNCTION("""COMPUTED_VALUE"""),0.0)</f>
        <v>0</v>
      </c>
      <c r="L42" s="42">
        <f>IFERROR(__xludf.DUMMYFUNCTION("""COMPUTED_VALUE"""),0.0)</f>
        <v>0</v>
      </c>
      <c r="M42" s="125">
        <f>IFERROR(__xludf.DUMMYFUNCTION("""COMPUTED_VALUE"""),4.0)</f>
        <v>4</v>
      </c>
      <c r="N42" s="42">
        <f>IFERROR(__xludf.DUMMYFUNCTION("""COMPUTED_VALUE"""),4.0)</f>
        <v>4</v>
      </c>
      <c r="O42" s="42">
        <f>IFERROR(__xludf.DUMMYFUNCTION("""COMPUTED_VALUE"""),0.0)</f>
        <v>0</v>
      </c>
      <c r="P42" s="42">
        <f>IFERROR(__xludf.DUMMYFUNCTION("""COMPUTED_VALUE"""),0.0)</f>
        <v>0</v>
      </c>
      <c r="Q42" s="125">
        <f>IFERROR(__xludf.DUMMYFUNCTION("""COMPUTED_VALUE"""),4.0)</f>
        <v>4</v>
      </c>
      <c r="R42" s="42">
        <f>IFERROR(__xludf.DUMMYFUNCTION("""COMPUTED_VALUE"""),4.0)</f>
        <v>4</v>
      </c>
      <c r="S42" s="42">
        <f>IFERROR(__xludf.DUMMYFUNCTION("""COMPUTED_VALUE"""),0.0)</f>
        <v>0</v>
      </c>
      <c r="T42" s="42">
        <f>IFERROR(__xludf.DUMMYFUNCTION("""COMPUTED_VALUE"""),0.0)</f>
        <v>0</v>
      </c>
      <c r="U42" s="125">
        <f>IFERROR(__xludf.DUMMYFUNCTION("""COMPUTED_VALUE"""),4.0)</f>
        <v>4</v>
      </c>
      <c r="V42" s="42">
        <f>IFERROR(__xludf.DUMMYFUNCTION("""COMPUTED_VALUE"""),4.0)</f>
        <v>4</v>
      </c>
      <c r="W42" s="42">
        <f>IFERROR(__xludf.DUMMYFUNCTION("""COMPUTED_VALUE"""),0.0)</f>
        <v>0</v>
      </c>
      <c r="X42" s="42">
        <f>IFERROR(__xludf.DUMMYFUNCTION("""COMPUTED_VALUE"""),0.0)</f>
        <v>0</v>
      </c>
      <c r="Y42" s="125">
        <f>IFERROR(__xludf.DUMMYFUNCTION("""COMPUTED_VALUE"""),4.0)</f>
        <v>4</v>
      </c>
      <c r="Z42" s="42">
        <f>IFERROR(__xludf.DUMMYFUNCTION("""COMPUTED_VALUE"""),4.0)</f>
        <v>4</v>
      </c>
      <c r="AA42" s="42">
        <f>IFERROR(__xludf.DUMMYFUNCTION("""COMPUTED_VALUE"""),0.0)</f>
        <v>0</v>
      </c>
      <c r="AB42" s="42">
        <f>IFERROR(__xludf.DUMMYFUNCTION("""COMPUTED_VALUE"""),0.0)</f>
        <v>0</v>
      </c>
      <c r="AC42" s="125">
        <f>IFERROR(__xludf.DUMMYFUNCTION("""COMPUTED_VALUE"""),4.0)</f>
        <v>4</v>
      </c>
      <c r="AD42" s="42">
        <f>IFERROR(__xludf.DUMMYFUNCTION("""COMPUTED_VALUE"""),4.0)</f>
        <v>4</v>
      </c>
      <c r="AE42" s="42">
        <f>IFERROR(__xludf.DUMMYFUNCTION("""COMPUTED_VALUE"""),0.0)</f>
        <v>0</v>
      </c>
      <c r="AF42" s="42">
        <f>IFERROR(__xludf.DUMMYFUNCTION("""COMPUTED_VALUE"""),0.0)</f>
        <v>0</v>
      </c>
      <c r="AG42" s="125">
        <f>IFERROR(__xludf.DUMMYFUNCTION("""COMPUTED_VALUE"""),0.0)</f>
        <v>0</v>
      </c>
      <c r="AH42" s="42">
        <f>IFERROR(__xludf.DUMMYFUNCTION("""COMPUTED_VALUE"""),0.0)</f>
        <v>0</v>
      </c>
      <c r="AI42" s="42">
        <f>IFERROR(__xludf.DUMMYFUNCTION("""COMPUTED_VALUE"""),0.0)</f>
        <v>0</v>
      </c>
      <c r="AJ42" s="42">
        <f>IFERROR(__xludf.DUMMYFUNCTION("""COMPUTED_VALUE"""),0.0)</f>
        <v>0</v>
      </c>
      <c r="AK42" s="125">
        <f>IFERROR(__xludf.DUMMYFUNCTION("""COMPUTED_VALUE"""),0.0)</f>
        <v>0</v>
      </c>
      <c r="AL42" s="42">
        <f>IFERROR(__xludf.DUMMYFUNCTION("""COMPUTED_VALUE"""),0.0)</f>
        <v>0</v>
      </c>
      <c r="AM42" s="42">
        <f>IFERROR(__xludf.DUMMYFUNCTION("""COMPUTED_VALUE"""),0.0)</f>
        <v>0</v>
      </c>
      <c r="AN42" s="42">
        <f>IFERROR(__xludf.DUMMYFUNCTION("""COMPUTED_VALUE"""),0.0)</f>
        <v>0</v>
      </c>
      <c r="AO42" s="125">
        <f>IFERROR(__xludf.DUMMYFUNCTION("""COMPUTED_VALUE"""),0.0)</f>
        <v>0</v>
      </c>
      <c r="AP42" s="42">
        <f>IFERROR(__xludf.DUMMYFUNCTION("""COMPUTED_VALUE"""),0.0)</f>
        <v>0</v>
      </c>
      <c r="AQ42" s="42">
        <f>IFERROR(__xludf.DUMMYFUNCTION("""COMPUTED_VALUE"""),0.0)</f>
        <v>0</v>
      </c>
      <c r="AR42" s="42">
        <f>IFERROR(__xludf.DUMMYFUNCTION("""COMPUTED_VALUE"""),0.0)</f>
        <v>0</v>
      </c>
      <c r="AS42" s="125">
        <f>IFERROR(__xludf.DUMMYFUNCTION("""COMPUTED_VALUE"""),0.0)</f>
        <v>0</v>
      </c>
      <c r="AT42" s="42">
        <f>IFERROR(__xludf.DUMMYFUNCTION("""COMPUTED_VALUE"""),0.0)</f>
        <v>0</v>
      </c>
      <c r="AU42" s="42">
        <f>IFERROR(__xludf.DUMMYFUNCTION("""COMPUTED_VALUE"""),0.0)</f>
        <v>0</v>
      </c>
      <c r="AV42" s="42">
        <f>IFERROR(__xludf.DUMMYFUNCTION("""COMPUTED_VALUE"""),0.0)</f>
        <v>0</v>
      </c>
      <c r="AW42" s="125">
        <f>IFERROR(__xludf.DUMMYFUNCTION("""COMPUTED_VALUE"""),0.0)</f>
        <v>0</v>
      </c>
      <c r="AX42" s="42">
        <f>IFERROR(__xludf.DUMMYFUNCTION("""COMPUTED_VALUE"""),0.0)</f>
        <v>0</v>
      </c>
      <c r="AY42" s="42">
        <f>IFERROR(__xludf.DUMMYFUNCTION("""COMPUTED_VALUE"""),0.0)</f>
        <v>0</v>
      </c>
      <c r="AZ42" s="43">
        <f>IFERROR(__xludf.DUMMYFUNCTION("""COMPUTED_VALUE"""),0.0)</f>
        <v>0</v>
      </c>
      <c r="BA42" s="34"/>
    </row>
    <row r="43" ht="15.75" customHeight="1">
      <c r="A43" s="29"/>
      <c r="B43" s="196" t="str">
        <f>IFERROR(__xludf.DUMMYFUNCTION("""COMPUTED_VALUE"""),"5.4. Tổng số nhân viên")</f>
        <v>5.4. Tổng số nhân viên</v>
      </c>
      <c r="C43" s="57"/>
      <c r="D43" s="57" t="str">
        <f>IFERROR(__xludf.DUMMYFUNCTION("""COMPUTED_VALUE""")," Người")</f>
        <v> Người</v>
      </c>
      <c r="E43" s="125">
        <f>IFERROR(__xludf.DUMMYFUNCTION("""COMPUTED_VALUE"""),133.0)</f>
        <v>133</v>
      </c>
      <c r="F43" s="42">
        <f>IFERROR(__xludf.DUMMYFUNCTION("""COMPUTED_VALUE"""),133.0)</f>
        <v>133</v>
      </c>
      <c r="G43" s="42">
        <f>IFERROR(__xludf.DUMMYFUNCTION("""COMPUTED_VALUE"""),0.0)</f>
        <v>0</v>
      </c>
      <c r="H43" s="42">
        <f>IFERROR(__xludf.DUMMYFUNCTION("""COMPUTED_VALUE"""),0.0)</f>
        <v>0</v>
      </c>
      <c r="I43" s="125">
        <f>IFERROR(__xludf.DUMMYFUNCTION("""COMPUTED_VALUE"""),129.0)</f>
        <v>129</v>
      </c>
      <c r="J43" s="42">
        <f>IFERROR(__xludf.DUMMYFUNCTION("""COMPUTED_VALUE"""),129.0)</f>
        <v>129</v>
      </c>
      <c r="K43" s="42">
        <f>IFERROR(__xludf.DUMMYFUNCTION("""COMPUTED_VALUE"""),0.0)</f>
        <v>0</v>
      </c>
      <c r="L43" s="42">
        <f>IFERROR(__xludf.DUMMYFUNCTION("""COMPUTED_VALUE"""),0.0)</f>
        <v>0</v>
      </c>
      <c r="M43" s="125">
        <f>IFERROR(__xludf.DUMMYFUNCTION("""COMPUTED_VALUE"""),126.0)</f>
        <v>126</v>
      </c>
      <c r="N43" s="42">
        <f>IFERROR(__xludf.DUMMYFUNCTION("""COMPUTED_VALUE"""),126.0)</f>
        <v>126</v>
      </c>
      <c r="O43" s="42">
        <f>IFERROR(__xludf.DUMMYFUNCTION("""COMPUTED_VALUE"""),0.0)</f>
        <v>0</v>
      </c>
      <c r="P43" s="42">
        <f>IFERROR(__xludf.DUMMYFUNCTION("""COMPUTED_VALUE"""),0.0)</f>
        <v>0</v>
      </c>
      <c r="Q43" s="125">
        <f>IFERROR(__xludf.DUMMYFUNCTION("""COMPUTED_VALUE"""),117.0)</f>
        <v>117</v>
      </c>
      <c r="R43" s="42">
        <f>IFERROR(__xludf.DUMMYFUNCTION("""COMPUTED_VALUE"""),117.0)</f>
        <v>117</v>
      </c>
      <c r="S43" s="42">
        <f>IFERROR(__xludf.DUMMYFUNCTION("""COMPUTED_VALUE"""),0.0)</f>
        <v>0</v>
      </c>
      <c r="T43" s="42">
        <f>IFERROR(__xludf.DUMMYFUNCTION("""COMPUTED_VALUE"""),0.0)</f>
        <v>0</v>
      </c>
      <c r="U43" s="125">
        <f>IFERROR(__xludf.DUMMYFUNCTION("""COMPUTED_VALUE"""),117.0)</f>
        <v>117</v>
      </c>
      <c r="V43" s="42">
        <f>IFERROR(__xludf.DUMMYFUNCTION("""COMPUTED_VALUE"""),117.0)</f>
        <v>117</v>
      </c>
      <c r="W43" s="42">
        <f>IFERROR(__xludf.DUMMYFUNCTION("""COMPUTED_VALUE"""),0.0)</f>
        <v>0</v>
      </c>
      <c r="X43" s="42">
        <f>IFERROR(__xludf.DUMMYFUNCTION("""COMPUTED_VALUE"""),0.0)</f>
        <v>0</v>
      </c>
      <c r="Y43" s="125">
        <f>IFERROR(__xludf.DUMMYFUNCTION("""COMPUTED_VALUE"""),106.0)</f>
        <v>106</v>
      </c>
      <c r="Z43" s="42">
        <f>IFERROR(__xludf.DUMMYFUNCTION("""COMPUTED_VALUE"""),106.0)</f>
        <v>106</v>
      </c>
      <c r="AA43" s="42">
        <f>IFERROR(__xludf.DUMMYFUNCTION("""COMPUTED_VALUE"""),0.0)</f>
        <v>0</v>
      </c>
      <c r="AB43" s="42">
        <f>IFERROR(__xludf.DUMMYFUNCTION("""COMPUTED_VALUE"""),0.0)</f>
        <v>0</v>
      </c>
      <c r="AC43" s="125">
        <f>IFERROR(__xludf.DUMMYFUNCTION("""COMPUTED_VALUE"""),106.0)</f>
        <v>106</v>
      </c>
      <c r="AD43" s="42">
        <f>IFERROR(__xludf.DUMMYFUNCTION("""COMPUTED_VALUE"""),106.0)</f>
        <v>106</v>
      </c>
      <c r="AE43" s="42">
        <f>IFERROR(__xludf.DUMMYFUNCTION("""COMPUTED_VALUE"""),0.0)</f>
        <v>0</v>
      </c>
      <c r="AF43" s="42">
        <f>IFERROR(__xludf.DUMMYFUNCTION("""COMPUTED_VALUE"""),0.0)</f>
        <v>0</v>
      </c>
      <c r="AG43" s="125">
        <f>IFERROR(__xludf.DUMMYFUNCTION("""COMPUTED_VALUE"""),13.0)</f>
        <v>13</v>
      </c>
      <c r="AH43" s="42">
        <f>IFERROR(__xludf.DUMMYFUNCTION("""COMPUTED_VALUE"""),13.0)</f>
        <v>13</v>
      </c>
      <c r="AI43" s="42">
        <f>IFERROR(__xludf.DUMMYFUNCTION("""COMPUTED_VALUE"""),0.0)</f>
        <v>0</v>
      </c>
      <c r="AJ43" s="42">
        <f>IFERROR(__xludf.DUMMYFUNCTION("""COMPUTED_VALUE"""),0.0)</f>
        <v>0</v>
      </c>
      <c r="AK43" s="125">
        <f>IFERROR(__xludf.DUMMYFUNCTION("""COMPUTED_VALUE"""),0.0)</f>
        <v>0</v>
      </c>
      <c r="AL43" s="42">
        <f>IFERROR(__xludf.DUMMYFUNCTION("""COMPUTED_VALUE"""),0.0)</f>
        <v>0</v>
      </c>
      <c r="AM43" s="42">
        <f>IFERROR(__xludf.DUMMYFUNCTION("""COMPUTED_VALUE"""),0.0)</f>
        <v>0</v>
      </c>
      <c r="AN43" s="42">
        <f>IFERROR(__xludf.DUMMYFUNCTION("""COMPUTED_VALUE"""),0.0)</f>
        <v>0</v>
      </c>
      <c r="AO43" s="125">
        <f>IFERROR(__xludf.DUMMYFUNCTION("""COMPUTED_VALUE"""),0.0)</f>
        <v>0</v>
      </c>
      <c r="AP43" s="42">
        <f>IFERROR(__xludf.DUMMYFUNCTION("""COMPUTED_VALUE"""),0.0)</f>
        <v>0</v>
      </c>
      <c r="AQ43" s="42">
        <f>IFERROR(__xludf.DUMMYFUNCTION("""COMPUTED_VALUE"""),0.0)</f>
        <v>0</v>
      </c>
      <c r="AR43" s="42">
        <f>IFERROR(__xludf.DUMMYFUNCTION("""COMPUTED_VALUE"""),0.0)</f>
        <v>0</v>
      </c>
      <c r="AS43" s="125">
        <f>IFERROR(__xludf.DUMMYFUNCTION("""COMPUTED_VALUE"""),0.0)</f>
        <v>0</v>
      </c>
      <c r="AT43" s="42">
        <f>IFERROR(__xludf.DUMMYFUNCTION("""COMPUTED_VALUE"""),0.0)</f>
        <v>0</v>
      </c>
      <c r="AU43" s="42">
        <f>IFERROR(__xludf.DUMMYFUNCTION("""COMPUTED_VALUE"""),0.0)</f>
        <v>0</v>
      </c>
      <c r="AV43" s="42">
        <f>IFERROR(__xludf.DUMMYFUNCTION("""COMPUTED_VALUE"""),0.0)</f>
        <v>0</v>
      </c>
      <c r="AW43" s="125">
        <f>IFERROR(__xludf.DUMMYFUNCTION("""COMPUTED_VALUE"""),0.0)</f>
        <v>0</v>
      </c>
      <c r="AX43" s="42">
        <f>IFERROR(__xludf.DUMMYFUNCTION("""COMPUTED_VALUE"""),0.0)</f>
        <v>0</v>
      </c>
      <c r="AY43" s="42">
        <f>IFERROR(__xludf.DUMMYFUNCTION("""COMPUTED_VALUE"""),0.0)</f>
        <v>0</v>
      </c>
      <c r="AZ43" s="43">
        <f>IFERROR(__xludf.DUMMYFUNCTION("""COMPUTED_VALUE"""),0.0)</f>
        <v>0</v>
      </c>
      <c r="BA43" s="34"/>
    </row>
    <row r="44" ht="15.75" customHeight="1">
      <c r="A44" s="29"/>
      <c r="B44" s="30" t="str">
        <f>IFERROR(__xludf.DUMMYFUNCTION("""COMPUTED_VALUE"""),"6. KHỐI PHÒNG HỌC TẬP")</f>
        <v>6. KHỐI PHÒNG HỌC TẬP</v>
      </c>
      <c r="C44" s="31" t="str">
        <f>IFERROR(__xludf.DUMMYFUNCTION("""COMPUTED_VALUE"""),"Quí")</f>
        <v>Quí</v>
      </c>
      <c r="D44" s="31" t="str">
        <f>IFERROR(__xludf.DUMMYFUNCTION("""COMPUTED_VALUE"""),"Phòng")</f>
        <v>Phòng</v>
      </c>
      <c r="E44" s="32">
        <f>IFERROR(__xludf.DUMMYFUNCTION("""COMPUTED_VALUE"""),668.0)</f>
        <v>668</v>
      </c>
      <c r="F44" s="32">
        <f>IFERROR(__xludf.DUMMYFUNCTION("""COMPUTED_VALUE"""),668.0)</f>
        <v>668</v>
      </c>
      <c r="G44" s="32">
        <f>IFERROR(__xludf.DUMMYFUNCTION("""COMPUTED_VALUE"""),0.0)</f>
        <v>0</v>
      </c>
      <c r="H44" s="32">
        <f>IFERROR(__xludf.DUMMYFUNCTION("""COMPUTED_VALUE"""),0.0)</f>
        <v>0</v>
      </c>
      <c r="I44" s="32">
        <f>IFERROR(__xludf.DUMMYFUNCTION("""COMPUTED_VALUE"""),689.0)</f>
        <v>689</v>
      </c>
      <c r="J44" s="32">
        <f>IFERROR(__xludf.DUMMYFUNCTION("""COMPUTED_VALUE"""),689.0)</f>
        <v>689</v>
      </c>
      <c r="K44" s="32">
        <f>IFERROR(__xludf.DUMMYFUNCTION("""COMPUTED_VALUE"""),0.0)</f>
        <v>0</v>
      </c>
      <c r="L44" s="32">
        <f>IFERROR(__xludf.DUMMYFUNCTION("""COMPUTED_VALUE"""),0.0)</f>
        <v>0</v>
      </c>
      <c r="M44" s="32">
        <f>IFERROR(__xludf.DUMMYFUNCTION("""COMPUTED_VALUE"""),689.0)</f>
        <v>689</v>
      </c>
      <c r="N44" s="32">
        <f>IFERROR(__xludf.DUMMYFUNCTION("""COMPUTED_VALUE"""),689.0)</f>
        <v>689</v>
      </c>
      <c r="O44" s="32">
        <f>IFERROR(__xludf.DUMMYFUNCTION("""COMPUTED_VALUE"""),0.0)</f>
        <v>0</v>
      </c>
      <c r="P44" s="32">
        <f>IFERROR(__xludf.DUMMYFUNCTION("""COMPUTED_VALUE"""),0.0)</f>
        <v>0</v>
      </c>
      <c r="Q44" s="32">
        <f>IFERROR(__xludf.DUMMYFUNCTION("""COMPUTED_VALUE"""),690.0)</f>
        <v>690</v>
      </c>
      <c r="R44" s="32">
        <f>IFERROR(__xludf.DUMMYFUNCTION("""COMPUTED_VALUE"""),690.0)</f>
        <v>690</v>
      </c>
      <c r="S44" s="32">
        <f>IFERROR(__xludf.DUMMYFUNCTION("""COMPUTED_VALUE"""),0.0)</f>
        <v>0</v>
      </c>
      <c r="T44" s="32">
        <f>IFERROR(__xludf.DUMMYFUNCTION("""COMPUTED_VALUE"""),0.0)</f>
        <v>0</v>
      </c>
      <c r="U44" s="32">
        <f>IFERROR(__xludf.DUMMYFUNCTION("""COMPUTED_VALUE"""),686.0)</f>
        <v>686</v>
      </c>
      <c r="V44" s="32">
        <f>IFERROR(__xludf.DUMMYFUNCTION("""COMPUTED_VALUE"""),686.0)</f>
        <v>686</v>
      </c>
      <c r="W44" s="32">
        <f>IFERROR(__xludf.DUMMYFUNCTION("""COMPUTED_VALUE"""),0.0)</f>
        <v>0</v>
      </c>
      <c r="X44" s="32">
        <f>IFERROR(__xludf.DUMMYFUNCTION("""COMPUTED_VALUE"""),0.0)</f>
        <v>0</v>
      </c>
      <c r="Y44" s="32">
        <f>IFERROR(__xludf.DUMMYFUNCTION("""COMPUTED_VALUE"""),695.0)</f>
        <v>695</v>
      </c>
      <c r="Z44" s="32">
        <f>IFERROR(__xludf.DUMMYFUNCTION("""COMPUTED_VALUE"""),695.0)</f>
        <v>695</v>
      </c>
      <c r="AA44" s="32">
        <f>IFERROR(__xludf.DUMMYFUNCTION("""COMPUTED_VALUE"""),0.0)</f>
        <v>0</v>
      </c>
      <c r="AB44" s="32">
        <f>IFERROR(__xludf.DUMMYFUNCTION("""COMPUTED_VALUE"""),0.0)</f>
        <v>0</v>
      </c>
      <c r="AC44" s="32">
        <f>IFERROR(__xludf.DUMMYFUNCTION("""COMPUTED_VALUE"""),669.0)</f>
        <v>669</v>
      </c>
      <c r="AD44" s="32">
        <f>IFERROR(__xludf.DUMMYFUNCTION("""COMPUTED_VALUE"""),669.0)</f>
        <v>669</v>
      </c>
      <c r="AE44" s="32">
        <f>IFERROR(__xludf.DUMMYFUNCTION("""COMPUTED_VALUE"""),0.0)</f>
        <v>0</v>
      </c>
      <c r="AF44" s="32">
        <f>IFERROR(__xludf.DUMMYFUNCTION("""COMPUTED_VALUE"""),0.0)</f>
        <v>0</v>
      </c>
      <c r="AG44" s="32">
        <f>IFERROR(__xludf.DUMMYFUNCTION("""COMPUTED_VALUE"""),169.0)</f>
        <v>169</v>
      </c>
      <c r="AH44" s="32">
        <f>IFERROR(__xludf.DUMMYFUNCTION("""COMPUTED_VALUE"""),169.0)</f>
        <v>169</v>
      </c>
      <c r="AI44" s="32">
        <f>IFERROR(__xludf.DUMMYFUNCTION("""COMPUTED_VALUE"""),0.0)</f>
        <v>0</v>
      </c>
      <c r="AJ44" s="32">
        <f>IFERROR(__xludf.DUMMYFUNCTION("""COMPUTED_VALUE"""),0.0)</f>
        <v>0</v>
      </c>
      <c r="AK44" s="32">
        <f>IFERROR(__xludf.DUMMYFUNCTION("""COMPUTED_VALUE"""),44.0)</f>
        <v>44</v>
      </c>
      <c r="AL44" s="32">
        <f>IFERROR(__xludf.DUMMYFUNCTION("""COMPUTED_VALUE"""),44.0)</f>
        <v>44</v>
      </c>
      <c r="AM44" s="32">
        <f>IFERROR(__xludf.DUMMYFUNCTION("""COMPUTED_VALUE"""),0.0)</f>
        <v>0</v>
      </c>
      <c r="AN44" s="32">
        <f>IFERROR(__xludf.DUMMYFUNCTION("""COMPUTED_VALUE"""),0.0)</f>
        <v>0</v>
      </c>
      <c r="AO44" s="32">
        <f>IFERROR(__xludf.DUMMYFUNCTION("""COMPUTED_VALUE"""),44.0)</f>
        <v>44</v>
      </c>
      <c r="AP44" s="32">
        <f>IFERROR(__xludf.DUMMYFUNCTION("""COMPUTED_VALUE"""),44.0)</f>
        <v>44</v>
      </c>
      <c r="AQ44" s="32">
        <f>IFERROR(__xludf.DUMMYFUNCTION("""COMPUTED_VALUE"""),0.0)</f>
        <v>0</v>
      </c>
      <c r="AR44" s="32">
        <f>IFERROR(__xludf.DUMMYFUNCTION("""COMPUTED_VALUE"""),0.0)</f>
        <v>0</v>
      </c>
      <c r="AS44" s="32">
        <f>IFERROR(__xludf.DUMMYFUNCTION("""COMPUTED_VALUE"""),0.0)</f>
        <v>0</v>
      </c>
      <c r="AT44" s="32">
        <f>IFERROR(__xludf.DUMMYFUNCTION("""COMPUTED_VALUE"""),0.0)</f>
        <v>0</v>
      </c>
      <c r="AU44" s="32">
        <f>IFERROR(__xludf.DUMMYFUNCTION("""COMPUTED_VALUE"""),0.0)</f>
        <v>0</v>
      </c>
      <c r="AV44" s="32">
        <f>IFERROR(__xludf.DUMMYFUNCTION("""COMPUTED_VALUE"""),0.0)</f>
        <v>0</v>
      </c>
      <c r="AW44" s="32">
        <f>IFERROR(__xludf.DUMMYFUNCTION("""COMPUTED_VALUE"""),0.0)</f>
        <v>0</v>
      </c>
      <c r="AX44" s="32">
        <f>IFERROR(__xludf.DUMMYFUNCTION("""COMPUTED_VALUE"""),0.0)</f>
        <v>0</v>
      </c>
      <c r="AY44" s="32">
        <f>IFERROR(__xludf.DUMMYFUNCTION("""COMPUTED_VALUE"""),0.0)</f>
        <v>0</v>
      </c>
      <c r="AZ44" s="33">
        <f>IFERROR(__xludf.DUMMYFUNCTION("""COMPUTED_VALUE"""),0.0)</f>
        <v>0</v>
      </c>
      <c r="BA44" s="34"/>
    </row>
    <row r="45" ht="15.75" customHeight="1">
      <c r="A45" s="29"/>
      <c r="B45" s="196" t="str">
        <f>IFERROR(__xludf.DUMMYFUNCTION("""COMPUTED_VALUE"""),"6.1. Tổng số phòng học")</f>
        <v>6.1. Tổng số phòng học</v>
      </c>
      <c r="C45" s="57"/>
      <c r="D45" s="57" t="str">
        <f>IFERROR(__xludf.DUMMYFUNCTION("""COMPUTED_VALUE"""),"Phòng")</f>
        <v>Phòng</v>
      </c>
      <c r="E45" s="125">
        <f>IFERROR(__xludf.DUMMYFUNCTION("""COMPUTED_VALUE"""),550.0)</f>
        <v>550</v>
      </c>
      <c r="F45" s="125">
        <f>IFERROR(__xludf.DUMMYFUNCTION("""COMPUTED_VALUE"""),550.0)</f>
        <v>550</v>
      </c>
      <c r="G45" s="125">
        <f>IFERROR(__xludf.DUMMYFUNCTION("""COMPUTED_VALUE"""),0.0)</f>
        <v>0</v>
      </c>
      <c r="H45" s="125">
        <f>IFERROR(__xludf.DUMMYFUNCTION("""COMPUTED_VALUE"""),0.0)</f>
        <v>0</v>
      </c>
      <c r="I45" s="125">
        <f>IFERROR(__xludf.DUMMYFUNCTION("""COMPUTED_VALUE"""),576.0)</f>
        <v>576</v>
      </c>
      <c r="J45" s="125">
        <f>IFERROR(__xludf.DUMMYFUNCTION("""COMPUTED_VALUE"""),576.0)</f>
        <v>576</v>
      </c>
      <c r="K45" s="125">
        <f>IFERROR(__xludf.DUMMYFUNCTION("""COMPUTED_VALUE"""),0.0)</f>
        <v>0</v>
      </c>
      <c r="L45" s="125">
        <f>IFERROR(__xludf.DUMMYFUNCTION("""COMPUTED_VALUE"""),0.0)</f>
        <v>0</v>
      </c>
      <c r="M45" s="125">
        <f>IFERROR(__xludf.DUMMYFUNCTION("""COMPUTED_VALUE"""),576.0)</f>
        <v>576</v>
      </c>
      <c r="N45" s="125">
        <f>IFERROR(__xludf.DUMMYFUNCTION("""COMPUTED_VALUE"""),576.0)</f>
        <v>576</v>
      </c>
      <c r="O45" s="125">
        <f>IFERROR(__xludf.DUMMYFUNCTION("""COMPUTED_VALUE"""),0.0)</f>
        <v>0</v>
      </c>
      <c r="P45" s="125">
        <f>IFERROR(__xludf.DUMMYFUNCTION("""COMPUTED_VALUE"""),0.0)</f>
        <v>0</v>
      </c>
      <c r="Q45" s="125">
        <f>IFERROR(__xludf.DUMMYFUNCTION("""COMPUTED_VALUE"""),577.0)</f>
        <v>577</v>
      </c>
      <c r="R45" s="125">
        <f>IFERROR(__xludf.DUMMYFUNCTION("""COMPUTED_VALUE"""),577.0)</f>
        <v>577</v>
      </c>
      <c r="S45" s="125">
        <f>IFERROR(__xludf.DUMMYFUNCTION("""COMPUTED_VALUE"""),0.0)</f>
        <v>0</v>
      </c>
      <c r="T45" s="125">
        <f>IFERROR(__xludf.DUMMYFUNCTION("""COMPUTED_VALUE"""),0.0)</f>
        <v>0</v>
      </c>
      <c r="U45" s="125">
        <f>IFERROR(__xludf.DUMMYFUNCTION("""COMPUTED_VALUE"""),577.0)</f>
        <v>577</v>
      </c>
      <c r="V45" s="125">
        <f>IFERROR(__xludf.DUMMYFUNCTION("""COMPUTED_VALUE"""),577.0)</f>
        <v>577</v>
      </c>
      <c r="W45" s="125">
        <f>IFERROR(__xludf.DUMMYFUNCTION("""COMPUTED_VALUE"""),0.0)</f>
        <v>0</v>
      </c>
      <c r="X45" s="125">
        <f>IFERROR(__xludf.DUMMYFUNCTION("""COMPUTED_VALUE"""),0.0)</f>
        <v>0</v>
      </c>
      <c r="Y45" s="125">
        <f>IFERROR(__xludf.DUMMYFUNCTION("""COMPUTED_VALUE"""),581.0)</f>
        <v>581</v>
      </c>
      <c r="Z45" s="125">
        <f>IFERROR(__xludf.DUMMYFUNCTION("""COMPUTED_VALUE"""),581.0)</f>
        <v>581</v>
      </c>
      <c r="AA45" s="125">
        <f>IFERROR(__xludf.DUMMYFUNCTION("""COMPUTED_VALUE"""),0.0)</f>
        <v>0</v>
      </c>
      <c r="AB45" s="125">
        <f>IFERROR(__xludf.DUMMYFUNCTION("""COMPUTED_VALUE"""),0.0)</f>
        <v>0</v>
      </c>
      <c r="AC45" s="125">
        <f>IFERROR(__xludf.DUMMYFUNCTION("""COMPUTED_VALUE"""),555.0)</f>
        <v>555</v>
      </c>
      <c r="AD45" s="125">
        <f>IFERROR(__xludf.DUMMYFUNCTION("""COMPUTED_VALUE"""),555.0)</f>
        <v>555</v>
      </c>
      <c r="AE45" s="125">
        <f>IFERROR(__xludf.DUMMYFUNCTION("""COMPUTED_VALUE"""),0.0)</f>
        <v>0</v>
      </c>
      <c r="AF45" s="125">
        <f>IFERROR(__xludf.DUMMYFUNCTION("""COMPUTED_VALUE"""),0.0)</f>
        <v>0</v>
      </c>
      <c r="AG45" s="125">
        <f>IFERROR(__xludf.DUMMYFUNCTION("""COMPUTED_VALUE"""),137.0)</f>
        <v>137</v>
      </c>
      <c r="AH45" s="125">
        <f>IFERROR(__xludf.DUMMYFUNCTION("""COMPUTED_VALUE"""),137.0)</f>
        <v>137</v>
      </c>
      <c r="AI45" s="125">
        <f>IFERROR(__xludf.DUMMYFUNCTION("""COMPUTED_VALUE"""),0.0)</f>
        <v>0</v>
      </c>
      <c r="AJ45" s="125">
        <f>IFERROR(__xludf.DUMMYFUNCTION("""COMPUTED_VALUE"""),0.0)</f>
        <v>0</v>
      </c>
      <c r="AK45" s="125">
        <f>IFERROR(__xludf.DUMMYFUNCTION("""COMPUTED_VALUE"""),38.0)</f>
        <v>38</v>
      </c>
      <c r="AL45" s="125">
        <f>IFERROR(__xludf.DUMMYFUNCTION("""COMPUTED_VALUE"""),38.0)</f>
        <v>38</v>
      </c>
      <c r="AM45" s="125">
        <f>IFERROR(__xludf.DUMMYFUNCTION("""COMPUTED_VALUE"""),0.0)</f>
        <v>0</v>
      </c>
      <c r="AN45" s="125">
        <f>IFERROR(__xludf.DUMMYFUNCTION("""COMPUTED_VALUE"""),0.0)</f>
        <v>0</v>
      </c>
      <c r="AO45" s="125">
        <f>IFERROR(__xludf.DUMMYFUNCTION("""COMPUTED_VALUE"""),38.0)</f>
        <v>38</v>
      </c>
      <c r="AP45" s="125">
        <f>IFERROR(__xludf.DUMMYFUNCTION("""COMPUTED_VALUE"""),38.0)</f>
        <v>38</v>
      </c>
      <c r="AQ45" s="125">
        <f>IFERROR(__xludf.DUMMYFUNCTION("""COMPUTED_VALUE"""),0.0)</f>
        <v>0</v>
      </c>
      <c r="AR45" s="125">
        <f>IFERROR(__xludf.DUMMYFUNCTION("""COMPUTED_VALUE"""),0.0)</f>
        <v>0</v>
      </c>
      <c r="AS45" s="125">
        <f>IFERROR(__xludf.DUMMYFUNCTION("""COMPUTED_VALUE"""),0.0)</f>
        <v>0</v>
      </c>
      <c r="AT45" s="125">
        <f>IFERROR(__xludf.DUMMYFUNCTION("""COMPUTED_VALUE"""),0.0)</f>
        <v>0</v>
      </c>
      <c r="AU45" s="125">
        <f>IFERROR(__xludf.DUMMYFUNCTION("""COMPUTED_VALUE"""),0.0)</f>
        <v>0</v>
      </c>
      <c r="AV45" s="125">
        <f>IFERROR(__xludf.DUMMYFUNCTION("""COMPUTED_VALUE"""),0.0)</f>
        <v>0</v>
      </c>
      <c r="AW45" s="125">
        <f>IFERROR(__xludf.DUMMYFUNCTION("""COMPUTED_VALUE"""),0.0)</f>
        <v>0</v>
      </c>
      <c r="AX45" s="125">
        <f>IFERROR(__xludf.DUMMYFUNCTION("""COMPUTED_VALUE"""),0.0)</f>
        <v>0</v>
      </c>
      <c r="AY45" s="125">
        <f>IFERROR(__xludf.DUMMYFUNCTION("""COMPUTED_VALUE"""),0.0)</f>
        <v>0</v>
      </c>
      <c r="AZ45" s="127">
        <f>IFERROR(__xludf.DUMMYFUNCTION("""COMPUTED_VALUE"""),0.0)</f>
        <v>0</v>
      </c>
      <c r="BA45" s="34"/>
    </row>
    <row r="46" ht="15.75" customHeight="1">
      <c r="A46" s="29"/>
      <c r="B46" s="48" t="str">
        <f>IFERROR(__xludf.DUMMYFUNCTION("""COMPUTED_VALUE"""),"Chia ra:")</f>
        <v>Chia ra:</v>
      </c>
      <c r="C46" s="49"/>
      <c r="D46" s="3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50"/>
      <c r="BA46" s="34"/>
    </row>
    <row r="47" ht="15.75" customHeight="1">
      <c r="A47" s="29"/>
      <c r="B47" s="67" t="str">
        <f>IFERROR(__xludf.DUMMYFUNCTION("""COMPUTED_VALUE""")," + Kiên cố")</f>
        <v> + Kiên cố</v>
      </c>
      <c r="C47" s="31"/>
      <c r="D47" s="31" t="str">
        <f>IFERROR(__xludf.DUMMYFUNCTION("""COMPUTED_VALUE"""),"""")</f>
        <v>"</v>
      </c>
      <c r="E47" s="41">
        <f>IFERROR(__xludf.DUMMYFUNCTION("""COMPUTED_VALUE"""),539.0)</f>
        <v>539</v>
      </c>
      <c r="F47" s="42">
        <f>IFERROR(__xludf.DUMMYFUNCTION("""COMPUTED_VALUE"""),539.0)</f>
        <v>539</v>
      </c>
      <c r="G47" s="42">
        <f>IFERROR(__xludf.DUMMYFUNCTION("""COMPUTED_VALUE"""),0.0)</f>
        <v>0</v>
      </c>
      <c r="H47" s="42">
        <f>IFERROR(__xludf.DUMMYFUNCTION("""COMPUTED_VALUE"""),0.0)</f>
        <v>0</v>
      </c>
      <c r="I47" s="41">
        <f>IFERROR(__xludf.DUMMYFUNCTION("""COMPUTED_VALUE"""),565.0)</f>
        <v>565</v>
      </c>
      <c r="J47" s="42">
        <f>IFERROR(__xludf.DUMMYFUNCTION("""COMPUTED_VALUE"""),565.0)</f>
        <v>565</v>
      </c>
      <c r="K47" s="42">
        <f>IFERROR(__xludf.DUMMYFUNCTION("""COMPUTED_VALUE"""),0.0)</f>
        <v>0</v>
      </c>
      <c r="L47" s="42">
        <f>IFERROR(__xludf.DUMMYFUNCTION("""COMPUTED_VALUE"""),0.0)</f>
        <v>0</v>
      </c>
      <c r="M47" s="41">
        <f>IFERROR(__xludf.DUMMYFUNCTION("""COMPUTED_VALUE"""),565.0)</f>
        <v>565</v>
      </c>
      <c r="N47" s="42">
        <f>IFERROR(__xludf.DUMMYFUNCTION("""COMPUTED_VALUE"""),565.0)</f>
        <v>565</v>
      </c>
      <c r="O47" s="42">
        <f>IFERROR(__xludf.DUMMYFUNCTION("""COMPUTED_VALUE"""),0.0)</f>
        <v>0</v>
      </c>
      <c r="P47" s="42">
        <f>IFERROR(__xludf.DUMMYFUNCTION("""COMPUTED_VALUE"""),0.0)</f>
        <v>0</v>
      </c>
      <c r="Q47" s="41">
        <f>IFERROR(__xludf.DUMMYFUNCTION("""COMPUTED_VALUE"""),570.0)</f>
        <v>570</v>
      </c>
      <c r="R47" s="42">
        <f>IFERROR(__xludf.DUMMYFUNCTION("""COMPUTED_VALUE"""),570.0)</f>
        <v>570</v>
      </c>
      <c r="S47" s="42">
        <f>IFERROR(__xludf.DUMMYFUNCTION("""COMPUTED_VALUE"""),0.0)</f>
        <v>0</v>
      </c>
      <c r="T47" s="42">
        <f>IFERROR(__xludf.DUMMYFUNCTION("""COMPUTED_VALUE"""),0.0)</f>
        <v>0</v>
      </c>
      <c r="U47" s="41">
        <f>IFERROR(__xludf.DUMMYFUNCTION("""COMPUTED_VALUE"""),570.0)</f>
        <v>570</v>
      </c>
      <c r="V47" s="42">
        <f>IFERROR(__xludf.DUMMYFUNCTION("""COMPUTED_VALUE"""),570.0)</f>
        <v>570</v>
      </c>
      <c r="W47" s="42">
        <f>IFERROR(__xludf.DUMMYFUNCTION("""COMPUTED_VALUE"""),0.0)</f>
        <v>0</v>
      </c>
      <c r="X47" s="42">
        <f>IFERROR(__xludf.DUMMYFUNCTION("""COMPUTED_VALUE"""),0.0)</f>
        <v>0</v>
      </c>
      <c r="Y47" s="41">
        <f>IFERROR(__xludf.DUMMYFUNCTION("""COMPUTED_VALUE"""),570.0)</f>
        <v>570</v>
      </c>
      <c r="Z47" s="42">
        <f>IFERROR(__xludf.DUMMYFUNCTION("""COMPUTED_VALUE"""),570.0)</f>
        <v>570</v>
      </c>
      <c r="AA47" s="42">
        <f>IFERROR(__xludf.DUMMYFUNCTION("""COMPUTED_VALUE"""),0.0)</f>
        <v>0</v>
      </c>
      <c r="AB47" s="42">
        <f>IFERROR(__xludf.DUMMYFUNCTION("""COMPUTED_VALUE"""),0.0)</f>
        <v>0</v>
      </c>
      <c r="AC47" s="41">
        <f>IFERROR(__xludf.DUMMYFUNCTION("""COMPUTED_VALUE"""),544.0)</f>
        <v>544</v>
      </c>
      <c r="AD47" s="42">
        <f>IFERROR(__xludf.DUMMYFUNCTION("""COMPUTED_VALUE"""),544.0)</f>
        <v>544</v>
      </c>
      <c r="AE47" s="42">
        <f>IFERROR(__xludf.DUMMYFUNCTION("""COMPUTED_VALUE"""),0.0)</f>
        <v>0</v>
      </c>
      <c r="AF47" s="42">
        <f>IFERROR(__xludf.DUMMYFUNCTION("""COMPUTED_VALUE"""),0.0)</f>
        <v>0</v>
      </c>
      <c r="AG47" s="41">
        <f>IFERROR(__xludf.DUMMYFUNCTION("""COMPUTED_VALUE"""),130.0)</f>
        <v>130</v>
      </c>
      <c r="AH47" s="42">
        <f>IFERROR(__xludf.DUMMYFUNCTION("""COMPUTED_VALUE"""),130.0)</f>
        <v>130</v>
      </c>
      <c r="AI47" s="42">
        <f>IFERROR(__xludf.DUMMYFUNCTION("""COMPUTED_VALUE"""),0.0)</f>
        <v>0</v>
      </c>
      <c r="AJ47" s="42">
        <f>IFERROR(__xludf.DUMMYFUNCTION("""COMPUTED_VALUE"""),0.0)</f>
        <v>0</v>
      </c>
      <c r="AK47" s="41">
        <f>IFERROR(__xludf.DUMMYFUNCTION("""COMPUTED_VALUE"""),31.0)</f>
        <v>31</v>
      </c>
      <c r="AL47" s="42">
        <f>IFERROR(__xludf.DUMMYFUNCTION("""COMPUTED_VALUE"""),31.0)</f>
        <v>31</v>
      </c>
      <c r="AM47" s="42">
        <f>IFERROR(__xludf.DUMMYFUNCTION("""COMPUTED_VALUE"""),0.0)</f>
        <v>0</v>
      </c>
      <c r="AN47" s="42">
        <f>IFERROR(__xludf.DUMMYFUNCTION("""COMPUTED_VALUE"""),0.0)</f>
        <v>0</v>
      </c>
      <c r="AO47" s="41">
        <f>IFERROR(__xludf.DUMMYFUNCTION("""COMPUTED_VALUE"""),31.0)</f>
        <v>31</v>
      </c>
      <c r="AP47" s="42">
        <f>IFERROR(__xludf.DUMMYFUNCTION("""COMPUTED_VALUE"""),31.0)</f>
        <v>31</v>
      </c>
      <c r="AQ47" s="42">
        <f>IFERROR(__xludf.DUMMYFUNCTION("""COMPUTED_VALUE"""),0.0)</f>
        <v>0</v>
      </c>
      <c r="AR47" s="42">
        <f>IFERROR(__xludf.DUMMYFUNCTION("""COMPUTED_VALUE"""),0.0)</f>
        <v>0</v>
      </c>
      <c r="AS47" s="41">
        <f>IFERROR(__xludf.DUMMYFUNCTION("""COMPUTED_VALUE"""),0.0)</f>
        <v>0</v>
      </c>
      <c r="AT47" s="42">
        <f>IFERROR(__xludf.DUMMYFUNCTION("""COMPUTED_VALUE"""),0.0)</f>
        <v>0</v>
      </c>
      <c r="AU47" s="42">
        <f>IFERROR(__xludf.DUMMYFUNCTION("""COMPUTED_VALUE"""),0.0)</f>
        <v>0</v>
      </c>
      <c r="AV47" s="42">
        <f>IFERROR(__xludf.DUMMYFUNCTION("""COMPUTED_VALUE"""),0.0)</f>
        <v>0</v>
      </c>
      <c r="AW47" s="41">
        <f>IFERROR(__xludf.DUMMYFUNCTION("""COMPUTED_VALUE"""),0.0)</f>
        <v>0</v>
      </c>
      <c r="AX47" s="42">
        <f>IFERROR(__xludf.DUMMYFUNCTION("""COMPUTED_VALUE"""),0.0)</f>
        <v>0</v>
      </c>
      <c r="AY47" s="42">
        <f>IFERROR(__xludf.DUMMYFUNCTION("""COMPUTED_VALUE"""),0.0)</f>
        <v>0</v>
      </c>
      <c r="AZ47" s="43">
        <f>IFERROR(__xludf.DUMMYFUNCTION("""COMPUTED_VALUE"""),0.0)</f>
        <v>0</v>
      </c>
      <c r="BA47" s="34"/>
    </row>
    <row r="48" ht="15.75" customHeight="1">
      <c r="A48" s="29"/>
      <c r="B48" s="67" t="str">
        <f>IFERROR(__xludf.DUMMYFUNCTION("""COMPUTED_VALUE""")," + Bán kiên cố")</f>
        <v> + Bán kiên cố</v>
      </c>
      <c r="C48" s="31"/>
      <c r="D48" s="31" t="str">
        <f>IFERROR(__xludf.DUMMYFUNCTION("""COMPUTED_VALUE"""),"""")</f>
        <v>"</v>
      </c>
      <c r="E48" s="41">
        <f>IFERROR(__xludf.DUMMYFUNCTION("""COMPUTED_VALUE"""),11.0)</f>
        <v>11</v>
      </c>
      <c r="F48" s="42">
        <f>IFERROR(__xludf.DUMMYFUNCTION("""COMPUTED_VALUE"""),11.0)</f>
        <v>11</v>
      </c>
      <c r="G48" s="42">
        <f>IFERROR(__xludf.DUMMYFUNCTION("""COMPUTED_VALUE"""),0.0)</f>
        <v>0</v>
      </c>
      <c r="H48" s="42">
        <f>IFERROR(__xludf.DUMMYFUNCTION("""COMPUTED_VALUE"""),0.0)</f>
        <v>0</v>
      </c>
      <c r="I48" s="41">
        <f>IFERROR(__xludf.DUMMYFUNCTION("""COMPUTED_VALUE"""),11.0)</f>
        <v>11</v>
      </c>
      <c r="J48" s="42">
        <f>IFERROR(__xludf.DUMMYFUNCTION("""COMPUTED_VALUE"""),11.0)</f>
        <v>11</v>
      </c>
      <c r="K48" s="42">
        <f>IFERROR(__xludf.DUMMYFUNCTION("""COMPUTED_VALUE"""),0.0)</f>
        <v>0</v>
      </c>
      <c r="L48" s="42">
        <f>IFERROR(__xludf.DUMMYFUNCTION("""COMPUTED_VALUE"""),0.0)</f>
        <v>0</v>
      </c>
      <c r="M48" s="41">
        <f>IFERROR(__xludf.DUMMYFUNCTION("""COMPUTED_VALUE"""),11.0)</f>
        <v>11</v>
      </c>
      <c r="N48" s="42">
        <f>IFERROR(__xludf.DUMMYFUNCTION("""COMPUTED_VALUE"""),11.0)</f>
        <v>11</v>
      </c>
      <c r="O48" s="42">
        <f>IFERROR(__xludf.DUMMYFUNCTION("""COMPUTED_VALUE"""),0.0)</f>
        <v>0</v>
      </c>
      <c r="P48" s="42">
        <f>IFERROR(__xludf.DUMMYFUNCTION("""COMPUTED_VALUE"""),0.0)</f>
        <v>0</v>
      </c>
      <c r="Q48" s="41">
        <f>IFERROR(__xludf.DUMMYFUNCTION("""COMPUTED_VALUE"""),7.0)</f>
        <v>7</v>
      </c>
      <c r="R48" s="42">
        <f>IFERROR(__xludf.DUMMYFUNCTION("""COMPUTED_VALUE"""),7.0)</f>
        <v>7</v>
      </c>
      <c r="S48" s="42">
        <f>IFERROR(__xludf.DUMMYFUNCTION("""COMPUTED_VALUE"""),0.0)</f>
        <v>0</v>
      </c>
      <c r="T48" s="42">
        <f>IFERROR(__xludf.DUMMYFUNCTION("""COMPUTED_VALUE"""),0.0)</f>
        <v>0</v>
      </c>
      <c r="U48" s="41">
        <f>IFERROR(__xludf.DUMMYFUNCTION("""COMPUTED_VALUE"""),7.0)</f>
        <v>7</v>
      </c>
      <c r="V48" s="42">
        <f>IFERROR(__xludf.DUMMYFUNCTION("""COMPUTED_VALUE"""),7.0)</f>
        <v>7</v>
      </c>
      <c r="W48" s="42">
        <f>IFERROR(__xludf.DUMMYFUNCTION("""COMPUTED_VALUE"""),0.0)</f>
        <v>0</v>
      </c>
      <c r="X48" s="42">
        <f>IFERROR(__xludf.DUMMYFUNCTION("""COMPUTED_VALUE"""),0.0)</f>
        <v>0</v>
      </c>
      <c r="Y48" s="41">
        <f>IFERROR(__xludf.DUMMYFUNCTION("""COMPUTED_VALUE"""),11.0)</f>
        <v>11</v>
      </c>
      <c r="Z48" s="42">
        <f>IFERROR(__xludf.DUMMYFUNCTION("""COMPUTED_VALUE"""),11.0)</f>
        <v>11</v>
      </c>
      <c r="AA48" s="42">
        <f>IFERROR(__xludf.DUMMYFUNCTION("""COMPUTED_VALUE"""),0.0)</f>
        <v>0</v>
      </c>
      <c r="AB48" s="42">
        <f>IFERROR(__xludf.DUMMYFUNCTION("""COMPUTED_VALUE"""),0.0)</f>
        <v>0</v>
      </c>
      <c r="AC48" s="41">
        <f>IFERROR(__xludf.DUMMYFUNCTION("""COMPUTED_VALUE"""),11.0)</f>
        <v>11</v>
      </c>
      <c r="AD48" s="42">
        <f>IFERROR(__xludf.DUMMYFUNCTION("""COMPUTED_VALUE"""),11.0)</f>
        <v>11</v>
      </c>
      <c r="AE48" s="42">
        <f>IFERROR(__xludf.DUMMYFUNCTION("""COMPUTED_VALUE"""),0.0)</f>
        <v>0</v>
      </c>
      <c r="AF48" s="42">
        <f>IFERROR(__xludf.DUMMYFUNCTION("""COMPUTED_VALUE"""),0.0)</f>
        <v>0</v>
      </c>
      <c r="AG48" s="41">
        <f>IFERROR(__xludf.DUMMYFUNCTION("""COMPUTED_VALUE"""),7.0)</f>
        <v>7</v>
      </c>
      <c r="AH48" s="42">
        <f>IFERROR(__xludf.DUMMYFUNCTION("""COMPUTED_VALUE"""),7.0)</f>
        <v>7</v>
      </c>
      <c r="AI48" s="42">
        <f>IFERROR(__xludf.DUMMYFUNCTION("""COMPUTED_VALUE"""),0.0)</f>
        <v>0</v>
      </c>
      <c r="AJ48" s="42">
        <f>IFERROR(__xludf.DUMMYFUNCTION("""COMPUTED_VALUE"""),0.0)</f>
        <v>0</v>
      </c>
      <c r="AK48" s="41">
        <f>IFERROR(__xludf.DUMMYFUNCTION("""COMPUTED_VALUE"""),7.0)</f>
        <v>7</v>
      </c>
      <c r="AL48" s="42">
        <f>IFERROR(__xludf.DUMMYFUNCTION("""COMPUTED_VALUE"""),7.0)</f>
        <v>7</v>
      </c>
      <c r="AM48" s="42">
        <f>IFERROR(__xludf.DUMMYFUNCTION("""COMPUTED_VALUE"""),0.0)</f>
        <v>0</v>
      </c>
      <c r="AN48" s="42">
        <f>IFERROR(__xludf.DUMMYFUNCTION("""COMPUTED_VALUE"""),0.0)</f>
        <v>0</v>
      </c>
      <c r="AO48" s="41">
        <f>IFERROR(__xludf.DUMMYFUNCTION("""COMPUTED_VALUE"""),7.0)</f>
        <v>7</v>
      </c>
      <c r="AP48" s="42">
        <f>IFERROR(__xludf.DUMMYFUNCTION("""COMPUTED_VALUE"""),7.0)</f>
        <v>7</v>
      </c>
      <c r="AQ48" s="42">
        <f>IFERROR(__xludf.DUMMYFUNCTION("""COMPUTED_VALUE"""),0.0)</f>
        <v>0</v>
      </c>
      <c r="AR48" s="42">
        <f>IFERROR(__xludf.DUMMYFUNCTION("""COMPUTED_VALUE"""),0.0)</f>
        <v>0</v>
      </c>
      <c r="AS48" s="41">
        <f>IFERROR(__xludf.DUMMYFUNCTION("""COMPUTED_VALUE"""),0.0)</f>
        <v>0</v>
      </c>
      <c r="AT48" s="42">
        <f>IFERROR(__xludf.DUMMYFUNCTION("""COMPUTED_VALUE"""),0.0)</f>
        <v>0</v>
      </c>
      <c r="AU48" s="42">
        <f>IFERROR(__xludf.DUMMYFUNCTION("""COMPUTED_VALUE"""),0.0)</f>
        <v>0</v>
      </c>
      <c r="AV48" s="42">
        <f>IFERROR(__xludf.DUMMYFUNCTION("""COMPUTED_VALUE"""),0.0)</f>
        <v>0</v>
      </c>
      <c r="AW48" s="41">
        <f>IFERROR(__xludf.DUMMYFUNCTION("""COMPUTED_VALUE"""),0.0)</f>
        <v>0</v>
      </c>
      <c r="AX48" s="42">
        <f>IFERROR(__xludf.DUMMYFUNCTION("""COMPUTED_VALUE"""),0.0)</f>
        <v>0</v>
      </c>
      <c r="AY48" s="42">
        <f>IFERROR(__xludf.DUMMYFUNCTION("""COMPUTED_VALUE"""),0.0)</f>
        <v>0</v>
      </c>
      <c r="AZ48" s="43">
        <f>IFERROR(__xludf.DUMMYFUNCTION("""COMPUTED_VALUE"""),0.0)</f>
        <v>0</v>
      </c>
      <c r="BA48" s="34"/>
    </row>
    <row r="49" ht="15.75" customHeight="1">
      <c r="A49" s="29"/>
      <c r="B49" s="67" t="str">
        <f>IFERROR(__xludf.DUMMYFUNCTION("""COMPUTED_VALUE""")," + Tạm")</f>
        <v> + Tạm</v>
      </c>
      <c r="C49" s="31"/>
      <c r="D49" s="31" t="str">
        <f>IFERROR(__xludf.DUMMYFUNCTION("""COMPUTED_VALUE"""),"""")</f>
        <v>"</v>
      </c>
      <c r="E49" s="41">
        <f>IFERROR(__xludf.DUMMYFUNCTION("""COMPUTED_VALUE"""),0.0)</f>
        <v>0</v>
      </c>
      <c r="F49" s="42">
        <f>IFERROR(__xludf.DUMMYFUNCTION("""COMPUTED_VALUE"""),0.0)</f>
        <v>0</v>
      </c>
      <c r="G49" s="42">
        <f>IFERROR(__xludf.DUMMYFUNCTION("""COMPUTED_VALUE"""),0.0)</f>
        <v>0</v>
      </c>
      <c r="H49" s="42">
        <f>IFERROR(__xludf.DUMMYFUNCTION("""COMPUTED_VALUE"""),0.0)</f>
        <v>0</v>
      </c>
      <c r="I49" s="41">
        <f>IFERROR(__xludf.DUMMYFUNCTION("""COMPUTED_VALUE"""),0.0)</f>
        <v>0</v>
      </c>
      <c r="J49" s="42">
        <f>IFERROR(__xludf.DUMMYFUNCTION("""COMPUTED_VALUE"""),0.0)</f>
        <v>0</v>
      </c>
      <c r="K49" s="42">
        <f>IFERROR(__xludf.DUMMYFUNCTION("""COMPUTED_VALUE"""),0.0)</f>
        <v>0</v>
      </c>
      <c r="L49" s="42">
        <f>IFERROR(__xludf.DUMMYFUNCTION("""COMPUTED_VALUE"""),0.0)</f>
        <v>0</v>
      </c>
      <c r="M49" s="41">
        <f>IFERROR(__xludf.DUMMYFUNCTION("""COMPUTED_VALUE"""),0.0)</f>
        <v>0</v>
      </c>
      <c r="N49" s="42">
        <f>IFERROR(__xludf.DUMMYFUNCTION("""COMPUTED_VALUE"""),0.0)</f>
        <v>0</v>
      </c>
      <c r="O49" s="42">
        <f>IFERROR(__xludf.DUMMYFUNCTION("""COMPUTED_VALUE"""),0.0)</f>
        <v>0</v>
      </c>
      <c r="P49" s="42">
        <f>IFERROR(__xludf.DUMMYFUNCTION("""COMPUTED_VALUE"""),0.0)</f>
        <v>0</v>
      </c>
      <c r="Q49" s="41">
        <f>IFERROR(__xludf.DUMMYFUNCTION("""COMPUTED_VALUE"""),0.0)</f>
        <v>0</v>
      </c>
      <c r="R49" s="42">
        <f>IFERROR(__xludf.DUMMYFUNCTION("""COMPUTED_VALUE"""),0.0)</f>
        <v>0</v>
      </c>
      <c r="S49" s="42">
        <f>IFERROR(__xludf.DUMMYFUNCTION("""COMPUTED_VALUE"""),0.0)</f>
        <v>0</v>
      </c>
      <c r="T49" s="42">
        <f>IFERROR(__xludf.DUMMYFUNCTION("""COMPUTED_VALUE"""),0.0)</f>
        <v>0</v>
      </c>
      <c r="U49" s="41">
        <f>IFERROR(__xludf.DUMMYFUNCTION("""COMPUTED_VALUE"""),0.0)</f>
        <v>0</v>
      </c>
      <c r="V49" s="42">
        <f>IFERROR(__xludf.DUMMYFUNCTION("""COMPUTED_VALUE"""),0.0)</f>
        <v>0</v>
      </c>
      <c r="W49" s="42">
        <f>IFERROR(__xludf.DUMMYFUNCTION("""COMPUTED_VALUE"""),0.0)</f>
        <v>0</v>
      </c>
      <c r="X49" s="42">
        <f>IFERROR(__xludf.DUMMYFUNCTION("""COMPUTED_VALUE"""),0.0)</f>
        <v>0</v>
      </c>
      <c r="Y49" s="41">
        <f>IFERROR(__xludf.DUMMYFUNCTION("""COMPUTED_VALUE"""),0.0)</f>
        <v>0</v>
      </c>
      <c r="Z49" s="42">
        <f>IFERROR(__xludf.DUMMYFUNCTION("""COMPUTED_VALUE"""),0.0)</f>
        <v>0</v>
      </c>
      <c r="AA49" s="42">
        <f>IFERROR(__xludf.DUMMYFUNCTION("""COMPUTED_VALUE"""),0.0)</f>
        <v>0</v>
      </c>
      <c r="AB49" s="42">
        <f>IFERROR(__xludf.DUMMYFUNCTION("""COMPUTED_VALUE"""),0.0)</f>
        <v>0</v>
      </c>
      <c r="AC49" s="41">
        <f>IFERROR(__xludf.DUMMYFUNCTION("""COMPUTED_VALUE"""),0.0)</f>
        <v>0</v>
      </c>
      <c r="AD49" s="42">
        <f>IFERROR(__xludf.DUMMYFUNCTION("""COMPUTED_VALUE"""),0.0)</f>
        <v>0</v>
      </c>
      <c r="AE49" s="42">
        <f>IFERROR(__xludf.DUMMYFUNCTION("""COMPUTED_VALUE"""),0.0)</f>
        <v>0</v>
      </c>
      <c r="AF49" s="42">
        <f>IFERROR(__xludf.DUMMYFUNCTION("""COMPUTED_VALUE"""),0.0)</f>
        <v>0</v>
      </c>
      <c r="AG49" s="41">
        <f>IFERROR(__xludf.DUMMYFUNCTION("""COMPUTED_VALUE"""),0.0)</f>
        <v>0</v>
      </c>
      <c r="AH49" s="42">
        <f>IFERROR(__xludf.DUMMYFUNCTION("""COMPUTED_VALUE"""),0.0)</f>
        <v>0</v>
      </c>
      <c r="AI49" s="42">
        <f>IFERROR(__xludf.DUMMYFUNCTION("""COMPUTED_VALUE"""),0.0)</f>
        <v>0</v>
      </c>
      <c r="AJ49" s="42">
        <f>IFERROR(__xludf.DUMMYFUNCTION("""COMPUTED_VALUE"""),0.0)</f>
        <v>0</v>
      </c>
      <c r="AK49" s="41">
        <f>IFERROR(__xludf.DUMMYFUNCTION("""COMPUTED_VALUE"""),0.0)</f>
        <v>0</v>
      </c>
      <c r="AL49" s="42">
        <f>IFERROR(__xludf.DUMMYFUNCTION("""COMPUTED_VALUE"""),0.0)</f>
        <v>0</v>
      </c>
      <c r="AM49" s="42">
        <f>IFERROR(__xludf.DUMMYFUNCTION("""COMPUTED_VALUE"""),0.0)</f>
        <v>0</v>
      </c>
      <c r="AN49" s="42">
        <f>IFERROR(__xludf.DUMMYFUNCTION("""COMPUTED_VALUE"""),0.0)</f>
        <v>0</v>
      </c>
      <c r="AO49" s="41">
        <f>IFERROR(__xludf.DUMMYFUNCTION("""COMPUTED_VALUE"""),0.0)</f>
        <v>0</v>
      </c>
      <c r="AP49" s="42">
        <f>IFERROR(__xludf.DUMMYFUNCTION("""COMPUTED_VALUE"""),0.0)</f>
        <v>0</v>
      </c>
      <c r="AQ49" s="42">
        <f>IFERROR(__xludf.DUMMYFUNCTION("""COMPUTED_VALUE"""),0.0)</f>
        <v>0</v>
      </c>
      <c r="AR49" s="42">
        <f>IFERROR(__xludf.DUMMYFUNCTION("""COMPUTED_VALUE"""),0.0)</f>
        <v>0</v>
      </c>
      <c r="AS49" s="41">
        <f>IFERROR(__xludf.DUMMYFUNCTION("""COMPUTED_VALUE"""),0.0)</f>
        <v>0</v>
      </c>
      <c r="AT49" s="42">
        <f>IFERROR(__xludf.DUMMYFUNCTION("""COMPUTED_VALUE"""),0.0)</f>
        <v>0</v>
      </c>
      <c r="AU49" s="42">
        <f>IFERROR(__xludf.DUMMYFUNCTION("""COMPUTED_VALUE"""),0.0)</f>
        <v>0</v>
      </c>
      <c r="AV49" s="42">
        <f>IFERROR(__xludf.DUMMYFUNCTION("""COMPUTED_VALUE"""),0.0)</f>
        <v>0</v>
      </c>
      <c r="AW49" s="41">
        <f>IFERROR(__xludf.DUMMYFUNCTION("""COMPUTED_VALUE"""),0.0)</f>
        <v>0</v>
      </c>
      <c r="AX49" s="42">
        <f>IFERROR(__xludf.DUMMYFUNCTION("""COMPUTED_VALUE"""),0.0)</f>
        <v>0</v>
      </c>
      <c r="AY49" s="42">
        <f>IFERROR(__xludf.DUMMYFUNCTION("""COMPUTED_VALUE"""),0.0)</f>
        <v>0</v>
      </c>
      <c r="AZ49" s="43">
        <f>IFERROR(__xludf.DUMMYFUNCTION("""COMPUTED_VALUE"""),0.0)</f>
        <v>0</v>
      </c>
      <c r="BA49" s="34"/>
    </row>
    <row r="50" ht="15.75" customHeight="1">
      <c r="A50" s="29"/>
      <c r="B50" s="196" t="str">
        <f>IFERROR(__xludf.DUMMYFUNCTION("""COMPUTED_VALUE"""),"6.2. Tổng số phòng bộ môn")</f>
        <v>6.2. Tổng số phòng bộ môn</v>
      </c>
      <c r="C50" s="57"/>
      <c r="D50" s="57" t="str">
        <f>IFERROR(__xludf.DUMMYFUNCTION("""COMPUTED_VALUE"""),"Phòng")</f>
        <v>Phòng</v>
      </c>
      <c r="E50" s="125">
        <f>IFERROR(__xludf.DUMMYFUNCTION("""COMPUTED_VALUE"""),115.0)</f>
        <v>115</v>
      </c>
      <c r="F50" s="125">
        <f>IFERROR(__xludf.DUMMYFUNCTION("""COMPUTED_VALUE"""),115.0)</f>
        <v>115</v>
      </c>
      <c r="G50" s="125">
        <f>IFERROR(__xludf.DUMMYFUNCTION("""COMPUTED_VALUE"""),0.0)</f>
        <v>0</v>
      </c>
      <c r="H50" s="125">
        <f>IFERROR(__xludf.DUMMYFUNCTION("""COMPUTED_VALUE"""),0.0)</f>
        <v>0</v>
      </c>
      <c r="I50" s="125">
        <f>IFERROR(__xludf.DUMMYFUNCTION("""COMPUTED_VALUE"""),110.0)</f>
        <v>110</v>
      </c>
      <c r="J50" s="125">
        <f>IFERROR(__xludf.DUMMYFUNCTION("""COMPUTED_VALUE"""),110.0)</f>
        <v>110</v>
      </c>
      <c r="K50" s="125">
        <f>IFERROR(__xludf.DUMMYFUNCTION("""COMPUTED_VALUE"""),0.0)</f>
        <v>0</v>
      </c>
      <c r="L50" s="125">
        <f>IFERROR(__xludf.DUMMYFUNCTION("""COMPUTED_VALUE"""),0.0)</f>
        <v>0</v>
      </c>
      <c r="M50" s="125">
        <f>IFERROR(__xludf.DUMMYFUNCTION("""COMPUTED_VALUE"""),110.0)</f>
        <v>110</v>
      </c>
      <c r="N50" s="125">
        <f>IFERROR(__xludf.DUMMYFUNCTION("""COMPUTED_VALUE"""),110.0)</f>
        <v>110</v>
      </c>
      <c r="O50" s="125">
        <f>IFERROR(__xludf.DUMMYFUNCTION("""COMPUTED_VALUE"""),0.0)</f>
        <v>0</v>
      </c>
      <c r="P50" s="125">
        <f>IFERROR(__xludf.DUMMYFUNCTION("""COMPUTED_VALUE"""),0.0)</f>
        <v>0</v>
      </c>
      <c r="Q50" s="125">
        <f>IFERROR(__xludf.DUMMYFUNCTION("""COMPUTED_VALUE"""),110.0)</f>
        <v>110</v>
      </c>
      <c r="R50" s="125">
        <f>IFERROR(__xludf.DUMMYFUNCTION("""COMPUTED_VALUE"""),110.0)</f>
        <v>110</v>
      </c>
      <c r="S50" s="125">
        <f>IFERROR(__xludf.DUMMYFUNCTION("""COMPUTED_VALUE"""),0.0)</f>
        <v>0</v>
      </c>
      <c r="T50" s="125">
        <f>IFERROR(__xludf.DUMMYFUNCTION("""COMPUTED_VALUE"""),0.0)</f>
        <v>0</v>
      </c>
      <c r="U50" s="125">
        <f>IFERROR(__xludf.DUMMYFUNCTION("""COMPUTED_VALUE"""),106.0)</f>
        <v>106</v>
      </c>
      <c r="V50" s="125">
        <f>IFERROR(__xludf.DUMMYFUNCTION("""COMPUTED_VALUE"""),106.0)</f>
        <v>106</v>
      </c>
      <c r="W50" s="125">
        <f>IFERROR(__xludf.DUMMYFUNCTION("""COMPUTED_VALUE"""),0.0)</f>
        <v>0</v>
      </c>
      <c r="X50" s="125">
        <f>IFERROR(__xludf.DUMMYFUNCTION("""COMPUTED_VALUE"""),0.0)</f>
        <v>0</v>
      </c>
      <c r="Y50" s="125">
        <f>IFERROR(__xludf.DUMMYFUNCTION("""COMPUTED_VALUE"""),111.0)</f>
        <v>111</v>
      </c>
      <c r="Z50" s="125">
        <f>IFERROR(__xludf.DUMMYFUNCTION("""COMPUTED_VALUE"""),111.0)</f>
        <v>111</v>
      </c>
      <c r="AA50" s="125">
        <f>IFERROR(__xludf.DUMMYFUNCTION("""COMPUTED_VALUE"""),0.0)</f>
        <v>0</v>
      </c>
      <c r="AB50" s="125">
        <f>IFERROR(__xludf.DUMMYFUNCTION("""COMPUTED_VALUE"""),0.0)</f>
        <v>0</v>
      </c>
      <c r="AC50" s="125">
        <f>IFERROR(__xludf.DUMMYFUNCTION("""COMPUTED_VALUE"""),111.0)</f>
        <v>111</v>
      </c>
      <c r="AD50" s="125">
        <f>IFERROR(__xludf.DUMMYFUNCTION("""COMPUTED_VALUE"""),111.0)</f>
        <v>111</v>
      </c>
      <c r="AE50" s="125">
        <f>IFERROR(__xludf.DUMMYFUNCTION("""COMPUTED_VALUE"""),0.0)</f>
        <v>0</v>
      </c>
      <c r="AF50" s="125">
        <f>IFERROR(__xludf.DUMMYFUNCTION("""COMPUTED_VALUE"""),0.0)</f>
        <v>0</v>
      </c>
      <c r="AG50" s="125">
        <f>IFERROR(__xludf.DUMMYFUNCTION("""COMPUTED_VALUE"""),32.0)</f>
        <v>32</v>
      </c>
      <c r="AH50" s="125">
        <f>IFERROR(__xludf.DUMMYFUNCTION("""COMPUTED_VALUE"""),32.0)</f>
        <v>32</v>
      </c>
      <c r="AI50" s="125">
        <f>IFERROR(__xludf.DUMMYFUNCTION("""COMPUTED_VALUE"""),0.0)</f>
        <v>0</v>
      </c>
      <c r="AJ50" s="125">
        <f>IFERROR(__xludf.DUMMYFUNCTION("""COMPUTED_VALUE"""),0.0)</f>
        <v>0</v>
      </c>
      <c r="AK50" s="125">
        <f>IFERROR(__xludf.DUMMYFUNCTION("""COMPUTED_VALUE"""),6.0)</f>
        <v>6</v>
      </c>
      <c r="AL50" s="125">
        <f>IFERROR(__xludf.DUMMYFUNCTION("""COMPUTED_VALUE"""),6.0)</f>
        <v>6</v>
      </c>
      <c r="AM50" s="125">
        <f>IFERROR(__xludf.DUMMYFUNCTION("""COMPUTED_VALUE"""),0.0)</f>
        <v>0</v>
      </c>
      <c r="AN50" s="125">
        <f>IFERROR(__xludf.DUMMYFUNCTION("""COMPUTED_VALUE"""),0.0)</f>
        <v>0</v>
      </c>
      <c r="AO50" s="125">
        <f>IFERROR(__xludf.DUMMYFUNCTION("""COMPUTED_VALUE"""),6.0)</f>
        <v>6</v>
      </c>
      <c r="AP50" s="125">
        <f>IFERROR(__xludf.DUMMYFUNCTION("""COMPUTED_VALUE"""),6.0)</f>
        <v>6</v>
      </c>
      <c r="AQ50" s="125">
        <f>IFERROR(__xludf.DUMMYFUNCTION("""COMPUTED_VALUE"""),0.0)</f>
        <v>0</v>
      </c>
      <c r="AR50" s="125">
        <f>IFERROR(__xludf.DUMMYFUNCTION("""COMPUTED_VALUE"""),0.0)</f>
        <v>0</v>
      </c>
      <c r="AS50" s="125">
        <f>IFERROR(__xludf.DUMMYFUNCTION("""COMPUTED_VALUE"""),0.0)</f>
        <v>0</v>
      </c>
      <c r="AT50" s="125">
        <f>IFERROR(__xludf.DUMMYFUNCTION("""COMPUTED_VALUE"""),0.0)</f>
        <v>0</v>
      </c>
      <c r="AU50" s="125">
        <f>IFERROR(__xludf.DUMMYFUNCTION("""COMPUTED_VALUE"""),0.0)</f>
        <v>0</v>
      </c>
      <c r="AV50" s="125">
        <f>IFERROR(__xludf.DUMMYFUNCTION("""COMPUTED_VALUE"""),0.0)</f>
        <v>0</v>
      </c>
      <c r="AW50" s="125">
        <f>IFERROR(__xludf.DUMMYFUNCTION("""COMPUTED_VALUE"""),0.0)</f>
        <v>0</v>
      </c>
      <c r="AX50" s="125">
        <f>IFERROR(__xludf.DUMMYFUNCTION("""COMPUTED_VALUE"""),0.0)</f>
        <v>0</v>
      </c>
      <c r="AY50" s="125">
        <f>IFERROR(__xludf.DUMMYFUNCTION("""COMPUTED_VALUE"""),0.0)</f>
        <v>0</v>
      </c>
      <c r="AZ50" s="127">
        <f>IFERROR(__xludf.DUMMYFUNCTION("""COMPUTED_VALUE"""),0.0)</f>
        <v>0</v>
      </c>
      <c r="BA50" s="34"/>
    </row>
    <row r="51" ht="15.75" customHeight="1">
      <c r="A51" s="29"/>
      <c r="B51" s="48" t="str">
        <f>IFERROR(__xludf.DUMMYFUNCTION("""COMPUTED_VALUE"""),"Chia ra:")</f>
        <v>Chia ra:</v>
      </c>
      <c r="C51" s="49"/>
      <c r="D51" s="3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50"/>
      <c r="BA51" s="34"/>
    </row>
    <row r="52" ht="15.75" customHeight="1">
      <c r="A52" s="29"/>
      <c r="B52" s="67" t="str">
        <f>IFERROR(__xludf.DUMMYFUNCTION("""COMPUTED_VALUE""")," + Kiên cố")</f>
        <v> + Kiên cố</v>
      </c>
      <c r="C52" s="31"/>
      <c r="D52" s="31" t="str">
        <f>IFERROR(__xludf.DUMMYFUNCTION("""COMPUTED_VALUE"""),"""")</f>
        <v>"</v>
      </c>
      <c r="E52" s="41">
        <f>IFERROR(__xludf.DUMMYFUNCTION("""COMPUTED_VALUE"""),111.0)</f>
        <v>111</v>
      </c>
      <c r="F52" s="42">
        <f>IFERROR(__xludf.DUMMYFUNCTION("""COMPUTED_VALUE"""),111.0)</f>
        <v>111</v>
      </c>
      <c r="G52" s="42">
        <f>IFERROR(__xludf.DUMMYFUNCTION("""COMPUTED_VALUE"""),0.0)</f>
        <v>0</v>
      </c>
      <c r="H52" s="42">
        <f>IFERROR(__xludf.DUMMYFUNCTION("""COMPUTED_VALUE"""),0.0)</f>
        <v>0</v>
      </c>
      <c r="I52" s="41">
        <f>IFERROR(__xludf.DUMMYFUNCTION("""COMPUTED_VALUE"""),106.0)</f>
        <v>106</v>
      </c>
      <c r="J52" s="42">
        <f>IFERROR(__xludf.DUMMYFUNCTION("""COMPUTED_VALUE"""),106.0)</f>
        <v>106</v>
      </c>
      <c r="K52" s="42">
        <f>IFERROR(__xludf.DUMMYFUNCTION("""COMPUTED_VALUE"""),0.0)</f>
        <v>0</v>
      </c>
      <c r="L52" s="42">
        <f>IFERROR(__xludf.DUMMYFUNCTION("""COMPUTED_VALUE"""),0.0)</f>
        <v>0</v>
      </c>
      <c r="M52" s="41">
        <f>IFERROR(__xludf.DUMMYFUNCTION("""COMPUTED_VALUE"""),106.0)</f>
        <v>106</v>
      </c>
      <c r="N52" s="42">
        <f>IFERROR(__xludf.DUMMYFUNCTION("""COMPUTED_VALUE"""),106.0)</f>
        <v>106</v>
      </c>
      <c r="O52" s="42">
        <f>IFERROR(__xludf.DUMMYFUNCTION("""COMPUTED_VALUE"""),0.0)</f>
        <v>0</v>
      </c>
      <c r="P52" s="42">
        <f>IFERROR(__xludf.DUMMYFUNCTION("""COMPUTED_VALUE"""),0.0)</f>
        <v>0</v>
      </c>
      <c r="Q52" s="41">
        <f>IFERROR(__xludf.DUMMYFUNCTION("""COMPUTED_VALUE"""),106.0)</f>
        <v>106</v>
      </c>
      <c r="R52" s="42">
        <f>IFERROR(__xludf.DUMMYFUNCTION("""COMPUTED_VALUE"""),106.0)</f>
        <v>106</v>
      </c>
      <c r="S52" s="42">
        <f>IFERROR(__xludf.DUMMYFUNCTION("""COMPUTED_VALUE"""),0.0)</f>
        <v>0</v>
      </c>
      <c r="T52" s="42">
        <f>IFERROR(__xludf.DUMMYFUNCTION("""COMPUTED_VALUE"""),0.0)</f>
        <v>0</v>
      </c>
      <c r="U52" s="41">
        <f>IFERROR(__xludf.DUMMYFUNCTION("""COMPUTED_VALUE"""),102.0)</f>
        <v>102</v>
      </c>
      <c r="V52" s="42">
        <f>IFERROR(__xludf.DUMMYFUNCTION("""COMPUTED_VALUE"""),102.0)</f>
        <v>102</v>
      </c>
      <c r="W52" s="42">
        <f>IFERROR(__xludf.DUMMYFUNCTION("""COMPUTED_VALUE"""),0.0)</f>
        <v>0</v>
      </c>
      <c r="X52" s="42">
        <f>IFERROR(__xludf.DUMMYFUNCTION("""COMPUTED_VALUE"""),0.0)</f>
        <v>0</v>
      </c>
      <c r="Y52" s="41">
        <f>IFERROR(__xludf.DUMMYFUNCTION("""COMPUTED_VALUE"""),111.0)</f>
        <v>111</v>
      </c>
      <c r="Z52" s="42">
        <f>IFERROR(__xludf.DUMMYFUNCTION("""COMPUTED_VALUE"""),111.0)</f>
        <v>111</v>
      </c>
      <c r="AA52" s="42">
        <f>IFERROR(__xludf.DUMMYFUNCTION("""COMPUTED_VALUE"""),0.0)</f>
        <v>0</v>
      </c>
      <c r="AB52" s="42">
        <f>IFERROR(__xludf.DUMMYFUNCTION("""COMPUTED_VALUE"""),0.0)</f>
        <v>0</v>
      </c>
      <c r="AC52" s="41">
        <f>IFERROR(__xludf.DUMMYFUNCTION("""COMPUTED_VALUE"""),111.0)</f>
        <v>111</v>
      </c>
      <c r="AD52" s="42">
        <f>IFERROR(__xludf.DUMMYFUNCTION("""COMPUTED_VALUE"""),111.0)</f>
        <v>111</v>
      </c>
      <c r="AE52" s="42">
        <f>IFERROR(__xludf.DUMMYFUNCTION("""COMPUTED_VALUE"""),0.0)</f>
        <v>0</v>
      </c>
      <c r="AF52" s="42">
        <f>IFERROR(__xludf.DUMMYFUNCTION("""COMPUTED_VALUE"""),0.0)</f>
        <v>0</v>
      </c>
      <c r="AG52" s="41">
        <f>IFERROR(__xludf.DUMMYFUNCTION("""COMPUTED_VALUE"""),32.0)</f>
        <v>32</v>
      </c>
      <c r="AH52" s="42">
        <f>IFERROR(__xludf.DUMMYFUNCTION("""COMPUTED_VALUE"""),32.0)</f>
        <v>32</v>
      </c>
      <c r="AI52" s="42">
        <f>IFERROR(__xludf.DUMMYFUNCTION("""COMPUTED_VALUE"""),0.0)</f>
        <v>0</v>
      </c>
      <c r="AJ52" s="42">
        <f>IFERROR(__xludf.DUMMYFUNCTION("""COMPUTED_VALUE"""),0.0)</f>
        <v>0</v>
      </c>
      <c r="AK52" s="41">
        <f>IFERROR(__xludf.DUMMYFUNCTION("""COMPUTED_VALUE"""),6.0)</f>
        <v>6</v>
      </c>
      <c r="AL52" s="42">
        <f>IFERROR(__xludf.DUMMYFUNCTION("""COMPUTED_VALUE"""),6.0)</f>
        <v>6</v>
      </c>
      <c r="AM52" s="42">
        <f>IFERROR(__xludf.DUMMYFUNCTION("""COMPUTED_VALUE"""),0.0)</f>
        <v>0</v>
      </c>
      <c r="AN52" s="42">
        <f>IFERROR(__xludf.DUMMYFUNCTION("""COMPUTED_VALUE"""),0.0)</f>
        <v>0</v>
      </c>
      <c r="AO52" s="41">
        <f>IFERROR(__xludf.DUMMYFUNCTION("""COMPUTED_VALUE"""),6.0)</f>
        <v>6</v>
      </c>
      <c r="AP52" s="42">
        <f>IFERROR(__xludf.DUMMYFUNCTION("""COMPUTED_VALUE"""),6.0)</f>
        <v>6</v>
      </c>
      <c r="AQ52" s="42">
        <f>IFERROR(__xludf.DUMMYFUNCTION("""COMPUTED_VALUE"""),0.0)</f>
        <v>0</v>
      </c>
      <c r="AR52" s="42">
        <f>IFERROR(__xludf.DUMMYFUNCTION("""COMPUTED_VALUE"""),0.0)</f>
        <v>0</v>
      </c>
      <c r="AS52" s="41">
        <f>IFERROR(__xludf.DUMMYFUNCTION("""COMPUTED_VALUE"""),0.0)</f>
        <v>0</v>
      </c>
      <c r="AT52" s="42">
        <f>IFERROR(__xludf.DUMMYFUNCTION("""COMPUTED_VALUE"""),0.0)</f>
        <v>0</v>
      </c>
      <c r="AU52" s="42">
        <f>IFERROR(__xludf.DUMMYFUNCTION("""COMPUTED_VALUE"""),0.0)</f>
        <v>0</v>
      </c>
      <c r="AV52" s="42">
        <f>IFERROR(__xludf.DUMMYFUNCTION("""COMPUTED_VALUE"""),0.0)</f>
        <v>0</v>
      </c>
      <c r="AW52" s="41">
        <f>IFERROR(__xludf.DUMMYFUNCTION("""COMPUTED_VALUE"""),0.0)</f>
        <v>0</v>
      </c>
      <c r="AX52" s="42">
        <f>IFERROR(__xludf.DUMMYFUNCTION("""COMPUTED_VALUE"""),0.0)</f>
        <v>0</v>
      </c>
      <c r="AY52" s="42">
        <f>IFERROR(__xludf.DUMMYFUNCTION("""COMPUTED_VALUE"""),0.0)</f>
        <v>0</v>
      </c>
      <c r="AZ52" s="43">
        <f>IFERROR(__xludf.DUMMYFUNCTION("""COMPUTED_VALUE"""),0.0)</f>
        <v>0</v>
      </c>
      <c r="BA52" s="34"/>
    </row>
    <row r="53" ht="15.75" customHeight="1">
      <c r="A53" s="29"/>
      <c r="B53" s="67" t="str">
        <f>IFERROR(__xludf.DUMMYFUNCTION("""COMPUTED_VALUE""")," + Bán kiên cố")</f>
        <v> + Bán kiên cố</v>
      </c>
      <c r="C53" s="31"/>
      <c r="D53" s="31" t="str">
        <f>IFERROR(__xludf.DUMMYFUNCTION("""COMPUTED_VALUE"""),"""")</f>
        <v>"</v>
      </c>
      <c r="E53" s="41">
        <f>IFERROR(__xludf.DUMMYFUNCTION("""COMPUTED_VALUE"""),0.0)</f>
        <v>0</v>
      </c>
      <c r="F53" s="42">
        <f>IFERROR(__xludf.DUMMYFUNCTION("""COMPUTED_VALUE"""),0.0)</f>
        <v>0</v>
      </c>
      <c r="G53" s="42">
        <f>IFERROR(__xludf.DUMMYFUNCTION("""COMPUTED_VALUE"""),0.0)</f>
        <v>0</v>
      </c>
      <c r="H53" s="42">
        <f>IFERROR(__xludf.DUMMYFUNCTION("""COMPUTED_VALUE"""),0.0)</f>
        <v>0</v>
      </c>
      <c r="I53" s="41">
        <f>IFERROR(__xludf.DUMMYFUNCTION("""COMPUTED_VALUE"""),0.0)</f>
        <v>0</v>
      </c>
      <c r="J53" s="42">
        <f>IFERROR(__xludf.DUMMYFUNCTION("""COMPUTED_VALUE"""),0.0)</f>
        <v>0</v>
      </c>
      <c r="K53" s="42">
        <f>IFERROR(__xludf.DUMMYFUNCTION("""COMPUTED_VALUE"""),0.0)</f>
        <v>0</v>
      </c>
      <c r="L53" s="42">
        <f>IFERROR(__xludf.DUMMYFUNCTION("""COMPUTED_VALUE"""),0.0)</f>
        <v>0</v>
      </c>
      <c r="M53" s="41">
        <f>IFERROR(__xludf.DUMMYFUNCTION("""COMPUTED_VALUE"""),0.0)</f>
        <v>0</v>
      </c>
      <c r="N53" s="42">
        <f>IFERROR(__xludf.DUMMYFUNCTION("""COMPUTED_VALUE"""),0.0)</f>
        <v>0</v>
      </c>
      <c r="O53" s="42">
        <f>IFERROR(__xludf.DUMMYFUNCTION("""COMPUTED_VALUE"""),0.0)</f>
        <v>0</v>
      </c>
      <c r="P53" s="42">
        <f>IFERROR(__xludf.DUMMYFUNCTION("""COMPUTED_VALUE"""),0.0)</f>
        <v>0</v>
      </c>
      <c r="Q53" s="41">
        <f>IFERROR(__xludf.DUMMYFUNCTION("""COMPUTED_VALUE"""),0.0)</f>
        <v>0</v>
      </c>
      <c r="R53" s="42">
        <f>IFERROR(__xludf.DUMMYFUNCTION("""COMPUTED_VALUE"""),0.0)</f>
        <v>0</v>
      </c>
      <c r="S53" s="42">
        <f>IFERROR(__xludf.DUMMYFUNCTION("""COMPUTED_VALUE"""),0.0)</f>
        <v>0</v>
      </c>
      <c r="T53" s="42">
        <f>IFERROR(__xludf.DUMMYFUNCTION("""COMPUTED_VALUE"""),0.0)</f>
        <v>0</v>
      </c>
      <c r="U53" s="41">
        <f>IFERROR(__xludf.DUMMYFUNCTION("""COMPUTED_VALUE"""),0.0)</f>
        <v>0</v>
      </c>
      <c r="V53" s="42">
        <f>IFERROR(__xludf.DUMMYFUNCTION("""COMPUTED_VALUE"""),0.0)</f>
        <v>0</v>
      </c>
      <c r="W53" s="42">
        <f>IFERROR(__xludf.DUMMYFUNCTION("""COMPUTED_VALUE"""),0.0)</f>
        <v>0</v>
      </c>
      <c r="X53" s="42">
        <f>IFERROR(__xludf.DUMMYFUNCTION("""COMPUTED_VALUE"""),0.0)</f>
        <v>0</v>
      </c>
      <c r="Y53" s="41">
        <f>IFERROR(__xludf.DUMMYFUNCTION("""COMPUTED_VALUE"""),0.0)</f>
        <v>0</v>
      </c>
      <c r="Z53" s="42">
        <f>IFERROR(__xludf.DUMMYFUNCTION("""COMPUTED_VALUE"""),0.0)</f>
        <v>0</v>
      </c>
      <c r="AA53" s="42">
        <f>IFERROR(__xludf.DUMMYFUNCTION("""COMPUTED_VALUE"""),0.0)</f>
        <v>0</v>
      </c>
      <c r="AB53" s="42">
        <f>IFERROR(__xludf.DUMMYFUNCTION("""COMPUTED_VALUE"""),0.0)</f>
        <v>0</v>
      </c>
      <c r="AC53" s="41">
        <f>IFERROR(__xludf.DUMMYFUNCTION("""COMPUTED_VALUE"""),0.0)</f>
        <v>0</v>
      </c>
      <c r="AD53" s="42">
        <f>IFERROR(__xludf.DUMMYFUNCTION("""COMPUTED_VALUE"""),0.0)</f>
        <v>0</v>
      </c>
      <c r="AE53" s="42">
        <f>IFERROR(__xludf.DUMMYFUNCTION("""COMPUTED_VALUE"""),0.0)</f>
        <v>0</v>
      </c>
      <c r="AF53" s="42">
        <f>IFERROR(__xludf.DUMMYFUNCTION("""COMPUTED_VALUE"""),0.0)</f>
        <v>0</v>
      </c>
      <c r="AG53" s="41">
        <f>IFERROR(__xludf.DUMMYFUNCTION("""COMPUTED_VALUE"""),0.0)</f>
        <v>0</v>
      </c>
      <c r="AH53" s="42">
        <f>IFERROR(__xludf.DUMMYFUNCTION("""COMPUTED_VALUE"""),0.0)</f>
        <v>0</v>
      </c>
      <c r="AI53" s="42">
        <f>IFERROR(__xludf.DUMMYFUNCTION("""COMPUTED_VALUE"""),0.0)</f>
        <v>0</v>
      </c>
      <c r="AJ53" s="42">
        <f>IFERROR(__xludf.DUMMYFUNCTION("""COMPUTED_VALUE"""),0.0)</f>
        <v>0</v>
      </c>
      <c r="AK53" s="41">
        <f>IFERROR(__xludf.DUMMYFUNCTION("""COMPUTED_VALUE"""),0.0)</f>
        <v>0</v>
      </c>
      <c r="AL53" s="42">
        <f>IFERROR(__xludf.DUMMYFUNCTION("""COMPUTED_VALUE"""),0.0)</f>
        <v>0</v>
      </c>
      <c r="AM53" s="42">
        <f>IFERROR(__xludf.DUMMYFUNCTION("""COMPUTED_VALUE"""),0.0)</f>
        <v>0</v>
      </c>
      <c r="AN53" s="42">
        <f>IFERROR(__xludf.DUMMYFUNCTION("""COMPUTED_VALUE"""),0.0)</f>
        <v>0</v>
      </c>
      <c r="AO53" s="41">
        <f>IFERROR(__xludf.DUMMYFUNCTION("""COMPUTED_VALUE"""),0.0)</f>
        <v>0</v>
      </c>
      <c r="AP53" s="42">
        <f>IFERROR(__xludf.DUMMYFUNCTION("""COMPUTED_VALUE"""),0.0)</f>
        <v>0</v>
      </c>
      <c r="AQ53" s="42">
        <f>IFERROR(__xludf.DUMMYFUNCTION("""COMPUTED_VALUE"""),0.0)</f>
        <v>0</v>
      </c>
      <c r="AR53" s="42">
        <f>IFERROR(__xludf.DUMMYFUNCTION("""COMPUTED_VALUE"""),0.0)</f>
        <v>0</v>
      </c>
      <c r="AS53" s="41">
        <f>IFERROR(__xludf.DUMMYFUNCTION("""COMPUTED_VALUE"""),0.0)</f>
        <v>0</v>
      </c>
      <c r="AT53" s="42">
        <f>IFERROR(__xludf.DUMMYFUNCTION("""COMPUTED_VALUE"""),0.0)</f>
        <v>0</v>
      </c>
      <c r="AU53" s="42">
        <f>IFERROR(__xludf.DUMMYFUNCTION("""COMPUTED_VALUE"""),0.0)</f>
        <v>0</v>
      </c>
      <c r="AV53" s="42">
        <f>IFERROR(__xludf.DUMMYFUNCTION("""COMPUTED_VALUE"""),0.0)</f>
        <v>0</v>
      </c>
      <c r="AW53" s="41">
        <f>IFERROR(__xludf.DUMMYFUNCTION("""COMPUTED_VALUE"""),0.0)</f>
        <v>0</v>
      </c>
      <c r="AX53" s="42">
        <f>IFERROR(__xludf.DUMMYFUNCTION("""COMPUTED_VALUE"""),0.0)</f>
        <v>0</v>
      </c>
      <c r="AY53" s="42">
        <f>IFERROR(__xludf.DUMMYFUNCTION("""COMPUTED_VALUE"""),0.0)</f>
        <v>0</v>
      </c>
      <c r="AZ53" s="43">
        <f>IFERROR(__xludf.DUMMYFUNCTION("""COMPUTED_VALUE"""),0.0)</f>
        <v>0</v>
      </c>
      <c r="BA53" s="34"/>
    </row>
    <row r="54" ht="15.75" customHeight="1">
      <c r="A54" s="29"/>
      <c r="B54" s="67" t="str">
        <f>IFERROR(__xludf.DUMMYFUNCTION("""COMPUTED_VALUE""")," + Tạm")</f>
        <v> + Tạm</v>
      </c>
      <c r="C54" s="31"/>
      <c r="D54" s="31" t="str">
        <f>IFERROR(__xludf.DUMMYFUNCTION("""COMPUTED_VALUE"""),"""")</f>
        <v>"</v>
      </c>
      <c r="E54" s="41">
        <f>IFERROR(__xludf.DUMMYFUNCTION("""COMPUTED_VALUE"""),4.0)</f>
        <v>4</v>
      </c>
      <c r="F54" s="42">
        <f>IFERROR(__xludf.DUMMYFUNCTION("""COMPUTED_VALUE"""),4.0)</f>
        <v>4</v>
      </c>
      <c r="G54" s="42">
        <f>IFERROR(__xludf.DUMMYFUNCTION("""COMPUTED_VALUE"""),0.0)</f>
        <v>0</v>
      </c>
      <c r="H54" s="42">
        <f>IFERROR(__xludf.DUMMYFUNCTION("""COMPUTED_VALUE"""),0.0)</f>
        <v>0</v>
      </c>
      <c r="I54" s="41">
        <f>IFERROR(__xludf.DUMMYFUNCTION("""COMPUTED_VALUE"""),4.0)</f>
        <v>4</v>
      </c>
      <c r="J54" s="42">
        <f>IFERROR(__xludf.DUMMYFUNCTION("""COMPUTED_VALUE"""),4.0)</f>
        <v>4</v>
      </c>
      <c r="K54" s="42">
        <f>IFERROR(__xludf.DUMMYFUNCTION("""COMPUTED_VALUE"""),0.0)</f>
        <v>0</v>
      </c>
      <c r="L54" s="42">
        <f>IFERROR(__xludf.DUMMYFUNCTION("""COMPUTED_VALUE"""),0.0)</f>
        <v>0</v>
      </c>
      <c r="M54" s="41">
        <f>IFERROR(__xludf.DUMMYFUNCTION("""COMPUTED_VALUE"""),4.0)</f>
        <v>4</v>
      </c>
      <c r="N54" s="42">
        <f>IFERROR(__xludf.DUMMYFUNCTION("""COMPUTED_VALUE"""),4.0)</f>
        <v>4</v>
      </c>
      <c r="O54" s="42">
        <f>IFERROR(__xludf.DUMMYFUNCTION("""COMPUTED_VALUE"""),0.0)</f>
        <v>0</v>
      </c>
      <c r="P54" s="42">
        <f>IFERROR(__xludf.DUMMYFUNCTION("""COMPUTED_VALUE"""),0.0)</f>
        <v>0</v>
      </c>
      <c r="Q54" s="41">
        <f>IFERROR(__xludf.DUMMYFUNCTION("""COMPUTED_VALUE"""),4.0)</f>
        <v>4</v>
      </c>
      <c r="R54" s="42">
        <f>IFERROR(__xludf.DUMMYFUNCTION("""COMPUTED_VALUE"""),4.0)</f>
        <v>4</v>
      </c>
      <c r="S54" s="42">
        <f>IFERROR(__xludf.DUMMYFUNCTION("""COMPUTED_VALUE"""),0.0)</f>
        <v>0</v>
      </c>
      <c r="T54" s="42">
        <f>IFERROR(__xludf.DUMMYFUNCTION("""COMPUTED_VALUE"""),0.0)</f>
        <v>0</v>
      </c>
      <c r="U54" s="41">
        <f>IFERROR(__xludf.DUMMYFUNCTION("""COMPUTED_VALUE"""),4.0)</f>
        <v>4</v>
      </c>
      <c r="V54" s="42">
        <f>IFERROR(__xludf.DUMMYFUNCTION("""COMPUTED_VALUE"""),4.0)</f>
        <v>4</v>
      </c>
      <c r="W54" s="42">
        <f>IFERROR(__xludf.DUMMYFUNCTION("""COMPUTED_VALUE"""),0.0)</f>
        <v>0</v>
      </c>
      <c r="X54" s="42">
        <f>IFERROR(__xludf.DUMMYFUNCTION("""COMPUTED_VALUE"""),0.0)</f>
        <v>0</v>
      </c>
      <c r="Y54" s="41">
        <f>IFERROR(__xludf.DUMMYFUNCTION("""COMPUTED_VALUE"""),0.0)</f>
        <v>0</v>
      </c>
      <c r="Z54" s="42">
        <f>IFERROR(__xludf.DUMMYFUNCTION("""COMPUTED_VALUE"""),0.0)</f>
        <v>0</v>
      </c>
      <c r="AA54" s="42">
        <f>IFERROR(__xludf.DUMMYFUNCTION("""COMPUTED_VALUE"""),0.0)</f>
        <v>0</v>
      </c>
      <c r="AB54" s="42">
        <f>IFERROR(__xludf.DUMMYFUNCTION("""COMPUTED_VALUE"""),0.0)</f>
        <v>0</v>
      </c>
      <c r="AC54" s="41">
        <f>IFERROR(__xludf.DUMMYFUNCTION("""COMPUTED_VALUE"""),0.0)</f>
        <v>0</v>
      </c>
      <c r="AD54" s="42">
        <f>IFERROR(__xludf.DUMMYFUNCTION("""COMPUTED_VALUE"""),0.0)</f>
        <v>0</v>
      </c>
      <c r="AE54" s="42">
        <f>IFERROR(__xludf.DUMMYFUNCTION("""COMPUTED_VALUE"""),0.0)</f>
        <v>0</v>
      </c>
      <c r="AF54" s="42">
        <f>IFERROR(__xludf.DUMMYFUNCTION("""COMPUTED_VALUE"""),0.0)</f>
        <v>0</v>
      </c>
      <c r="AG54" s="41">
        <f>IFERROR(__xludf.DUMMYFUNCTION("""COMPUTED_VALUE"""),0.0)</f>
        <v>0</v>
      </c>
      <c r="AH54" s="42">
        <f>IFERROR(__xludf.DUMMYFUNCTION("""COMPUTED_VALUE"""),0.0)</f>
        <v>0</v>
      </c>
      <c r="AI54" s="42">
        <f>IFERROR(__xludf.DUMMYFUNCTION("""COMPUTED_VALUE"""),0.0)</f>
        <v>0</v>
      </c>
      <c r="AJ54" s="42">
        <f>IFERROR(__xludf.DUMMYFUNCTION("""COMPUTED_VALUE"""),0.0)</f>
        <v>0</v>
      </c>
      <c r="AK54" s="41">
        <f>IFERROR(__xludf.DUMMYFUNCTION("""COMPUTED_VALUE"""),0.0)</f>
        <v>0</v>
      </c>
      <c r="AL54" s="42">
        <f>IFERROR(__xludf.DUMMYFUNCTION("""COMPUTED_VALUE"""),0.0)</f>
        <v>0</v>
      </c>
      <c r="AM54" s="42">
        <f>IFERROR(__xludf.DUMMYFUNCTION("""COMPUTED_VALUE"""),0.0)</f>
        <v>0</v>
      </c>
      <c r="AN54" s="42">
        <f>IFERROR(__xludf.DUMMYFUNCTION("""COMPUTED_VALUE"""),0.0)</f>
        <v>0</v>
      </c>
      <c r="AO54" s="41">
        <f>IFERROR(__xludf.DUMMYFUNCTION("""COMPUTED_VALUE"""),0.0)</f>
        <v>0</v>
      </c>
      <c r="AP54" s="42">
        <f>IFERROR(__xludf.DUMMYFUNCTION("""COMPUTED_VALUE"""),0.0)</f>
        <v>0</v>
      </c>
      <c r="AQ54" s="42">
        <f>IFERROR(__xludf.DUMMYFUNCTION("""COMPUTED_VALUE"""),0.0)</f>
        <v>0</v>
      </c>
      <c r="AR54" s="42">
        <f>IFERROR(__xludf.DUMMYFUNCTION("""COMPUTED_VALUE"""),0.0)</f>
        <v>0</v>
      </c>
      <c r="AS54" s="41">
        <f>IFERROR(__xludf.DUMMYFUNCTION("""COMPUTED_VALUE"""),0.0)</f>
        <v>0</v>
      </c>
      <c r="AT54" s="42">
        <f>IFERROR(__xludf.DUMMYFUNCTION("""COMPUTED_VALUE"""),0.0)</f>
        <v>0</v>
      </c>
      <c r="AU54" s="42">
        <f>IFERROR(__xludf.DUMMYFUNCTION("""COMPUTED_VALUE"""),0.0)</f>
        <v>0</v>
      </c>
      <c r="AV54" s="42">
        <f>IFERROR(__xludf.DUMMYFUNCTION("""COMPUTED_VALUE"""),0.0)</f>
        <v>0</v>
      </c>
      <c r="AW54" s="41">
        <f>IFERROR(__xludf.DUMMYFUNCTION("""COMPUTED_VALUE"""),0.0)</f>
        <v>0</v>
      </c>
      <c r="AX54" s="42">
        <f>IFERROR(__xludf.DUMMYFUNCTION("""COMPUTED_VALUE"""),0.0)</f>
        <v>0</v>
      </c>
      <c r="AY54" s="42">
        <f>IFERROR(__xludf.DUMMYFUNCTION("""COMPUTED_VALUE"""),0.0)</f>
        <v>0</v>
      </c>
      <c r="AZ54" s="43">
        <f>IFERROR(__xludf.DUMMYFUNCTION("""COMPUTED_VALUE"""),0.0)</f>
        <v>0</v>
      </c>
      <c r="BA54" s="34"/>
    </row>
    <row r="55" ht="15.75" customHeight="1">
      <c r="A55" s="29"/>
      <c r="B55" s="196" t="str">
        <f>IFERROR(__xludf.DUMMYFUNCTION("""COMPUTED_VALUE"""),"6.3. Tổng số phòng đa chức năng")</f>
        <v>6.3. Tổng số phòng đa chức năng</v>
      </c>
      <c r="C55" s="57"/>
      <c r="D55" s="57" t="str">
        <f>IFERROR(__xludf.DUMMYFUNCTION("""COMPUTED_VALUE"""),"Phòng")</f>
        <v>Phòng</v>
      </c>
      <c r="E55" s="125">
        <f>IFERROR(__xludf.DUMMYFUNCTION("""COMPUTED_VALUE"""),3.0)</f>
        <v>3</v>
      </c>
      <c r="F55" s="125">
        <f>IFERROR(__xludf.DUMMYFUNCTION("""COMPUTED_VALUE"""),3.0)</f>
        <v>3</v>
      </c>
      <c r="G55" s="125">
        <f>IFERROR(__xludf.DUMMYFUNCTION("""COMPUTED_VALUE"""),0.0)</f>
        <v>0</v>
      </c>
      <c r="H55" s="125">
        <f>IFERROR(__xludf.DUMMYFUNCTION("""COMPUTED_VALUE"""),0.0)</f>
        <v>0</v>
      </c>
      <c r="I55" s="125">
        <f>IFERROR(__xludf.DUMMYFUNCTION("""COMPUTED_VALUE"""),3.0)</f>
        <v>3</v>
      </c>
      <c r="J55" s="125">
        <f>IFERROR(__xludf.DUMMYFUNCTION("""COMPUTED_VALUE"""),3.0)</f>
        <v>3</v>
      </c>
      <c r="K55" s="125">
        <f>IFERROR(__xludf.DUMMYFUNCTION("""COMPUTED_VALUE"""),0.0)</f>
        <v>0</v>
      </c>
      <c r="L55" s="125">
        <f>IFERROR(__xludf.DUMMYFUNCTION("""COMPUTED_VALUE"""),0.0)</f>
        <v>0</v>
      </c>
      <c r="M55" s="125">
        <f>IFERROR(__xludf.DUMMYFUNCTION("""COMPUTED_VALUE"""),3.0)</f>
        <v>3</v>
      </c>
      <c r="N55" s="125">
        <f>IFERROR(__xludf.DUMMYFUNCTION("""COMPUTED_VALUE"""),3.0)</f>
        <v>3</v>
      </c>
      <c r="O55" s="125">
        <f>IFERROR(__xludf.DUMMYFUNCTION("""COMPUTED_VALUE"""),0.0)</f>
        <v>0</v>
      </c>
      <c r="P55" s="125">
        <f>IFERROR(__xludf.DUMMYFUNCTION("""COMPUTED_VALUE"""),0.0)</f>
        <v>0</v>
      </c>
      <c r="Q55" s="125">
        <f>IFERROR(__xludf.DUMMYFUNCTION("""COMPUTED_VALUE"""),3.0)</f>
        <v>3</v>
      </c>
      <c r="R55" s="125">
        <f>IFERROR(__xludf.DUMMYFUNCTION("""COMPUTED_VALUE"""),3.0)</f>
        <v>3</v>
      </c>
      <c r="S55" s="125">
        <f>IFERROR(__xludf.DUMMYFUNCTION("""COMPUTED_VALUE"""),0.0)</f>
        <v>0</v>
      </c>
      <c r="T55" s="125">
        <f>IFERROR(__xludf.DUMMYFUNCTION("""COMPUTED_VALUE"""),0.0)</f>
        <v>0</v>
      </c>
      <c r="U55" s="125">
        <f>IFERROR(__xludf.DUMMYFUNCTION("""COMPUTED_VALUE"""),3.0)</f>
        <v>3</v>
      </c>
      <c r="V55" s="125">
        <f>IFERROR(__xludf.DUMMYFUNCTION("""COMPUTED_VALUE"""),3.0)</f>
        <v>3</v>
      </c>
      <c r="W55" s="125">
        <f>IFERROR(__xludf.DUMMYFUNCTION("""COMPUTED_VALUE"""),0.0)</f>
        <v>0</v>
      </c>
      <c r="X55" s="125">
        <f>IFERROR(__xludf.DUMMYFUNCTION("""COMPUTED_VALUE"""),0.0)</f>
        <v>0</v>
      </c>
      <c r="Y55" s="125">
        <f>IFERROR(__xludf.DUMMYFUNCTION("""COMPUTED_VALUE"""),3.0)</f>
        <v>3</v>
      </c>
      <c r="Z55" s="125">
        <f>IFERROR(__xludf.DUMMYFUNCTION("""COMPUTED_VALUE"""),3.0)</f>
        <v>3</v>
      </c>
      <c r="AA55" s="125">
        <f>IFERROR(__xludf.DUMMYFUNCTION("""COMPUTED_VALUE"""),0.0)</f>
        <v>0</v>
      </c>
      <c r="AB55" s="125">
        <f>IFERROR(__xludf.DUMMYFUNCTION("""COMPUTED_VALUE"""),0.0)</f>
        <v>0</v>
      </c>
      <c r="AC55" s="125">
        <f>IFERROR(__xludf.DUMMYFUNCTION("""COMPUTED_VALUE"""),3.0)</f>
        <v>3</v>
      </c>
      <c r="AD55" s="125">
        <f>IFERROR(__xludf.DUMMYFUNCTION("""COMPUTED_VALUE"""),3.0)</f>
        <v>3</v>
      </c>
      <c r="AE55" s="125">
        <f>IFERROR(__xludf.DUMMYFUNCTION("""COMPUTED_VALUE"""),0.0)</f>
        <v>0</v>
      </c>
      <c r="AF55" s="125">
        <f>IFERROR(__xludf.DUMMYFUNCTION("""COMPUTED_VALUE"""),0.0)</f>
        <v>0</v>
      </c>
      <c r="AG55" s="125">
        <f>IFERROR(__xludf.DUMMYFUNCTION("""COMPUTED_VALUE"""),0.0)</f>
        <v>0</v>
      </c>
      <c r="AH55" s="125">
        <f>IFERROR(__xludf.DUMMYFUNCTION("""COMPUTED_VALUE"""),0.0)</f>
        <v>0</v>
      </c>
      <c r="AI55" s="125">
        <f>IFERROR(__xludf.DUMMYFUNCTION("""COMPUTED_VALUE"""),0.0)</f>
        <v>0</v>
      </c>
      <c r="AJ55" s="125">
        <f>IFERROR(__xludf.DUMMYFUNCTION("""COMPUTED_VALUE"""),0.0)</f>
        <v>0</v>
      </c>
      <c r="AK55" s="125">
        <f>IFERROR(__xludf.DUMMYFUNCTION("""COMPUTED_VALUE"""),0.0)</f>
        <v>0</v>
      </c>
      <c r="AL55" s="125">
        <f>IFERROR(__xludf.DUMMYFUNCTION("""COMPUTED_VALUE"""),0.0)</f>
        <v>0</v>
      </c>
      <c r="AM55" s="125">
        <f>IFERROR(__xludf.DUMMYFUNCTION("""COMPUTED_VALUE"""),0.0)</f>
        <v>0</v>
      </c>
      <c r="AN55" s="125">
        <f>IFERROR(__xludf.DUMMYFUNCTION("""COMPUTED_VALUE"""),0.0)</f>
        <v>0</v>
      </c>
      <c r="AO55" s="125">
        <f>IFERROR(__xludf.DUMMYFUNCTION("""COMPUTED_VALUE"""),0.0)</f>
        <v>0</v>
      </c>
      <c r="AP55" s="125">
        <f>IFERROR(__xludf.DUMMYFUNCTION("""COMPUTED_VALUE"""),0.0)</f>
        <v>0</v>
      </c>
      <c r="AQ55" s="125">
        <f>IFERROR(__xludf.DUMMYFUNCTION("""COMPUTED_VALUE"""),0.0)</f>
        <v>0</v>
      </c>
      <c r="AR55" s="125">
        <f>IFERROR(__xludf.DUMMYFUNCTION("""COMPUTED_VALUE"""),0.0)</f>
        <v>0</v>
      </c>
      <c r="AS55" s="125">
        <f>IFERROR(__xludf.DUMMYFUNCTION("""COMPUTED_VALUE"""),0.0)</f>
        <v>0</v>
      </c>
      <c r="AT55" s="125">
        <f>IFERROR(__xludf.DUMMYFUNCTION("""COMPUTED_VALUE"""),0.0)</f>
        <v>0</v>
      </c>
      <c r="AU55" s="125">
        <f>IFERROR(__xludf.DUMMYFUNCTION("""COMPUTED_VALUE"""),0.0)</f>
        <v>0</v>
      </c>
      <c r="AV55" s="125">
        <f>IFERROR(__xludf.DUMMYFUNCTION("""COMPUTED_VALUE"""),0.0)</f>
        <v>0</v>
      </c>
      <c r="AW55" s="125">
        <f>IFERROR(__xludf.DUMMYFUNCTION("""COMPUTED_VALUE"""),0.0)</f>
        <v>0</v>
      </c>
      <c r="AX55" s="125">
        <f>IFERROR(__xludf.DUMMYFUNCTION("""COMPUTED_VALUE"""),0.0)</f>
        <v>0</v>
      </c>
      <c r="AY55" s="125">
        <f>IFERROR(__xludf.DUMMYFUNCTION("""COMPUTED_VALUE"""),0.0)</f>
        <v>0</v>
      </c>
      <c r="AZ55" s="127">
        <f>IFERROR(__xludf.DUMMYFUNCTION("""COMPUTED_VALUE"""),0.0)</f>
        <v>0</v>
      </c>
      <c r="BA55" s="34"/>
    </row>
    <row r="56" ht="15.75" customHeight="1">
      <c r="A56" s="29"/>
      <c r="B56" s="48" t="str">
        <f>IFERROR(__xludf.DUMMYFUNCTION("""COMPUTED_VALUE"""),"Chia ra:")</f>
        <v>Chia ra:</v>
      </c>
      <c r="C56" s="49"/>
      <c r="D56" s="3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50"/>
      <c r="BA56" s="34"/>
    </row>
    <row r="57" ht="15.75" customHeight="1">
      <c r="A57" s="29"/>
      <c r="B57" s="67" t="str">
        <f>IFERROR(__xludf.DUMMYFUNCTION("""COMPUTED_VALUE""")," + Kiên cố")</f>
        <v> + Kiên cố</v>
      </c>
      <c r="C57" s="31"/>
      <c r="D57" s="31" t="str">
        <f>IFERROR(__xludf.DUMMYFUNCTION("""COMPUTED_VALUE"""),"""")</f>
        <v>"</v>
      </c>
      <c r="E57" s="41">
        <f>IFERROR(__xludf.DUMMYFUNCTION("""COMPUTED_VALUE"""),3.0)</f>
        <v>3</v>
      </c>
      <c r="F57" s="42">
        <f>IFERROR(__xludf.DUMMYFUNCTION("""COMPUTED_VALUE"""),3.0)</f>
        <v>3</v>
      </c>
      <c r="G57" s="42">
        <f>IFERROR(__xludf.DUMMYFUNCTION("""COMPUTED_VALUE"""),0.0)</f>
        <v>0</v>
      </c>
      <c r="H57" s="42">
        <f>IFERROR(__xludf.DUMMYFUNCTION("""COMPUTED_VALUE"""),0.0)</f>
        <v>0</v>
      </c>
      <c r="I57" s="41">
        <f>IFERROR(__xludf.DUMMYFUNCTION("""COMPUTED_VALUE"""),3.0)</f>
        <v>3</v>
      </c>
      <c r="J57" s="42">
        <f>IFERROR(__xludf.DUMMYFUNCTION("""COMPUTED_VALUE"""),3.0)</f>
        <v>3</v>
      </c>
      <c r="K57" s="42">
        <f>IFERROR(__xludf.DUMMYFUNCTION("""COMPUTED_VALUE"""),0.0)</f>
        <v>0</v>
      </c>
      <c r="L57" s="42">
        <f>IFERROR(__xludf.DUMMYFUNCTION("""COMPUTED_VALUE"""),0.0)</f>
        <v>0</v>
      </c>
      <c r="M57" s="41">
        <f>IFERROR(__xludf.DUMMYFUNCTION("""COMPUTED_VALUE"""),3.0)</f>
        <v>3</v>
      </c>
      <c r="N57" s="42">
        <f>IFERROR(__xludf.DUMMYFUNCTION("""COMPUTED_VALUE"""),3.0)</f>
        <v>3</v>
      </c>
      <c r="O57" s="42">
        <f>IFERROR(__xludf.DUMMYFUNCTION("""COMPUTED_VALUE"""),0.0)</f>
        <v>0</v>
      </c>
      <c r="P57" s="42">
        <f>IFERROR(__xludf.DUMMYFUNCTION("""COMPUTED_VALUE"""),0.0)</f>
        <v>0</v>
      </c>
      <c r="Q57" s="41">
        <f>IFERROR(__xludf.DUMMYFUNCTION("""COMPUTED_VALUE"""),3.0)</f>
        <v>3</v>
      </c>
      <c r="R57" s="42">
        <f>IFERROR(__xludf.DUMMYFUNCTION("""COMPUTED_VALUE"""),3.0)</f>
        <v>3</v>
      </c>
      <c r="S57" s="42">
        <f>IFERROR(__xludf.DUMMYFUNCTION("""COMPUTED_VALUE"""),0.0)</f>
        <v>0</v>
      </c>
      <c r="T57" s="42">
        <f>IFERROR(__xludf.DUMMYFUNCTION("""COMPUTED_VALUE"""),0.0)</f>
        <v>0</v>
      </c>
      <c r="U57" s="41">
        <f>IFERROR(__xludf.DUMMYFUNCTION("""COMPUTED_VALUE"""),3.0)</f>
        <v>3</v>
      </c>
      <c r="V57" s="42">
        <f>IFERROR(__xludf.DUMMYFUNCTION("""COMPUTED_VALUE"""),3.0)</f>
        <v>3</v>
      </c>
      <c r="W57" s="42">
        <f>IFERROR(__xludf.DUMMYFUNCTION("""COMPUTED_VALUE"""),0.0)</f>
        <v>0</v>
      </c>
      <c r="X57" s="42">
        <f>IFERROR(__xludf.DUMMYFUNCTION("""COMPUTED_VALUE"""),0.0)</f>
        <v>0</v>
      </c>
      <c r="Y57" s="41">
        <f>IFERROR(__xludf.DUMMYFUNCTION("""COMPUTED_VALUE"""),3.0)</f>
        <v>3</v>
      </c>
      <c r="Z57" s="42">
        <f>IFERROR(__xludf.DUMMYFUNCTION("""COMPUTED_VALUE"""),3.0)</f>
        <v>3</v>
      </c>
      <c r="AA57" s="42">
        <f>IFERROR(__xludf.DUMMYFUNCTION("""COMPUTED_VALUE"""),0.0)</f>
        <v>0</v>
      </c>
      <c r="AB57" s="42">
        <f>IFERROR(__xludf.DUMMYFUNCTION("""COMPUTED_VALUE"""),0.0)</f>
        <v>0</v>
      </c>
      <c r="AC57" s="41">
        <f>IFERROR(__xludf.DUMMYFUNCTION("""COMPUTED_VALUE"""),3.0)</f>
        <v>3</v>
      </c>
      <c r="AD57" s="42">
        <f>IFERROR(__xludf.DUMMYFUNCTION("""COMPUTED_VALUE"""),3.0)</f>
        <v>3</v>
      </c>
      <c r="AE57" s="42">
        <f>IFERROR(__xludf.DUMMYFUNCTION("""COMPUTED_VALUE"""),0.0)</f>
        <v>0</v>
      </c>
      <c r="AF57" s="42">
        <f>IFERROR(__xludf.DUMMYFUNCTION("""COMPUTED_VALUE"""),0.0)</f>
        <v>0</v>
      </c>
      <c r="AG57" s="41">
        <f>IFERROR(__xludf.DUMMYFUNCTION("""COMPUTED_VALUE"""),0.0)</f>
        <v>0</v>
      </c>
      <c r="AH57" s="42">
        <f>IFERROR(__xludf.DUMMYFUNCTION("""COMPUTED_VALUE"""),0.0)</f>
        <v>0</v>
      </c>
      <c r="AI57" s="42">
        <f>IFERROR(__xludf.DUMMYFUNCTION("""COMPUTED_VALUE"""),0.0)</f>
        <v>0</v>
      </c>
      <c r="AJ57" s="42">
        <f>IFERROR(__xludf.DUMMYFUNCTION("""COMPUTED_VALUE"""),0.0)</f>
        <v>0</v>
      </c>
      <c r="AK57" s="41">
        <f>IFERROR(__xludf.DUMMYFUNCTION("""COMPUTED_VALUE"""),0.0)</f>
        <v>0</v>
      </c>
      <c r="AL57" s="42">
        <f>IFERROR(__xludf.DUMMYFUNCTION("""COMPUTED_VALUE"""),0.0)</f>
        <v>0</v>
      </c>
      <c r="AM57" s="42">
        <f>IFERROR(__xludf.DUMMYFUNCTION("""COMPUTED_VALUE"""),0.0)</f>
        <v>0</v>
      </c>
      <c r="AN57" s="42">
        <f>IFERROR(__xludf.DUMMYFUNCTION("""COMPUTED_VALUE"""),0.0)</f>
        <v>0</v>
      </c>
      <c r="AO57" s="41">
        <f>IFERROR(__xludf.DUMMYFUNCTION("""COMPUTED_VALUE"""),0.0)</f>
        <v>0</v>
      </c>
      <c r="AP57" s="42">
        <f>IFERROR(__xludf.DUMMYFUNCTION("""COMPUTED_VALUE"""),0.0)</f>
        <v>0</v>
      </c>
      <c r="AQ57" s="42">
        <f>IFERROR(__xludf.DUMMYFUNCTION("""COMPUTED_VALUE"""),0.0)</f>
        <v>0</v>
      </c>
      <c r="AR57" s="42">
        <f>IFERROR(__xludf.DUMMYFUNCTION("""COMPUTED_VALUE"""),0.0)</f>
        <v>0</v>
      </c>
      <c r="AS57" s="41">
        <f>IFERROR(__xludf.DUMMYFUNCTION("""COMPUTED_VALUE"""),0.0)</f>
        <v>0</v>
      </c>
      <c r="AT57" s="42">
        <f>IFERROR(__xludf.DUMMYFUNCTION("""COMPUTED_VALUE"""),0.0)</f>
        <v>0</v>
      </c>
      <c r="AU57" s="42">
        <f>IFERROR(__xludf.DUMMYFUNCTION("""COMPUTED_VALUE"""),0.0)</f>
        <v>0</v>
      </c>
      <c r="AV57" s="42">
        <f>IFERROR(__xludf.DUMMYFUNCTION("""COMPUTED_VALUE"""),0.0)</f>
        <v>0</v>
      </c>
      <c r="AW57" s="41">
        <f>IFERROR(__xludf.DUMMYFUNCTION("""COMPUTED_VALUE"""),0.0)</f>
        <v>0</v>
      </c>
      <c r="AX57" s="42">
        <f>IFERROR(__xludf.DUMMYFUNCTION("""COMPUTED_VALUE"""),0.0)</f>
        <v>0</v>
      </c>
      <c r="AY57" s="42">
        <f>IFERROR(__xludf.DUMMYFUNCTION("""COMPUTED_VALUE"""),0.0)</f>
        <v>0</v>
      </c>
      <c r="AZ57" s="43">
        <f>IFERROR(__xludf.DUMMYFUNCTION("""COMPUTED_VALUE"""),0.0)</f>
        <v>0</v>
      </c>
      <c r="BA57" s="34"/>
    </row>
    <row r="58" ht="15.75" customHeight="1">
      <c r="A58" s="29"/>
      <c r="B58" s="67" t="str">
        <f>IFERROR(__xludf.DUMMYFUNCTION("""COMPUTED_VALUE""")," + Bán kiên cố")</f>
        <v> + Bán kiên cố</v>
      </c>
      <c r="C58" s="31"/>
      <c r="D58" s="31" t="str">
        <f>IFERROR(__xludf.DUMMYFUNCTION("""COMPUTED_VALUE"""),"""")</f>
        <v>"</v>
      </c>
      <c r="E58" s="41">
        <f>IFERROR(__xludf.DUMMYFUNCTION("""COMPUTED_VALUE"""),0.0)</f>
        <v>0</v>
      </c>
      <c r="F58" s="42">
        <f>IFERROR(__xludf.DUMMYFUNCTION("""COMPUTED_VALUE"""),0.0)</f>
        <v>0</v>
      </c>
      <c r="G58" s="42">
        <f>IFERROR(__xludf.DUMMYFUNCTION("""COMPUTED_VALUE"""),0.0)</f>
        <v>0</v>
      </c>
      <c r="H58" s="42">
        <f>IFERROR(__xludf.DUMMYFUNCTION("""COMPUTED_VALUE"""),0.0)</f>
        <v>0</v>
      </c>
      <c r="I58" s="41">
        <f>IFERROR(__xludf.DUMMYFUNCTION("""COMPUTED_VALUE"""),0.0)</f>
        <v>0</v>
      </c>
      <c r="J58" s="42">
        <f>IFERROR(__xludf.DUMMYFUNCTION("""COMPUTED_VALUE"""),0.0)</f>
        <v>0</v>
      </c>
      <c r="K58" s="42">
        <f>IFERROR(__xludf.DUMMYFUNCTION("""COMPUTED_VALUE"""),0.0)</f>
        <v>0</v>
      </c>
      <c r="L58" s="42">
        <f>IFERROR(__xludf.DUMMYFUNCTION("""COMPUTED_VALUE"""),0.0)</f>
        <v>0</v>
      </c>
      <c r="M58" s="41">
        <f>IFERROR(__xludf.DUMMYFUNCTION("""COMPUTED_VALUE"""),0.0)</f>
        <v>0</v>
      </c>
      <c r="N58" s="42">
        <f>IFERROR(__xludf.DUMMYFUNCTION("""COMPUTED_VALUE"""),0.0)</f>
        <v>0</v>
      </c>
      <c r="O58" s="42">
        <f>IFERROR(__xludf.DUMMYFUNCTION("""COMPUTED_VALUE"""),0.0)</f>
        <v>0</v>
      </c>
      <c r="P58" s="42">
        <f>IFERROR(__xludf.DUMMYFUNCTION("""COMPUTED_VALUE"""),0.0)</f>
        <v>0</v>
      </c>
      <c r="Q58" s="41">
        <f>IFERROR(__xludf.DUMMYFUNCTION("""COMPUTED_VALUE"""),0.0)</f>
        <v>0</v>
      </c>
      <c r="R58" s="42">
        <f>IFERROR(__xludf.DUMMYFUNCTION("""COMPUTED_VALUE"""),0.0)</f>
        <v>0</v>
      </c>
      <c r="S58" s="42">
        <f>IFERROR(__xludf.DUMMYFUNCTION("""COMPUTED_VALUE"""),0.0)</f>
        <v>0</v>
      </c>
      <c r="T58" s="42">
        <f>IFERROR(__xludf.DUMMYFUNCTION("""COMPUTED_VALUE"""),0.0)</f>
        <v>0</v>
      </c>
      <c r="U58" s="41">
        <f>IFERROR(__xludf.DUMMYFUNCTION("""COMPUTED_VALUE"""),0.0)</f>
        <v>0</v>
      </c>
      <c r="V58" s="42">
        <f>IFERROR(__xludf.DUMMYFUNCTION("""COMPUTED_VALUE"""),0.0)</f>
        <v>0</v>
      </c>
      <c r="W58" s="42">
        <f>IFERROR(__xludf.DUMMYFUNCTION("""COMPUTED_VALUE"""),0.0)</f>
        <v>0</v>
      </c>
      <c r="X58" s="42">
        <f>IFERROR(__xludf.DUMMYFUNCTION("""COMPUTED_VALUE"""),0.0)</f>
        <v>0</v>
      </c>
      <c r="Y58" s="41">
        <f>IFERROR(__xludf.DUMMYFUNCTION("""COMPUTED_VALUE"""),0.0)</f>
        <v>0</v>
      </c>
      <c r="Z58" s="42">
        <f>IFERROR(__xludf.DUMMYFUNCTION("""COMPUTED_VALUE"""),0.0)</f>
        <v>0</v>
      </c>
      <c r="AA58" s="42">
        <f>IFERROR(__xludf.DUMMYFUNCTION("""COMPUTED_VALUE"""),0.0)</f>
        <v>0</v>
      </c>
      <c r="AB58" s="42">
        <f>IFERROR(__xludf.DUMMYFUNCTION("""COMPUTED_VALUE"""),0.0)</f>
        <v>0</v>
      </c>
      <c r="AC58" s="41">
        <f>IFERROR(__xludf.DUMMYFUNCTION("""COMPUTED_VALUE"""),0.0)</f>
        <v>0</v>
      </c>
      <c r="AD58" s="42">
        <f>IFERROR(__xludf.DUMMYFUNCTION("""COMPUTED_VALUE"""),0.0)</f>
        <v>0</v>
      </c>
      <c r="AE58" s="42">
        <f>IFERROR(__xludf.DUMMYFUNCTION("""COMPUTED_VALUE"""),0.0)</f>
        <v>0</v>
      </c>
      <c r="AF58" s="42">
        <f>IFERROR(__xludf.DUMMYFUNCTION("""COMPUTED_VALUE"""),0.0)</f>
        <v>0</v>
      </c>
      <c r="AG58" s="41">
        <f>IFERROR(__xludf.DUMMYFUNCTION("""COMPUTED_VALUE"""),0.0)</f>
        <v>0</v>
      </c>
      <c r="AH58" s="42">
        <f>IFERROR(__xludf.DUMMYFUNCTION("""COMPUTED_VALUE"""),0.0)</f>
        <v>0</v>
      </c>
      <c r="AI58" s="42">
        <f>IFERROR(__xludf.DUMMYFUNCTION("""COMPUTED_VALUE"""),0.0)</f>
        <v>0</v>
      </c>
      <c r="AJ58" s="42">
        <f>IFERROR(__xludf.DUMMYFUNCTION("""COMPUTED_VALUE"""),0.0)</f>
        <v>0</v>
      </c>
      <c r="AK58" s="41">
        <f>IFERROR(__xludf.DUMMYFUNCTION("""COMPUTED_VALUE"""),0.0)</f>
        <v>0</v>
      </c>
      <c r="AL58" s="42">
        <f>IFERROR(__xludf.DUMMYFUNCTION("""COMPUTED_VALUE"""),0.0)</f>
        <v>0</v>
      </c>
      <c r="AM58" s="42">
        <f>IFERROR(__xludf.DUMMYFUNCTION("""COMPUTED_VALUE"""),0.0)</f>
        <v>0</v>
      </c>
      <c r="AN58" s="42">
        <f>IFERROR(__xludf.DUMMYFUNCTION("""COMPUTED_VALUE"""),0.0)</f>
        <v>0</v>
      </c>
      <c r="AO58" s="41">
        <f>IFERROR(__xludf.DUMMYFUNCTION("""COMPUTED_VALUE"""),0.0)</f>
        <v>0</v>
      </c>
      <c r="AP58" s="42">
        <f>IFERROR(__xludf.DUMMYFUNCTION("""COMPUTED_VALUE"""),0.0)</f>
        <v>0</v>
      </c>
      <c r="AQ58" s="42">
        <f>IFERROR(__xludf.DUMMYFUNCTION("""COMPUTED_VALUE"""),0.0)</f>
        <v>0</v>
      </c>
      <c r="AR58" s="42">
        <f>IFERROR(__xludf.DUMMYFUNCTION("""COMPUTED_VALUE"""),0.0)</f>
        <v>0</v>
      </c>
      <c r="AS58" s="41">
        <f>IFERROR(__xludf.DUMMYFUNCTION("""COMPUTED_VALUE"""),0.0)</f>
        <v>0</v>
      </c>
      <c r="AT58" s="42">
        <f>IFERROR(__xludf.DUMMYFUNCTION("""COMPUTED_VALUE"""),0.0)</f>
        <v>0</v>
      </c>
      <c r="AU58" s="42">
        <f>IFERROR(__xludf.DUMMYFUNCTION("""COMPUTED_VALUE"""),0.0)</f>
        <v>0</v>
      </c>
      <c r="AV58" s="42">
        <f>IFERROR(__xludf.DUMMYFUNCTION("""COMPUTED_VALUE"""),0.0)</f>
        <v>0</v>
      </c>
      <c r="AW58" s="41">
        <f>IFERROR(__xludf.DUMMYFUNCTION("""COMPUTED_VALUE"""),0.0)</f>
        <v>0</v>
      </c>
      <c r="AX58" s="42">
        <f>IFERROR(__xludf.DUMMYFUNCTION("""COMPUTED_VALUE"""),0.0)</f>
        <v>0</v>
      </c>
      <c r="AY58" s="42">
        <f>IFERROR(__xludf.DUMMYFUNCTION("""COMPUTED_VALUE"""),0.0)</f>
        <v>0</v>
      </c>
      <c r="AZ58" s="43">
        <f>IFERROR(__xludf.DUMMYFUNCTION("""COMPUTED_VALUE"""),0.0)</f>
        <v>0</v>
      </c>
      <c r="BA58" s="34"/>
    </row>
    <row r="59" ht="15.75" customHeight="1">
      <c r="A59" s="29"/>
      <c r="B59" s="67" t="str">
        <f>IFERROR(__xludf.DUMMYFUNCTION("""COMPUTED_VALUE""")," + Tạm")</f>
        <v> + Tạm</v>
      </c>
      <c r="C59" s="31"/>
      <c r="D59" s="31" t="str">
        <f>IFERROR(__xludf.DUMMYFUNCTION("""COMPUTED_VALUE"""),"""")</f>
        <v>"</v>
      </c>
      <c r="E59" s="41">
        <f>IFERROR(__xludf.DUMMYFUNCTION("""COMPUTED_VALUE"""),0.0)</f>
        <v>0</v>
      </c>
      <c r="F59" s="42">
        <f>IFERROR(__xludf.DUMMYFUNCTION("""COMPUTED_VALUE"""),0.0)</f>
        <v>0</v>
      </c>
      <c r="G59" s="42">
        <f>IFERROR(__xludf.DUMMYFUNCTION("""COMPUTED_VALUE"""),0.0)</f>
        <v>0</v>
      </c>
      <c r="H59" s="42">
        <f>IFERROR(__xludf.DUMMYFUNCTION("""COMPUTED_VALUE"""),0.0)</f>
        <v>0</v>
      </c>
      <c r="I59" s="41">
        <f>IFERROR(__xludf.DUMMYFUNCTION("""COMPUTED_VALUE"""),0.0)</f>
        <v>0</v>
      </c>
      <c r="J59" s="42">
        <f>IFERROR(__xludf.DUMMYFUNCTION("""COMPUTED_VALUE"""),0.0)</f>
        <v>0</v>
      </c>
      <c r="K59" s="42">
        <f>IFERROR(__xludf.DUMMYFUNCTION("""COMPUTED_VALUE"""),0.0)</f>
        <v>0</v>
      </c>
      <c r="L59" s="42">
        <f>IFERROR(__xludf.DUMMYFUNCTION("""COMPUTED_VALUE"""),0.0)</f>
        <v>0</v>
      </c>
      <c r="M59" s="41">
        <f>IFERROR(__xludf.DUMMYFUNCTION("""COMPUTED_VALUE"""),0.0)</f>
        <v>0</v>
      </c>
      <c r="N59" s="42">
        <f>IFERROR(__xludf.DUMMYFUNCTION("""COMPUTED_VALUE"""),0.0)</f>
        <v>0</v>
      </c>
      <c r="O59" s="42">
        <f>IFERROR(__xludf.DUMMYFUNCTION("""COMPUTED_VALUE"""),0.0)</f>
        <v>0</v>
      </c>
      <c r="P59" s="42">
        <f>IFERROR(__xludf.DUMMYFUNCTION("""COMPUTED_VALUE"""),0.0)</f>
        <v>0</v>
      </c>
      <c r="Q59" s="41">
        <f>IFERROR(__xludf.DUMMYFUNCTION("""COMPUTED_VALUE"""),0.0)</f>
        <v>0</v>
      </c>
      <c r="R59" s="42">
        <f>IFERROR(__xludf.DUMMYFUNCTION("""COMPUTED_VALUE"""),0.0)</f>
        <v>0</v>
      </c>
      <c r="S59" s="42">
        <f>IFERROR(__xludf.DUMMYFUNCTION("""COMPUTED_VALUE"""),0.0)</f>
        <v>0</v>
      </c>
      <c r="T59" s="42">
        <f>IFERROR(__xludf.DUMMYFUNCTION("""COMPUTED_VALUE"""),0.0)</f>
        <v>0</v>
      </c>
      <c r="U59" s="41">
        <f>IFERROR(__xludf.DUMMYFUNCTION("""COMPUTED_VALUE"""),0.0)</f>
        <v>0</v>
      </c>
      <c r="V59" s="42">
        <f>IFERROR(__xludf.DUMMYFUNCTION("""COMPUTED_VALUE"""),0.0)</f>
        <v>0</v>
      </c>
      <c r="W59" s="42">
        <f>IFERROR(__xludf.DUMMYFUNCTION("""COMPUTED_VALUE"""),0.0)</f>
        <v>0</v>
      </c>
      <c r="X59" s="42">
        <f>IFERROR(__xludf.DUMMYFUNCTION("""COMPUTED_VALUE"""),0.0)</f>
        <v>0</v>
      </c>
      <c r="Y59" s="41">
        <f>IFERROR(__xludf.DUMMYFUNCTION("""COMPUTED_VALUE"""),0.0)</f>
        <v>0</v>
      </c>
      <c r="Z59" s="42">
        <f>IFERROR(__xludf.DUMMYFUNCTION("""COMPUTED_VALUE"""),0.0)</f>
        <v>0</v>
      </c>
      <c r="AA59" s="42">
        <f>IFERROR(__xludf.DUMMYFUNCTION("""COMPUTED_VALUE"""),0.0)</f>
        <v>0</v>
      </c>
      <c r="AB59" s="42">
        <f>IFERROR(__xludf.DUMMYFUNCTION("""COMPUTED_VALUE"""),0.0)</f>
        <v>0</v>
      </c>
      <c r="AC59" s="41">
        <f>IFERROR(__xludf.DUMMYFUNCTION("""COMPUTED_VALUE"""),0.0)</f>
        <v>0</v>
      </c>
      <c r="AD59" s="42">
        <f>IFERROR(__xludf.DUMMYFUNCTION("""COMPUTED_VALUE"""),0.0)</f>
        <v>0</v>
      </c>
      <c r="AE59" s="42">
        <f>IFERROR(__xludf.DUMMYFUNCTION("""COMPUTED_VALUE"""),0.0)</f>
        <v>0</v>
      </c>
      <c r="AF59" s="42">
        <f>IFERROR(__xludf.DUMMYFUNCTION("""COMPUTED_VALUE"""),0.0)</f>
        <v>0</v>
      </c>
      <c r="AG59" s="41">
        <f>IFERROR(__xludf.DUMMYFUNCTION("""COMPUTED_VALUE"""),0.0)</f>
        <v>0</v>
      </c>
      <c r="AH59" s="42">
        <f>IFERROR(__xludf.DUMMYFUNCTION("""COMPUTED_VALUE"""),0.0)</f>
        <v>0</v>
      </c>
      <c r="AI59" s="42">
        <f>IFERROR(__xludf.DUMMYFUNCTION("""COMPUTED_VALUE"""),0.0)</f>
        <v>0</v>
      </c>
      <c r="AJ59" s="42">
        <f>IFERROR(__xludf.DUMMYFUNCTION("""COMPUTED_VALUE"""),0.0)</f>
        <v>0</v>
      </c>
      <c r="AK59" s="41">
        <f>IFERROR(__xludf.DUMMYFUNCTION("""COMPUTED_VALUE"""),0.0)</f>
        <v>0</v>
      </c>
      <c r="AL59" s="42">
        <f>IFERROR(__xludf.DUMMYFUNCTION("""COMPUTED_VALUE"""),0.0)</f>
        <v>0</v>
      </c>
      <c r="AM59" s="42">
        <f>IFERROR(__xludf.DUMMYFUNCTION("""COMPUTED_VALUE"""),0.0)</f>
        <v>0</v>
      </c>
      <c r="AN59" s="42">
        <f>IFERROR(__xludf.DUMMYFUNCTION("""COMPUTED_VALUE"""),0.0)</f>
        <v>0</v>
      </c>
      <c r="AO59" s="41">
        <f>IFERROR(__xludf.DUMMYFUNCTION("""COMPUTED_VALUE"""),0.0)</f>
        <v>0</v>
      </c>
      <c r="AP59" s="42">
        <f>IFERROR(__xludf.DUMMYFUNCTION("""COMPUTED_VALUE"""),0.0)</f>
        <v>0</v>
      </c>
      <c r="AQ59" s="42">
        <f>IFERROR(__xludf.DUMMYFUNCTION("""COMPUTED_VALUE"""),0.0)</f>
        <v>0</v>
      </c>
      <c r="AR59" s="42">
        <f>IFERROR(__xludf.DUMMYFUNCTION("""COMPUTED_VALUE"""),0.0)</f>
        <v>0</v>
      </c>
      <c r="AS59" s="41">
        <f>IFERROR(__xludf.DUMMYFUNCTION("""COMPUTED_VALUE"""),0.0)</f>
        <v>0</v>
      </c>
      <c r="AT59" s="42">
        <f>IFERROR(__xludf.DUMMYFUNCTION("""COMPUTED_VALUE"""),0.0)</f>
        <v>0</v>
      </c>
      <c r="AU59" s="42">
        <f>IFERROR(__xludf.DUMMYFUNCTION("""COMPUTED_VALUE"""),0.0)</f>
        <v>0</v>
      </c>
      <c r="AV59" s="42">
        <f>IFERROR(__xludf.DUMMYFUNCTION("""COMPUTED_VALUE"""),0.0)</f>
        <v>0</v>
      </c>
      <c r="AW59" s="41">
        <f>IFERROR(__xludf.DUMMYFUNCTION("""COMPUTED_VALUE"""),0.0)</f>
        <v>0</v>
      </c>
      <c r="AX59" s="42">
        <f>IFERROR(__xludf.DUMMYFUNCTION("""COMPUTED_VALUE"""),0.0)</f>
        <v>0</v>
      </c>
      <c r="AY59" s="42">
        <f>IFERROR(__xludf.DUMMYFUNCTION("""COMPUTED_VALUE"""),0.0)</f>
        <v>0</v>
      </c>
      <c r="AZ59" s="43">
        <f>IFERROR(__xludf.DUMMYFUNCTION("""COMPUTED_VALUE"""),0.0)</f>
        <v>0</v>
      </c>
      <c r="BA59" s="34"/>
    </row>
    <row r="60" ht="15.75" customHeight="1">
      <c r="A60" s="29"/>
      <c r="B60" s="30" t="str">
        <f>IFERROR(__xludf.DUMMYFUNCTION("""COMPUTED_VALUE"""),"7. KHỐI PHÒNG HỖ TRỢ HỌC TẬP")</f>
        <v>7. KHỐI PHÒNG HỖ TRỢ HỌC TẬP</v>
      </c>
      <c r="C60" s="31" t="str">
        <f>IFERROR(__xludf.DUMMYFUNCTION("""COMPUTED_VALUE"""),"Quí")</f>
        <v>Quí</v>
      </c>
      <c r="D60" s="31" t="str">
        <f>IFERROR(__xludf.DUMMYFUNCTION("""COMPUTED_VALUE"""),"Phòng")</f>
        <v>Phòng</v>
      </c>
      <c r="E60" s="32">
        <f>IFERROR(__xludf.DUMMYFUNCTION("""COMPUTED_VALUE"""),82.0)</f>
        <v>82</v>
      </c>
      <c r="F60" s="32">
        <f>IFERROR(__xludf.DUMMYFUNCTION("""COMPUTED_VALUE"""),82.0)</f>
        <v>82</v>
      </c>
      <c r="G60" s="32">
        <f>IFERROR(__xludf.DUMMYFUNCTION("""COMPUTED_VALUE"""),0.0)</f>
        <v>0</v>
      </c>
      <c r="H60" s="32">
        <f>IFERROR(__xludf.DUMMYFUNCTION("""COMPUTED_VALUE"""),0.0)</f>
        <v>0</v>
      </c>
      <c r="I60" s="32">
        <f>IFERROR(__xludf.DUMMYFUNCTION("""COMPUTED_VALUE"""),81.0)</f>
        <v>81</v>
      </c>
      <c r="J60" s="32">
        <f>IFERROR(__xludf.DUMMYFUNCTION("""COMPUTED_VALUE"""),81.0)</f>
        <v>81</v>
      </c>
      <c r="K60" s="32">
        <f>IFERROR(__xludf.DUMMYFUNCTION("""COMPUTED_VALUE"""),0.0)</f>
        <v>0</v>
      </c>
      <c r="L60" s="32">
        <f>IFERROR(__xludf.DUMMYFUNCTION("""COMPUTED_VALUE"""),0.0)</f>
        <v>0</v>
      </c>
      <c r="M60" s="32">
        <f>IFERROR(__xludf.DUMMYFUNCTION("""COMPUTED_VALUE"""),81.0)</f>
        <v>81</v>
      </c>
      <c r="N60" s="32">
        <f>IFERROR(__xludf.DUMMYFUNCTION("""COMPUTED_VALUE"""),81.0)</f>
        <v>81</v>
      </c>
      <c r="O60" s="32">
        <f>IFERROR(__xludf.DUMMYFUNCTION("""COMPUTED_VALUE"""),0.0)</f>
        <v>0</v>
      </c>
      <c r="P60" s="32">
        <f>IFERROR(__xludf.DUMMYFUNCTION("""COMPUTED_VALUE"""),0.0)</f>
        <v>0</v>
      </c>
      <c r="Q60" s="32">
        <f>IFERROR(__xludf.DUMMYFUNCTION("""COMPUTED_VALUE"""),83.0)</f>
        <v>83</v>
      </c>
      <c r="R60" s="32">
        <f>IFERROR(__xludf.DUMMYFUNCTION("""COMPUTED_VALUE"""),83.0)</f>
        <v>83</v>
      </c>
      <c r="S60" s="32">
        <f>IFERROR(__xludf.DUMMYFUNCTION("""COMPUTED_VALUE"""),0.0)</f>
        <v>0</v>
      </c>
      <c r="T60" s="32">
        <f>IFERROR(__xludf.DUMMYFUNCTION("""COMPUTED_VALUE"""),0.0)</f>
        <v>0</v>
      </c>
      <c r="U60" s="32">
        <f>IFERROR(__xludf.DUMMYFUNCTION("""COMPUTED_VALUE"""),81.0)</f>
        <v>81</v>
      </c>
      <c r="V60" s="32">
        <f>IFERROR(__xludf.DUMMYFUNCTION("""COMPUTED_VALUE"""),81.0)</f>
        <v>81</v>
      </c>
      <c r="W60" s="32">
        <f>IFERROR(__xludf.DUMMYFUNCTION("""COMPUTED_VALUE"""),0.0)</f>
        <v>0</v>
      </c>
      <c r="X60" s="32">
        <f>IFERROR(__xludf.DUMMYFUNCTION("""COMPUTED_VALUE"""),0.0)</f>
        <v>0</v>
      </c>
      <c r="Y60" s="32">
        <f>IFERROR(__xludf.DUMMYFUNCTION("""COMPUTED_VALUE"""),79.0)</f>
        <v>79</v>
      </c>
      <c r="Z60" s="32">
        <f>IFERROR(__xludf.DUMMYFUNCTION("""COMPUTED_VALUE"""),79.0)</f>
        <v>79</v>
      </c>
      <c r="AA60" s="32">
        <f>IFERROR(__xludf.DUMMYFUNCTION("""COMPUTED_VALUE"""),0.0)</f>
        <v>0</v>
      </c>
      <c r="AB60" s="32">
        <f>IFERROR(__xludf.DUMMYFUNCTION("""COMPUTED_VALUE"""),0.0)</f>
        <v>0</v>
      </c>
      <c r="AC60" s="32">
        <f>IFERROR(__xludf.DUMMYFUNCTION("""COMPUTED_VALUE"""),79.0)</f>
        <v>79</v>
      </c>
      <c r="AD60" s="32">
        <f>IFERROR(__xludf.DUMMYFUNCTION("""COMPUTED_VALUE"""),79.0)</f>
        <v>79</v>
      </c>
      <c r="AE60" s="32">
        <f>IFERROR(__xludf.DUMMYFUNCTION("""COMPUTED_VALUE"""),0.0)</f>
        <v>0</v>
      </c>
      <c r="AF60" s="32">
        <f>IFERROR(__xludf.DUMMYFUNCTION("""COMPUTED_VALUE"""),0.0)</f>
        <v>0</v>
      </c>
      <c r="AG60" s="32">
        <f>IFERROR(__xludf.DUMMYFUNCTION("""COMPUTED_VALUE"""),19.0)</f>
        <v>19</v>
      </c>
      <c r="AH60" s="32">
        <f>IFERROR(__xludf.DUMMYFUNCTION("""COMPUTED_VALUE"""),19.0)</f>
        <v>19</v>
      </c>
      <c r="AI60" s="32">
        <f>IFERROR(__xludf.DUMMYFUNCTION("""COMPUTED_VALUE"""),0.0)</f>
        <v>0</v>
      </c>
      <c r="AJ60" s="32">
        <f>IFERROR(__xludf.DUMMYFUNCTION("""COMPUTED_VALUE"""),0.0)</f>
        <v>0</v>
      </c>
      <c r="AK60" s="32">
        <f>IFERROR(__xludf.DUMMYFUNCTION("""COMPUTED_VALUE"""),0.0)</f>
        <v>0</v>
      </c>
      <c r="AL60" s="32">
        <f>IFERROR(__xludf.DUMMYFUNCTION("""COMPUTED_VALUE"""),0.0)</f>
        <v>0</v>
      </c>
      <c r="AM60" s="32">
        <f>IFERROR(__xludf.DUMMYFUNCTION("""COMPUTED_VALUE"""),0.0)</f>
        <v>0</v>
      </c>
      <c r="AN60" s="32">
        <f>IFERROR(__xludf.DUMMYFUNCTION("""COMPUTED_VALUE"""),0.0)</f>
        <v>0</v>
      </c>
      <c r="AO60" s="32">
        <f>IFERROR(__xludf.DUMMYFUNCTION("""COMPUTED_VALUE"""),0.0)</f>
        <v>0</v>
      </c>
      <c r="AP60" s="32">
        <f>IFERROR(__xludf.DUMMYFUNCTION("""COMPUTED_VALUE"""),0.0)</f>
        <v>0</v>
      </c>
      <c r="AQ60" s="32">
        <f>IFERROR(__xludf.DUMMYFUNCTION("""COMPUTED_VALUE"""),0.0)</f>
        <v>0</v>
      </c>
      <c r="AR60" s="32">
        <f>IFERROR(__xludf.DUMMYFUNCTION("""COMPUTED_VALUE"""),0.0)</f>
        <v>0</v>
      </c>
      <c r="AS60" s="32">
        <f>IFERROR(__xludf.DUMMYFUNCTION("""COMPUTED_VALUE"""),0.0)</f>
        <v>0</v>
      </c>
      <c r="AT60" s="32">
        <f>IFERROR(__xludf.DUMMYFUNCTION("""COMPUTED_VALUE"""),0.0)</f>
        <v>0</v>
      </c>
      <c r="AU60" s="32">
        <f>IFERROR(__xludf.DUMMYFUNCTION("""COMPUTED_VALUE"""),0.0)</f>
        <v>0</v>
      </c>
      <c r="AV60" s="32">
        <f>IFERROR(__xludf.DUMMYFUNCTION("""COMPUTED_VALUE"""),0.0)</f>
        <v>0</v>
      </c>
      <c r="AW60" s="32">
        <f>IFERROR(__xludf.DUMMYFUNCTION("""COMPUTED_VALUE"""),0.0)</f>
        <v>0</v>
      </c>
      <c r="AX60" s="32">
        <f>IFERROR(__xludf.DUMMYFUNCTION("""COMPUTED_VALUE"""),0.0)</f>
        <v>0</v>
      </c>
      <c r="AY60" s="32">
        <f>IFERROR(__xludf.DUMMYFUNCTION("""COMPUTED_VALUE"""),0.0)</f>
        <v>0</v>
      </c>
      <c r="AZ60" s="33">
        <f>IFERROR(__xludf.DUMMYFUNCTION("""COMPUTED_VALUE"""),0.0)</f>
        <v>0</v>
      </c>
      <c r="BA60" s="34"/>
    </row>
    <row r="61" ht="15.75" customHeight="1">
      <c r="A61" s="29"/>
      <c r="B61" s="196" t="str">
        <f>IFERROR(__xludf.DUMMYFUNCTION("""COMPUTED_VALUE"""),"7.1. Tổng số thư viện")</f>
        <v>7.1. Tổng số thư viện</v>
      </c>
      <c r="C61" s="57"/>
      <c r="D61" s="57" t="str">
        <f>IFERROR(__xludf.DUMMYFUNCTION("""COMPUTED_VALUE"""),"Phòng")</f>
        <v>Phòng</v>
      </c>
      <c r="E61" s="125">
        <f>IFERROR(__xludf.DUMMYFUNCTION("""COMPUTED_VALUE"""),23.0)</f>
        <v>23</v>
      </c>
      <c r="F61" s="125">
        <f>IFERROR(__xludf.DUMMYFUNCTION("""COMPUTED_VALUE"""),23.0)</f>
        <v>23</v>
      </c>
      <c r="G61" s="125">
        <f>IFERROR(__xludf.DUMMYFUNCTION("""COMPUTED_VALUE"""),0.0)</f>
        <v>0</v>
      </c>
      <c r="H61" s="125">
        <f>IFERROR(__xludf.DUMMYFUNCTION("""COMPUTED_VALUE"""),0.0)</f>
        <v>0</v>
      </c>
      <c r="I61" s="125">
        <f>IFERROR(__xludf.DUMMYFUNCTION("""COMPUTED_VALUE"""),23.0)</f>
        <v>23</v>
      </c>
      <c r="J61" s="125">
        <f>IFERROR(__xludf.DUMMYFUNCTION("""COMPUTED_VALUE"""),23.0)</f>
        <v>23</v>
      </c>
      <c r="K61" s="125">
        <f>IFERROR(__xludf.DUMMYFUNCTION("""COMPUTED_VALUE"""),0.0)</f>
        <v>0</v>
      </c>
      <c r="L61" s="125">
        <f>IFERROR(__xludf.DUMMYFUNCTION("""COMPUTED_VALUE"""),0.0)</f>
        <v>0</v>
      </c>
      <c r="M61" s="125">
        <f>IFERROR(__xludf.DUMMYFUNCTION("""COMPUTED_VALUE"""),23.0)</f>
        <v>23</v>
      </c>
      <c r="N61" s="125">
        <f>IFERROR(__xludf.DUMMYFUNCTION("""COMPUTED_VALUE"""),23.0)</f>
        <v>23</v>
      </c>
      <c r="O61" s="125">
        <f>IFERROR(__xludf.DUMMYFUNCTION("""COMPUTED_VALUE"""),0.0)</f>
        <v>0</v>
      </c>
      <c r="P61" s="125">
        <f>IFERROR(__xludf.DUMMYFUNCTION("""COMPUTED_VALUE"""),0.0)</f>
        <v>0</v>
      </c>
      <c r="Q61" s="125">
        <f>IFERROR(__xludf.DUMMYFUNCTION("""COMPUTED_VALUE"""),23.0)</f>
        <v>23</v>
      </c>
      <c r="R61" s="125">
        <f>IFERROR(__xludf.DUMMYFUNCTION("""COMPUTED_VALUE"""),23.0)</f>
        <v>23</v>
      </c>
      <c r="S61" s="125">
        <f>IFERROR(__xludf.DUMMYFUNCTION("""COMPUTED_VALUE"""),0.0)</f>
        <v>0</v>
      </c>
      <c r="T61" s="125">
        <f>IFERROR(__xludf.DUMMYFUNCTION("""COMPUTED_VALUE"""),0.0)</f>
        <v>0</v>
      </c>
      <c r="U61" s="125">
        <f>IFERROR(__xludf.DUMMYFUNCTION("""COMPUTED_VALUE"""),21.0)</f>
        <v>21</v>
      </c>
      <c r="V61" s="125">
        <f>IFERROR(__xludf.DUMMYFUNCTION("""COMPUTED_VALUE"""),21.0)</f>
        <v>21</v>
      </c>
      <c r="W61" s="125">
        <f>IFERROR(__xludf.DUMMYFUNCTION("""COMPUTED_VALUE"""),0.0)</f>
        <v>0</v>
      </c>
      <c r="X61" s="125">
        <f>IFERROR(__xludf.DUMMYFUNCTION("""COMPUTED_VALUE"""),0.0)</f>
        <v>0</v>
      </c>
      <c r="Y61" s="125">
        <f>IFERROR(__xludf.DUMMYFUNCTION("""COMPUTED_VALUE"""),19.0)</f>
        <v>19</v>
      </c>
      <c r="Z61" s="125">
        <f>IFERROR(__xludf.DUMMYFUNCTION("""COMPUTED_VALUE"""),19.0)</f>
        <v>19</v>
      </c>
      <c r="AA61" s="125">
        <f>IFERROR(__xludf.DUMMYFUNCTION("""COMPUTED_VALUE"""),0.0)</f>
        <v>0</v>
      </c>
      <c r="AB61" s="125">
        <f>IFERROR(__xludf.DUMMYFUNCTION("""COMPUTED_VALUE"""),0.0)</f>
        <v>0</v>
      </c>
      <c r="AC61" s="125">
        <f>IFERROR(__xludf.DUMMYFUNCTION("""COMPUTED_VALUE"""),19.0)</f>
        <v>19</v>
      </c>
      <c r="AD61" s="125">
        <f>IFERROR(__xludf.DUMMYFUNCTION("""COMPUTED_VALUE"""),19.0)</f>
        <v>19</v>
      </c>
      <c r="AE61" s="125">
        <f>IFERROR(__xludf.DUMMYFUNCTION("""COMPUTED_VALUE"""),0.0)</f>
        <v>0</v>
      </c>
      <c r="AF61" s="125">
        <f>IFERROR(__xludf.DUMMYFUNCTION("""COMPUTED_VALUE"""),0.0)</f>
        <v>0</v>
      </c>
      <c r="AG61" s="125">
        <f>IFERROR(__xludf.DUMMYFUNCTION("""COMPUTED_VALUE"""),5.0)</f>
        <v>5</v>
      </c>
      <c r="AH61" s="125">
        <f>IFERROR(__xludf.DUMMYFUNCTION("""COMPUTED_VALUE"""),5.0)</f>
        <v>5</v>
      </c>
      <c r="AI61" s="125">
        <f>IFERROR(__xludf.DUMMYFUNCTION("""COMPUTED_VALUE"""),0.0)</f>
        <v>0</v>
      </c>
      <c r="AJ61" s="125">
        <f>IFERROR(__xludf.DUMMYFUNCTION("""COMPUTED_VALUE"""),0.0)</f>
        <v>0</v>
      </c>
      <c r="AK61" s="125">
        <f>IFERROR(__xludf.DUMMYFUNCTION("""COMPUTED_VALUE"""),0.0)</f>
        <v>0</v>
      </c>
      <c r="AL61" s="125">
        <f>IFERROR(__xludf.DUMMYFUNCTION("""COMPUTED_VALUE"""),0.0)</f>
        <v>0</v>
      </c>
      <c r="AM61" s="125">
        <f>IFERROR(__xludf.DUMMYFUNCTION("""COMPUTED_VALUE"""),0.0)</f>
        <v>0</v>
      </c>
      <c r="AN61" s="125">
        <f>IFERROR(__xludf.DUMMYFUNCTION("""COMPUTED_VALUE"""),0.0)</f>
        <v>0</v>
      </c>
      <c r="AO61" s="125">
        <f>IFERROR(__xludf.DUMMYFUNCTION("""COMPUTED_VALUE"""),0.0)</f>
        <v>0</v>
      </c>
      <c r="AP61" s="125">
        <f>IFERROR(__xludf.DUMMYFUNCTION("""COMPUTED_VALUE"""),0.0)</f>
        <v>0</v>
      </c>
      <c r="AQ61" s="125">
        <f>IFERROR(__xludf.DUMMYFUNCTION("""COMPUTED_VALUE"""),0.0)</f>
        <v>0</v>
      </c>
      <c r="AR61" s="125">
        <f>IFERROR(__xludf.DUMMYFUNCTION("""COMPUTED_VALUE"""),0.0)</f>
        <v>0</v>
      </c>
      <c r="AS61" s="125">
        <f>IFERROR(__xludf.DUMMYFUNCTION("""COMPUTED_VALUE"""),0.0)</f>
        <v>0</v>
      </c>
      <c r="AT61" s="125">
        <f>IFERROR(__xludf.DUMMYFUNCTION("""COMPUTED_VALUE"""),0.0)</f>
        <v>0</v>
      </c>
      <c r="AU61" s="125">
        <f>IFERROR(__xludf.DUMMYFUNCTION("""COMPUTED_VALUE"""),0.0)</f>
        <v>0</v>
      </c>
      <c r="AV61" s="125">
        <f>IFERROR(__xludf.DUMMYFUNCTION("""COMPUTED_VALUE"""),0.0)</f>
        <v>0</v>
      </c>
      <c r="AW61" s="125">
        <f>IFERROR(__xludf.DUMMYFUNCTION("""COMPUTED_VALUE"""),0.0)</f>
        <v>0</v>
      </c>
      <c r="AX61" s="125">
        <f>IFERROR(__xludf.DUMMYFUNCTION("""COMPUTED_VALUE"""),0.0)</f>
        <v>0</v>
      </c>
      <c r="AY61" s="125">
        <f>IFERROR(__xludf.DUMMYFUNCTION("""COMPUTED_VALUE"""),0.0)</f>
        <v>0</v>
      </c>
      <c r="AZ61" s="127">
        <f>IFERROR(__xludf.DUMMYFUNCTION("""COMPUTED_VALUE"""),0.0)</f>
        <v>0</v>
      </c>
      <c r="BA61" s="34"/>
    </row>
    <row r="62" ht="15.75" customHeight="1">
      <c r="A62" s="29"/>
      <c r="B62" s="48" t="str">
        <f>IFERROR(__xludf.DUMMYFUNCTION("""COMPUTED_VALUE"""),"Chia ra:")</f>
        <v>Chia ra:</v>
      </c>
      <c r="C62" s="49"/>
      <c r="D62" s="3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50"/>
      <c r="BA62" s="34"/>
    </row>
    <row r="63" ht="15.75" customHeight="1">
      <c r="A63" s="29"/>
      <c r="B63" s="67" t="str">
        <f>IFERROR(__xludf.DUMMYFUNCTION("""COMPUTED_VALUE""")," + Kiên cố")</f>
        <v> + Kiên cố</v>
      </c>
      <c r="C63" s="31"/>
      <c r="D63" s="31" t="str">
        <f>IFERROR(__xludf.DUMMYFUNCTION("""COMPUTED_VALUE"""),"""")</f>
        <v>"</v>
      </c>
      <c r="E63" s="41">
        <f>IFERROR(__xludf.DUMMYFUNCTION("""COMPUTED_VALUE"""),21.0)</f>
        <v>21</v>
      </c>
      <c r="F63" s="42">
        <f>IFERROR(__xludf.DUMMYFUNCTION("""COMPUTED_VALUE"""),21.0)</f>
        <v>21</v>
      </c>
      <c r="G63" s="42">
        <f>IFERROR(__xludf.DUMMYFUNCTION("""COMPUTED_VALUE"""),0.0)</f>
        <v>0</v>
      </c>
      <c r="H63" s="42">
        <f>IFERROR(__xludf.DUMMYFUNCTION("""COMPUTED_VALUE"""),0.0)</f>
        <v>0</v>
      </c>
      <c r="I63" s="41">
        <f>IFERROR(__xludf.DUMMYFUNCTION("""COMPUTED_VALUE"""),21.0)</f>
        <v>21</v>
      </c>
      <c r="J63" s="42">
        <f>IFERROR(__xludf.DUMMYFUNCTION("""COMPUTED_VALUE"""),21.0)</f>
        <v>21</v>
      </c>
      <c r="K63" s="42">
        <f>IFERROR(__xludf.DUMMYFUNCTION("""COMPUTED_VALUE"""),0.0)</f>
        <v>0</v>
      </c>
      <c r="L63" s="42">
        <f>IFERROR(__xludf.DUMMYFUNCTION("""COMPUTED_VALUE"""),0.0)</f>
        <v>0</v>
      </c>
      <c r="M63" s="41">
        <f>IFERROR(__xludf.DUMMYFUNCTION("""COMPUTED_VALUE"""),21.0)</f>
        <v>21</v>
      </c>
      <c r="N63" s="42">
        <f>IFERROR(__xludf.DUMMYFUNCTION("""COMPUTED_VALUE"""),21.0)</f>
        <v>21</v>
      </c>
      <c r="O63" s="42">
        <f>IFERROR(__xludf.DUMMYFUNCTION("""COMPUTED_VALUE"""),0.0)</f>
        <v>0</v>
      </c>
      <c r="P63" s="42">
        <f>IFERROR(__xludf.DUMMYFUNCTION("""COMPUTED_VALUE"""),0.0)</f>
        <v>0</v>
      </c>
      <c r="Q63" s="41">
        <f>IFERROR(__xludf.DUMMYFUNCTION("""COMPUTED_VALUE"""),22.0)</f>
        <v>22</v>
      </c>
      <c r="R63" s="42">
        <f>IFERROR(__xludf.DUMMYFUNCTION("""COMPUTED_VALUE"""),22.0)</f>
        <v>22</v>
      </c>
      <c r="S63" s="42">
        <f>IFERROR(__xludf.DUMMYFUNCTION("""COMPUTED_VALUE"""),0.0)</f>
        <v>0</v>
      </c>
      <c r="T63" s="42">
        <f>IFERROR(__xludf.DUMMYFUNCTION("""COMPUTED_VALUE"""),0.0)</f>
        <v>0</v>
      </c>
      <c r="U63" s="41">
        <f>IFERROR(__xludf.DUMMYFUNCTION("""COMPUTED_VALUE"""),20.0)</f>
        <v>20</v>
      </c>
      <c r="V63" s="42">
        <f>IFERROR(__xludf.DUMMYFUNCTION("""COMPUTED_VALUE"""),20.0)</f>
        <v>20</v>
      </c>
      <c r="W63" s="42">
        <f>IFERROR(__xludf.DUMMYFUNCTION("""COMPUTED_VALUE"""),0.0)</f>
        <v>0</v>
      </c>
      <c r="X63" s="42">
        <f>IFERROR(__xludf.DUMMYFUNCTION("""COMPUTED_VALUE"""),0.0)</f>
        <v>0</v>
      </c>
      <c r="Y63" s="41">
        <f>IFERROR(__xludf.DUMMYFUNCTION("""COMPUTED_VALUE"""),18.0)</f>
        <v>18</v>
      </c>
      <c r="Z63" s="42">
        <f>IFERROR(__xludf.DUMMYFUNCTION("""COMPUTED_VALUE"""),18.0)</f>
        <v>18</v>
      </c>
      <c r="AA63" s="42">
        <f>IFERROR(__xludf.DUMMYFUNCTION("""COMPUTED_VALUE"""),0.0)</f>
        <v>0</v>
      </c>
      <c r="AB63" s="42">
        <f>IFERROR(__xludf.DUMMYFUNCTION("""COMPUTED_VALUE"""),0.0)</f>
        <v>0</v>
      </c>
      <c r="AC63" s="41">
        <f>IFERROR(__xludf.DUMMYFUNCTION("""COMPUTED_VALUE"""),18.0)</f>
        <v>18</v>
      </c>
      <c r="AD63" s="42">
        <f>IFERROR(__xludf.DUMMYFUNCTION("""COMPUTED_VALUE"""),18.0)</f>
        <v>18</v>
      </c>
      <c r="AE63" s="42">
        <f>IFERROR(__xludf.DUMMYFUNCTION("""COMPUTED_VALUE"""),0.0)</f>
        <v>0</v>
      </c>
      <c r="AF63" s="42">
        <f>IFERROR(__xludf.DUMMYFUNCTION("""COMPUTED_VALUE"""),0.0)</f>
        <v>0</v>
      </c>
      <c r="AG63" s="41">
        <f>IFERROR(__xludf.DUMMYFUNCTION("""COMPUTED_VALUE"""),4.0)</f>
        <v>4</v>
      </c>
      <c r="AH63" s="42">
        <f>IFERROR(__xludf.DUMMYFUNCTION("""COMPUTED_VALUE"""),4.0)</f>
        <v>4</v>
      </c>
      <c r="AI63" s="42">
        <f>IFERROR(__xludf.DUMMYFUNCTION("""COMPUTED_VALUE"""),0.0)</f>
        <v>0</v>
      </c>
      <c r="AJ63" s="42">
        <f>IFERROR(__xludf.DUMMYFUNCTION("""COMPUTED_VALUE"""),0.0)</f>
        <v>0</v>
      </c>
      <c r="AK63" s="41">
        <f>IFERROR(__xludf.DUMMYFUNCTION("""COMPUTED_VALUE"""),0.0)</f>
        <v>0</v>
      </c>
      <c r="AL63" s="42">
        <f>IFERROR(__xludf.DUMMYFUNCTION("""COMPUTED_VALUE"""),0.0)</f>
        <v>0</v>
      </c>
      <c r="AM63" s="42">
        <f>IFERROR(__xludf.DUMMYFUNCTION("""COMPUTED_VALUE"""),0.0)</f>
        <v>0</v>
      </c>
      <c r="AN63" s="42">
        <f>IFERROR(__xludf.DUMMYFUNCTION("""COMPUTED_VALUE"""),0.0)</f>
        <v>0</v>
      </c>
      <c r="AO63" s="41">
        <f>IFERROR(__xludf.DUMMYFUNCTION("""COMPUTED_VALUE"""),0.0)</f>
        <v>0</v>
      </c>
      <c r="AP63" s="42">
        <f>IFERROR(__xludf.DUMMYFUNCTION("""COMPUTED_VALUE"""),0.0)</f>
        <v>0</v>
      </c>
      <c r="AQ63" s="42">
        <f>IFERROR(__xludf.DUMMYFUNCTION("""COMPUTED_VALUE"""),0.0)</f>
        <v>0</v>
      </c>
      <c r="AR63" s="42">
        <f>IFERROR(__xludf.DUMMYFUNCTION("""COMPUTED_VALUE"""),0.0)</f>
        <v>0</v>
      </c>
      <c r="AS63" s="41">
        <f>IFERROR(__xludf.DUMMYFUNCTION("""COMPUTED_VALUE"""),0.0)</f>
        <v>0</v>
      </c>
      <c r="AT63" s="42">
        <f>IFERROR(__xludf.DUMMYFUNCTION("""COMPUTED_VALUE"""),0.0)</f>
        <v>0</v>
      </c>
      <c r="AU63" s="42">
        <f>IFERROR(__xludf.DUMMYFUNCTION("""COMPUTED_VALUE"""),0.0)</f>
        <v>0</v>
      </c>
      <c r="AV63" s="42">
        <f>IFERROR(__xludf.DUMMYFUNCTION("""COMPUTED_VALUE"""),0.0)</f>
        <v>0</v>
      </c>
      <c r="AW63" s="41">
        <f>IFERROR(__xludf.DUMMYFUNCTION("""COMPUTED_VALUE"""),0.0)</f>
        <v>0</v>
      </c>
      <c r="AX63" s="42">
        <f>IFERROR(__xludf.DUMMYFUNCTION("""COMPUTED_VALUE"""),0.0)</f>
        <v>0</v>
      </c>
      <c r="AY63" s="42">
        <f>IFERROR(__xludf.DUMMYFUNCTION("""COMPUTED_VALUE"""),0.0)</f>
        <v>0</v>
      </c>
      <c r="AZ63" s="43">
        <f>IFERROR(__xludf.DUMMYFUNCTION("""COMPUTED_VALUE"""),0.0)</f>
        <v>0</v>
      </c>
      <c r="BA63" s="34"/>
    </row>
    <row r="64" ht="15.75" customHeight="1">
      <c r="A64" s="29"/>
      <c r="B64" s="67" t="str">
        <f>IFERROR(__xludf.DUMMYFUNCTION("""COMPUTED_VALUE""")," + Bán kiên cố")</f>
        <v> + Bán kiên cố</v>
      </c>
      <c r="C64" s="31"/>
      <c r="D64" s="31" t="str">
        <f>IFERROR(__xludf.DUMMYFUNCTION("""COMPUTED_VALUE"""),"""")</f>
        <v>"</v>
      </c>
      <c r="E64" s="41">
        <f>IFERROR(__xludf.DUMMYFUNCTION("""COMPUTED_VALUE"""),0.0)</f>
        <v>0</v>
      </c>
      <c r="F64" s="42">
        <f>IFERROR(__xludf.DUMMYFUNCTION("""COMPUTED_VALUE"""),0.0)</f>
        <v>0</v>
      </c>
      <c r="G64" s="42">
        <f>IFERROR(__xludf.DUMMYFUNCTION("""COMPUTED_VALUE"""),0.0)</f>
        <v>0</v>
      </c>
      <c r="H64" s="42">
        <f>IFERROR(__xludf.DUMMYFUNCTION("""COMPUTED_VALUE"""),0.0)</f>
        <v>0</v>
      </c>
      <c r="I64" s="41">
        <f>IFERROR(__xludf.DUMMYFUNCTION("""COMPUTED_VALUE"""),0.0)</f>
        <v>0</v>
      </c>
      <c r="J64" s="42">
        <f>IFERROR(__xludf.DUMMYFUNCTION("""COMPUTED_VALUE"""),0.0)</f>
        <v>0</v>
      </c>
      <c r="K64" s="42">
        <f>IFERROR(__xludf.DUMMYFUNCTION("""COMPUTED_VALUE"""),0.0)</f>
        <v>0</v>
      </c>
      <c r="L64" s="42">
        <f>IFERROR(__xludf.DUMMYFUNCTION("""COMPUTED_VALUE"""),0.0)</f>
        <v>0</v>
      </c>
      <c r="M64" s="41">
        <f>IFERROR(__xludf.DUMMYFUNCTION("""COMPUTED_VALUE"""),0.0)</f>
        <v>0</v>
      </c>
      <c r="N64" s="42">
        <f>IFERROR(__xludf.DUMMYFUNCTION("""COMPUTED_VALUE"""),0.0)</f>
        <v>0</v>
      </c>
      <c r="O64" s="42">
        <f>IFERROR(__xludf.DUMMYFUNCTION("""COMPUTED_VALUE"""),0.0)</f>
        <v>0</v>
      </c>
      <c r="P64" s="42">
        <f>IFERROR(__xludf.DUMMYFUNCTION("""COMPUTED_VALUE"""),0.0)</f>
        <v>0</v>
      </c>
      <c r="Q64" s="41">
        <f>IFERROR(__xludf.DUMMYFUNCTION("""COMPUTED_VALUE"""),0.0)</f>
        <v>0</v>
      </c>
      <c r="R64" s="42">
        <f>IFERROR(__xludf.DUMMYFUNCTION("""COMPUTED_VALUE"""),0.0)</f>
        <v>0</v>
      </c>
      <c r="S64" s="42">
        <f>IFERROR(__xludf.DUMMYFUNCTION("""COMPUTED_VALUE"""),0.0)</f>
        <v>0</v>
      </c>
      <c r="T64" s="42">
        <f>IFERROR(__xludf.DUMMYFUNCTION("""COMPUTED_VALUE"""),0.0)</f>
        <v>0</v>
      </c>
      <c r="U64" s="41">
        <f>IFERROR(__xludf.DUMMYFUNCTION("""COMPUTED_VALUE"""),0.0)</f>
        <v>0</v>
      </c>
      <c r="V64" s="42">
        <f>IFERROR(__xludf.DUMMYFUNCTION("""COMPUTED_VALUE"""),0.0)</f>
        <v>0</v>
      </c>
      <c r="W64" s="42">
        <f>IFERROR(__xludf.DUMMYFUNCTION("""COMPUTED_VALUE"""),0.0)</f>
        <v>0</v>
      </c>
      <c r="X64" s="42">
        <f>IFERROR(__xludf.DUMMYFUNCTION("""COMPUTED_VALUE"""),0.0)</f>
        <v>0</v>
      </c>
      <c r="Y64" s="41">
        <f>IFERROR(__xludf.DUMMYFUNCTION("""COMPUTED_VALUE"""),0.0)</f>
        <v>0</v>
      </c>
      <c r="Z64" s="42">
        <f>IFERROR(__xludf.DUMMYFUNCTION("""COMPUTED_VALUE"""),0.0)</f>
        <v>0</v>
      </c>
      <c r="AA64" s="42">
        <f>IFERROR(__xludf.DUMMYFUNCTION("""COMPUTED_VALUE"""),0.0)</f>
        <v>0</v>
      </c>
      <c r="AB64" s="42">
        <f>IFERROR(__xludf.DUMMYFUNCTION("""COMPUTED_VALUE"""),0.0)</f>
        <v>0</v>
      </c>
      <c r="AC64" s="41">
        <f>IFERROR(__xludf.DUMMYFUNCTION("""COMPUTED_VALUE"""),0.0)</f>
        <v>0</v>
      </c>
      <c r="AD64" s="42">
        <f>IFERROR(__xludf.DUMMYFUNCTION("""COMPUTED_VALUE"""),0.0)</f>
        <v>0</v>
      </c>
      <c r="AE64" s="42">
        <f>IFERROR(__xludf.DUMMYFUNCTION("""COMPUTED_VALUE"""),0.0)</f>
        <v>0</v>
      </c>
      <c r="AF64" s="42">
        <f>IFERROR(__xludf.DUMMYFUNCTION("""COMPUTED_VALUE"""),0.0)</f>
        <v>0</v>
      </c>
      <c r="AG64" s="41">
        <f>IFERROR(__xludf.DUMMYFUNCTION("""COMPUTED_VALUE"""),0.0)</f>
        <v>0</v>
      </c>
      <c r="AH64" s="42">
        <f>IFERROR(__xludf.DUMMYFUNCTION("""COMPUTED_VALUE"""),0.0)</f>
        <v>0</v>
      </c>
      <c r="AI64" s="42">
        <f>IFERROR(__xludf.DUMMYFUNCTION("""COMPUTED_VALUE"""),0.0)</f>
        <v>0</v>
      </c>
      <c r="AJ64" s="42">
        <f>IFERROR(__xludf.DUMMYFUNCTION("""COMPUTED_VALUE"""),0.0)</f>
        <v>0</v>
      </c>
      <c r="AK64" s="41">
        <f>IFERROR(__xludf.DUMMYFUNCTION("""COMPUTED_VALUE"""),0.0)</f>
        <v>0</v>
      </c>
      <c r="AL64" s="42">
        <f>IFERROR(__xludf.DUMMYFUNCTION("""COMPUTED_VALUE"""),0.0)</f>
        <v>0</v>
      </c>
      <c r="AM64" s="42">
        <f>IFERROR(__xludf.DUMMYFUNCTION("""COMPUTED_VALUE"""),0.0)</f>
        <v>0</v>
      </c>
      <c r="AN64" s="42">
        <f>IFERROR(__xludf.DUMMYFUNCTION("""COMPUTED_VALUE"""),0.0)</f>
        <v>0</v>
      </c>
      <c r="AO64" s="41">
        <f>IFERROR(__xludf.DUMMYFUNCTION("""COMPUTED_VALUE"""),0.0)</f>
        <v>0</v>
      </c>
      <c r="AP64" s="42">
        <f>IFERROR(__xludf.DUMMYFUNCTION("""COMPUTED_VALUE"""),0.0)</f>
        <v>0</v>
      </c>
      <c r="AQ64" s="42">
        <f>IFERROR(__xludf.DUMMYFUNCTION("""COMPUTED_VALUE"""),0.0)</f>
        <v>0</v>
      </c>
      <c r="AR64" s="42">
        <f>IFERROR(__xludf.DUMMYFUNCTION("""COMPUTED_VALUE"""),0.0)</f>
        <v>0</v>
      </c>
      <c r="AS64" s="41">
        <f>IFERROR(__xludf.DUMMYFUNCTION("""COMPUTED_VALUE"""),0.0)</f>
        <v>0</v>
      </c>
      <c r="AT64" s="42">
        <f>IFERROR(__xludf.DUMMYFUNCTION("""COMPUTED_VALUE"""),0.0)</f>
        <v>0</v>
      </c>
      <c r="AU64" s="42">
        <f>IFERROR(__xludf.DUMMYFUNCTION("""COMPUTED_VALUE"""),0.0)</f>
        <v>0</v>
      </c>
      <c r="AV64" s="42">
        <f>IFERROR(__xludf.DUMMYFUNCTION("""COMPUTED_VALUE"""),0.0)</f>
        <v>0</v>
      </c>
      <c r="AW64" s="41">
        <f>IFERROR(__xludf.DUMMYFUNCTION("""COMPUTED_VALUE"""),0.0)</f>
        <v>0</v>
      </c>
      <c r="AX64" s="42">
        <f>IFERROR(__xludf.DUMMYFUNCTION("""COMPUTED_VALUE"""),0.0)</f>
        <v>0</v>
      </c>
      <c r="AY64" s="42">
        <f>IFERROR(__xludf.DUMMYFUNCTION("""COMPUTED_VALUE"""),0.0)</f>
        <v>0</v>
      </c>
      <c r="AZ64" s="43">
        <f>IFERROR(__xludf.DUMMYFUNCTION("""COMPUTED_VALUE"""),0.0)</f>
        <v>0</v>
      </c>
      <c r="BA64" s="34"/>
    </row>
    <row r="65" ht="15.75" customHeight="1">
      <c r="A65" s="29"/>
      <c r="B65" s="67" t="str">
        <f>IFERROR(__xludf.DUMMYFUNCTION("""COMPUTED_VALUE""")," + Tạm")</f>
        <v> + Tạm</v>
      </c>
      <c r="C65" s="31"/>
      <c r="D65" s="31" t="str">
        <f>IFERROR(__xludf.DUMMYFUNCTION("""COMPUTED_VALUE"""),"""")</f>
        <v>"</v>
      </c>
      <c r="E65" s="41">
        <f>IFERROR(__xludf.DUMMYFUNCTION("""COMPUTED_VALUE"""),2.0)</f>
        <v>2</v>
      </c>
      <c r="F65" s="42">
        <f>IFERROR(__xludf.DUMMYFUNCTION("""COMPUTED_VALUE"""),2.0)</f>
        <v>2</v>
      </c>
      <c r="G65" s="42">
        <f>IFERROR(__xludf.DUMMYFUNCTION("""COMPUTED_VALUE"""),0.0)</f>
        <v>0</v>
      </c>
      <c r="H65" s="42">
        <f>IFERROR(__xludf.DUMMYFUNCTION("""COMPUTED_VALUE"""),0.0)</f>
        <v>0</v>
      </c>
      <c r="I65" s="41">
        <f>IFERROR(__xludf.DUMMYFUNCTION("""COMPUTED_VALUE"""),2.0)</f>
        <v>2</v>
      </c>
      <c r="J65" s="42">
        <f>IFERROR(__xludf.DUMMYFUNCTION("""COMPUTED_VALUE"""),2.0)</f>
        <v>2</v>
      </c>
      <c r="K65" s="42">
        <f>IFERROR(__xludf.DUMMYFUNCTION("""COMPUTED_VALUE"""),0.0)</f>
        <v>0</v>
      </c>
      <c r="L65" s="42">
        <f>IFERROR(__xludf.DUMMYFUNCTION("""COMPUTED_VALUE"""),0.0)</f>
        <v>0</v>
      </c>
      <c r="M65" s="41">
        <f>IFERROR(__xludf.DUMMYFUNCTION("""COMPUTED_VALUE"""),2.0)</f>
        <v>2</v>
      </c>
      <c r="N65" s="42">
        <f>IFERROR(__xludf.DUMMYFUNCTION("""COMPUTED_VALUE"""),2.0)</f>
        <v>2</v>
      </c>
      <c r="O65" s="42">
        <f>IFERROR(__xludf.DUMMYFUNCTION("""COMPUTED_VALUE"""),0.0)</f>
        <v>0</v>
      </c>
      <c r="P65" s="42">
        <f>IFERROR(__xludf.DUMMYFUNCTION("""COMPUTED_VALUE"""),0.0)</f>
        <v>0</v>
      </c>
      <c r="Q65" s="41">
        <f>IFERROR(__xludf.DUMMYFUNCTION("""COMPUTED_VALUE"""),1.0)</f>
        <v>1</v>
      </c>
      <c r="R65" s="42">
        <f>IFERROR(__xludf.DUMMYFUNCTION("""COMPUTED_VALUE"""),1.0)</f>
        <v>1</v>
      </c>
      <c r="S65" s="42">
        <f>IFERROR(__xludf.DUMMYFUNCTION("""COMPUTED_VALUE"""),0.0)</f>
        <v>0</v>
      </c>
      <c r="T65" s="42">
        <f>IFERROR(__xludf.DUMMYFUNCTION("""COMPUTED_VALUE"""),0.0)</f>
        <v>0</v>
      </c>
      <c r="U65" s="41">
        <f>IFERROR(__xludf.DUMMYFUNCTION("""COMPUTED_VALUE"""),1.0)</f>
        <v>1</v>
      </c>
      <c r="V65" s="42">
        <f>IFERROR(__xludf.DUMMYFUNCTION("""COMPUTED_VALUE"""),1.0)</f>
        <v>1</v>
      </c>
      <c r="W65" s="42">
        <f>IFERROR(__xludf.DUMMYFUNCTION("""COMPUTED_VALUE"""),0.0)</f>
        <v>0</v>
      </c>
      <c r="X65" s="42">
        <f>IFERROR(__xludf.DUMMYFUNCTION("""COMPUTED_VALUE"""),0.0)</f>
        <v>0</v>
      </c>
      <c r="Y65" s="41">
        <f>IFERROR(__xludf.DUMMYFUNCTION("""COMPUTED_VALUE"""),1.0)</f>
        <v>1</v>
      </c>
      <c r="Z65" s="42">
        <f>IFERROR(__xludf.DUMMYFUNCTION("""COMPUTED_VALUE"""),1.0)</f>
        <v>1</v>
      </c>
      <c r="AA65" s="42">
        <f>IFERROR(__xludf.DUMMYFUNCTION("""COMPUTED_VALUE"""),0.0)</f>
        <v>0</v>
      </c>
      <c r="AB65" s="42">
        <f>IFERROR(__xludf.DUMMYFUNCTION("""COMPUTED_VALUE"""),0.0)</f>
        <v>0</v>
      </c>
      <c r="AC65" s="41">
        <f>IFERROR(__xludf.DUMMYFUNCTION("""COMPUTED_VALUE"""),1.0)</f>
        <v>1</v>
      </c>
      <c r="AD65" s="42">
        <f>IFERROR(__xludf.DUMMYFUNCTION("""COMPUTED_VALUE"""),1.0)</f>
        <v>1</v>
      </c>
      <c r="AE65" s="42">
        <f>IFERROR(__xludf.DUMMYFUNCTION("""COMPUTED_VALUE"""),0.0)</f>
        <v>0</v>
      </c>
      <c r="AF65" s="42">
        <f>IFERROR(__xludf.DUMMYFUNCTION("""COMPUTED_VALUE"""),0.0)</f>
        <v>0</v>
      </c>
      <c r="AG65" s="41">
        <f>IFERROR(__xludf.DUMMYFUNCTION("""COMPUTED_VALUE"""),1.0)</f>
        <v>1</v>
      </c>
      <c r="AH65" s="42">
        <f>IFERROR(__xludf.DUMMYFUNCTION("""COMPUTED_VALUE"""),1.0)</f>
        <v>1</v>
      </c>
      <c r="AI65" s="42">
        <f>IFERROR(__xludf.DUMMYFUNCTION("""COMPUTED_VALUE"""),0.0)</f>
        <v>0</v>
      </c>
      <c r="AJ65" s="42">
        <f>IFERROR(__xludf.DUMMYFUNCTION("""COMPUTED_VALUE"""),0.0)</f>
        <v>0</v>
      </c>
      <c r="AK65" s="41">
        <f>IFERROR(__xludf.DUMMYFUNCTION("""COMPUTED_VALUE"""),0.0)</f>
        <v>0</v>
      </c>
      <c r="AL65" s="42">
        <f>IFERROR(__xludf.DUMMYFUNCTION("""COMPUTED_VALUE"""),0.0)</f>
        <v>0</v>
      </c>
      <c r="AM65" s="42">
        <f>IFERROR(__xludf.DUMMYFUNCTION("""COMPUTED_VALUE"""),0.0)</f>
        <v>0</v>
      </c>
      <c r="AN65" s="42">
        <f>IFERROR(__xludf.DUMMYFUNCTION("""COMPUTED_VALUE"""),0.0)</f>
        <v>0</v>
      </c>
      <c r="AO65" s="41">
        <f>IFERROR(__xludf.DUMMYFUNCTION("""COMPUTED_VALUE"""),0.0)</f>
        <v>0</v>
      </c>
      <c r="AP65" s="42">
        <f>IFERROR(__xludf.DUMMYFUNCTION("""COMPUTED_VALUE"""),0.0)</f>
        <v>0</v>
      </c>
      <c r="AQ65" s="42">
        <f>IFERROR(__xludf.DUMMYFUNCTION("""COMPUTED_VALUE"""),0.0)</f>
        <v>0</v>
      </c>
      <c r="AR65" s="42">
        <f>IFERROR(__xludf.DUMMYFUNCTION("""COMPUTED_VALUE"""),0.0)</f>
        <v>0</v>
      </c>
      <c r="AS65" s="41">
        <f>IFERROR(__xludf.DUMMYFUNCTION("""COMPUTED_VALUE"""),0.0)</f>
        <v>0</v>
      </c>
      <c r="AT65" s="42">
        <f>IFERROR(__xludf.DUMMYFUNCTION("""COMPUTED_VALUE"""),0.0)</f>
        <v>0</v>
      </c>
      <c r="AU65" s="42">
        <f>IFERROR(__xludf.DUMMYFUNCTION("""COMPUTED_VALUE"""),0.0)</f>
        <v>0</v>
      </c>
      <c r="AV65" s="42">
        <f>IFERROR(__xludf.DUMMYFUNCTION("""COMPUTED_VALUE"""),0.0)</f>
        <v>0</v>
      </c>
      <c r="AW65" s="41">
        <f>IFERROR(__xludf.DUMMYFUNCTION("""COMPUTED_VALUE"""),0.0)</f>
        <v>0</v>
      </c>
      <c r="AX65" s="42">
        <f>IFERROR(__xludf.DUMMYFUNCTION("""COMPUTED_VALUE"""),0.0)</f>
        <v>0</v>
      </c>
      <c r="AY65" s="42">
        <f>IFERROR(__xludf.DUMMYFUNCTION("""COMPUTED_VALUE"""),0.0)</f>
        <v>0</v>
      </c>
      <c r="AZ65" s="43">
        <f>IFERROR(__xludf.DUMMYFUNCTION("""COMPUTED_VALUE"""),0.0)</f>
        <v>0</v>
      </c>
      <c r="BA65" s="34"/>
    </row>
    <row r="66" ht="15.75" customHeight="1">
      <c r="A66" s="29"/>
      <c r="B66" s="196" t="str">
        <f>IFERROR(__xludf.DUMMYFUNCTION("""COMPUTED_VALUE"""),"7.2. Tổng số phòng thiết bị")</f>
        <v>7.2. Tổng số phòng thiết bị</v>
      </c>
      <c r="C66" s="57"/>
      <c r="D66" s="57" t="str">
        <f>IFERROR(__xludf.DUMMYFUNCTION("""COMPUTED_VALUE"""),"Phòng")</f>
        <v>Phòng</v>
      </c>
      <c r="E66" s="125">
        <f>IFERROR(__xludf.DUMMYFUNCTION("""COMPUTED_VALUE"""),28.0)</f>
        <v>28</v>
      </c>
      <c r="F66" s="125">
        <f>IFERROR(__xludf.DUMMYFUNCTION("""COMPUTED_VALUE"""),28.0)</f>
        <v>28</v>
      </c>
      <c r="G66" s="125">
        <f>IFERROR(__xludf.DUMMYFUNCTION("""COMPUTED_VALUE"""),0.0)</f>
        <v>0</v>
      </c>
      <c r="H66" s="125">
        <f>IFERROR(__xludf.DUMMYFUNCTION("""COMPUTED_VALUE"""),0.0)</f>
        <v>0</v>
      </c>
      <c r="I66" s="125">
        <f>IFERROR(__xludf.DUMMYFUNCTION("""COMPUTED_VALUE"""),28.0)</f>
        <v>28</v>
      </c>
      <c r="J66" s="125">
        <f>IFERROR(__xludf.DUMMYFUNCTION("""COMPUTED_VALUE"""),28.0)</f>
        <v>28</v>
      </c>
      <c r="K66" s="125">
        <f>IFERROR(__xludf.DUMMYFUNCTION("""COMPUTED_VALUE"""),0.0)</f>
        <v>0</v>
      </c>
      <c r="L66" s="125">
        <f>IFERROR(__xludf.DUMMYFUNCTION("""COMPUTED_VALUE"""),0.0)</f>
        <v>0</v>
      </c>
      <c r="M66" s="125">
        <f>IFERROR(__xludf.DUMMYFUNCTION("""COMPUTED_VALUE"""),29.0)</f>
        <v>29</v>
      </c>
      <c r="N66" s="125">
        <f>IFERROR(__xludf.DUMMYFUNCTION("""COMPUTED_VALUE"""),29.0)</f>
        <v>29</v>
      </c>
      <c r="O66" s="125">
        <f>IFERROR(__xludf.DUMMYFUNCTION("""COMPUTED_VALUE"""),0.0)</f>
        <v>0</v>
      </c>
      <c r="P66" s="125">
        <f>IFERROR(__xludf.DUMMYFUNCTION("""COMPUTED_VALUE"""),0.0)</f>
        <v>0</v>
      </c>
      <c r="Q66" s="125">
        <f>IFERROR(__xludf.DUMMYFUNCTION("""COMPUTED_VALUE"""),30.0)</f>
        <v>30</v>
      </c>
      <c r="R66" s="125">
        <f>IFERROR(__xludf.DUMMYFUNCTION("""COMPUTED_VALUE"""),30.0)</f>
        <v>30</v>
      </c>
      <c r="S66" s="125">
        <f>IFERROR(__xludf.DUMMYFUNCTION("""COMPUTED_VALUE"""),0.0)</f>
        <v>0</v>
      </c>
      <c r="T66" s="125">
        <f>IFERROR(__xludf.DUMMYFUNCTION("""COMPUTED_VALUE"""),0.0)</f>
        <v>0</v>
      </c>
      <c r="U66" s="125">
        <f>IFERROR(__xludf.DUMMYFUNCTION("""COMPUTED_VALUE"""),30.0)</f>
        <v>30</v>
      </c>
      <c r="V66" s="125">
        <f>IFERROR(__xludf.DUMMYFUNCTION("""COMPUTED_VALUE"""),30.0)</f>
        <v>30</v>
      </c>
      <c r="W66" s="125">
        <f>IFERROR(__xludf.DUMMYFUNCTION("""COMPUTED_VALUE"""),0.0)</f>
        <v>0</v>
      </c>
      <c r="X66" s="125">
        <f>IFERROR(__xludf.DUMMYFUNCTION("""COMPUTED_VALUE"""),0.0)</f>
        <v>0</v>
      </c>
      <c r="Y66" s="125">
        <f>IFERROR(__xludf.DUMMYFUNCTION("""COMPUTED_VALUE"""),30.0)</f>
        <v>30</v>
      </c>
      <c r="Z66" s="125">
        <f>IFERROR(__xludf.DUMMYFUNCTION("""COMPUTED_VALUE"""),30.0)</f>
        <v>30</v>
      </c>
      <c r="AA66" s="125">
        <f>IFERROR(__xludf.DUMMYFUNCTION("""COMPUTED_VALUE"""),0.0)</f>
        <v>0</v>
      </c>
      <c r="AB66" s="125">
        <f>IFERROR(__xludf.DUMMYFUNCTION("""COMPUTED_VALUE"""),0.0)</f>
        <v>0</v>
      </c>
      <c r="AC66" s="125">
        <f>IFERROR(__xludf.DUMMYFUNCTION("""COMPUTED_VALUE"""),30.0)</f>
        <v>30</v>
      </c>
      <c r="AD66" s="125">
        <f>IFERROR(__xludf.DUMMYFUNCTION("""COMPUTED_VALUE"""),30.0)</f>
        <v>30</v>
      </c>
      <c r="AE66" s="125">
        <f>IFERROR(__xludf.DUMMYFUNCTION("""COMPUTED_VALUE"""),0.0)</f>
        <v>0</v>
      </c>
      <c r="AF66" s="125">
        <f>IFERROR(__xludf.DUMMYFUNCTION("""COMPUTED_VALUE"""),0.0)</f>
        <v>0</v>
      </c>
      <c r="AG66" s="125">
        <f>IFERROR(__xludf.DUMMYFUNCTION("""COMPUTED_VALUE"""),7.0)</f>
        <v>7</v>
      </c>
      <c r="AH66" s="125">
        <f>IFERROR(__xludf.DUMMYFUNCTION("""COMPUTED_VALUE"""),7.0)</f>
        <v>7</v>
      </c>
      <c r="AI66" s="125">
        <f>IFERROR(__xludf.DUMMYFUNCTION("""COMPUTED_VALUE"""),0.0)</f>
        <v>0</v>
      </c>
      <c r="AJ66" s="125">
        <f>IFERROR(__xludf.DUMMYFUNCTION("""COMPUTED_VALUE"""),0.0)</f>
        <v>0</v>
      </c>
      <c r="AK66" s="125">
        <f>IFERROR(__xludf.DUMMYFUNCTION("""COMPUTED_VALUE"""),0.0)</f>
        <v>0</v>
      </c>
      <c r="AL66" s="125">
        <f>IFERROR(__xludf.DUMMYFUNCTION("""COMPUTED_VALUE"""),0.0)</f>
        <v>0</v>
      </c>
      <c r="AM66" s="125">
        <f>IFERROR(__xludf.DUMMYFUNCTION("""COMPUTED_VALUE"""),0.0)</f>
        <v>0</v>
      </c>
      <c r="AN66" s="125">
        <f>IFERROR(__xludf.DUMMYFUNCTION("""COMPUTED_VALUE"""),0.0)</f>
        <v>0</v>
      </c>
      <c r="AO66" s="125">
        <f>IFERROR(__xludf.DUMMYFUNCTION("""COMPUTED_VALUE"""),0.0)</f>
        <v>0</v>
      </c>
      <c r="AP66" s="125">
        <f>IFERROR(__xludf.DUMMYFUNCTION("""COMPUTED_VALUE"""),0.0)</f>
        <v>0</v>
      </c>
      <c r="AQ66" s="125">
        <f>IFERROR(__xludf.DUMMYFUNCTION("""COMPUTED_VALUE"""),0.0)</f>
        <v>0</v>
      </c>
      <c r="AR66" s="125">
        <f>IFERROR(__xludf.DUMMYFUNCTION("""COMPUTED_VALUE"""),0.0)</f>
        <v>0</v>
      </c>
      <c r="AS66" s="125">
        <f>IFERROR(__xludf.DUMMYFUNCTION("""COMPUTED_VALUE"""),0.0)</f>
        <v>0</v>
      </c>
      <c r="AT66" s="125">
        <f>IFERROR(__xludf.DUMMYFUNCTION("""COMPUTED_VALUE"""),0.0)</f>
        <v>0</v>
      </c>
      <c r="AU66" s="125">
        <f>IFERROR(__xludf.DUMMYFUNCTION("""COMPUTED_VALUE"""),0.0)</f>
        <v>0</v>
      </c>
      <c r="AV66" s="125">
        <f>IFERROR(__xludf.DUMMYFUNCTION("""COMPUTED_VALUE"""),0.0)</f>
        <v>0</v>
      </c>
      <c r="AW66" s="125">
        <f>IFERROR(__xludf.DUMMYFUNCTION("""COMPUTED_VALUE"""),0.0)</f>
        <v>0</v>
      </c>
      <c r="AX66" s="125">
        <f>IFERROR(__xludf.DUMMYFUNCTION("""COMPUTED_VALUE"""),0.0)</f>
        <v>0</v>
      </c>
      <c r="AY66" s="125">
        <f>IFERROR(__xludf.DUMMYFUNCTION("""COMPUTED_VALUE"""),0.0)</f>
        <v>0</v>
      </c>
      <c r="AZ66" s="127">
        <f>IFERROR(__xludf.DUMMYFUNCTION("""COMPUTED_VALUE"""),0.0)</f>
        <v>0</v>
      </c>
      <c r="BA66" s="34"/>
    </row>
    <row r="67" ht="15.75" customHeight="1">
      <c r="A67" s="29"/>
      <c r="B67" s="48" t="str">
        <f>IFERROR(__xludf.DUMMYFUNCTION("""COMPUTED_VALUE"""),"Chia ra:")</f>
        <v>Chia ra:</v>
      </c>
      <c r="C67" s="49"/>
      <c r="D67" s="3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50"/>
      <c r="BA67" s="34"/>
    </row>
    <row r="68" ht="15.75" customHeight="1">
      <c r="A68" s="29"/>
      <c r="B68" s="67" t="str">
        <f>IFERROR(__xludf.DUMMYFUNCTION("""COMPUTED_VALUE""")," + Kiên cố")</f>
        <v> + Kiên cố</v>
      </c>
      <c r="C68" s="31"/>
      <c r="D68" s="31" t="str">
        <f>IFERROR(__xludf.DUMMYFUNCTION("""COMPUTED_VALUE"""),"""")</f>
        <v>"</v>
      </c>
      <c r="E68" s="41">
        <f>IFERROR(__xludf.DUMMYFUNCTION("""COMPUTED_VALUE"""),27.0)</f>
        <v>27</v>
      </c>
      <c r="F68" s="42">
        <f>IFERROR(__xludf.DUMMYFUNCTION("""COMPUTED_VALUE"""),27.0)</f>
        <v>27</v>
      </c>
      <c r="G68" s="42">
        <f>IFERROR(__xludf.DUMMYFUNCTION("""COMPUTED_VALUE"""),0.0)</f>
        <v>0</v>
      </c>
      <c r="H68" s="42">
        <f>IFERROR(__xludf.DUMMYFUNCTION("""COMPUTED_VALUE"""),0.0)</f>
        <v>0</v>
      </c>
      <c r="I68" s="41">
        <f>IFERROR(__xludf.DUMMYFUNCTION("""COMPUTED_VALUE"""),27.0)</f>
        <v>27</v>
      </c>
      <c r="J68" s="42">
        <f>IFERROR(__xludf.DUMMYFUNCTION("""COMPUTED_VALUE"""),27.0)</f>
        <v>27</v>
      </c>
      <c r="K68" s="42">
        <f>IFERROR(__xludf.DUMMYFUNCTION("""COMPUTED_VALUE"""),0.0)</f>
        <v>0</v>
      </c>
      <c r="L68" s="42">
        <f>IFERROR(__xludf.DUMMYFUNCTION("""COMPUTED_VALUE"""),0.0)</f>
        <v>0</v>
      </c>
      <c r="M68" s="41">
        <f>IFERROR(__xludf.DUMMYFUNCTION("""COMPUTED_VALUE"""),28.0)</f>
        <v>28</v>
      </c>
      <c r="N68" s="42">
        <f>IFERROR(__xludf.DUMMYFUNCTION("""COMPUTED_VALUE"""),28.0)</f>
        <v>28</v>
      </c>
      <c r="O68" s="42">
        <f>IFERROR(__xludf.DUMMYFUNCTION("""COMPUTED_VALUE"""),0.0)</f>
        <v>0</v>
      </c>
      <c r="P68" s="42">
        <f>IFERROR(__xludf.DUMMYFUNCTION("""COMPUTED_VALUE"""),0.0)</f>
        <v>0</v>
      </c>
      <c r="Q68" s="41">
        <f>IFERROR(__xludf.DUMMYFUNCTION("""COMPUTED_VALUE"""),29.0)</f>
        <v>29</v>
      </c>
      <c r="R68" s="42">
        <f>IFERROR(__xludf.DUMMYFUNCTION("""COMPUTED_VALUE"""),29.0)</f>
        <v>29</v>
      </c>
      <c r="S68" s="42">
        <f>IFERROR(__xludf.DUMMYFUNCTION("""COMPUTED_VALUE"""),0.0)</f>
        <v>0</v>
      </c>
      <c r="T68" s="42">
        <f>IFERROR(__xludf.DUMMYFUNCTION("""COMPUTED_VALUE"""),0.0)</f>
        <v>0</v>
      </c>
      <c r="U68" s="41">
        <f>IFERROR(__xludf.DUMMYFUNCTION("""COMPUTED_VALUE"""),29.0)</f>
        <v>29</v>
      </c>
      <c r="V68" s="42">
        <f>IFERROR(__xludf.DUMMYFUNCTION("""COMPUTED_VALUE"""),29.0)</f>
        <v>29</v>
      </c>
      <c r="W68" s="42">
        <f>IFERROR(__xludf.DUMMYFUNCTION("""COMPUTED_VALUE"""),0.0)</f>
        <v>0</v>
      </c>
      <c r="X68" s="42">
        <f>IFERROR(__xludf.DUMMYFUNCTION("""COMPUTED_VALUE"""),0.0)</f>
        <v>0</v>
      </c>
      <c r="Y68" s="41">
        <f>IFERROR(__xludf.DUMMYFUNCTION("""COMPUTED_VALUE"""),29.0)</f>
        <v>29</v>
      </c>
      <c r="Z68" s="42">
        <f>IFERROR(__xludf.DUMMYFUNCTION("""COMPUTED_VALUE"""),29.0)</f>
        <v>29</v>
      </c>
      <c r="AA68" s="42">
        <f>IFERROR(__xludf.DUMMYFUNCTION("""COMPUTED_VALUE"""),0.0)</f>
        <v>0</v>
      </c>
      <c r="AB68" s="42">
        <f>IFERROR(__xludf.DUMMYFUNCTION("""COMPUTED_VALUE"""),0.0)</f>
        <v>0</v>
      </c>
      <c r="AC68" s="41">
        <f>IFERROR(__xludf.DUMMYFUNCTION("""COMPUTED_VALUE"""),29.0)</f>
        <v>29</v>
      </c>
      <c r="AD68" s="42">
        <f>IFERROR(__xludf.DUMMYFUNCTION("""COMPUTED_VALUE"""),29.0)</f>
        <v>29</v>
      </c>
      <c r="AE68" s="42">
        <f>IFERROR(__xludf.DUMMYFUNCTION("""COMPUTED_VALUE"""),0.0)</f>
        <v>0</v>
      </c>
      <c r="AF68" s="42">
        <f>IFERROR(__xludf.DUMMYFUNCTION("""COMPUTED_VALUE"""),0.0)</f>
        <v>0</v>
      </c>
      <c r="AG68" s="41">
        <f>IFERROR(__xludf.DUMMYFUNCTION("""COMPUTED_VALUE"""),7.0)</f>
        <v>7</v>
      </c>
      <c r="AH68" s="42">
        <f>IFERROR(__xludf.DUMMYFUNCTION("""COMPUTED_VALUE"""),7.0)</f>
        <v>7</v>
      </c>
      <c r="AI68" s="42">
        <f>IFERROR(__xludf.DUMMYFUNCTION("""COMPUTED_VALUE"""),0.0)</f>
        <v>0</v>
      </c>
      <c r="AJ68" s="42">
        <f>IFERROR(__xludf.DUMMYFUNCTION("""COMPUTED_VALUE"""),0.0)</f>
        <v>0</v>
      </c>
      <c r="AK68" s="41">
        <f>IFERROR(__xludf.DUMMYFUNCTION("""COMPUTED_VALUE"""),0.0)</f>
        <v>0</v>
      </c>
      <c r="AL68" s="42">
        <f>IFERROR(__xludf.DUMMYFUNCTION("""COMPUTED_VALUE"""),0.0)</f>
        <v>0</v>
      </c>
      <c r="AM68" s="42">
        <f>IFERROR(__xludf.DUMMYFUNCTION("""COMPUTED_VALUE"""),0.0)</f>
        <v>0</v>
      </c>
      <c r="AN68" s="42">
        <f>IFERROR(__xludf.DUMMYFUNCTION("""COMPUTED_VALUE"""),0.0)</f>
        <v>0</v>
      </c>
      <c r="AO68" s="41">
        <f>IFERROR(__xludf.DUMMYFUNCTION("""COMPUTED_VALUE"""),0.0)</f>
        <v>0</v>
      </c>
      <c r="AP68" s="42">
        <f>IFERROR(__xludf.DUMMYFUNCTION("""COMPUTED_VALUE"""),0.0)</f>
        <v>0</v>
      </c>
      <c r="AQ68" s="42">
        <f>IFERROR(__xludf.DUMMYFUNCTION("""COMPUTED_VALUE"""),0.0)</f>
        <v>0</v>
      </c>
      <c r="AR68" s="42">
        <f>IFERROR(__xludf.DUMMYFUNCTION("""COMPUTED_VALUE"""),0.0)</f>
        <v>0</v>
      </c>
      <c r="AS68" s="41">
        <f>IFERROR(__xludf.DUMMYFUNCTION("""COMPUTED_VALUE"""),0.0)</f>
        <v>0</v>
      </c>
      <c r="AT68" s="42">
        <f>IFERROR(__xludf.DUMMYFUNCTION("""COMPUTED_VALUE"""),0.0)</f>
        <v>0</v>
      </c>
      <c r="AU68" s="42">
        <f>IFERROR(__xludf.DUMMYFUNCTION("""COMPUTED_VALUE"""),0.0)</f>
        <v>0</v>
      </c>
      <c r="AV68" s="42">
        <f>IFERROR(__xludf.DUMMYFUNCTION("""COMPUTED_VALUE"""),0.0)</f>
        <v>0</v>
      </c>
      <c r="AW68" s="41">
        <f>IFERROR(__xludf.DUMMYFUNCTION("""COMPUTED_VALUE"""),0.0)</f>
        <v>0</v>
      </c>
      <c r="AX68" s="42">
        <f>IFERROR(__xludf.DUMMYFUNCTION("""COMPUTED_VALUE"""),0.0)</f>
        <v>0</v>
      </c>
      <c r="AY68" s="42">
        <f>IFERROR(__xludf.DUMMYFUNCTION("""COMPUTED_VALUE"""),0.0)</f>
        <v>0</v>
      </c>
      <c r="AZ68" s="43">
        <f>IFERROR(__xludf.DUMMYFUNCTION("""COMPUTED_VALUE"""),0.0)</f>
        <v>0</v>
      </c>
      <c r="BA68" s="34"/>
    </row>
    <row r="69" ht="15.75" customHeight="1">
      <c r="A69" s="29"/>
      <c r="B69" s="67" t="str">
        <f>IFERROR(__xludf.DUMMYFUNCTION("""COMPUTED_VALUE""")," + Bán kiên cố")</f>
        <v> + Bán kiên cố</v>
      </c>
      <c r="C69" s="31"/>
      <c r="D69" s="31" t="str">
        <f>IFERROR(__xludf.DUMMYFUNCTION("""COMPUTED_VALUE"""),"""")</f>
        <v>"</v>
      </c>
      <c r="E69" s="41">
        <f>IFERROR(__xludf.DUMMYFUNCTION("""COMPUTED_VALUE"""),1.0)</f>
        <v>1</v>
      </c>
      <c r="F69" s="42">
        <f>IFERROR(__xludf.DUMMYFUNCTION("""COMPUTED_VALUE"""),1.0)</f>
        <v>1</v>
      </c>
      <c r="G69" s="42">
        <f>IFERROR(__xludf.DUMMYFUNCTION("""COMPUTED_VALUE"""),0.0)</f>
        <v>0</v>
      </c>
      <c r="H69" s="42">
        <f>IFERROR(__xludf.DUMMYFUNCTION("""COMPUTED_VALUE"""),0.0)</f>
        <v>0</v>
      </c>
      <c r="I69" s="41">
        <f>IFERROR(__xludf.DUMMYFUNCTION("""COMPUTED_VALUE"""),1.0)</f>
        <v>1</v>
      </c>
      <c r="J69" s="42">
        <f>IFERROR(__xludf.DUMMYFUNCTION("""COMPUTED_VALUE"""),1.0)</f>
        <v>1</v>
      </c>
      <c r="K69" s="42">
        <f>IFERROR(__xludf.DUMMYFUNCTION("""COMPUTED_VALUE"""),0.0)</f>
        <v>0</v>
      </c>
      <c r="L69" s="42">
        <f>IFERROR(__xludf.DUMMYFUNCTION("""COMPUTED_VALUE"""),0.0)</f>
        <v>0</v>
      </c>
      <c r="M69" s="41">
        <f>IFERROR(__xludf.DUMMYFUNCTION("""COMPUTED_VALUE"""),1.0)</f>
        <v>1</v>
      </c>
      <c r="N69" s="42">
        <f>IFERROR(__xludf.DUMMYFUNCTION("""COMPUTED_VALUE"""),1.0)</f>
        <v>1</v>
      </c>
      <c r="O69" s="42">
        <f>IFERROR(__xludf.DUMMYFUNCTION("""COMPUTED_VALUE"""),0.0)</f>
        <v>0</v>
      </c>
      <c r="P69" s="42">
        <f>IFERROR(__xludf.DUMMYFUNCTION("""COMPUTED_VALUE"""),0.0)</f>
        <v>0</v>
      </c>
      <c r="Q69" s="41">
        <f>IFERROR(__xludf.DUMMYFUNCTION("""COMPUTED_VALUE"""),1.0)</f>
        <v>1</v>
      </c>
      <c r="R69" s="42">
        <f>IFERROR(__xludf.DUMMYFUNCTION("""COMPUTED_VALUE"""),1.0)</f>
        <v>1</v>
      </c>
      <c r="S69" s="42">
        <f>IFERROR(__xludf.DUMMYFUNCTION("""COMPUTED_VALUE"""),0.0)</f>
        <v>0</v>
      </c>
      <c r="T69" s="42">
        <f>IFERROR(__xludf.DUMMYFUNCTION("""COMPUTED_VALUE"""),0.0)</f>
        <v>0</v>
      </c>
      <c r="U69" s="41">
        <f>IFERROR(__xludf.DUMMYFUNCTION("""COMPUTED_VALUE"""),1.0)</f>
        <v>1</v>
      </c>
      <c r="V69" s="42">
        <f>IFERROR(__xludf.DUMMYFUNCTION("""COMPUTED_VALUE"""),1.0)</f>
        <v>1</v>
      </c>
      <c r="W69" s="42">
        <f>IFERROR(__xludf.DUMMYFUNCTION("""COMPUTED_VALUE"""),0.0)</f>
        <v>0</v>
      </c>
      <c r="X69" s="42">
        <f>IFERROR(__xludf.DUMMYFUNCTION("""COMPUTED_VALUE"""),0.0)</f>
        <v>0</v>
      </c>
      <c r="Y69" s="41">
        <f>IFERROR(__xludf.DUMMYFUNCTION("""COMPUTED_VALUE"""),1.0)</f>
        <v>1</v>
      </c>
      <c r="Z69" s="42">
        <f>IFERROR(__xludf.DUMMYFUNCTION("""COMPUTED_VALUE"""),1.0)</f>
        <v>1</v>
      </c>
      <c r="AA69" s="42">
        <f>IFERROR(__xludf.DUMMYFUNCTION("""COMPUTED_VALUE"""),0.0)</f>
        <v>0</v>
      </c>
      <c r="AB69" s="42">
        <f>IFERROR(__xludf.DUMMYFUNCTION("""COMPUTED_VALUE"""),0.0)</f>
        <v>0</v>
      </c>
      <c r="AC69" s="41">
        <f>IFERROR(__xludf.DUMMYFUNCTION("""COMPUTED_VALUE"""),1.0)</f>
        <v>1</v>
      </c>
      <c r="AD69" s="42">
        <f>IFERROR(__xludf.DUMMYFUNCTION("""COMPUTED_VALUE"""),1.0)</f>
        <v>1</v>
      </c>
      <c r="AE69" s="42">
        <f>IFERROR(__xludf.DUMMYFUNCTION("""COMPUTED_VALUE"""),0.0)</f>
        <v>0</v>
      </c>
      <c r="AF69" s="42">
        <f>IFERROR(__xludf.DUMMYFUNCTION("""COMPUTED_VALUE"""),0.0)</f>
        <v>0</v>
      </c>
      <c r="AG69" s="41">
        <f>IFERROR(__xludf.DUMMYFUNCTION("""COMPUTED_VALUE"""),0.0)</f>
        <v>0</v>
      </c>
      <c r="AH69" s="42">
        <f>IFERROR(__xludf.DUMMYFUNCTION("""COMPUTED_VALUE"""),0.0)</f>
        <v>0</v>
      </c>
      <c r="AI69" s="42">
        <f>IFERROR(__xludf.DUMMYFUNCTION("""COMPUTED_VALUE"""),0.0)</f>
        <v>0</v>
      </c>
      <c r="AJ69" s="42">
        <f>IFERROR(__xludf.DUMMYFUNCTION("""COMPUTED_VALUE"""),0.0)</f>
        <v>0</v>
      </c>
      <c r="AK69" s="41">
        <f>IFERROR(__xludf.DUMMYFUNCTION("""COMPUTED_VALUE"""),0.0)</f>
        <v>0</v>
      </c>
      <c r="AL69" s="42">
        <f>IFERROR(__xludf.DUMMYFUNCTION("""COMPUTED_VALUE"""),0.0)</f>
        <v>0</v>
      </c>
      <c r="AM69" s="42">
        <f>IFERROR(__xludf.DUMMYFUNCTION("""COMPUTED_VALUE"""),0.0)</f>
        <v>0</v>
      </c>
      <c r="AN69" s="42">
        <f>IFERROR(__xludf.DUMMYFUNCTION("""COMPUTED_VALUE"""),0.0)</f>
        <v>0</v>
      </c>
      <c r="AO69" s="41">
        <f>IFERROR(__xludf.DUMMYFUNCTION("""COMPUTED_VALUE"""),0.0)</f>
        <v>0</v>
      </c>
      <c r="AP69" s="42">
        <f>IFERROR(__xludf.DUMMYFUNCTION("""COMPUTED_VALUE"""),0.0)</f>
        <v>0</v>
      </c>
      <c r="AQ69" s="42">
        <f>IFERROR(__xludf.DUMMYFUNCTION("""COMPUTED_VALUE"""),0.0)</f>
        <v>0</v>
      </c>
      <c r="AR69" s="42">
        <f>IFERROR(__xludf.DUMMYFUNCTION("""COMPUTED_VALUE"""),0.0)</f>
        <v>0</v>
      </c>
      <c r="AS69" s="41">
        <f>IFERROR(__xludf.DUMMYFUNCTION("""COMPUTED_VALUE"""),0.0)</f>
        <v>0</v>
      </c>
      <c r="AT69" s="42">
        <f>IFERROR(__xludf.DUMMYFUNCTION("""COMPUTED_VALUE"""),0.0)</f>
        <v>0</v>
      </c>
      <c r="AU69" s="42">
        <f>IFERROR(__xludf.DUMMYFUNCTION("""COMPUTED_VALUE"""),0.0)</f>
        <v>0</v>
      </c>
      <c r="AV69" s="42">
        <f>IFERROR(__xludf.DUMMYFUNCTION("""COMPUTED_VALUE"""),0.0)</f>
        <v>0</v>
      </c>
      <c r="AW69" s="41">
        <f>IFERROR(__xludf.DUMMYFUNCTION("""COMPUTED_VALUE"""),0.0)</f>
        <v>0</v>
      </c>
      <c r="AX69" s="42">
        <f>IFERROR(__xludf.DUMMYFUNCTION("""COMPUTED_VALUE"""),0.0)</f>
        <v>0</v>
      </c>
      <c r="AY69" s="42">
        <f>IFERROR(__xludf.DUMMYFUNCTION("""COMPUTED_VALUE"""),0.0)</f>
        <v>0</v>
      </c>
      <c r="AZ69" s="43">
        <f>IFERROR(__xludf.DUMMYFUNCTION("""COMPUTED_VALUE"""),0.0)</f>
        <v>0</v>
      </c>
      <c r="BA69" s="34"/>
    </row>
    <row r="70" ht="15.75" customHeight="1">
      <c r="A70" s="29"/>
      <c r="B70" s="67" t="str">
        <f>IFERROR(__xludf.DUMMYFUNCTION("""COMPUTED_VALUE""")," + Tạm")</f>
        <v> + Tạm</v>
      </c>
      <c r="C70" s="31"/>
      <c r="D70" s="31" t="str">
        <f>IFERROR(__xludf.DUMMYFUNCTION("""COMPUTED_VALUE"""),"""")</f>
        <v>"</v>
      </c>
      <c r="E70" s="41">
        <f>IFERROR(__xludf.DUMMYFUNCTION("""COMPUTED_VALUE"""),0.0)</f>
        <v>0</v>
      </c>
      <c r="F70" s="42">
        <f>IFERROR(__xludf.DUMMYFUNCTION("""COMPUTED_VALUE"""),0.0)</f>
        <v>0</v>
      </c>
      <c r="G70" s="42">
        <f>IFERROR(__xludf.DUMMYFUNCTION("""COMPUTED_VALUE"""),0.0)</f>
        <v>0</v>
      </c>
      <c r="H70" s="42">
        <f>IFERROR(__xludf.DUMMYFUNCTION("""COMPUTED_VALUE"""),0.0)</f>
        <v>0</v>
      </c>
      <c r="I70" s="41">
        <f>IFERROR(__xludf.DUMMYFUNCTION("""COMPUTED_VALUE"""),0.0)</f>
        <v>0</v>
      </c>
      <c r="J70" s="42">
        <f>IFERROR(__xludf.DUMMYFUNCTION("""COMPUTED_VALUE"""),0.0)</f>
        <v>0</v>
      </c>
      <c r="K70" s="42">
        <f>IFERROR(__xludf.DUMMYFUNCTION("""COMPUTED_VALUE"""),0.0)</f>
        <v>0</v>
      </c>
      <c r="L70" s="42">
        <f>IFERROR(__xludf.DUMMYFUNCTION("""COMPUTED_VALUE"""),0.0)</f>
        <v>0</v>
      </c>
      <c r="M70" s="41">
        <f>IFERROR(__xludf.DUMMYFUNCTION("""COMPUTED_VALUE"""),0.0)</f>
        <v>0</v>
      </c>
      <c r="N70" s="42">
        <f>IFERROR(__xludf.DUMMYFUNCTION("""COMPUTED_VALUE"""),0.0)</f>
        <v>0</v>
      </c>
      <c r="O70" s="42">
        <f>IFERROR(__xludf.DUMMYFUNCTION("""COMPUTED_VALUE"""),0.0)</f>
        <v>0</v>
      </c>
      <c r="P70" s="42">
        <f>IFERROR(__xludf.DUMMYFUNCTION("""COMPUTED_VALUE"""),0.0)</f>
        <v>0</v>
      </c>
      <c r="Q70" s="41">
        <f>IFERROR(__xludf.DUMMYFUNCTION("""COMPUTED_VALUE"""),0.0)</f>
        <v>0</v>
      </c>
      <c r="R70" s="42">
        <f>IFERROR(__xludf.DUMMYFUNCTION("""COMPUTED_VALUE"""),0.0)</f>
        <v>0</v>
      </c>
      <c r="S70" s="42">
        <f>IFERROR(__xludf.DUMMYFUNCTION("""COMPUTED_VALUE"""),0.0)</f>
        <v>0</v>
      </c>
      <c r="T70" s="42">
        <f>IFERROR(__xludf.DUMMYFUNCTION("""COMPUTED_VALUE"""),0.0)</f>
        <v>0</v>
      </c>
      <c r="U70" s="41">
        <f>IFERROR(__xludf.DUMMYFUNCTION("""COMPUTED_VALUE"""),0.0)</f>
        <v>0</v>
      </c>
      <c r="V70" s="42">
        <f>IFERROR(__xludf.DUMMYFUNCTION("""COMPUTED_VALUE"""),0.0)</f>
        <v>0</v>
      </c>
      <c r="W70" s="42">
        <f>IFERROR(__xludf.DUMMYFUNCTION("""COMPUTED_VALUE"""),0.0)</f>
        <v>0</v>
      </c>
      <c r="X70" s="42">
        <f>IFERROR(__xludf.DUMMYFUNCTION("""COMPUTED_VALUE"""),0.0)</f>
        <v>0</v>
      </c>
      <c r="Y70" s="41">
        <f>IFERROR(__xludf.DUMMYFUNCTION("""COMPUTED_VALUE"""),0.0)</f>
        <v>0</v>
      </c>
      <c r="Z70" s="42">
        <f>IFERROR(__xludf.DUMMYFUNCTION("""COMPUTED_VALUE"""),0.0)</f>
        <v>0</v>
      </c>
      <c r="AA70" s="42">
        <f>IFERROR(__xludf.DUMMYFUNCTION("""COMPUTED_VALUE"""),0.0)</f>
        <v>0</v>
      </c>
      <c r="AB70" s="42">
        <f>IFERROR(__xludf.DUMMYFUNCTION("""COMPUTED_VALUE"""),0.0)</f>
        <v>0</v>
      </c>
      <c r="AC70" s="41">
        <f>IFERROR(__xludf.DUMMYFUNCTION("""COMPUTED_VALUE"""),0.0)</f>
        <v>0</v>
      </c>
      <c r="AD70" s="42">
        <f>IFERROR(__xludf.DUMMYFUNCTION("""COMPUTED_VALUE"""),0.0)</f>
        <v>0</v>
      </c>
      <c r="AE70" s="42">
        <f>IFERROR(__xludf.DUMMYFUNCTION("""COMPUTED_VALUE"""),0.0)</f>
        <v>0</v>
      </c>
      <c r="AF70" s="42">
        <f>IFERROR(__xludf.DUMMYFUNCTION("""COMPUTED_VALUE"""),0.0)</f>
        <v>0</v>
      </c>
      <c r="AG70" s="41">
        <f>IFERROR(__xludf.DUMMYFUNCTION("""COMPUTED_VALUE"""),0.0)</f>
        <v>0</v>
      </c>
      <c r="AH70" s="42">
        <f>IFERROR(__xludf.DUMMYFUNCTION("""COMPUTED_VALUE"""),0.0)</f>
        <v>0</v>
      </c>
      <c r="AI70" s="42">
        <f>IFERROR(__xludf.DUMMYFUNCTION("""COMPUTED_VALUE"""),0.0)</f>
        <v>0</v>
      </c>
      <c r="AJ70" s="42">
        <f>IFERROR(__xludf.DUMMYFUNCTION("""COMPUTED_VALUE"""),0.0)</f>
        <v>0</v>
      </c>
      <c r="AK70" s="41">
        <f>IFERROR(__xludf.DUMMYFUNCTION("""COMPUTED_VALUE"""),0.0)</f>
        <v>0</v>
      </c>
      <c r="AL70" s="42">
        <f>IFERROR(__xludf.DUMMYFUNCTION("""COMPUTED_VALUE"""),0.0)</f>
        <v>0</v>
      </c>
      <c r="AM70" s="42">
        <f>IFERROR(__xludf.DUMMYFUNCTION("""COMPUTED_VALUE"""),0.0)</f>
        <v>0</v>
      </c>
      <c r="AN70" s="42">
        <f>IFERROR(__xludf.DUMMYFUNCTION("""COMPUTED_VALUE"""),0.0)</f>
        <v>0</v>
      </c>
      <c r="AO70" s="41">
        <f>IFERROR(__xludf.DUMMYFUNCTION("""COMPUTED_VALUE"""),0.0)</f>
        <v>0</v>
      </c>
      <c r="AP70" s="42">
        <f>IFERROR(__xludf.DUMMYFUNCTION("""COMPUTED_VALUE"""),0.0)</f>
        <v>0</v>
      </c>
      <c r="AQ70" s="42">
        <f>IFERROR(__xludf.DUMMYFUNCTION("""COMPUTED_VALUE"""),0.0)</f>
        <v>0</v>
      </c>
      <c r="AR70" s="42">
        <f>IFERROR(__xludf.DUMMYFUNCTION("""COMPUTED_VALUE"""),0.0)</f>
        <v>0</v>
      </c>
      <c r="AS70" s="41">
        <f>IFERROR(__xludf.DUMMYFUNCTION("""COMPUTED_VALUE"""),0.0)</f>
        <v>0</v>
      </c>
      <c r="AT70" s="42">
        <f>IFERROR(__xludf.DUMMYFUNCTION("""COMPUTED_VALUE"""),0.0)</f>
        <v>0</v>
      </c>
      <c r="AU70" s="42">
        <f>IFERROR(__xludf.DUMMYFUNCTION("""COMPUTED_VALUE"""),0.0)</f>
        <v>0</v>
      </c>
      <c r="AV70" s="42">
        <f>IFERROR(__xludf.DUMMYFUNCTION("""COMPUTED_VALUE"""),0.0)</f>
        <v>0</v>
      </c>
      <c r="AW70" s="41">
        <f>IFERROR(__xludf.DUMMYFUNCTION("""COMPUTED_VALUE"""),0.0)</f>
        <v>0</v>
      </c>
      <c r="AX70" s="42">
        <f>IFERROR(__xludf.DUMMYFUNCTION("""COMPUTED_VALUE"""),0.0)</f>
        <v>0</v>
      </c>
      <c r="AY70" s="42">
        <f>IFERROR(__xludf.DUMMYFUNCTION("""COMPUTED_VALUE"""),0.0)</f>
        <v>0</v>
      </c>
      <c r="AZ70" s="43">
        <f>IFERROR(__xludf.DUMMYFUNCTION("""COMPUTED_VALUE"""),0.0)</f>
        <v>0</v>
      </c>
      <c r="BA70" s="34"/>
    </row>
    <row r="71" ht="15.75" customHeight="1">
      <c r="A71" s="29"/>
      <c r="B71" s="196" t="str">
        <f>IFERROR(__xludf.DUMMYFUNCTION("""COMPUTED_VALUE"""),"7.3. Tổng số phòng y tế")</f>
        <v>7.3. Tổng số phòng y tế</v>
      </c>
      <c r="C71" s="57"/>
      <c r="D71" s="57" t="str">
        <f>IFERROR(__xludf.DUMMYFUNCTION("""COMPUTED_VALUE"""),"Phòng")</f>
        <v>Phòng</v>
      </c>
      <c r="E71" s="125">
        <f>IFERROR(__xludf.DUMMYFUNCTION("""COMPUTED_VALUE"""),22.0)</f>
        <v>22</v>
      </c>
      <c r="F71" s="125">
        <f>IFERROR(__xludf.DUMMYFUNCTION("""COMPUTED_VALUE"""),22.0)</f>
        <v>22</v>
      </c>
      <c r="G71" s="125">
        <f>IFERROR(__xludf.DUMMYFUNCTION("""COMPUTED_VALUE"""),0.0)</f>
        <v>0</v>
      </c>
      <c r="H71" s="125">
        <f>IFERROR(__xludf.DUMMYFUNCTION("""COMPUTED_VALUE"""),0.0)</f>
        <v>0</v>
      </c>
      <c r="I71" s="125">
        <f>IFERROR(__xludf.DUMMYFUNCTION("""COMPUTED_VALUE"""),21.0)</f>
        <v>21</v>
      </c>
      <c r="J71" s="125">
        <f>IFERROR(__xludf.DUMMYFUNCTION("""COMPUTED_VALUE"""),21.0)</f>
        <v>21</v>
      </c>
      <c r="K71" s="125">
        <f>IFERROR(__xludf.DUMMYFUNCTION("""COMPUTED_VALUE"""),0.0)</f>
        <v>0</v>
      </c>
      <c r="L71" s="125">
        <f>IFERROR(__xludf.DUMMYFUNCTION("""COMPUTED_VALUE"""),0.0)</f>
        <v>0</v>
      </c>
      <c r="M71" s="125">
        <f>IFERROR(__xludf.DUMMYFUNCTION("""COMPUTED_VALUE"""),20.0)</f>
        <v>20</v>
      </c>
      <c r="N71" s="125">
        <f>IFERROR(__xludf.DUMMYFUNCTION("""COMPUTED_VALUE"""),20.0)</f>
        <v>20</v>
      </c>
      <c r="O71" s="125">
        <f>IFERROR(__xludf.DUMMYFUNCTION("""COMPUTED_VALUE"""),0.0)</f>
        <v>0</v>
      </c>
      <c r="P71" s="125">
        <f>IFERROR(__xludf.DUMMYFUNCTION("""COMPUTED_VALUE"""),0.0)</f>
        <v>0</v>
      </c>
      <c r="Q71" s="125">
        <f>IFERROR(__xludf.DUMMYFUNCTION("""COMPUTED_VALUE"""),21.0)</f>
        <v>21</v>
      </c>
      <c r="R71" s="125">
        <f>IFERROR(__xludf.DUMMYFUNCTION("""COMPUTED_VALUE"""),21.0)</f>
        <v>21</v>
      </c>
      <c r="S71" s="125">
        <f>IFERROR(__xludf.DUMMYFUNCTION("""COMPUTED_VALUE"""),0.0)</f>
        <v>0</v>
      </c>
      <c r="T71" s="125">
        <f>IFERROR(__xludf.DUMMYFUNCTION("""COMPUTED_VALUE"""),0.0)</f>
        <v>0</v>
      </c>
      <c r="U71" s="125">
        <f>IFERROR(__xludf.DUMMYFUNCTION("""COMPUTED_VALUE"""),21.0)</f>
        <v>21</v>
      </c>
      <c r="V71" s="125">
        <f>IFERROR(__xludf.DUMMYFUNCTION("""COMPUTED_VALUE"""),21.0)</f>
        <v>21</v>
      </c>
      <c r="W71" s="125">
        <f>IFERROR(__xludf.DUMMYFUNCTION("""COMPUTED_VALUE"""),0.0)</f>
        <v>0</v>
      </c>
      <c r="X71" s="125">
        <f>IFERROR(__xludf.DUMMYFUNCTION("""COMPUTED_VALUE"""),0.0)</f>
        <v>0</v>
      </c>
      <c r="Y71" s="125">
        <f>IFERROR(__xludf.DUMMYFUNCTION("""COMPUTED_VALUE"""),21.0)</f>
        <v>21</v>
      </c>
      <c r="Z71" s="125">
        <f>IFERROR(__xludf.DUMMYFUNCTION("""COMPUTED_VALUE"""),21.0)</f>
        <v>21</v>
      </c>
      <c r="AA71" s="125">
        <f>IFERROR(__xludf.DUMMYFUNCTION("""COMPUTED_VALUE"""),0.0)</f>
        <v>0</v>
      </c>
      <c r="AB71" s="125">
        <f>IFERROR(__xludf.DUMMYFUNCTION("""COMPUTED_VALUE"""),0.0)</f>
        <v>0</v>
      </c>
      <c r="AC71" s="125">
        <f>IFERROR(__xludf.DUMMYFUNCTION("""COMPUTED_VALUE"""),21.0)</f>
        <v>21</v>
      </c>
      <c r="AD71" s="125">
        <f>IFERROR(__xludf.DUMMYFUNCTION("""COMPUTED_VALUE"""),21.0)</f>
        <v>21</v>
      </c>
      <c r="AE71" s="125">
        <f>IFERROR(__xludf.DUMMYFUNCTION("""COMPUTED_VALUE"""),0.0)</f>
        <v>0</v>
      </c>
      <c r="AF71" s="125">
        <f>IFERROR(__xludf.DUMMYFUNCTION("""COMPUTED_VALUE"""),0.0)</f>
        <v>0</v>
      </c>
      <c r="AG71" s="125">
        <f>IFERROR(__xludf.DUMMYFUNCTION("""COMPUTED_VALUE"""),5.0)</f>
        <v>5</v>
      </c>
      <c r="AH71" s="125">
        <f>IFERROR(__xludf.DUMMYFUNCTION("""COMPUTED_VALUE"""),5.0)</f>
        <v>5</v>
      </c>
      <c r="AI71" s="125">
        <f>IFERROR(__xludf.DUMMYFUNCTION("""COMPUTED_VALUE"""),0.0)</f>
        <v>0</v>
      </c>
      <c r="AJ71" s="125">
        <f>IFERROR(__xludf.DUMMYFUNCTION("""COMPUTED_VALUE"""),0.0)</f>
        <v>0</v>
      </c>
      <c r="AK71" s="125">
        <f>IFERROR(__xludf.DUMMYFUNCTION("""COMPUTED_VALUE"""),0.0)</f>
        <v>0</v>
      </c>
      <c r="AL71" s="125">
        <f>IFERROR(__xludf.DUMMYFUNCTION("""COMPUTED_VALUE"""),0.0)</f>
        <v>0</v>
      </c>
      <c r="AM71" s="125">
        <f>IFERROR(__xludf.DUMMYFUNCTION("""COMPUTED_VALUE"""),0.0)</f>
        <v>0</v>
      </c>
      <c r="AN71" s="125">
        <f>IFERROR(__xludf.DUMMYFUNCTION("""COMPUTED_VALUE"""),0.0)</f>
        <v>0</v>
      </c>
      <c r="AO71" s="125">
        <f>IFERROR(__xludf.DUMMYFUNCTION("""COMPUTED_VALUE"""),0.0)</f>
        <v>0</v>
      </c>
      <c r="AP71" s="125">
        <f>IFERROR(__xludf.DUMMYFUNCTION("""COMPUTED_VALUE"""),0.0)</f>
        <v>0</v>
      </c>
      <c r="AQ71" s="125">
        <f>IFERROR(__xludf.DUMMYFUNCTION("""COMPUTED_VALUE"""),0.0)</f>
        <v>0</v>
      </c>
      <c r="AR71" s="125">
        <f>IFERROR(__xludf.DUMMYFUNCTION("""COMPUTED_VALUE"""),0.0)</f>
        <v>0</v>
      </c>
      <c r="AS71" s="125">
        <f>IFERROR(__xludf.DUMMYFUNCTION("""COMPUTED_VALUE"""),0.0)</f>
        <v>0</v>
      </c>
      <c r="AT71" s="125">
        <f>IFERROR(__xludf.DUMMYFUNCTION("""COMPUTED_VALUE"""),0.0)</f>
        <v>0</v>
      </c>
      <c r="AU71" s="125">
        <f>IFERROR(__xludf.DUMMYFUNCTION("""COMPUTED_VALUE"""),0.0)</f>
        <v>0</v>
      </c>
      <c r="AV71" s="125">
        <f>IFERROR(__xludf.DUMMYFUNCTION("""COMPUTED_VALUE"""),0.0)</f>
        <v>0</v>
      </c>
      <c r="AW71" s="125">
        <f>IFERROR(__xludf.DUMMYFUNCTION("""COMPUTED_VALUE"""),0.0)</f>
        <v>0</v>
      </c>
      <c r="AX71" s="125">
        <f>IFERROR(__xludf.DUMMYFUNCTION("""COMPUTED_VALUE"""),0.0)</f>
        <v>0</v>
      </c>
      <c r="AY71" s="125">
        <f>IFERROR(__xludf.DUMMYFUNCTION("""COMPUTED_VALUE"""),0.0)</f>
        <v>0</v>
      </c>
      <c r="AZ71" s="127">
        <f>IFERROR(__xludf.DUMMYFUNCTION("""COMPUTED_VALUE"""),0.0)</f>
        <v>0</v>
      </c>
      <c r="BA71" s="34"/>
    </row>
    <row r="72" ht="15.75" customHeight="1">
      <c r="A72" s="29"/>
      <c r="B72" s="48" t="str">
        <f>IFERROR(__xludf.DUMMYFUNCTION("""COMPUTED_VALUE"""),"Chia ra:")</f>
        <v>Chia ra:</v>
      </c>
      <c r="C72" s="49"/>
      <c r="D72" s="3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50"/>
      <c r="BA72" s="34"/>
    </row>
    <row r="73" ht="15.75" customHeight="1">
      <c r="A73" s="29"/>
      <c r="B73" s="67" t="str">
        <f>IFERROR(__xludf.DUMMYFUNCTION("""COMPUTED_VALUE""")," + Kiên cố")</f>
        <v> + Kiên cố</v>
      </c>
      <c r="C73" s="31"/>
      <c r="D73" s="31" t="str">
        <f>IFERROR(__xludf.DUMMYFUNCTION("""COMPUTED_VALUE"""),"""")</f>
        <v>"</v>
      </c>
      <c r="E73" s="41">
        <f>IFERROR(__xludf.DUMMYFUNCTION("""COMPUTED_VALUE"""),18.0)</f>
        <v>18</v>
      </c>
      <c r="F73" s="42">
        <f>IFERROR(__xludf.DUMMYFUNCTION("""COMPUTED_VALUE"""),18.0)</f>
        <v>18</v>
      </c>
      <c r="G73" s="42">
        <f>IFERROR(__xludf.DUMMYFUNCTION("""COMPUTED_VALUE"""),0.0)</f>
        <v>0</v>
      </c>
      <c r="H73" s="42">
        <f>IFERROR(__xludf.DUMMYFUNCTION("""COMPUTED_VALUE"""),0.0)</f>
        <v>0</v>
      </c>
      <c r="I73" s="41">
        <f>IFERROR(__xludf.DUMMYFUNCTION("""COMPUTED_VALUE"""),19.0)</f>
        <v>19</v>
      </c>
      <c r="J73" s="42">
        <f>IFERROR(__xludf.DUMMYFUNCTION("""COMPUTED_VALUE"""),19.0)</f>
        <v>19</v>
      </c>
      <c r="K73" s="42">
        <f>IFERROR(__xludf.DUMMYFUNCTION("""COMPUTED_VALUE"""),0.0)</f>
        <v>0</v>
      </c>
      <c r="L73" s="42">
        <f>IFERROR(__xludf.DUMMYFUNCTION("""COMPUTED_VALUE"""),0.0)</f>
        <v>0</v>
      </c>
      <c r="M73" s="41">
        <f>IFERROR(__xludf.DUMMYFUNCTION("""COMPUTED_VALUE"""),19.0)</f>
        <v>19</v>
      </c>
      <c r="N73" s="42">
        <f>IFERROR(__xludf.DUMMYFUNCTION("""COMPUTED_VALUE"""),19.0)</f>
        <v>19</v>
      </c>
      <c r="O73" s="42">
        <f>IFERROR(__xludf.DUMMYFUNCTION("""COMPUTED_VALUE"""),0.0)</f>
        <v>0</v>
      </c>
      <c r="P73" s="42">
        <f>IFERROR(__xludf.DUMMYFUNCTION("""COMPUTED_VALUE"""),0.0)</f>
        <v>0</v>
      </c>
      <c r="Q73" s="41">
        <f>IFERROR(__xludf.DUMMYFUNCTION("""COMPUTED_VALUE"""),20.0)</f>
        <v>20</v>
      </c>
      <c r="R73" s="42">
        <f>IFERROR(__xludf.DUMMYFUNCTION("""COMPUTED_VALUE"""),20.0)</f>
        <v>20</v>
      </c>
      <c r="S73" s="42">
        <f>IFERROR(__xludf.DUMMYFUNCTION("""COMPUTED_VALUE"""),0.0)</f>
        <v>0</v>
      </c>
      <c r="T73" s="42">
        <f>IFERROR(__xludf.DUMMYFUNCTION("""COMPUTED_VALUE"""),0.0)</f>
        <v>0</v>
      </c>
      <c r="U73" s="41">
        <f>IFERROR(__xludf.DUMMYFUNCTION("""COMPUTED_VALUE"""),20.0)</f>
        <v>20</v>
      </c>
      <c r="V73" s="42">
        <f>IFERROR(__xludf.DUMMYFUNCTION("""COMPUTED_VALUE"""),20.0)</f>
        <v>20</v>
      </c>
      <c r="W73" s="42">
        <f>IFERROR(__xludf.DUMMYFUNCTION("""COMPUTED_VALUE"""),0.0)</f>
        <v>0</v>
      </c>
      <c r="X73" s="42">
        <f>IFERROR(__xludf.DUMMYFUNCTION("""COMPUTED_VALUE"""),0.0)</f>
        <v>0</v>
      </c>
      <c r="Y73" s="41">
        <f>IFERROR(__xludf.DUMMYFUNCTION("""COMPUTED_VALUE"""),20.0)</f>
        <v>20</v>
      </c>
      <c r="Z73" s="42">
        <f>IFERROR(__xludf.DUMMYFUNCTION("""COMPUTED_VALUE"""),20.0)</f>
        <v>20</v>
      </c>
      <c r="AA73" s="42">
        <f>IFERROR(__xludf.DUMMYFUNCTION("""COMPUTED_VALUE"""),0.0)</f>
        <v>0</v>
      </c>
      <c r="AB73" s="42">
        <f>IFERROR(__xludf.DUMMYFUNCTION("""COMPUTED_VALUE"""),0.0)</f>
        <v>0</v>
      </c>
      <c r="AC73" s="41">
        <f>IFERROR(__xludf.DUMMYFUNCTION("""COMPUTED_VALUE"""),20.0)</f>
        <v>20</v>
      </c>
      <c r="AD73" s="42">
        <f>IFERROR(__xludf.DUMMYFUNCTION("""COMPUTED_VALUE"""),20.0)</f>
        <v>20</v>
      </c>
      <c r="AE73" s="42">
        <f>IFERROR(__xludf.DUMMYFUNCTION("""COMPUTED_VALUE"""),0.0)</f>
        <v>0</v>
      </c>
      <c r="AF73" s="42">
        <f>IFERROR(__xludf.DUMMYFUNCTION("""COMPUTED_VALUE"""),0.0)</f>
        <v>0</v>
      </c>
      <c r="AG73" s="41">
        <f>IFERROR(__xludf.DUMMYFUNCTION("""COMPUTED_VALUE"""),5.0)</f>
        <v>5</v>
      </c>
      <c r="AH73" s="42">
        <f>IFERROR(__xludf.DUMMYFUNCTION("""COMPUTED_VALUE"""),5.0)</f>
        <v>5</v>
      </c>
      <c r="AI73" s="42">
        <f>IFERROR(__xludf.DUMMYFUNCTION("""COMPUTED_VALUE"""),0.0)</f>
        <v>0</v>
      </c>
      <c r="AJ73" s="42">
        <f>IFERROR(__xludf.DUMMYFUNCTION("""COMPUTED_VALUE"""),0.0)</f>
        <v>0</v>
      </c>
      <c r="AK73" s="41">
        <f>IFERROR(__xludf.DUMMYFUNCTION("""COMPUTED_VALUE"""),0.0)</f>
        <v>0</v>
      </c>
      <c r="AL73" s="42">
        <f>IFERROR(__xludf.DUMMYFUNCTION("""COMPUTED_VALUE"""),0.0)</f>
        <v>0</v>
      </c>
      <c r="AM73" s="42">
        <f>IFERROR(__xludf.DUMMYFUNCTION("""COMPUTED_VALUE"""),0.0)</f>
        <v>0</v>
      </c>
      <c r="AN73" s="42">
        <f>IFERROR(__xludf.DUMMYFUNCTION("""COMPUTED_VALUE"""),0.0)</f>
        <v>0</v>
      </c>
      <c r="AO73" s="41">
        <f>IFERROR(__xludf.DUMMYFUNCTION("""COMPUTED_VALUE"""),0.0)</f>
        <v>0</v>
      </c>
      <c r="AP73" s="42">
        <f>IFERROR(__xludf.DUMMYFUNCTION("""COMPUTED_VALUE"""),0.0)</f>
        <v>0</v>
      </c>
      <c r="AQ73" s="42">
        <f>IFERROR(__xludf.DUMMYFUNCTION("""COMPUTED_VALUE"""),0.0)</f>
        <v>0</v>
      </c>
      <c r="AR73" s="42">
        <f>IFERROR(__xludf.DUMMYFUNCTION("""COMPUTED_VALUE"""),0.0)</f>
        <v>0</v>
      </c>
      <c r="AS73" s="41">
        <f>IFERROR(__xludf.DUMMYFUNCTION("""COMPUTED_VALUE"""),0.0)</f>
        <v>0</v>
      </c>
      <c r="AT73" s="42">
        <f>IFERROR(__xludf.DUMMYFUNCTION("""COMPUTED_VALUE"""),0.0)</f>
        <v>0</v>
      </c>
      <c r="AU73" s="42">
        <f>IFERROR(__xludf.DUMMYFUNCTION("""COMPUTED_VALUE"""),0.0)</f>
        <v>0</v>
      </c>
      <c r="AV73" s="42">
        <f>IFERROR(__xludf.DUMMYFUNCTION("""COMPUTED_VALUE"""),0.0)</f>
        <v>0</v>
      </c>
      <c r="AW73" s="41">
        <f>IFERROR(__xludf.DUMMYFUNCTION("""COMPUTED_VALUE"""),0.0)</f>
        <v>0</v>
      </c>
      <c r="AX73" s="42">
        <f>IFERROR(__xludf.DUMMYFUNCTION("""COMPUTED_VALUE"""),0.0)</f>
        <v>0</v>
      </c>
      <c r="AY73" s="42">
        <f>IFERROR(__xludf.DUMMYFUNCTION("""COMPUTED_VALUE"""),0.0)</f>
        <v>0</v>
      </c>
      <c r="AZ73" s="43">
        <f>IFERROR(__xludf.DUMMYFUNCTION("""COMPUTED_VALUE"""),0.0)</f>
        <v>0</v>
      </c>
      <c r="BA73" s="34"/>
    </row>
    <row r="74" ht="15.75" customHeight="1">
      <c r="A74" s="29"/>
      <c r="B74" s="67" t="str">
        <f>IFERROR(__xludf.DUMMYFUNCTION("""COMPUTED_VALUE""")," + Bán kiên cố")</f>
        <v> + Bán kiên cố</v>
      </c>
      <c r="C74" s="31"/>
      <c r="D74" s="31" t="str">
        <f>IFERROR(__xludf.DUMMYFUNCTION("""COMPUTED_VALUE"""),"""")</f>
        <v>"</v>
      </c>
      <c r="E74" s="41">
        <f>IFERROR(__xludf.DUMMYFUNCTION("""COMPUTED_VALUE"""),1.0)</f>
        <v>1</v>
      </c>
      <c r="F74" s="42">
        <f>IFERROR(__xludf.DUMMYFUNCTION("""COMPUTED_VALUE"""),1.0)</f>
        <v>1</v>
      </c>
      <c r="G74" s="42">
        <f>IFERROR(__xludf.DUMMYFUNCTION("""COMPUTED_VALUE"""),0.0)</f>
        <v>0</v>
      </c>
      <c r="H74" s="42">
        <f>IFERROR(__xludf.DUMMYFUNCTION("""COMPUTED_VALUE"""),0.0)</f>
        <v>0</v>
      </c>
      <c r="I74" s="41">
        <f>IFERROR(__xludf.DUMMYFUNCTION("""COMPUTED_VALUE"""),1.0)</f>
        <v>1</v>
      </c>
      <c r="J74" s="42">
        <f>IFERROR(__xludf.DUMMYFUNCTION("""COMPUTED_VALUE"""),1.0)</f>
        <v>1</v>
      </c>
      <c r="K74" s="42">
        <f>IFERROR(__xludf.DUMMYFUNCTION("""COMPUTED_VALUE"""),0.0)</f>
        <v>0</v>
      </c>
      <c r="L74" s="42">
        <f>IFERROR(__xludf.DUMMYFUNCTION("""COMPUTED_VALUE"""),0.0)</f>
        <v>0</v>
      </c>
      <c r="M74" s="41">
        <f>IFERROR(__xludf.DUMMYFUNCTION("""COMPUTED_VALUE"""),0.0)</f>
        <v>0</v>
      </c>
      <c r="N74" s="42">
        <f>IFERROR(__xludf.DUMMYFUNCTION("""COMPUTED_VALUE"""),0.0)</f>
        <v>0</v>
      </c>
      <c r="O74" s="42">
        <f>IFERROR(__xludf.DUMMYFUNCTION("""COMPUTED_VALUE"""),0.0)</f>
        <v>0</v>
      </c>
      <c r="P74" s="42">
        <f>IFERROR(__xludf.DUMMYFUNCTION("""COMPUTED_VALUE"""),0.0)</f>
        <v>0</v>
      </c>
      <c r="Q74" s="41">
        <f>IFERROR(__xludf.DUMMYFUNCTION("""COMPUTED_VALUE"""),0.0)</f>
        <v>0</v>
      </c>
      <c r="R74" s="42">
        <f>IFERROR(__xludf.DUMMYFUNCTION("""COMPUTED_VALUE"""),0.0)</f>
        <v>0</v>
      </c>
      <c r="S74" s="42">
        <f>IFERROR(__xludf.DUMMYFUNCTION("""COMPUTED_VALUE"""),0.0)</f>
        <v>0</v>
      </c>
      <c r="T74" s="42">
        <f>IFERROR(__xludf.DUMMYFUNCTION("""COMPUTED_VALUE"""),0.0)</f>
        <v>0</v>
      </c>
      <c r="U74" s="41">
        <f>IFERROR(__xludf.DUMMYFUNCTION("""COMPUTED_VALUE"""),0.0)</f>
        <v>0</v>
      </c>
      <c r="V74" s="42">
        <f>IFERROR(__xludf.DUMMYFUNCTION("""COMPUTED_VALUE"""),0.0)</f>
        <v>0</v>
      </c>
      <c r="W74" s="42">
        <f>IFERROR(__xludf.DUMMYFUNCTION("""COMPUTED_VALUE"""),0.0)</f>
        <v>0</v>
      </c>
      <c r="X74" s="42">
        <f>IFERROR(__xludf.DUMMYFUNCTION("""COMPUTED_VALUE"""),0.0)</f>
        <v>0</v>
      </c>
      <c r="Y74" s="41">
        <f>IFERROR(__xludf.DUMMYFUNCTION("""COMPUTED_VALUE"""),0.0)</f>
        <v>0</v>
      </c>
      <c r="Z74" s="42">
        <f>IFERROR(__xludf.DUMMYFUNCTION("""COMPUTED_VALUE"""),0.0)</f>
        <v>0</v>
      </c>
      <c r="AA74" s="42">
        <f>IFERROR(__xludf.DUMMYFUNCTION("""COMPUTED_VALUE"""),0.0)</f>
        <v>0</v>
      </c>
      <c r="AB74" s="42">
        <f>IFERROR(__xludf.DUMMYFUNCTION("""COMPUTED_VALUE"""),0.0)</f>
        <v>0</v>
      </c>
      <c r="AC74" s="41">
        <f>IFERROR(__xludf.DUMMYFUNCTION("""COMPUTED_VALUE"""),0.0)</f>
        <v>0</v>
      </c>
      <c r="AD74" s="42">
        <f>IFERROR(__xludf.DUMMYFUNCTION("""COMPUTED_VALUE"""),0.0)</f>
        <v>0</v>
      </c>
      <c r="AE74" s="42">
        <f>IFERROR(__xludf.DUMMYFUNCTION("""COMPUTED_VALUE"""),0.0)</f>
        <v>0</v>
      </c>
      <c r="AF74" s="42">
        <f>IFERROR(__xludf.DUMMYFUNCTION("""COMPUTED_VALUE"""),0.0)</f>
        <v>0</v>
      </c>
      <c r="AG74" s="41">
        <f>IFERROR(__xludf.DUMMYFUNCTION("""COMPUTED_VALUE"""),0.0)</f>
        <v>0</v>
      </c>
      <c r="AH74" s="42">
        <f>IFERROR(__xludf.DUMMYFUNCTION("""COMPUTED_VALUE"""),0.0)</f>
        <v>0</v>
      </c>
      <c r="AI74" s="42">
        <f>IFERROR(__xludf.DUMMYFUNCTION("""COMPUTED_VALUE"""),0.0)</f>
        <v>0</v>
      </c>
      <c r="AJ74" s="42">
        <f>IFERROR(__xludf.DUMMYFUNCTION("""COMPUTED_VALUE"""),0.0)</f>
        <v>0</v>
      </c>
      <c r="AK74" s="41">
        <f>IFERROR(__xludf.DUMMYFUNCTION("""COMPUTED_VALUE"""),0.0)</f>
        <v>0</v>
      </c>
      <c r="AL74" s="42">
        <f>IFERROR(__xludf.DUMMYFUNCTION("""COMPUTED_VALUE"""),0.0)</f>
        <v>0</v>
      </c>
      <c r="AM74" s="42">
        <f>IFERROR(__xludf.DUMMYFUNCTION("""COMPUTED_VALUE"""),0.0)</f>
        <v>0</v>
      </c>
      <c r="AN74" s="42">
        <f>IFERROR(__xludf.DUMMYFUNCTION("""COMPUTED_VALUE"""),0.0)</f>
        <v>0</v>
      </c>
      <c r="AO74" s="41">
        <f>IFERROR(__xludf.DUMMYFUNCTION("""COMPUTED_VALUE"""),0.0)</f>
        <v>0</v>
      </c>
      <c r="AP74" s="42">
        <f>IFERROR(__xludf.DUMMYFUNCTION("""COMPUTED_VALUE"""),0.0)</f>
        <v>0</v>
      </c>
      <c r="AQ74" s="42">
        <f>IFERROR(__xludf.DUMMYFUNCTION("""COMPUTED_VALUE"""),0.0)</f>
        <v>0</v>
      </c>
      <c r="AR74" s="42">
        <f>IFERROR(__xludf.DUMMYFUNCTION("""COMPUTED_VALUE"""),0.0)</f>
        <v>0</v>
      </c>
      <c r="AS74" s="41">
        <f>IFERROR(__xludf.DUMMYFUNCTION("""COMPUTED_VALUE"""),0.0)</f>
        <v>0</v>
      </c>
      <c r="AT74" s="42">
        <f>IFERROR(__xludf.DUMMYFUNCTION("""COMPUTED_VALUE"""),0.0)</f>
        <v>0</v>
      </c>
      <c r="AU74" s="42">
        <f>IFERROR(__xludf.DUMMYFUNCTION("""COMPUTED_VALUE"""),0.0)</f>
        <v>0</v>
      </c>
      <c r="AV74" s="42">
        <f>IFERROR(__xludf.DUMMYFUNCTION("""COMPUTED_VALUE"""),0.0)</f>
        <v>0</v>
      </c>
      <c r="AW74" s="41">
        <f>IFERROR(__xludf.DUMMYFUNCTION("""COMPUTED_VALUE"""),0.0)</f>
        <v>0</v>
      </c>
      <c r="AX74" s="42">
        <f>IFERROR(__xludf.DUMMYFUNCTION("""COMPUTED_VALUE"""),0.0)</f>
        <v>0</v>
      </c>
      <c r="AY74" s="42">
        <f>IFERROR(__xludf.DUMMYFUNCTION("""COMPUTED_VALUE"""),0.0)</f>
        <v>0</v>
      </c>
      <c r="AZ74" s="43">
        <f>IFERROR(__xludf.DUMMYFUNCTION("""COMPUTED_VALUE"""),0.0)</f>
        <v>0</v>
      </c>
      <c r="BA74" s="34"/>
    </row>
    <row r="75" ht="15.75" customHeight="1">
      <c r="A75" s="29"/>
      <c r="B75" s="67" t="str">
        <f>IFERROR(__xludf.DUMMYFUNCTION("""COMPUTED_VALUE""")," + Tạm")</f>
        <v> + Tạm</v>
      </c>
      <c r="C75" s="31"/>
      <c r="D75" s="31" t="str">
        <f>IFERROR(__xludf.DUMMYFUNCTION("""COMPUTED_VALUE"""),"""")</f>
        <v>"</v>
      </c>
      <c r="E75" s="41">
        <f>IFERROR(__xludf.DUMMYFUNCTION("""COMPUTED_VALUE"""),3.0)</f>
        <v>3</v>
      </c>
      <c r="F75" s="42">
        <f>IFERROR(__xludf.DUMMYFUNCTION("""COMPUTED_VALUE"""),3.0)</f>
        <v>3</v>
      </c>
      <c r="G75" s="42">
        <f>IFERROR(__xludf.DUMMYFUNCTION("""COMPUTED_VALUE"""),0.0)</f>
        <v>0</v>
      </c>
      <c r="H75" s="42">
        <f>IFERROR(__xludf.DUMMYFUNCTION("""COMPUTED_VALUE"""),0.0)</f>
        <v>0</v>
      </c>
      <c r="I75" s="41">
        <f>IFERROR(__xludf.DUMMYFUNCTION("""COMPUTED_VALUE"""),1.0)</f>
        <v>1</v>
      </c>
      <c r="J75" s="42">
        <f>IFERROR(__xludf.DUMMYFUNCTION("""COMPUTED_VALUE"""),1.0)</f>
        <v>1</v>
      </c>
      <c r="K75" s="42">
        <f>IFERROR(__xludf.DUMMYFUNCTION("""COMPUTED_VALUE"""),0.0)</f>
        <v>0</v>
      </c>
      <c r="L75" s="42">
        <f>IFERROR(__xludf.DUMMYFUNCTION("""COMPUTED_VALUE"""),0.0)</f>
        <v>0</v>
      </c>
      <c r="M75" s="41">
        <f>IFERROR(__xludf.DUMMYFUNCTION("""COMPUTED_VALUE"""),1.0)</f>
        <v>1</v>
      </c>
      <c r="N75" s="42">
        <f>IFERROR(__xludf.DUMMYFUNCTION("""COMPUTED_VALUE"""),1.0)</f>
        <v>1</v>
      </c>
      <c r="O75" s="42">
        <f>IFERROR(__xludf.DUMMYFUNCTION("""COMPUTED_VALUE"""),0.0)</f>
        <v>0</v>
      </c>
      <c r="P75" s="42">
        <f>IFERROR(__xludf.DUMMYFUNCTION("""COMPUTED_VALUE"""),0.0)</f>
        <v>0</v>
      </c>
      <c r="Q75" s="41">
        <f>IFERROR(__xludf.DUMMYFUNCTION("""COMPUTED_VALUE"""),1.0)</f>
        <v>1</v>
      </c>
      <c r="R75" s="42">
        <f>IFERROR(__xludf.DUMMYFUNCTION("""COMPUTED_VALUE"""),1.0)</f>
        <v>1</v>
      </c>
      <c r="S75" s="42">
        <f>IFERROR(__xludf.DUMMYFUNCTION("""COMPUTED_VALUE"""),0.0)</f>
        <v>0</v>
      </c>
      <c r="T75" s="42">
        <f>IFERROR(__xludf.DUMMYFUNCTION("""COMPUTED_VALUE"""),0.0)</f>
        <v>0</v>
      </c>
      <c r="U75" s="41">
        <f>IFERROR(__xludf.DUMMYFUNCTION("""COMPUTED_VALUE"""),1.0)</f>
        <v>1</v>
      </c>
      <c r="V75" s="42">
        <f>IFERROR(__xludf.DUMMYFUNCTION("""COMPUTED_VALUE"""),1.0)</f>
        <v>1</v>
      </c>
      <c r="W75" s="42">
        <f>IFERROR(__xludf.DUMMYFUNCTION("""COMPUTED_VALUE"""),0.0)</f>
        <v>0</v>
      </c>
      <c r="X75" s="42">
        <f>IFERROR(__xludf.DUMMYFUNCTION("""COMPUTED_VALUE"""),0.0)</f>
        <v>0</v>
      </c>
      <c r="Y75" s="41">
        <f>IFERROR(__xludf.DUMMYFUNCTION("""COMPUTED_VALUE"""),1.0)</f>
        <v>1</v>
      </c>
      <c r="Z75" s="42">
        <f>IFERROR(__xludf.DUMMYFUNCTION("""COMPUTED_VALUE"""),1.0)</f>
        <v>1</v>
      </c>
      <c r="AA75" s="42">
        <f>IFERROR(__xludf.DUMMYFUNCTION("""COMPUTED_VALUE"""),0.0)</f>
        <v>0</v>
      </c>
      <c r="AB75" s="42">
        <f>IFERROR(__xludf.DUMMYFUNCTION("""COMPUTED_VALUE"""),0.0)</f>
        <v>0</v>
      </c>
      <c r="AC75" s="41">
        <f>IFERROR(__xludf.DUMMYFUNCTION("""COMPUTED_VALUE"""),1.0)</f>
        <v>1</v>
      </c>
      <c r="AD75" s="42">
        <f>IFERROR(__xludf.DUMMYFUNCTION("""COMPUTED_VALUE"""),1.0)</f>
        <v>1</v>
      </c>
      <c r="AE75" s="42">
        <f>IFERROR(__xludf.DUMMYFUNCTION("""COMPUTED_VALUE"""),0.0)</f>
        <v>0</v>
      </c>
      <c r="AF75" s="42">
        <f>IFERROR(__xludf.DUMMYFUNCTION("""COMPUTED_VALUE"""),0.0)</f>
        <v>0</v>
      </c>
      <c r="AG75" s="41">
        <f>IFERROR(__xludf.DUMMYFUNCTION("""COMPUTED_VALUE"""),0.0)</f>
        <v>0</v>
      </c>
      <c r="AH75" s="42">
        <f>IFERROR(__xludf.DUMMYFUNCTION("""COMPUTED_VALUE"""),0.0)</f>
        <v>0</v>
      </c>
      <c r="AI75" s="42">
        <f>IFERROR(__xludf.DUMMYFUNCTION("""COMPUTED_VALUE"""),0.0)</f>
        <v>0</v>
      </c>
      <c r="AJ75" s="42">
        <f>IFERROR(__xludf.DUMMYFUNCTION("""COMPUTED_VALUE"""),0.0)</f>
        <v>0</v>
      </c>
      <c r="AK75" s="41">
        <f>IFERROR(__xludf.DUMMYFUNCTION("""COMPUTED_VALUE"""),0.0)</f>
        <v>0</v>
      </c>
      <c r="AL75" s="42">
        <f>IFERROR(__xludf.DUMMYFUNCTION("""COMPUTED_VALUE"""),0.0)</f>
        <v>0</v>
      </c>
      <c r="AM75" s="42">
        <f>IFERROR(__xludf.DUMMYFUNCTION("""COMPUTED_VALUE"""),0.0)</f>
        <v>0</v>
      </c>
      <c r="AN75" s="42">
        <f>IFERROR(__xludf.DUMMYFUNCTION("""COMPUTED_VALUE"""),0.0)</f>
        <v>0</v>
      </c>
      <c r="AO75" s="41">
        <f>IFERROR(__xludf.DUMMYFUNCTION("""COMPUTED_VALUE"""),0.0)</f>
        <v>0</v>
      </c>
      <c r="AP75" s="42">
        <f>IFERROR(__xludf.DUMMYFUNCTION("""COMPUTED_VALUE"""),0.0)</f>
        <v>0</v>
      </c>
      <c r="AQ75" s="42">
        <f>IFERROR(__xludf.DUMMYFUNCTION("""COMPUTED_VALUE"""),0.0)</f>
        <v>0</v>
      </c>
      <c r="AR75" s="42">
        <f>IFERROR(__xludf.DUMMYFUNCTION("""COMPUTED_VALUE"""),0.0)</f>
        <v>0</v>
      </c>
      <c r="AS75" s="41">
        <f>IFERROR(__xludf.DUMMYFUNCTION("""COMPUTED_VALUE"""),0.0)</f>
        <v>0</v>
      </c>
      <c r="AT75" s="42">
        <f>IFERROR(__xludf.DUMMYFUNCTION("""COMPUTED_VALUE"""),0.0)</f>
        <v>0</v>
      </c>
      <c r="AU75" s="42">
        <f>IFERROR(__xludf.DUMMYFUNCTION("""COMPUTED_VALUE"""),0.0)</f>
        <v>0</v>
      </c>
      <c r="AV75" s="42">
        <f>IFERROR(__xludf.DUMMYFUNCTION("""COMPUTED_VALUE"""),0.0)</f>
        <v>0</v>
      </c>
      <c r="AW75" s="41">
        <f>IFERROR(__xludf.DUMMYFUNCTION("""COMPUTED_VALUE"""),0.0)</f>
        <v>0</v>
      </c>
      <c r="AX75" s="42">
        <f>IFERROR(__xludf.DUMMYFUNCTION("""COMPUTED_VALUE"""),0.0)</f>
        <v>0</v>
      </c>
      <c r="AY75" s="42">
        <f>IFERROR(__xludf.DUMMYFUNCTION("""COMPUTED_VALUE"""),0.0)</f>
        <v>0</v>
      </c>
      <c r="AZ75" s="43">
        <f>IFERROR(__xludf.DUMMYFUNCTION("""COMPUTED_VALUE"""),0.0)</f>
        <v>0</v>
      </c>
      <c r="BA75" s="34"/>
    </row>
    <row r="76" ht="15.75" customHeight="1">
      <c r="A76" s="29"/>
      <c r="B76" s="196" t="str">
        <f>IFERROR(__xludf.DUMMYFUNCTION("""COMPUTED_VALUE"""),"7.4. Tổng số nhà đa năng")</f>
        <v>7.4. Tổng số nhà đa năng</v>
      </c>
      <c r="C76" s="57"/>
      <c r="D76" s="57" t="str">
        <f>IFERROR(__xludf.DUMMYFUNCTION("""COMPUTED_VALUE"""),"Phòng")</f>
        <v>Phòng</v>
      </c>
      <c r="E76" s="125">
        <f>IFERROR(__xludf.DUMMYFUNCTION("""COMPUTED_VALUE"""),9.0)</f>
        <v>9</v>
      </c>
      <c r="F76" s="125">
        <f>IFERROR(__xludf.DUMMYFUNCTION("""COMPUTED_VALUE"""),9.0)</f>
        <v>9</v>
      </c>
      <c r="G76" s="125">
        <f>IFERROR(__xludf.DUMMYFUNCTION("""COMPUTED_VALUE"""),0.0)</f>
        <v>0</v>
      </c>
      <c r="H76" s="125">
        <f>IFERROR(__xludf.DUMMYFUNCTION("""COMPUTED_VALUE"""),0.0)</f>
        <v>0</v>
      </c>
      <c r="I76" s="125">
        <f>IFERROR(__xludf.DUMMYFUNCTION("""COMPUTED_VALUE"""),9.0)</f>
        <v>9</v>
      </c>
      <c r="J76" s="125">
        <f>IFERROR(__xludf.DUMMYFUNCTION("""COMPUTED_VALUE"""),9.0)</f>
        <v>9</v>
      </c>
      <c r="K76" s="125">
        <f>IFERROR(__xludf.DUMMYFUNCTION("""COMPUTED_VALUE"""),0.0)</f>
        <v>0</v>
      </c>
      <c r="L76" s="125">
        <f>IFERROR(__xludf.DUMMYFUNCTION("""COMPUTED_VALUE"""),0.0)</f>
        <v>0</v>
      </c>
      <c r="M76" s="125">
        <f>IFERROR(__xludf.DUMMYFUNCTION("""COMPUTED_VALUE"""),9.0)</f>
        <v>9</v>
      </c>
      <c r="N76" s="125">
        <f>IFERROR(__xludf.DUMMYFUNCTION("""COMPUTED_VALUE"""),9.0)</f>
        <v>9</v>
      </c>
      <c r="O76" s="125">
        <f>IFERROR(__xludf.DUMMYFUNCTION("""COMPUTED_VALUE"""),0.0)</f>
        <v>0</v>
      </c>
      <c r="P76" s="125">
        <f>IFERROR(__xludf.DUMMYFUNCTION("""COMPUTED_VALUE"""),0.0)</f>
        <v>0</v>
      </c>
      <c r="Q76" s="125">
        <f>IFERROR(__xludf.DUMMYFUNCTION("""COMPUTED_VALUE"""),9.0)</f>
        <v>9</v>
      </c>
      <c r="R76" s="125">
        <f>IFERROR(__xludf.DUMMYFUNCTION("""COMPUTED_VALUE"""),9.0)</f>
        <v>9</v>
      </c>
      <c r="S76" s="125">
        <f>IFERROR(__xludf.DUMMYFUNCTION("""COMPUTED_VALUE"""),0.0)</f>
        <v>0</v>
      </c>
      <c r="T76" s="125">
        <f>IFERROR(__xludf.DUMMYFUNCTION("""COMPUTED_VALUE"""),0.0)</f>
        <v>0</v>
      </c>
      <c r="U76" s="125">
        <f>IFERROR(__xludf.DUMMYFUNCTION("""COMPUTED_VALUE"""),9.0)</f>
        <v>9</v>
      </c>
      <c r="V76" s="125">
        <f>IFERROR(__xludf.DUMMYFUNCTION("""COMPUTED_VALUE"""),9.0)</f>
        <v>9</v>
      </c>
      <c r="W76" s="125">
        <f>IFERROR(__xludf.DUMMYFUNCTION("""COMPUTED_VALUE"""),0.0)</f>
        <v>0</v>
      </c>
      <c r="X76" s="125">
        <f>IFERROR(__xludf.DUMMYFUNCTION("""COMPUTED_VALUE"""),0.0)</f>
        <v>0</v>
      </c>
      <c r="Y76" s="125">
        <f>IFERROR(__xludf.DUMMYFUNCTION("""COMPUTED_VALUE"""),9.0)</f>
        <v>9</v>
      </c>
      <c r="Z76" s="125">
        <f>IFERROR(__xludf.DUMMYFUNCTION("""COMPUTED_VALUE"""),9.0)</f>
        <v>9</v>
      </c>
      <c r="AA76" s="125">
        <f>IFERROR(__xludf.DUMMYFUNCTION("""COMPUTED_VALUE"""),0.0)</f>
        <v>0</v>
      </c>
      <c r="AB76" s="125">
        <f>IFERROR(__xludf.DUMMYFUNCTION("""COMPUTED_VALUE"""),0.0)</f>
        <v>0</v>
      </c>
      <c r="AC76" s="125">
        <f>IFERROR(__xludf.DUMMYFUNCTION("""COMPUTED_VALUE"""),9.0)</f>
        <v>9</v>
      </c>
      <c r="AD76" s="125">
        <f>IFERROR(__xludf.DUMMYFUNCTION("""COMPUTED_VALUE"""),9.0)</f>
        <v>9</v>
      </c>
      <c r="AE76" s="125">
        <f>IFERROR(__xludf.DUMMYFUNCTION("""COMPUTED_VALUE"""),0.0)</f>
        <v>0</v>
      </c>
      <c r="AF76" s="125">
        <f>IFERROR(__xludf.DUMMYFUNCTION("""COMPUTED_VALUE"""),0.0)</f>
        <v>0</v>
      </c>
      <c r="AG76" s="125">
        <f>IFERROR(__xludf.DUMMYFUNCTION("""COMPUTED_VALUE"""),2.0)</f>
        <v>2</v>
      </c>
      <c r="AH76" s="125">
        <f>IFERROR(__xludf.DUMMYFUNCTION("""COMPUTED_VALUE"""),2.0)</f>
        <v>2</v>
      </c>
      <c r="AI76" s="125">
        <f>IFERROR(__xludf.DUMMYFUNCTION("""COMPUTED_VALUE"""),0.0)</f>
        <v>0</v>
      </c>
      <c r="AJ76" s="125">
        <f>IFERROR(__xludf.DUMMYFUNCTION("""COMPUTED_VALUE"""),0.0)</f>
        <v>0</v>
      </c>
      <c r="AK76" s="125">
        <f>IFERROR(__xludf.DUMMYFUNCTION("""COMPUTED_VALUE"""),0.0)</f>
        <v>0</v>
      </c>
      <c r="AL76" s="125">
        <f>IFERROR(__xludf.DUMMYFUNCTION("""COMPUTED_VALUE"""),0.0)</f>
        <v>0</v>
      </c>
      <c r="AM76" s="125">
        <f>IFERROR(__xludf.DUMMYFUNCTION("""COMPUTED_VALUE"""),0.0)</f>
        <v>0</v>
      </c>
      <c r="AN76" s="125">
        <f>IFERROR(__xludf.DUMMYFUNCTION("""COMPUTED_VALUE"""),0.0)</f>
        <v>0</v>
      </c>
      <c r="AO76" s="125">
        <f>IFERROR(__xludf.DUMMYFUNCTION("""COMPUTED_VALUE"""),0.0)</f>
        <v>0</v>
      </c>
      <c r="AP76" s="125">
        <f>IFERROR(__xludf.DUMMYFUNCTION("""COMPUTED_VALUE"""),0.0)</f>
        <v>0</v>
      </c>
      <c r="AQ76" s="125">
        <f>IFERROR(__xludf.DUMMYFUNCTION("""COMPUTED_VALUE"""),0.0)</f>
        <v>0</v>
      </c>
      <c r="AR76" s="125">
        <f>IFERROR(__xludf.DUMMYFUNCTION("""COMPUTED_VALUE"""),0.0)</f>
        <v>0</v>
      </c>
      <c r="AS76" s="125">
        <f>IFERROR(__xludf.DUMMYFUNCTION("""COMPUTED_VALUE"""),0.0)</f>
        <v>0</v>
      </c>
      <c r="AT76" s="125">
        <f>IFERROR(__xludf.DUMMYFUNCTION("""COMPUTED_VALUE"""),0.0)</f>
        <v>0</v>
      </c>
      <c r="AU76" s="125">
        <f>IFERROR(__xludf.DUMMYFUNCTION("""COMPUTED_VALUE"""),0.0)</f>
        <v>0</v>
      </c>
      <c r="AV76" s="125">
        <f>IFERROR(__xludf.DUMMYFUNCTION("""COMPUTED_VALUE"""),0.0)</f>
        <v>0</v>
      </c>
      <c r="AW76" s="125">
        <f>IFERROR(__xludf.DUMMYFUNCTION("""COMPUTED_VALUE"""),0.0)</f>
        <v>0</v>
      </c>
      <c r="AX76" s="125">
        <f>IFERROR(__xludf.DUMMYFUNCTION("""COMPUTED_VALUE"""),0.0)</f>
        <v>0</v>
      </c>
      <c r="AY76" s="125">
        <f>IFERROR(__xludf.DUMMYFUNCTION("""COMPUTED_VALUE"""),0.0)</f>
        <v>0</v>
      </c>
      <c r="AZ76" s="127">
        <f>IFERROR(__xludf.DUMMYFUNCTION("""COMPUTED_VALUE"""),0.0)</f>
        <v>0</v>
      </c>
      <c r="BA76" s="34"/>
    </row>
    <row r="77" ht="15.75" customHeight="1">
      <c r="A77" s="29"/>
      <c r="B77" s="48" t="str">
        <f>IFERROR(__xludf.DUMMYFUNCTION("""COMPUTED_VALUE"""),"Chia ra:")</f>
        <v>Chia ra:</v>
      </c>
      <c r="C77" s="49"/>
      <c r="D77" s="3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50"/>
      <c r="BA77" s="34"/>
    </row>
    <row r="78" ht="15.75" customHeight="1">
      <c r="A78" s="29"/>
      <c r="B78" s="67" t="str">
        <f>IFERROR(__xludf.DUMMYFUNCTION("""COMPUTED_VALUE""")," + Kiên cố")</f>
        <v> + Kiên cố</v>
      </c>
      <c r="C78" s="31"/>
      <c r="D78" s="31" t="str">
        <f>IFERROR(__xludf.DUMMYFUNCTION("""COMPUTED_VALUE"""),"""")</f>
        <v>"</v>
      </c>
      <c r="E78" s="41">
        <f>IFERROR(__xludf.DUMMYFUNCTION("""COMPUTED_VALUE"""),9.0)</f>
        <v>9</v>
      </c>
      <c r="F78" s="42">
        <f>IFERROR(__xludf.DUMMYFUNCTION("""COMPUTED_VALUE"""),9.0)</f>
        <v>9</v>
      </c>
      <c r="G78" s="42">
        <f>IFERROR(__xludf.DUMMYFUNCTION("""COMPUTED_VALUE"""),0.0)</f>
        <v>0</v>
      </c>
      <c r="H78" s="42">
        <f>IFERROR(__xludf.DUMMYFUNCTION("""COMPUTED_VALUE"""),0.0)</f>
        <v>0</v>
      </c>
      <c r="I78" s="41">
        <f>IFERROR(__xludf.DUMMYFUNCTION("""COMPUTED_VALUE"""),9.0)</f>
        <v>9</v>
      </c>
      <c r="J78" s="42">
        <f>IFERROR(__xludf.DUMMYFUNCTION("""COMPUTED_VALUE"""),9.0)</f>
        <v>9</v>
      </c>
      <c r="K78" s="42">
        <f>IFERROR(__xludf.DUMMYFUNCTION("""COMPUTED_VALUE"""),0.0)</f>
        <v>0</v>
      </c>
      <c r="L78" s="42">
        <f>IFERROR(__xludf.DUMMYFUNCTION("""COMPUTED_VALUE"""),0.0)</f>
        <v>0</v>
      </c>
      <c r="M78" s="41">
        <f>IFERROR(__xludf.DUMMYFUNCTION("""COMPUTED_VALUE"""),9.0)</f>
        <v>9</v>
      </c>
      <c r="N78" s="42">
        <f>IFERROR(__xludf.DUMMYFUNCTION("""COMPUTED_VALUE"""),9.0)</f>
        <v>9</v>
      </c>
      <c r="O78" s="42">
        <f>IFERROR(__xludf.DUMMYFUNCTION("""COMPUTED_VALUE"""),0.0)</f>
        <v>0</v>
      </c>
      <c r="P78" s="42">
        <f>IFERROR(__xludf.DUMMYFUNCTION("""COMPUTED_VALUE"""),0.0)</f>
        <v>0</v>
      </c>
      <c r="Q78" s="41">
        <f>IFERROR(__xludf.DUMMYFUNCTION("""COMPUTED_VALUE"""),9.0)</f>
        <v>9</v>
      </c>
      <c r="R78" s="42">
        <f>IFERROR(__xludf.DUMMYFUNCTION("""COMPUTED_VALUE"""),9.0)</f>
        <v>9</v>
      </c>
      <c r="S78" s="42">
        <f>IFERROR(__xludf.DUMMYFUNCTION("""COMPUTED_VALUE"""),0.0)</f>
        <v>0</v>
      </c>
      <c r="T78" s="42">
        <f>IFERROR(__xludf.DUMMYFUNCTION("""COMPUTED_VALUE"""),0.0)</f>
        <v>0</v>
      </c>
      <c r="U78" s="41">
        <f>IFERROR(__xludf.DUMMYFUNCTION("""COMPUTED_VALUE"""),9.0)</f>
        <v>9</v>
      </c>
      <c r="V78" s="42">
        <f>IFERROR(__xludf.DUMMYFUNCTION("""COMPUTED_VALUE"""),9.0)</f>
        <v>9</v>
      </c>
      <c r="W78" s="42">
        <f>IFERROR(__xludf.DUMMYFUNCTION("""COMPUTED_VALUE"""),0.0)</f>
        <v>0</v>
      </c>
      <c r="X78" s="42">
        <f>IFERROR(__xludf.DUMMYFUNCTION("""COMPUTED_VALUE"""),0.0)</f>
        <v>0</v>
      </c>
      <c r="Y78" s="41">
        <f>IFERROR(__xludf.DUMMYFUNCTION("""COMPUTED_VALUE"""),9.0)</f>
        <v>9</v>
      </c>
      <c r="Z78" s="42">
        <f>IFERROR(__xludf.DUMMYFUNCTION("""COMPUTED_VALUE"""),9.0)</f>
        <v>9</v>
      </c>
      <c r="AA78" s="42">
        <f>IFERROR(__xludf.DUMMYFUNCTION("""COMPUTED_VALUE"""),0.0)</f>
        <v>0</v>
      </c>
      <c r="AB78" s="42">
        <f>IFERROR(__xludf.DUMMYFUNCTION("""COMPUTED_VALUE"""),0.0)</f>
        <v>0</v>
      </c>
      <c r="AC78" s="41">
        <f>IFERROR(__xludf.DUMMYFUNCTION("""COMPUTED_VALUE"""),9.0)</f>
        <v>9</v>
      </c>
      <c r="AD78" s="42">
        <f>IFERROR(__xludf.DUMMYFUNCTION("""COMPUTED_VALUE"""),9.0)</f>
        <v>9</v>
      </c>
      <c r="AE78" s="42">
        <f>IFERROR(__xludf.DUMMYFUNCTION("""COMPUTED_VALUE"""),0.0)</f>
        <v>0</v>
      </c>
      <c r="AF78" s="42">
        <f>IFERROR(__xludf.DUMMYFUNCTION("""COMPUTED_VALUE"""),0.0)</f>
        <v>0</v>
      </c>
      <c r="AG78" s="41">
        <f>IFERROR(__xludf.DUMMYFUNCTION("""COMPUTED_VALUE"""),2.0)</f>
        <v>2</v>
      </c>
      <c r="AH78" s="42">
        <f>IFERROR(__xludf.DUMMYFUNCTION("""COMPUTED_VALUE"""),2.0)</f>
        <v>2</v>
      </c>
      <c r="AI78" s="42">
        <f>IFERROR(__xludf.DUMMYFUNCTION("""COMPUTED_VALUE"""),0.0)</f>
        <v>0</v>
      </c>
      <c r="AJ78" s="42">
        <f>IFERROR(__xludf.DUMMYFUNCTION("""COMPUTED_VALUE"""),0.0)</f>
        <v>0</v>
      </c>
      <c r="AK78" s="41">
        <f>IFERROR(__xludf.DUMMYFUNCTION("""COMPUTED_VALUE"""),0.0)</f>
        <v>0</v>
      </c>
      <c r="AL78" s="42">
        <f>IFERROR(__xludf.DUMMYFUNCTION("""COMPUTED_VALUE"""),0.0)</f>
        <v>0</v>
      </c>
      <c r="AM78" s="42">
        <f>IFERROR(__xludf.DUMMYFUNCTION("""COMPUTED_VALUE"""),0.0)</f>
        <v>0</v>
      </c>
      <c r="AN78" s="42">
        <f>IFERROR(__xludf.DUMMYFUNCTION("""COMPUTED_VALUE"""),0.0)</f>
        <v>0</v>
      </c>
      <c r="AO78" s="41">
        <f>IFERROR(__xludf.DUMMYFUNCTION("""COMPUTED_VALUE"""),0.0)</f>
        <v>0</v>
      </c>
      <c r="AP78" s="42">
        <f>IFERROR(__xludf.DUMMYFUNCTION("""COMPUTED_VALUE"""),0.0)</f>
        <v>0</v>
      </c>
      <c r="AQ78" s="42">
        <f>IFERROR(__xludf.DUMMYFUNCTION("""COMPUTED_VALUE"""),0.0)</f>
        <v>0</v>
      </c>
      <c r="AR78" s="42">
        <f>IFERROR(__xludf.DUMMYFUNCTION("""COMPUTED_VALUE"""),0.0)</f>
        <v>0</v>
      </c>
      <c r="AS78" s="41">
        <f>IFERROR(__xludf.DUMMYFUNCTION("""COMPUTED_VALUE"""),0.0)</f>
        <v>0</v>
      </c>
      <c r="AT78" s="42">
        <f>IFERROR(__xludf.DUMMYFUNCTION("""COMPUTED_VALUE"""),0.0)</f>
        <v>0</v>
      </c>
      <c r="AU78" s="42">
        <f>IFERROR(__xludf.DUMMYFUNCTION("""COMPUTED_VALUE"""),0.0)</f>
        <v>0</v>
      </c>
      <c r="AV78" s="42">
        <f>IFERROR(__xludf.DUMMYFUNCTION("""COMPUTED_VALUE"""),0.0)</f>
        <v>0</v>
      </c>
      <c r="AW78" s="41">
        <f>IFERROR(__xludf.DUMMYFUNCTION("""COMPUTED_VALUE"""),0.0)</f>
        <v>0</v>
      </c>
      <c r="AX78" s="42">
        <f>IFERROR(__xludf.DUMMYFUNCTION("""COMPUTED_VALUE"""),0.0)</f>
        <v>0</v>
      </c>
      <c r="AY78" s="42">
        <f>IFERROR(__xludf.DUMMYFUNCTION("""COMPUTED_VALUE"""),0.0)</f>
        <v>0</v>
      </c>
      <c r="AZ78" s="43">
        <f>IFERROR(__xludf.DUMMYFUNCTION("""COMPUTED_VALUE"""),0.0)</f>
        <v>0</v>
      </c>
      <c r="BA78" s="34"/>
    </row>
    <row r="79" ht="15.75" customHeight="1">
      <c r="A79" s="29"/>
      <c r="B79" s="67" t="str">
        <f>IFERROR(__xludf.DUMMYFUNCTION("""COMPUTED_VALUE""")," + Bán kiên cố")</f>
        <v> + Bán kiên cố</v>
      </c>
      <c r="C79" s="31"/>
      <c r="D79" s="31" t="str">
        <f>IFERROR(__xludf.DUMMYFUNCTION("""COMPUTED_VALUE"""),"""")</f>
        <v>"</v>
      </c>
      <c r="E79" s="41">
        <f>IFERROR(__xludf.DUMMYFUNCTION("""COMPUTED_VALUE"""),0.0)</f>
        <v>0</v>
      </c>
      <c r="F79" s="42">
        <f>IFERROR(__xludf.DUMMYFUNCTION("""COMPUTED_VALUE"""),0.0)</f>
        <v>0</v>
      </c>
      <c r="G79" s="42">
        <f>IFERROR(__xludf.DUMMYFUNCTION("""COMPUTED_VALUE"""),0.0)</f>
        <v>0</v>
      </c>
      <c r="H79" s="42">
        <f>IFERROR(__xludf.DUMMYFUNCTION("""COMPUTED_VALUE"""),0.0)</f>
        <v>0</v>
      </c>
      <c r="I79" s="41">
        <f>IFERROR(__xludf.DUMMYFUNCTION("""COMPUTED_VALUE"""),0.0)</f>
        <v>0</v>
      </c>
      <c r="J79" s="42">
        <f>IFERROR(__xludf.DUMMYFUNCTION("""COMPUTED_VALUE"""),0.0)</f>
        <v>0</v>
      </c>
      <c r="K79" s="42">
        <f>IFERROR(__xludf.DUMMYFUNCTION("""COMPUTED_VALUE"""),0.0)</f>
        <v>0</v>
      </c>
      <c r="L79" s="42">
        <f>IFERROR(__xludf.DUMMYFUNCTION("""COMPUTED_VALUE"""),0.0)</f>
        <v>0</v>
      </c>
      <c r="M79" s="41">
        <f>IFERROR(__xludf.DUMMYFUNCTION("""COMPUTED_VALUE"""),0.0)</f>
        <v>0</v>
      </c>
      <c r="N79" s="42">
        <f>IFERROR(__xludf.DUMMYFUNCTION("""COMPUTED_VALUE"""),0.0)</f>
        <v>0</v>
      </c>
      <c r="O79" s="42">
        <f>IFERROR(__xludf.DUMMYFUNCTION("""COMPUTED_VALUE"""),0.0)</f>
        <v>0</v>
      </c>
      <c r="P79" s="42">
        <f>IFERROR(__xludf.DUMMYFUNCTION("""COMPUTED_VALUE"""),0.0)</f>
        <v>0</v>
      </c>
      <c r="Q79" s="41">
        <f>IFERROR(__xludf.DUMMYFUNCTION("""COMPUTED_VALUE"""),0.0)</f>
        <v>0</v>
      </c>
      <c r="R79" s="42">
        <f>IFERROR(__xludf.DUMMYFUNCTION("""COMPUTED_VALUE"""),0.0)</f>
        <v>0</v>
      </c>
      <c r="S79" s="42">
        <f>IFERROR(__xludf.DUMMYFUNCTION("""COMPUTED_VALUE"""),0.0)</f>
        <v>0</v>
      </c>
      <c r="T79" s="42">
        <f>IFERROR(__xludf.DUMMYFUNCTION("""COMPUTED_VALUE"""),0.0)</f>
        <v>0</v>
      </c>
      <c r="U79" s="41">
        <f>IFERROR(__xludf.DUMMYFUNCTION("""COMPUTED_VALUE"""),0.0)</f>
        <v>0</v>
      </c>
      <c r="V79" s="42">
        <f>IFERROR(__xludf.DUMMYFUNCTION("""COMPUTED_VALUE"""),0.0)</f>
        <v>0</v>
      </c>
      <c r="W79" s="42">
        <f>IFERROR(__xludf.DUMMYFUNCTION("""COMPUTED_VALUE"""),0.0)</f>
        <v>0</v>
      </c>
      <c r="X79" s="42">
        <f>IFERROR(__xludf.DUMMYFUNCTION("""COMPUTED_VALUE"""),0.0)</f>
        <v>0</v>
      </c>
      <c r="Y79" s="41">
        <f>IFERROR(__xludf.DUMMYFUNCTION("""COMPUTED_VALUE"""),0.0)</f>
        <v>0</v>
      </c>
      <c r="Z79" s="42">
        <f>IFERROR(__xludf.DUMMYFUNCTION("""COMPUTED_VALUE"""),0.0)</f>
        <v>0</v>
      </c>
      <c r="AA79" s="42">
        <f>IFERROR(__xludf.DUMMYFUNCTION("""COMPUTED_VALUE"""),0.0)</f>
        <v>0</v>
      </c>
      <c r="AB79" s="42">
        <f>IFERROR(__xludf.DUMMYFUNCTION("""COMPUTED_VALUE"""),0.0)</f>
        <v>0</v>
      </c>
      <c r="AC79" s="41">
        <f>IFERROR(__xludf.DUMMYFUNCTION("""COMPUTED_VALUE"""),0.0)</f>
        <v>0</v>
      </c>
      <c r="AD79" s="42">
        <f>IFERROR(__xludf.DUMMYFUNCTION("""COMPUTED_VALUE"""),0.0)</f>
        <v>0</v>
      </c>
      <c r="AE79" s="42">
        <f>IFERROR(__xludf.DUMMYFUNCTION("""COMPUTED_VALUE"""),0.0)</f>
        <v>0</v>
      </c>
      <c r="AF79" s="42">
        <f>IFERROR(__xludf.DUMMYFUNCTION("""COMPUTED_VALUE"""),0.0)</f>
        <v>0</v>
      </c>
      <c r="AG79" s="41">
        <f>IFERROR(__xludf.DUMMYFUNCTION("""COMPUTED_VALUE"""),0.0)</f>
        <v>0</v>
      </c>
      <c r="AH79" s="42">
        <f>IFERROR(__xludf.DUMMYFUNCTION("""COMPUTED_VALUE"""),0.0)</f>
        <v>0</v>
      </c>
      <c r="AI79" s="42">
        <f>IFERROR(__xludf.DUMMYFUNCTION("""COMPUTED_VALUE"""),0.0)</f>
        <v>0</v>
      </c>
      <c r="AJ79" s="42">
        <f>IFERROR(__xludf.DUMMYFUNCTION("""COMPUTED_VALUE"""),0.0)</f>
        <v>0</v>
      </c>
      <c r="AK79" s="41">
        <f>IFERROR(__xludf.DUMMYFUNCTION("""COMPUTED_VALUE"""),0.0)</f>
        <v>0</v>
      </c>
      <c r="AL79" s="42">
        <f>IFERROR(__xludf.DUMMYFUNCTION("""COMPUTED_VALUE"""),0.0)</f>
        <v>0</v>
      </c>
      <c r="AM79" s="42">
        <f>IFERROR(__xludf.DUMMYFUNCTION("""COMPUTED_VALUE"""),0.0)</f>
        <v>0</v>
      </c>
      <c r="AN79" s="42">
        <f>IFERROR(__xludf.DUMMYFUNCTION("""COMPUTED_VALUE"""),0.0)</f>
        <v>0</v>
      </c>
      <c r="AO79" s="41">
        <f>IFERROR(__xludf.DUMMYFUNCTION("""COMPUTED_VALUE"""),0.0)</f>
        <v>0</v>
      </c>
      <c r="AP79" s="42">
        <f>IFERROR(__xludf.DUMMYFUNCTION("""COMPUTED_VALUE"""),0.0)</f>
        <v>0</v>
      </c>
      <c r="AQ79" s="42">
        <f>IFERROR(__xludf.DUMMYFUNCTION("""COMPUTED_VALUE"""),0.0)</f>
        <v>0</v>
      </c>
      <c r="AR79" s="42">
        <f>IFERROR(__xludf.DUMMYFUNCTION("""COMPUTED_VALUE"""),0.0)</f>
        <v>0</v>
      </c>
      <c r="AS79" s="41">
        <f>IFERROR(__xludf.DUMMYFUNCTION("""COMPUTED_VALUE"""),0.0)</f>
        <v>0</v>
      </c>
      <c r="AT79" s="42">
        <f>IFERROR(__xludf.DUMMYFUNCTION("""COMPUTED_VALUE"""),0.0)</f>
        <v>0</v>
      </c>
      <c r="AU79" s="42">
        <f>IFERROR(__xludf.DUMMYFUNCTION("""COMPUTED_VALUE"""),0.0)</f>
        <v>0</v>
      </c>
      <c r="AV79" s="42">
        <f>IFERROR(__xludf.DUMMYFUNCTION("""COMPUTED_VALUE"""),0.0)</f>
        <v>0</v>
      </c>
      <c r="AW79" s="41">
        <f>IFERROR(__xludf.DUMMYFUNCTION("""COMPUTED_VALUE"""),0.0)</f>
        <v>0</v>
      </c>
      <c r="AX79" s="42">
        <f>IFERROR(__xludf.DUMMYFUNCTION("""COMPUTED_VALUE"""),0.0)</f>
        <v>0</v>
      </c>
      <c r="AY79" s="42">
        <f>IFERROR(__xludf.DUMMYFUNCTION("""COMPUTED_VALUE"""),0.0)</f>
        <v>0</v>
      </c>
      <c r="AZ79" s="43">
        <f>IFERROR(__xludf.DUMMYFUNCTION("""COMPUTED_VALUE"""),0.0)</f>
        <v>0</v>
      </c>
      <c r="BA79" s="34"/>
    </row>
    <row r="80" ht="15.75" customHeight="1">
      <c r="A80" s="29"/>
      <c r="B80" s="128" t="str">
        <f>IFERROR(__xludf.DUMMYFUNCTION("""COMPUTED_VALUE""")," + Tạm")</f>
        <v> + Tạm</v>
      </c>
      <c r="C80" s="129"/>
      <c r="D80" s="129" t="str">
        <f>IFERROR(__xludf.DUMMYFUNCTION("""COMPUTED_VALUE"""),"""")</f>
        <v>"</v>
      </c>
      <c r="E80" s="130">
        <f>IFERROR(__xludf.DUMMYFUNCTION("""COMPUTED_VALUE"""),0.0)</f>
        <v>0</v>
      </c>
      <c r="F80" s="131">
        <f>IFERROR(__xludf.DUMMYFUNCTION("""COMPUTED_VALUE"""),0.0)</f>
        <v>0</v>
      </c>
      <c r="G80" s="131">
        <f>IFERROR(__xludf.DUMMYFUNCTION("""COMPUTED_VALUE"""),0.0)</f>
        <v>0</v>
      </c>
      <c r="H80" s="131">
        <f>IFERROR(__xludf.DUMMYFUNCTION("""COMPUTED_VALUE"""),0.0)</f>
        <v>0</v>
      </c>
      <c r="I80" s="130">
        <f>IFERROR(__xludf.DUMMYFUNCTION("""COMPUTED_VALUE"""),0.0)</f>
        <v>0</v>
      </c>
      <c r="J80" s="131">
        <f>IFERROR(__xludf.DUMMYFUNCTION("""COMPUTED_VALUE"""),0.0)</f>
        <v>0</v>
      </c>
      <c r="K80" s="131">
        <f>IFERROR(__xludf.DUMMYFUNCTION("""COMPUTED_VALUE"""),0.0)</f>
        <v>0</v>
      </c>
      <c r="L80" s="131">
        <f>IFERROR(__xludf.DUMMYFUNCTION("""COMPUTED_VALUE"""),0.0)</f>
        <v>0</v>
      </c>
      <c r="M80" s="130">
        <f>IFERROR(__xludf.DUMMYFUNCTION("""COMPUTED_VALUE"""),0.0)</f>
        <v>0</v>
      </c>
      <c r="N80" s="131">
        <f>IFERROR(__xludf.DUMMYFUNCTION("""COMPUTED_VALUE"""),0.0)</f>
        <v>0</v>
      </c>
      <c r="O80" s="131">
        <f>IFERROR(__xludf.DUMMYFUNCTION("""COMPUTED_VALUE"""),0.0)</f>
        <v>0</v>
      </c>
      <c r="P80" s="131">
        <f>IFERROR(__xludf.DUMMYFUNCTION("""COMPUTED_VALUE"""),0.0)</f>
        <v>0</v>
      </c>
      <c r="Q80" s="130">
        <f>IFERROR(__xludf.DUMMYFUNCTION("""COMPUTED_VALUE"""),0.0)</f>
        <v>0</v>
      </c>
      <c r="R80" s="131">
        <f>IFERROR(__xludf.DUMMYFUNCTION("""COMPUTED_VALUE"""),0.0)</f>
        <v>0</v>
      </c>
      <c r="S80" s="131">
        <f>IFERROR(__xludf.DUMMYFUNCTION("""COMPUTED_VALUE"""),0.0)</f>
        <v>0</v>
      </c>
      <c r="T80" s="131">
        <f>IFERROR(__xludf.DUMMYFUNCTION("""COMPUTED_VALUE"""),0.0)</f>
        <v>0</v>
      </c>
      <c r="U80" s="130">
        <f>IFERROR(__xludf.DUMMYFUNCTION("""COMPUTED_VALUE"""),0.0)</f>
        <v>0</v>
      </c>
      <c r="V80" s="131">
        <f>IFERROR(__xludf.DUMMYFUNCTION("""COMPUTED_VALUE"""),0.0)</f>
        <v>0</v>
      </c>
      <c r="W80" s="131">
        <f>IFERROR(__xludf.DUMMYFUNCTION("""COMPUTED_VALUE"""),0.0)</f>
        <v>0</v>
      </c>
      <c r="X80" s="131">
        <f>IFERROR(__xludf.DUMMYFUNCTION("""COMPUTED_VALUE"""),0.0)</f>
        <v>0</v>
      </c>
      <c r="Y80" s="130">
        <f>IFERROR(__xludf.DUMMYFUNCTION("""COMPUTED_VALUE"""),0.0)</f>
        <v>0</v>
      </c>
      <c r="Z80" s="131">
        <f>IFERROR(__xludf.DUMMYFUNCTION("""COMPUTED_VALUE"""),0.0)</f>
        <v>0</v>
      </c>
      <c r="AA80" s="131">
        <f>IFERROR(__xludf.DUMMYFUNCTION("""COMPUTED_VALUE"""),0.0)</f>
        <v>0</v>
      </c>
      <c r="AB80" s="131">
        <f>IFERROR(__xludf.DUMMYFUNCTION("""COMPUTED_VALUE"""),0.0)</f>
        <v>0</v>
      </c>
      <c r="AC80" s="130">
        <f>IFERROR(__xludf.DUMMYFUNCTION("""COMPUTED_VALUE"""),0.0)</f>
        <v>0</v>
      </c>
      <c r="AD80" s="131">
        <f>IFERROR(__xludf.DUMMYFUNCTION("""COMPUTED_VALUE"""),0.0)</f>
        <v>0</v>
      </c>
      <c r="AE80" s="131">
        <f>IFERROR(__xludf.DUMMYFUNCTION("""COMPUTED_VALUE"""),0.0)</f>
        <v>0</v>
      </c>
      <c r="AF80" s="131">
        <f>IFERROR(__xludf.DUMMYFUNCTION("""COMPUTED_VALUE"""),0.0)</f>
        <v>0</v>
      </c>
      <c r="AG80" s="130">
        <f>IFERROR(__xludf.DUMMYFUNCTION("""COMPUTED_VALUE"""),0.0)</f>
        <v>0</v>
      </c>
      <c r="AH80" s="131">
        <f>IFERROR(__xludf.DUMMYFUNCTION("""COMPUTED_VALUE"""),0.0)</f>
        <v>0</v>
      </c>
      <c r="AI80" s="131">
        <f>IFERROR(__xludf.DUMMYFUNCTION("""COMPUTED_VALUE"""),0.0)</f>
        <v>0</v>
      </c>
      <c r="AJ80" s="131">
        <f>IFERROR(__xludf.DUMMYFUNCTION("""COMPUTED_VALUE"""),0.0)</f>
        <v>0</v>
      </c>
      <c r="AK80" s="130">
        <f>IFERROR(__xludf.DUMMYFUNCTION("""COMPUTED_VALUE"""),0.0)</f>
        <v>0</v>
      </c>
      <c r="AL80" s="131">
        <f>IFERROR(__xludf.DUMMYFUNCTION("""COMPUTED_VALUE"""),0.0)</f>
        <v>0</v>
      </c>
      <c r="AM80" s="131">
        <f>IFERROR(__xludf.DUMMYFUNCTION("""COMPUTED_VALUE"""),0.0)</f>
        <v>0</v>
      </c>
      <c r="AN80" s="131">
        <f>IFERROR(__xludf.DUMMYFUNCTION("""COMPUTED_VALUE"""),0.0)</f>
        <v>0</v>
      </c>
      <c r="AO80" s="130">
        <f>IFERROR(__xludf.DUMMYFUNCTION("""COMPUTED_VALUE"""),0.0)</f>
        <v>0</v>
      </c>
      <c r="AP80" s="131">
        <f>IFERROR(__xludf.DUMMYFUNCTION("""COMPUTED_VALUE"""),0.0)</f>
        <v>0</v>
      </c>
      <c r="AQ80" s="131">
        <f>IFERROR(__xludf.DUMMYFUNCTION("""COMPUTED_VALUE"""),0.0)</f>
        <v>0</v>
      </c>
      <c r="AR80" s="131">
        <f>IFERROR(__xludf.DUMMYFUNCTION("""COMPUTED_VALUE"""),0.0)</f>
        <v>0</v>
      </c>
      <c r="AS80" s="130">
        <f>IFERROR(__xludf.DUMMYFUNCTION("""COMPUTED_VALUE"""),0.0)</f>
        <v>0</v>
      </c>
      <c r="AT80" s="131">
        <f>IFERROR(__xludf.DUMMYFUNCTION("""COMPUTED_VALUE"""),0.0)</f>
        <v>0</v>
      </c>
      <c r="AU80" s="131">
        <f>IFERROR(__xludf.DUMMYFUNCTION("""COMPUTED_VALUE"""),0.0)</f>
        <v>0</v>
      </c>
      <c r="AV80" s="131">
        <f>IFERROR(__xludf.DUMMYFUNCTION("""COMPUTED_VALUE"""),0.0)</f>
        <v>0</v>
      </c>
      <c r="AW80" s="130">
        <f>IFERROR(__xludf.DUMMYFUNCTION("""COMPUTED_VALUE"""),0.0)</f>
        <v>0</v>
      </c>
      <c r="AX80" s="131">
        <f>IFERROR(__xludf.DUMMYFUNCTION("""COMPUTED_VALUE"""),0.0)</f>
        <v>0</v>
      </c>
      <c r="AY80" s="131">
        <f>IFERROR(__xludf.DUMMYFUNCTION("""COMPUTED_VALUE"""),0.0)</f>
        <v>0</v>
      </c>
      <c r="AZ80" s="132">
        <f>IFERROR(__xludf.DUMMYFUNCTION("""COMPUTED_VALUE"""),0.0)</f>
        <v>0</v>
      </c>
      <c r="BA80" s="34"/>
    </row>
    <row r="81" ht="13.5" customHeight="1">
      <c r="A81" s="1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"/>
    </row>
    <row r="82" ht="18.75" hidden="1" customHeight="1">
      <c r="A82" s="207"/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</row>
    <row r="83" ht="18.75" hidden="1" customHeight="1">
      <c r="A83" s="207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</row>
    <row r="84" ht="18.75" hidden="1" customHeight="1">
      <c r="A84" s="207"/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</row>
    <row r="85" ht="18.75" hidden="1" customHeight="1">
      <c r="A85" s="207"/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</row>
    <row r="86" ht="18.75" hidden="1" customHeight="1">
      <c r="A86" s="207"/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</row>
    <row r="87" ht="18.75" hidden="1" customHeight="1">
      <c r="A87" s="207"/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7"/>
      <c r="AE87" s="207"/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</row>
    <row r="88" ht="18.75" hidden="1" customHeight="1">
      <c r="A88" s="207"/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07"/>
      <c r="AF88" s="207"/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</row>
    <row r="89" ht="18.75" hidden="1" customHeight="1">
      <c r="A89" s="207"/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</row>
    <row r="90" ht="18.75" hidden="1" customHeight="1">
      <c r="A90" s="207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</row>
    <row r="91" ht="18.75" hidden="1" customHeight="1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</row>
    <row r="92" ht="18.75" hidden="1" customHeight="1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</row>
    <row r="93" ht="18.75" hidden="1" customHeight="1">
      <c r="A93" s="207"/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</row>
    <row r="94" ht="18.75" hidden="1" customHeight="1">
      <c r="A94" s="207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</row>
    <row r="95" ht="18.75" hidden="1" customHeight="1">
      <c r="A95" s="207"/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</row>
    <row r="96" ht="18.75" hidden="1" customHeight="1">
      <c r="A96" s="207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</row>
    <row r="97" ht="18.75" hidden="1" customHeight="1">
      <c r="A97" s="207"/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</row>
    <row r="98" ht="18.75" hidden="1" customHeight="1">
      <c r="A98" s="207"/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</row>
    <row r="99" ht="18.75" hidden="1" customHeight="1">
      <c r="A99" s="207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</row>
    <row r="100" ht="18.75" hidden="1" customHeight="1">
      <c r="A100" s="207"/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</row>
    <row r="101" ht="18.75" hidden="1" customHeight="1">
      <c r="A101" s="207"/>
      <c r="B101" s="207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</row>
    <row r="102" ht="18.75" hidden="1" customHeight="1">
      <c r="A102" s="207"/>
      <c r="B102" s="207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</row>
    <row r="103" ht="18.75" hidden="1" customHeight="1">
      <c r="A103" s="207"/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</row>
    <row r="104" ht="18.75" hidden="1" customHeight="1">
      <c r="A104" s="207"/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</row>
    <row r="105" ht="18.75" hidden="1" customHeight="1">
      <c r="A105" s="207"/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</row>
    <row r="106" ht="18.75" hidden="1" customHeight="1">
      <c r="A106" s="207"/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</row>
    <row r="107" ht="18.75" hidden="1" customHeight="1">
      <c r="A107" s="207"/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</row>
    <row r="108" ht="18.75" hidden="1" customHeight="1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</row>
    <row r="109" ht="18.75" hidden="1" customHeight="1">
      <c r="A109" s="207"/>
      <c r="B109" s="207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</row>
    <row r="110" ht="18.75" hidden="1" customHeight="1">
      <c r="A110" s="207"/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</row>
    <row r="111" ht="18.75" hidden="1" customHeight="1">
      <c r="A111" s="207"/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</row>
    <row r="112" ht="18.75" hidden="1" customHeight="1">
      <c r="A112" s="207"/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</row>
    <row r="113" ht="18.75" hidden="1" customHeight="1">
      <c r="A113" s="207"/>
      <c r="B113" s="207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</row>
    <row r="114" ht="18.75" hidden="1" customHeight="1">
      <c r="A114" s="207"/>
      <c r="B114" s="207"/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</row>
    <row r="115" ht="18.75" hidden="1" customHeight="1">
      <c r="A115" s="207"/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</row>
    <row r="116" ht="18.75" hidden="1" customHeight="1">
      <c r="A116" s="207"/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</row>
    <row r="117" ht="18.75" hidden="1" customHeight="1">
      <c r="A117" s="207"/>
      <c r="B117" s="207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</row>
    <row r="118" ht="18.75" hidden="1" customHeight="1">
      <c r="A118" s="207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</row>
    <row r="119" ht="18.75" hidden="1" customHeight="1">
      <c r="A119" s="207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</row>
    <row r="120" ht="18.75" hidden="1" customHeight="1">
      <c r="A120" s="207"/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</row>
    <row r="121" ht="18.75" hidden="1" customHeight="1">
      <c r="A121" s="207"/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</row>
    <row r="122" ht="18.75" hidden="1" customHeight="1">
      <c r="A122" s="207"/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</row>
    <row r="123" ht="18.75" hidden="1" customHeight="1">
      <c r="A123" s="207"/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</row>
    <row r="124" ht="18.75" hidden="1" customHeight="1">
      <c r="A124" s="207"/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</row>
    <row r="125" ht="18.75" hidden="1" customHeight="1">
      <c r="A125" s="207"/>
      <c r="B125" s="207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</row>
    <row r="126" ht="18.75" hidden="1" customHeight="1">
      <c r="A126" s="207"/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</row>
    <row r="127" ht="18.75" hidden="1" customHeight="1">
      <c r="A127" s="207"/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</row>
    <row r="128" ht="18.75" hidden="1" customHeight="1">
      <c r="A128" s="207"/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</row>
    <row r="129" ht="18.75" hidden="1" customHeight="1">
      <c r="A129" s="207"/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</row>
    <row r="130" ht="18.75" hidden="1" customHeight="1">
      <c r="A130" s="207"/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</row>
    <row r="131" ht="18.75" hidden="1" customHeight="1">
      <c r="A131" s="207"/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</row>
    <row r="132" ht="18.75" hidden="1" customHeight="1">
      <c r="A132" s="207"/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</row>
    <row r="133" ht="8.25" hidden="1" customHeight="1">
      <c r="A133" s="249"/>
      <c r="B133" s="250"/>
      <c r="C133" s="251"/>
      <c r="D133" s="251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  <c r="Z133" s="252"/>
      <c r="AA133" s="252"/>
      <c r="AB133" s="252"/>
      <c r="AC133" s="252"/>
      <c r="AD133" s="252"/>
      <c r="AE133" s="252"/>
      <c r="AF133" s="252"/>
      <c r="AG133" s="252"/>
      <c r="AH133" s="252"/>
      <c r="AI133" s="252"/>
      <c r="AJ133" s="252"/>
      <c r="AK133" s="252"/>
      <c r="AL133" s="252"/>
      <c r="AM133" s="252"/>
      <c r="AN133" s="252"/>
      <c r="AO133" s="252"/>
      <c r="AP133" s="252"/>
      <c r="AQ133" s="252"/>
      <c r="AR133" s="252"/>
      <c r="AS133" s="252"/>
      <c r="AT133" s="252"/>
      <c r="AU133" s="252"/>
      <c r="AV133" s="252"/>
      <c r="AW133" s="252"/>
      <c r="AX133" s="252"/>
      <c r="AY133" s="252"/>
      <c r="AZ133" s="252"/>
      <c r="BA133" s="249"/>
    </row>
    <row r="134" ht="18.75" hidden="1" customHeight="1">
      <c r="A134" s="207"/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</row>
    <row r="135" ht="18.75" hidden="1" customHeight="1">
      <c r="A135" s="207"/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</row>
    <row r="136" ht="18.75" hidden="1" customHeight="1">
      <c r="A136" s="207"/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</row>
    <row r="137" ht="18.75" hidden="1" customHeight="1">
      <c r="A137" s="207"/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</row>
    <row r="138" ht="18.75" hidden="1" customHeight="1">
      <c r="A138" s="207"/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</row>
    <row r="139" ht="18.75" hidden="1" customHeight="1">
      <c r="A139" s="207"/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</row>
    <row r="140" ht="18.75" hidden="1" customHeight="1">
      <c r="A140" s="207"/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</row>
    <row r="141" ht="18.75" hidden="1" customHeight="1">
      <c r="A141" s="207"/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</row>
    <row r="142" ht="18.75" hidden="1" customHeight="1">
      <c r="A142" s="207"/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</row>
    <row r="143" ht="18.75" hidden="1" customHeight="1">
      <c r="A143" s="207"/>
      <c r="B143" s="207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</row>
    <row r="144" ht="18.75" hidden="1" customHeight="1">
      <c r="A144" s="207"/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</row>
    <row r="145" ht="18.75" hidden="1" customHeight="1">
      <c r="A145" s="207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</row>
    <row r="146" ht="18.75" hidden="1" customHeight="1">
      <c r="A146" s="207"/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</row>
    <row r="147" ht="18.75" hidden="1" customHeight="1">
      <c r="A147" s="207"/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</row>
    <row r="148" ht="18.75" hidden="1" customHeight="1">
      <c r="A148" s="207"/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</row>
    <row r="149" ht="18.75" hidden="1" customHeight="1">
      <c r="A149" s="207"/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</row>
    <row r="150" ht="18.75" hidden="1" customHeight="1">
      <c r="A150" s="207"/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</row>
    <row r="151" ht="18.75" hidden="1" customHeight="1">
      <c r="A151" s="207"/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</row>
    <row r="152" ht="18.75" hidden="1" customHeight="1">
      <c r="A152" s="207"/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</row>
    <row r="153" ht="18.75" hidden="1" customHeight="1">
      <c r="A153" s="207"/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</row>
    <row r="154" ht="18.75" hidden="1" customHeight="1">
      <c r="A154" s="207"/>
      <c r="B154" s="207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</row>
    <row r="155" ht="18.75" hidden="1" customHeight="1">
      <c r="A155" s="207"/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</row>
    <row r="156" ht="18.75" hidden="1" customHeight="1">
      <c r="A156" s="207"/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</row>
    <row r="157" ht="18.75" hidden="1" customHeight="1">
      <c r="A157" s="207"/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</row>
    <row r="158" ht="18.75" hidden="1" customHeight="1">
      <c r="A158" s="207"/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</row>
    <row r="159" ht="18.75" hidden="1" customHeight="1">
      <c r="A159" s="207"/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</row>
    <row r="160" ht="18.75" hidden="1" customHeight="1">
      <c r="A160" s="207"/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</row>
    <row r="161" ht="18.75" hidden="1" customHeight="1">
      <c r="A161" s="207"/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</row>
    <row r="162" ht="18.75" hidden="1" customHeight="1">
      <c r="A162" s="207"/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</row>
    <row r="163" ht="18.75" hidden="1" customHeight="1">
      <c r="A163" s="207"/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</row>
    <row r="164" ht="18.75" hidden="1" customHeight="1">
      <c r="A164" s="207"/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</row>
    <row r="165" ht="18.75" hidden="1" customHeight="1">
      <c r="A165" s="207"/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</row>
    <row r="166" ht="18.75" hidden="1" customHeight="1">
      <c r="A166" s="207"/>
      <c r="B166" s="207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</row>
    <row r="167" ht="18.75" hidden="1" customHeight="1">
      <c r="A167" s="207"/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</row>
    <row r="168" ht="18.75" hidden="1" customHeight="1">
      <c r="A168" s="207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</row>
    <row r="169" ht="18.75" hidden="1" customHeight="1">
      <c r="A169" s="207"/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</row>
    <row r="170" ht="18.75" hidden="1" customHeight="1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</row>
    <row r="171" ht="18.75" hidden="1" customHeight="1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</row>
    <row r="172" ht="18.75" hidden="1" customHeight="1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</row>
    <row r="173" ht="18.75" hidden="1" customHeight="1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</row>
    <row r="174" ht="18.75" hidden="1" customHeight="1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</row>
    <row r="175" ht="18.75" hidden="1" customHeight="1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</row>
    <row r="176" ht="18.75" hidden="1" customHeight="1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</row>
    <row r="177" ht="18.75" hidden="1" customHeight="1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</row>
    <row r="178" ht="18.75" hidden="1" customHeight="1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</row>
    <row r="179" ht="18.75" hidden="1" customHeight="1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</row>
    <row r="180" ht="18.75" hidden="1" customHeight="1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</row>
    <row r="181" ht="18.75" hidden="1" customHeight="1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</row>
    <row r="182" ht="18.75" hidden="1" customHeight="1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</row>
    <row r="183" ht="18.75" hidden="1" customHeight="1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</row>
    <row r="184" ht="18.75" hidden="1" customHeight="1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</row>
    <row r="185" ht="18.75" hidden="1" customHeight="1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</row>
    <row r="186" ht="18.75" hidden="1" customHeight="1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</row>
    <row r="187" ht="18.75" hidden="1" customHeight="1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</row>
    <row r="188" ht="18.75" hidden="1" customHeight="1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</row>
    <row r="189" ht="18.75" hidden="1" customHeight="1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</row>
    <row r="190" ht="18.75" hidden="1" customHeight="1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</row>
    <row r="191" ht="18.75" hidden="1" customHeight="1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</row>
    <row r="192" ht="18.75" hidden="1" customHeight="1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</row>
    <row r="193" ht="18.75" hidden="1" customHeight="1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</row>
    <row r="194" ht="18.75" hidden="1" customHeight="1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</row>
    <row r="195" ht="18.75" hidden="1" customHeight="1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</row>
    <row r="196" ht="18.75" hidden="1" customHeight="1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</row>
    <row r="197" ht="18.75" hidden="1" customHeight="1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</row>
    <row r="198" ht="18.75" hidden="1" customHeight="1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</row>
    <row r="199" ht="18.75" hidden="1" customHeight="1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</row>
    <row r="200" ht="18.75" hidden="1" customHeight="1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</row>
    <row r="201" ht="18.75" hidden="1" customHeight="1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</row>
    <row r="202" ht="18.75" hidden="1" customHeight="1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</row>
    <row r="203" ht="18.75" hidden="1" customHeight="1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</row>
    <row r="204" ht="18.75" hidden="1" customHeight="1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</row>
    <row r="205" ht="18.75" hidden="1" customHeight="1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</row>
    <row r="206" ht="18.75" hidden="1" customHeight="1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</row>
    <row r="207" ht="18.75" hidden="1" customHeight="1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</row>
    <row r="208" ht="18.75" hidden="1" customHeight="1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</row>
    <row r="209" ht="18.75" hidden="1" customHeight="1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</row>
    <row r="210" ht="18.75" hidden="1" customHeight="1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</row>
    <row r="211" ht="18.75" hidden="1" customHeight="1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</row>
    <row r="212" ht="18.75" hidden="1" customHeight="1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</row>
    <row r="213" ht="18.75" hidden="1" customHeight="1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</row>
    <row r="214" ht="18.75" hidden="1" customHeight="1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</row>
    <row r="215" ht="18.75" hidden="1" customHeight="1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</row>
    <row r="216" ht="18.75" hidden="1" customHeight="1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</row>
    <row r="217" ht="18.75" hidden="1" customHeight="1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</row>
    <row r="218" ht="18.75" hidden="1" customHeight="1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</row>
    <row r="219" ht="18.75" hidden="1" customHeight="1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</row>
    <row r="220" ht="18.75" hidden="1" customHeight="1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</row>
    <row r="221" ht="18.75" hidden="1" customHeight="1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</row>
    <row r="222" ht="18.75" hidden="1" customHeight="1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</row>
    <row r="223" ht="18.75" hidden="1" customHeight="1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</row>
    <row r="224" ht="18.75" hidden="1" customHeight="1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</row>
    <row r="225" ht="18.75" hidden="1" customHeight="1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</row>
    <row r="226" ht="18.75" hidden="1" customHeight="1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</row>
    <row r="227" ht="18.75" hidden="1" customHeight="1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</row>
    <row r="228" ht="18.75" hidden="1" customHeight="1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</row>
    <row r="229" ht="18.75" hidden="1" customHeight="1">
      <c r="A229" s="207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</row>
    <row r="230" ht="18.75" hidden="1" customHeight="1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</row>
    <row r="231" ht="18.75" hidden="1" customHeight="1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</row>
    <row r="232" ht="18.75" hidden="1" customHeight="1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</row>
    <row r="233" ht="18.75" hidden="1" customHeight="1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</row>
    <row r="234" ht="18.75" hidden="1" customHeight="1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</row>
    <row r="235" ht="18.75" hidden="1" customHeight="1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</row>
    <row r="236" ht="18.75" hidden="1" customHeight="1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</row>
    <row r="237" ht="18.75" hidden="1" customHeight="1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/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</row>
    <row r="238" ht="18.75" hidden="1" customHeight="1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/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</row>
    <row r="239" ht="18.75" hidden="1" customHeight="1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/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</row>
    <row r="240" ht="18.75" hidden="1" customHeight="1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</row>
    <row r="241" ht="18.75" hidden="1" customHeight="1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</row>
    <row r="242" ht="18.75" hidden="1" customHeight="1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</row>
    <row r="243" ht="18.75" hidden="1" customHeight="1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</row>
    <row r="244" ht="18.75" hidden="1" customHeight="1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</row>
    <row r="245" ht="18.75" hidden="1" customHeight="1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</row>
    <row r="246" ht="18.75" hidden="1" customHeight="1">
      <c r="A246" s="207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/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</row>
    <row r="247" ht="18.75" hidden="1" customHeight="1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/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</row>
    <row r="248" ht="18.75" hidden="1" customHeight="1">
      <c r="A248" s="207"/>
      <c r="B248" s="207"/>
      <c r="C248" s="207"/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  <c r="AB248" s="207"/>
      <c r="AC248" s="207"/>
      <c r="AD248" s="207"/>
      <c r="AE248" s="207"/>
      <c r="AF248" s="207"/>
      <c r="AG248" s="207"/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</row>
    <row r="249" ht="18.75" hidden="1" customHeight="1">
      <c r="A249" s="207"/>
      <c r="B249" s="207"/>
      <c r="C249" s="207"/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  <c r="AA249" s="207"/>
      <c r="AB249" s="207"/>
      <c r="AC249" s="207"/>
      <c r="AD249" s="207"/>
      <c r="AE249" s="207"/>
      <c r="AF249" s="207"/>
      <c r="AG249" s="207"/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</row>
    <row r="250" ht="18.75" hidden="1" customHeight="1">
      <c r="A250" s="207"/>
      <c r="B250" s="207"/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  <c r="AA250" s="207"/>
      <c r="AB250" s="207"/>
      <c r="AC250" s="207"/>
      <c r="AD250" s="207"/>
      <c r="AE250" s="207"/>
      <c r="AF250" s="207"/>
      <c r="AG250" s="207"/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</row>
    <row r="251" ht="18.75" hidden="1" customHeight="1">
      <c r="A251" s="207"/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  <c r="AA251" s="207"/>
      <c r="AB251" s="207"/>
      <c r="AC251" s="207"/>
      <c r="AD251" s="207"/>
      <c r="AE251" s="207"/>
      <c r="AF251" s="207"/>
      <c r="AG251" s="207"/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</row>
    <row r="252" ht="18.75" hidden="1" customHeight="1">
      <c r="A252" s="207"/>
      <c r="B252" s="207"/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  <c r="AA252" s="207"/>
      <c r="AB252" s="207"/>
      <c r="AC252" s="207"/>
      <c r="AD252" s="207"/>
      <c r="AE252" s="207"/>
      <c r="AF252" s="207"/>
      <c r="AG252" s="207"/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</row>
    <row r="253" ht="18.75" hidden="1" customHeight="1">
      <c r="A253" s="207"/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  <c r="AA253" s="207"/>
      <c r="AB253" s="207"/>
      <c r="AC253" s="207"/>
      <c r="AD253" s="207"/>
      <c r="AE253" s="207"/>
      <c r="AF253" s="207"/>
      <c r="AG253" s="207"/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</row>
    <row r="254" ht="18.75" hidden="1" customHeight="1">
      <c r="A254" s="207"/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  <c r="AA254" s="207"/>
      <c r="AB254" s="207"/>
      <c r="AC254" s="207"/>
      <c r="AD254" s="207"/>
      <c r="AE254" s="207"/>
      <c r="AF254" s="207"/>
      <c r="AG254" s="207"/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</row>
    <row r="255" ht="18.75" hidden="1" customHeight="1">
      <c r="A255" s="207"/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  <c r="AA255" s="207"/>
      <c r="AB255" s="207"/>
      <c r="AC255" s="207"/>
      <c r="AD255" s="207"/>
      <c r="AE255" s="207"/>
      <c r="AF255" s="207"/>
      <c r="AG255" s="207"/>
      <c r="AH255" s="207"/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</row>
    <row r="256" ht="18.75" hidden="1" customHeight="1">
      <c r="A256" s="207"/>
      <c r="B256" s="207"/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  <c r="AA256" s="207"/>
      <c r="AB256" s="207"/>
      <c r="AC256" s="207"/>
      <c r="AD256" s="207"/>
      <c r="AE256" s="207"/>
      <c r="AF256" s="207"/>
      <c r="AG256" s="207"/>
      <c r="AH256" s="207"/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</row>
    <row r="257" ht="18.75" hidden="1" customHeight="1">
      <c r="A257" s="207"/>
      <c r="B257" s="207"/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  <c r="AA257" s="207"/>
      <c r="AB257" s="207"/>
      <c r="AC257" s="207"/>
      <c r="AD257" s="207"/>
      <c r="AE257" s="207"/>
      <c r="AF257" s="207"/>
      <c r="AG257" s="207"/>
      <c r="AH257" s="207"/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</row>
    <row r="258" ht="18.75" hidden="1" customHeight="1">
      <c r="A258" s="207"/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  <c r="AB258" s="207"/>
      <c r="AC258" s="207"/>
      <c r="AD258" s="207"/>
      <c r="AE258" s="207"/>
      <c r="AF258" s="207"/>
      <c r="AG258" s="207"/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</row>
    <row r="259" ht="18.75" hidden="1" customHeight="1">
      <c r="A259" s="207"/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7"/>
      <c r="AB259" s="207"/>
      <c r="AC259" s="207"/>
      <c r="AD259" s="207"/>
      <c r="AE259" s="207"/>
      <c r="AF259" s="207"/>
      <c r="AG259" s="207"/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</row>
    <row r="260" ht="18.75" hidden="1" customHeight="1">
      <c r="A260" s="207"/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/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</row>
    <row r="261" ht="18.75" hidden="1" customHeight="1">
      <c r="A261" s="207"/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  <c r="AA261" s="207"/>
      <c r="AB261" s="207"/>
      <c r="AC261" s="207"/>
      <c r="AD261" s="207"/>
      <c r="AE261" s="207"/>
      <c r="AF261" s="207"/>
      <c r="AG261" s="207"/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</row>
    <row r="262" ht="18.75" hidden="1" customHeight="1">
      <c r="A262" s="207"/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7"/>
      <c r="AB262" s="207"/>
      <c r="AC262" s="207"/>
      <c r="AD262" s="207"/>
      <c r="AE262" s="207"/>
      <c r="AF262" s="207"/>
      <c r="AG262" s="207"/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</row>
    <row r="263" ht="18.75" hidden="1" customHeight="1">
      <c r="A263" s="207"/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  <c r="AA263" s="207"/>
      <c r="AB263" s="207"/>
      <c r="AC263" s="207"/>
      <c r="AD263" s="207"/>
      <c r="AE263" s="207"/>
      <c r="AF263" s="207"/>
      <c r="AG263" s="207"/>
      <c r="AH263" s="207"/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</row>
    <row r="264" ht="18.75" hidden="1" customHeight="1">
      <c r="A264" s="207"/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  <c r="AA264" s="207"/>
      <c r="AB264" s="207"/>
      <c r="AC264" s="207"/>
      <c r="AD264" s="207"/>
      <c r="AE264" s="207"/>
      <c r="AF264" s="207"/>
      <c r="AG264" s="207"/>
      <c r="AH264" s="207"/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</row>
    <row r="265" ht="18.75" hidden="1" customHeight="1">
      <c r="A265" s="207"/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  <c r="AA265" s="207"/>
      <c r="AB265" s="207"/>
      <c r="AC265" s="207"/>
      <c r="AD265" s="207"/>
      <c r="AE265" s="207"/>
      <c r="AF265" s="207"/>
      <c r="AG265" s="207"/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</row>
    <row r="266" ht="18.75" hidden="1" customHeight="1">
      <c r="A266" s="207"/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  <c r="AA266" s="207"/>
      <c r="AB266" s="207"/>
      <c r="AC266" s="207"/>
      <c r="AD266" s="207"/>
      <c r="AE266" s="207"/>
      <c r="AF266" s="207"/>
      <c r="AG266" s="207"/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</row>
    <row r="267" ht="18.75" hidden="1" customHeight="1">
      <c r="A267" s="207"/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  <c r="AA267" s="207"/>
      <c r="AB267" s="207"/>
      <c r="AC267" s="207"/>
      <c r="AD267" s="207"/>
      <c r="AE267" s="207"/>
      <c r="AF267" s="207"/>
      <c r="AG267" s="207"/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</row>
    <row r="268" ht="18.75" hidden="1" customHeight="1">
      <c r="A268" s="207"/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  <c r="AA268" s="207"/>
      <c r="AB268" s="207"/>
      <c r="AC268" s="207"/>
      <c r="AD268" s="207"/>
      <c r="AE268" s="207"/>
      <c r="AF268" s="207"/>
      <c r="AG268" s="207"/>
      <c r="AH268" s="207"/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</row>
    <row r="269" ht="18.75" hidden="1" customHeight="1">
      <c r="A269" s="207"/>
      <c r="B269" s="207"/>
      <c r="C269" s="207"/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  <c r="AA269" s="207"/>
      <c r="AB269" s="207"/>
      <c r="AC269" s="207"/>
      <c r="AD269" s="207"/>
      <c r="AE269" s="207"/>
      <c r="AF269" s="207"/>
      <c r="AG269" s="207"/>
      <c r="AH269" s="207"/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</row>
    <row r="270" ht="18.75" hidden="1" customHeight="1">
      <c r="A270" s="207"/>
      <c r="B270" s="207"/>
      <c r="C270" s="207"/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  <c r="AA270" s="207"/>
      <c r="AB270" s="207"/>
      <c r="AC270" s="207"/>
      <c r="AD270" s="207"/>
      <c r="AE270" s="207"/>
      <c r="AF270" s="207"/>
      <c r="AG270" s="207"/>
      <c r="AH270" s="207"/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</row>
    <row r="271" ht="18.75" hidden="1" customHeight="1">
      <c r="A271" s="207"/>
      <c r="B271" s="207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  <c r="AA271" s="207"/>
      <c r="AB271" s="207"/>
      <c r="AC271" s="207"/>
      <c r="AD271" s="207"/>
      <c r="AE271" s="207"/>
      <c r="AF271" s="207"/>
      <c r="AG271" s="207"/>
      <c r="AH271" s="207"/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</row>
    <row r="272" ht="18.75" hidden="1" customHeight="1">
      <c r="A272" s="207"/>
      <c r="B272" s="207"/>
      <c r="C272" s="207"/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/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</row>
    <row r="273" ht="18.75" hidden="1" customHeight="1">
      <c r="A273" s="207"/>
      <c r="B273" s="207"/>
      <c r="C273" s="207"/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</row>
    <row r="274" ht="18.75" hidden="1" customHeight="1">
      <c r="A274" s="207"/>
      <c r="B274" s="207"/>
      <c r="C274" s="207"/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/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</row>
    <row r="275" ht="18.75" hidden="1" customHeight="1">
      <c r="A275" s="207"/>
      <c r="B275" s="207"/>
      <c r="C275" s="207"/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/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</row>
    <row r="276" ht="18.75" hidden="1" customHeight="1">
      <c r="A276" s="207"/>
      <c r="B276" s="207"/>
      <c r="C276" s="207"/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</row>
    <row r="277" ht="18.75" hidden="1" customHeight="1">
      <c r="A277" s="207"/>
      <c r="B277" s="207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  <c r="AA277" s="207"/>
      <c r="AB277" s="207"/>
      <c r="AC277" s="207"/>
      <c r="AD277" s="207"/>
      <c r="AE277" s="207"/>
      <c r="AF277" s="207"/>
      <c r="AG277" s="207"/>
      <c r="AH277" s="207"/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</row>
    <row r="278" ht="18.75" hidden="1" customHeight="1">
      <c r="A278" s="207"/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  <c r="AA278" s="207"/>
      <c r="AB278" s="207"/>
      <c r="AC278" s="207"/>
      <c r="AD278" s="207"/>
      <c r="AE278" s="207"/>
      <c r="AF278" s="207"/>
      <c r="AG278" s="207"/>
      <c r="AH278" s="207"/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</row>
    <row r="279" ht="18.75" hidden="1" customHeight="1">
      <c r="A279" s="207"/>
      <c r="B279" s="207"/>
      <c r="C279" s="207"/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7"/>
      <c r="AB279" s="207"/>
      <c r="AC279" s="207"/>
      <c r="AD279" s="207"/>
      <c r="AE279" s="207"/>
      <c r="AF279" s="207"/>
      <c r="AG279" s="207"/>
      <c r="AH279" s="207"/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</row>
    <row r="280" ht="18.75" hidden="1" customHeight="1">
      <c r="A280" s="207"/>
      <c r="B280" s="207"/>
      <c r="C280" s="207"/>
      <c r="D280" s="207"/>
      <c r="E280" s="207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  <c r="AA280" s="207"/>
      <c r="AB280" s="207"/>
      <c r="AC280" s="207"/>
      <c r="AD280" s="207"/>
      <c r="AE280" s="207"/>
      <c r="AF280" s="207"/>
      <c r="AG280" s="207"/>
      <c r="AH280" s="207"/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</row>
    <row r="281" ht="18.75" hidden="1" customHeight="1">
      <c r="A281" s="207"/>
      <c r="B281" s="207"/>
      <c r="C281" s="207"/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  <c r="AA281" s="207"/>
      <c r="AB281" s="207"/>
      <c r="AC281" s="207"/>
      <c r="AD281" s="207"/>
      <c r="AE281" s="207"/>
      <c r="AF281" s="207"/>
      <c r="AG281" s="207"/>
      <c r="AH281" s="207"/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</row>
    <row r="282" ht="18.75" hidden="1" customHeight="1">
      <c r="A282" s="207"/>
      <c r="B282" s="207"/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/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</row>
    <row r="283" ht="18.75" hidden="1" customHeight="1">
      <c r="A283" s="207"/>
      <c r="B283" s="207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  <c r="AB283" s="207"/>
      <c r="AC283" s="207"/>
      <c r="AD283" s="207"/>
      <c r="AE283" s="207"/>
      <c r="AF283" s="207"/>
      <c r="AG283" s="207"/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</row>
    <row r="284" ht="18.75" hidden="1" customHeight="1">
      <c r="A284" s="207"/>
      <c r="B284" s="207"/>
      <c r="C284" s="207"/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  <c r="AA284" s="207"/>
      <c r="AB284" s="207"/>
      <c r="AC284" s="207"/>
      <c r="AD284" s="207"/>
      <c r="AE284" s="207"/>
      <c r="AF284" s="207"/>
      <c r="AG284" s="207"/>
      <c r="AH284" s="207"/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</row>
    <row r="285" ht="18.75" hidden="1" customHeight="1">
      <c r="A285" s="207"/>
      <c r="B285" s="207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  <c r="AA285" s="207"/>
      <c r="AB285" s="207"/>
      <c r="AC285" s="207"/>
      <c r="AD285" s="207"/>
      <c r="AE285" s="207"/>
      <c r="AF285" s="207"/>
      <c r="AG285" s="207"/>
      <c r="AH285" s="207"/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</row>
    <row r="286" ht="18.75" hidden="1" customHeight="1">
      <c r="A286" s="207"/>
      <c r="B286" s="207"/>
      <c r="C286" s="207"/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  <c r="AA286" s="207"/>
      <c r="AB286" s="207"/>
      <c r="AC286" s="207"/>
      <c r="AD286" s="207"/>
      <c r="AE286" s="207"/>
      <c r="AF286" s="207"/>
      <c r="AG286" s="207"/>
      <c r="AH286" s="207"/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</row>
    <row r="287" ht="18.75" hidden="1" customHeight="1">
      <c r="A287" s="207"/>
      <c r="B287" s="207"/>
      <c r="C287" s="207"/>
      <c r="D287" s="207"/>
      <c r="E287" s="207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  <c r="AA287" s="207"/>
      <c r="AB287" s="207"/>
      <c r="AC287" s="207"/>
      <c r="AD287" s="207"/>
      <c r="AE287" s="207"/>
      <c r="AF287" s="207"/>
      <c r="AG287" s="207"/>
      <c r="AH287" s="207"/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</row>
    <row r="288" ht="18.75" hidden="1" customHeight="1">
      <c r="A288" s="207"/>
      <c r="B288" s="207"/>
      <c r="C288" s="207"/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  <c r="AA288" s="207"/>
      <c r="AB288" s="207"/>
      <c r="AC288" s="207"/>
      <c r="AD288" s="207"/>
      <c r="AE288" s="207"/>
      <c r="AF288" s="207"/>
      <c r="AG288" s="207"/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</row>
    <row r="289" ht="18.75" hidden="1" customHeight="1">
      <c r="A289" s="207"/>
      <c r="B289" s="207"/>
      <c r="C289" s="207"/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  <c r="AB289" s="207"/>
      <c r="AC289" s="207"/>
      <c r="AD289" s="207"/>
      <c r="AE289" s="207"/>
      <c r="AF289" s="207"/>
      <c r="AG289" s="207"/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</row>
    <row r="290" ht="18.75" hidden="1" customHeight="1">
      <c r="A290" s="207"/>
      <c r="B290" s="207"/>
      <c r="C290" s="207"/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  <c r="AA290" s="207"/>
      <c r="AB290" s="207"/>
      <c r="AC290" s="207"/>
      <c r="AD290" s="207"/>
      <c r="AE290" s="207"/>
      <c r="AF290" s="207"/>
      <c r="AG290" s="207"/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</row>
    <row r="291" ht="18.75" hidden="1" customHeight="1">
      <c r="A291" s="207"/>
      <c r="B291" s="207"/>
      <c r="C291" s="207"/>
      <c r="D291" s="207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  <c r="AA291" s="207"/>
      <c r="AB291" s="207"/>
      <c r="AC291" s="207"/>
      <c r="AD291" s="207"/>
      <c r="AE291" s="207"/>
      <c r="AF291" s="207"/>
      <c r="AG291" s="207"/>
      <c r="AH291" s="207"/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</row>
    <row r="292" ht="18.75" hidden="1" customHeight="1">
      <c r="A292" s="207"/>
      <c r="B292" s="207"/>
      <c r="C292" s="207"/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  <c r="AA292" s="207"/>
      <c r="AB292" s="207"/>
      <c r="AC292" s="207"/>
      <c r="AD292" s="207"/>
      <c r="AE292" s="207"/>
      <c r="AF292" s="207"/>
      <c r="AG292" s="207"/>
      <c r="AH292" s="207"/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</row>
    <row r="293" ht="18.75" hidden="1" customHeight="1">
      <c r="A293" s="207"/>
      <c r="B293" s="207"/>
      <c r="C293" s="207"/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  <c r="AA293" s="207"/>
      <c r="AB293" s="207"/>
      <c r="AC293" s="207"/>
      <c r="AD293" s="207"/>
      <c r="AE293" s="207"/>
      <c r="AF293" s="207"/>
      <c r="AG293" s="207"/>
      <c r="AH293" s="207"/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</row>
    <row r="294" ht="18.75" hidden="1" customHeight="1">
      <c r="A294" s="207"/>
      <c r="B294" s="207"/>
      <c r="C294" s="207"/>
      <c r="D294" s="207"/>
      <c r="E294" s="207"/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  <c r="AA294" s="207"/>
      <c r="AB294" s="207"/>
      <c r="AC294" s="207"/>
      <c r="AD294" s="207"/>
      <c r="AE294" s="207"/>
      <c r="AF294" s="207"/>
      <c r="AG294" s="207"/>
      <c r="AH294" s="207"/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</row>
    <row r="295" ht="18.75" hidden="1" customHeight="1">
      <c r="A295" s="207"/>
      <c r="B295" s="207"/>
      <c r="C295" s="207"/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  <c r="AA295" s="207"/>
      <c r="AB295" s="207"/>
      <c r="AC295" s="207"/>
      <c r="AD295" s="207"/>
      <c r="AE295" s="207"/>
      <c r="AF295" s="207"/>
      <c r="AG295" s="207"/>
      <c r="AH295" s="207"/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</row>
    <row r="296" ht="18.75" hidden="1" customHeight="1">
      <c r="A296" s="207"/>
      <c r="B296" s="207"/>
      <c r="C296" s="207"/>
      <c r="D296" s="207"/>
      <c r="E296" s="207"/>
      <c r="F296" s="207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  <c r="AA296" s="207"/>
      <c r="AB296" s="207"/>
      <c r="AC296" s="207"/>
      <c r="AD296" s="207"/>
      <c r="AE296" s="207"/>
      <c r="AF296" s="207"/>
      <c r="AG296" s="207"/>
      <c r="AH296" s="207"/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</row>
    <row r="297" ht="18.75" hidden="1" customHeight="1">
      <c r="A297" s="207"/>
      <c r="B297" s="207"/>
      <c r="C297" s="207"/>
      <c r="D297" s="207"/>
      <c r="E297" s="207"/>
      <c r="F297" s="207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  <c r="AA297" s="207"/>
      <c r="AB297" s="207"/>
      <c r="AC297" s="207"/>
      <c r="AD297" s="207"/>
      <c r="AE297" s="207"/>
      <c r="AF297" s="207"/>
      <c r="AG297" s="207"/>
      <c r="AH297" s="207"/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</row>
    <row r="298" ht="18.75" hidden="1" customHeight="1">
      <c r="A298" s="207"/>
      <c r="B298" s="207"/>
      <c r="C298" s="207"/>
      <c r="D298" s="207"/>
      <c r="E298" s="207"/>
      <c r="F298" s="207"/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  <c r="AA298" s="207"/>
      <c r="AB298" s="207"/>
      <c r="AC298" s="207"/>
      <c r="AD298" s="207"/>
      <c r="AE298" s="207"/>
      <c r="AF298" s="207"/>
      <c r="AG298" s="207"/>
      <c r="AH298" s="207"/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</row>
    <row r="299" ht="18.75" hidden="1" customHeight="1">
      <c r="A299" s="207"/>
      <c r="B299" s="207"/>
      <c r="C299" s="207"/>
      <c r="D299" s="207"/>
      <c r="E299" s="207"/>
      <c r="F299" s="207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  <c r="AA299" s="207"/>
      <c r="AB299" s="207"/>
      <c r="AC299" s="207"/>
      <c r="AD299" s="207"/>
      <c r="AE299" s="207"/>
      <c r="AF299" s="207"/>
      <c r="AG299" s="207"/>
      <c r="AH299" s="207"/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</row>
    <row r="300" ht="18.75" hidden="1" customHeight="1">
      <c r="A300" s="207"/>
      <c r="B300" s="207"/>
      <c r="C300" s="207"/>
      <c r="D300" s="207"/>
      <c r="E300" s="207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  <c r="AA300" s="207"/>
      <c r="AB300" s="207"/>
      <c r="AC300" s="207"/>
      <c r="AD300" s="207"/>
      <c r="AE300" s="207"/>
      <c r="AF300" s="207"/>
      <c r="AG300" s="207"/>
      <c r="AH300" s="207"/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</row>
    <row r="301" ht="18.75" hidden="1" customHeight="1">
      <c r="A301" s="207"/>
      <c r="B301" s="207"/>
      <c r="C301" s="207"/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  <c r="AB301" s="207"/>
      <c r="AC301" s="207"/>
      <c r="AD301" s="207"/>
      <c r="AE301" s="207"/>
      <c r="AF301" s="207"/>
      <c r="AG301" s="207"/>
      <c r="AH301" s="207"/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</row>
    <row r="302" ht="18.75" hidden="1" customHeight="1">
      <c r="A302" s="207"/>
      <c r="B302" s="207"/>
      <c r="C302" s="207"/>
      <c r="D302" s="207"/>
      <c r="E302" s="207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  <c r="AA302" s="207"/>
      <c r="AB302" s="207"/>
      <c r="AC302" s="207"/>
      <c r="AD302" s="207"/>
      <c r="AE302" s="207"/>
      <c r="AF302" s="207"/>
      <c r="AG302" s="207"/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</row>
    <row r="303" ht="18.75" hidden="1" customHeight="1">
      <c r="A303" s="207"/>
      <c r="B303" s="207"/>
      <c r="C303" s="207"/>
      <c r="D303" s="207"/>
      <c r="E303" s="207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  <c r="AA303" s="207"/>
      <c r="AB303" s="207"/>
      <c r="AC303" s="207"/>
      <c r="AD303" s="207"/>
      <c r="AE303" s="207"/>
      <c r="AF303" s="207"/>
      <c r="AG303" s="207"/>
      <c r="AH303" s="207"/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</row>
    <row r="304" ht="18.75" hidden="1" customHeight="1">
      <c r="A304" s="207"/>
      <c r="B304" s="207"/>
      <c r="C304" s="207"/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  <c r="AA304" s="207"/>
      <c r="AB304" s="207"/>
      <c r="AC304" s="207"/>
      <c r="AD304" s="207"/>
      <c r="AE304" s="207"/>
      <c r="AF304" s="207"/>
      <c r="AG304" s="207"/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</row>
    <row r="305" ht="18.75" hidden="1" customHeight="1">
      <c r="A305" s="207"/>
      <c r="B305" s="207"/>
      <c r="C305" s="207"/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  <c r="AA305" s="207"/>
      <c r="AB305" s="207"/>
      <c r="AC305" s="207"/>
      <c r="AD305" s="207"/>
      <c r="AE305" s="207"/>
      <c r="AF305" s="207"/>
      <c r="AG305" s="207"/>
      <c r="AH305" s="207"/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</row>
    <row r="306" ht="18.75" hidden="1" customHeight="1">
      <c r="A306" s="207"/>
      <c r="B306" s="207"/>
      <c r="C306" s="207"/>
      <c r="D306" s="207"/>
      <c r="E306" s="207"/>
      <c r="F306" s="207"/>
      <c r="G306" s="207"/>
      <c r="H306" s="207"/>
      <c r="I306" s="207"/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  <c r="AA306" s="207"/>
      <c r="AB306" s="207"/>
      <c r="AC306" s="207"/>
      <c r="AD306" s="207"/>
      <c r="AE306" s="207"/>
      <c r="AF306" s="207"/>
      <c r="AG306" s="207"/>
      <c r="AH306" s="207"/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</row>
    <row r="307" ht="18.75" hidden="1" customHeight="1">
      <c r="A307" s="207"/>
      <c r="B307" s="207"/>
      <c r="C307" s="207"/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  <c r="AA307" s="207"/>
      <c r="AB307" s="207"/>
      <c r="AC307" s="207"/>
      <c r="AD307" s="207"/>
      <c r="AE307" s="207"/>
      <c r="AF307" s="207"/>
      <c r="AG307" s="207"/>
      <c r="AH307" s="207"/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</row>
    <row r="308" ht="18.75" hidden="1" customHeight="1">
      <c r="A308" s="207"/>
      <c r="B308" s="207"/>
      <c r="C308" s="207"/>
      <c r="D308" s="207"/>
      <c r="E308" s="207"/>
      <c r="F308" s="207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  <c r="AA308" s="207"/>
      <c r="AB308" s="207"/>
      <c r="AC308" s="207"/>
      <c r="AD308" s="207"/>
      <c r="AE308" s="207"/>
      <c r="AF308" s="207"/>
      <c r="AG308" s="207"/>
      <c r="AH308" s="207"/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</row>
    <row r="309" ht="18.75" hidden="1" customHeight="1">
      <c r="A309" s="207"/>
      <c r="B309" s="207"/>
      <c r="C309" s="207"/>
      <c r="D309" s="207"/>
      <c r="E309" s="207"/>
      <c r="F309" s="207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  <c r="AA309" s="207"/>
      <c r="AB309" s="207"/>
      <c r="AC309" s="207"/>
      <c r="AD309" s="207"/>
      <c r="AE309" s="207"/>
      <c r="AF309" s="207"/>
      <c r="AG309" s="207"/>
      <c r="AH309" s="207"/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</row>
    <row r="310" ht="18.75" hidden="1" customHeight="1">
      <c r="A310" s="207"/>
      <c r="B310" s="207"/>
      <c r="C310" s="207"/>
      <c r="D310" s="207"/>
      <c r="E310" s="207"/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  <c r="AA310" s="207"/>
      <c r="AB310" s="207"/>
      <c r="AC310" s="207"/>
      <c r="AD310" s="207"/>
      <c r="AE310" s="207"/>
      <c r="AF310" s="207"/>
      <c r="AG310" s="207"/>
      <c r="AH310" s="207"/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</row>
    <row r="311" ht="18.75" hidden="1" customHeight="1">
      <c r="A311" s="207"/>
      <c r="B311" s="207"/>
      <c r="C311" s="207"/>
      <c r="D311" s="207"/>
      <c r="E311" s="207"/>
      <c r="F311" s="207"/>
      <c r="G311" s="207"/>
      <c r="H311" s="207"/>
      <c r="I311" s="207"/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  <c r="AA311" s="207"/>
      <c r="AB311" s="207"/>
      <c r="AC311" s="207"/>
      <c r="AD311" s="207"/>
      <c r="AE311" s="207"/>
      <c r="AF311" s="207"/>
      <c r="AG311" s="207"/>
      <c r="AH311" s="207"/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</row>
    <row r="312" ht="18.75" hidden="1" customHeight="1">
      <c r="A312" s="207"/>
      <c r="B312" s="207"/>
      <c r="C312" s="207"/>
      <c r="D312" s="207"/>
      <c r="E312" s="207"/>
      <c r="F312" s="207"/>
      <c r="G312" s="207"/>
      <c r="H312" s="207"/>
      <c r="I312" s="207"/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  <c r="AA312" s="207"/>
      <c r="AB312" s="207"/>
      <c r="AC312" s="207"/>
      <c r="AD312" s="207"/>
      <c r="AE312" s="207"/>
      <c r="AF312" s="207"/>
      <c r="AG312" s="207"/>
      <c r="AH312" s="207"/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</row>
    <row r="313" ht="18.75" hidden="1" customHeight="1">
      <c r="A313" s="207"/>
      <c r="B313" s="207"/>
      <c r="C313" s="207"/>
      <c r="D313" s="207"/>
      <c r="E313" s="207"/>
      <c r="F313" s="207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  <c r="AA313" s="207"/>
      <c r="AB313" s="207"/>
      <c r="AC313" s="207"/>
      <c r="AD313" s="207"/>
      <c r="AE313" s="207"/>
      <c r="AF313" s="207"/>
      <c r="AG313" s="207"/>
      <c r="AH313" s="207"/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  <c r="AZ313" s="207"/>
      <c r="BA313" s="207"/>
    </row>
    <row r="314" ht="18.75" hidden="1" customHeight="1">
      <c r="A314" s="207"/>
      <c r="B314" s="207"/>
      <c r="C314" s="207"/>
      <c r="D314" s="207"/>
      <c r="E314" s="207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  <c r="AB314" s="207"/>
      <c r="AC314" s="207"/>
      <c r="AD314" s="207"/>
      <c r="AE314" s="207"/>
      <c r="AF314" s="207"/>
      <c r="AG314" s="207"/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</row>
    <row r="315" ht="18.75" hidden="1" customHeight="1">
      <c r="A315" s="207"/>
      <c r="B315" s="207"/>
      <c r="C315" s="207"/>
      <c r="D315" s="207"/>
      <c r="E315" s="207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  <c r="AB315" s="207"/>
      <c r="AC315" s="207"/>
      <c r="AD315" s="207"/>
      <c r="AE315" s="207"/>
      <c r="AF315" s="207"/>
      <c r="AG315" s="207"/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</row>
    <row r="316" ht="18.75" hidden="1" customHeight="1">
      <c r="A316" s="207"/>
      <c r="B316" s="207"/>
      <c r="C316" s="207"/>
      <c r="D316" s="207"/>
      <c r="E316" s="207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  <c r="AB316" s="207"/>
      <c r="AC316" s="207"/>
      <c r="AD316" s="207"/>
      <c r="AE316" s="207"/>
      <c r="AF316" s="207"/>
      <c r="AG316" s="207"/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</row>
    <row r="317" ht="18.75" hidden="1" customHeight="1">
      <c r="A317" s="207"/>
      <c r="B317" s="207"/>
      <c r="C317" s="207"/>
      <c r="D317" s="207"/>
      <c r="E317" s="207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  <c r="AB317" s="207"/>
      <c r="AC317" s="207"/>
      <c r="AD317" s="207"/>
      <c r="AE317" s="207"/>
      <c r="AF317" s="207"/>
      <c r="AG317" s="207"/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</row>
    <row r="318" ht="18.75" hidden="1" customHeight="1">
      <c r="A318" s="207"/>
      <c r="B318" s="2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/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</row>
    <row r="319" ht="18.75" hidden="1" customHeight="1">
      <c r="A319" s="207"/>
      <c r="B319" s="207"/>
      <c r="C319" s="207"/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  <c r="AA319" s="207"/>
      <c r="AB319" s="207"/>
      <c r="AC319" s="207"/>
      <c r="AD319" s="207"/>
      <c r="AE319" s="207"/>
      <c r="AF319" s="207"/>
      <c r="AG319" s="207"/>
      <c r="AH319" s="207"/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</row>
    <row r="320" ht="18.75" hidden="1" customHeight="1">
      <c r="A320" s="207"/>
      <c r="B320" s="207"/>
      <c r="C320" s="207"/>
      <c r="D320" s="207"/>
      <c r="E320" s="207"/>
      <c r="F320" s="207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  <c r="AA320" s="207"/>
      <c r="AB320" s="207"/>
      <c r="AC320" s="207"/>
      <c r="AD320" s="207"/>
      <c r="AE320" s="207"/>
      <c r="AF320" s="207"/>
      <c r="AG320" s="207"/>
      <c r="AH320" s="207"/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</row>
    <row r="321" ht="18.75" hidden="1" customHeight="1">
      <c r="A321" s="207"/>
      <c r="B321" s="207"/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  <c r="AA321" s="207"/>
      <c r="AB321" s="207"/>
      <c r="AC321" s="207"/>
      <c r="AD321" s="207"/>
      <c r="AE321" s="207"/>
      <c r="AF321" s="207"/>
      <c r="AG321" s="207"/>
      <c r="AH321" s="207"/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</row>
    <row r="322" ht="18.75" hidden="1" customHeight="1">
      <c r="A322" s="207"/>
      <c r="B322" s="207"/>
      <c r="C322" s="207"/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  <c r="AA322" s="207"/>
      <c r="AB322" s="207"/>
      <c r="AC322" s="207"/>
      <c r="AD322" s="207"/>
      <c r="AE322" s="207"/>
      <c r="AF322" s="207"/>
      <c r="AG322" s="207"/>
      <c r="AH322" s="207"/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</row>
    <row r="323" ht="18.75" hidden="1" customHeight="1">
      <c r="A323" s="207"/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  <c r="AA323" s="207"/>
      <c r="AB323" s="207"/>
      <c r="AC323" s="207"/>
      <c r="AD323" s="207"/>
      <c r="AE323" s="207"/>
      <c r="AF323" s="207"/>
      <c r="AG323" s="207"/>
      <c r="AH323" s="207"/>
      <c r="AI323" s="207"/>
      <c r="AJ323" s="207"/>
      <c r="AK323" s="207"/>
      <c r="AL323" s="207"/>
      <c r="AM323" s="207"/>
      <c r="AN323" s="207"/>
      <c r="AO323" s="207"/>
      <c r="AP323" s="207"/>
      <c r="AQ323" s="207"/>
      <c r="AR323" s="207"/>
      <c r="AS323" s="207"/>
      <c r="AT323" s="207"/>
      <c r="AU323" s="207"/>
      <c r="AV323" s="207"/>
      <c r="AW323" s="207"/>
      <c r="AX323" s="207"/>
      <c r="AY323" s="207"/>
      <c r="AZ323" s="207"/>
      <c r="BA323" s="207"/>
    </row>
    <row r="324" ht="18.75" hidden="1" customHeight="1">
      <c r="A324" s="207"/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  <c r="AA324" s="207"/>
      <c r="AB324" s="207"/>
      <c r="AC324" s="207"/>
      <c r="AD324" s="207"/>
      <c r="AE324" s="207"/>
      <c r="AF324" s="207"/>
      <c r="AG324" s="207"/>
      <c r="AH324" s="207"/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</row>
    <row r="325" ht="18.75" hidden="1" customHeight="1">
      <c r="A325" s="207"/>
      <c r="B325" s="207"/>
      <c r="C325" s="207"/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  <c r="AA325" s="207"/>
      <c r="AB325" s="207"/>
      <c r="AC325" s="207"/>
      <c r="AD325" s="207"/>
      <c r="AE325" s="207"/>
      <c r="AF325" s="207"/>
      <c r="AG325" s="207"/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</row>
    <row r="326" ht="18.75" hidden="1" customHeight="1">
      <c r="A326" s="207"/>
      <c r="B326" s="207"/>
      <c r="C326" s="207"/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  <c r="AA326" s="207"/>
      <c r="AB326" s="207"/>
      <c r="AC326" s="207"/>
      <c r="AD326" s="207"/>
      <c r="AE326" s="207"/>
      <c r="AF326" s="207"/>
      <c r="AG326" s="207"/>
      <c r="AH326" s="207"/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</row>
    <row r="327" ht="18.75" hidden="1" customHeight="1">
      <c r="A327" s="207"/>
      <c r="B327" s="207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  <c r="AA327" s="207"/>
      <c r="AB327" s="207"/>
      <c r="AC327" s="207"/>
      <c r="AD327" s="207"/>
      <c r="AE327" s="207"/>
      <c r="AF327" s="207"/>
      <c r="AG327" s="207"/>
      <c r="AH327" s="207"/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</row>
    <row r="328" ht="18.75" hidden="1" customHeight="1">
      <c r="A328" s="207"/>
      <c r="B328" s="207"/>
      <c r="C328" s="207"/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  <c r="AA328" s="207"/>
      <c r="AB328" s="207"/>
      <c r="AC328" s="207"/>
      <c r="AD328" s="207"/>
      <c r="AE328" s="207"/>
      <c r="AF328" s="207"/>
      <c r="AG328" s="207"/>
      <c r="AH328" s="207"/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</row>
    <row r="329" ht="18.75" hidden="1" customHeight="1">
      <c r="A329" s="207"/>
      <c r="B329" s="207"/>
      <c r="C329" s="207"/>
      <c r="D329" s="207"/>
      <c r="E329" s="207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  <c r="AA329" s="207"/>
      <c r="AB329" s="207"/>
      <c r="AC329" s="207"/>
      <c r="AD329" s="207"/>
      <c r="AE329" s="207"/>
      <c r="AF329" s="207"/>
      <c r="AG329" s="207"/>
      <c r="AH329" s="207"/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</row>
    <row r="330" ht="18.75" hidden="1" customHeight="1">
      <c r="A330" s="207"/>
      <c r="B330" s="207"/>
      <c r="C330" s="207"/>
      <c r="D330" s="207"/>
      <c r="E330" s="207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  <c r="AA330" s="207"/>
      <c r="AB330" s="207"/>
      <c r="AC330" s="207"/>
      <c r="AD330" s="207"/>
      <c r="AE330" s="207"/>
      <c r="AF330" s="207"/>
      <c r="AG330" s="207"/>
      <c r="AH330" s="207"/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</row>
    <row r="331" ht="18.75" hidden="1" customHeight="1">
      <c r="A331" s="207"/>
      <c r="B331" s="207"/>
      <c r="C331" s="207"/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  <c r="AA331" s="207"/>
      <c r="AB331" s="207"/>
      <c r="AC331" s="207"/>
      <c r="AD331" s="207"/>
      <c r="AE331" s="207"/>
      <c r="AF331" s="207"/>
      <c r="AG331" s="207"/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</row>
    <row r="332" ht="18.75" hidden="1" customHeight="1">
      <c r="A332" s="207"/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  <c r="AA332" s="207"/>
      <c r="AB332" s="207"/>
      <c r="AC332" s="207"/>
      <c r="AD332" s="207"/>
      <c r="AE332" s="207"/>
      <c r="AF332" s="207"/>
      <c r="AG332" s="207"/>
      <c r="AH332" s="207"/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  <c r="AZ332" s="207"/>
      <c r="BA332" s="207"/>
    </row>
    <row r="333" ht="18.75" hidden="1" customHeight="1">
      <c r="A333" s="207"/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  <c r="AA333" s="207"/>
      <c r="AB333" s="207"/>
      <c r="AC333" s="207"/>
      <c r="AD333" s="207"/>
      <c r="AE333" s="207"/>
      <c r="AF333" s="207"/>
      <c r="AG333" s="207"/>
      <c r="AH333" s="207"/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</row>
    <row r="334" ht="18.75" hidden="1" customHeight="1">
      <c r="A334" s="207"/>
      <c r="B334" s="207"/>
      <c r="C334" s="207"/>
      <c r="D334" s="207"/>
      <c r="E334" s="207"/>
      <c r="F334" s="207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  <c r="AA334" s="207"/>
      <c r="AB334" s="207"/>
      <c r="AC334" s="207"/>
      <c r="AD334" s="207"/>
      <c r="AE334" s="207"/>
      <c r="AF334" s="207"/>
      <c r="AG334" s="207"/>
      <c r="AH334" s="207"/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</row>
    <row r="335" ht="18.75" hidden="1" customHeight="1">
      <c r="A335" s="207"/>
      <c r="B335" s="207"/>
      <c r="C335" s="207"/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  <c r="AA335" s="207"/>
      <c r="AB335" s="207"/>
      <c r="AC335" s="207"/>
      <c r="AD335" s="207"/>
      <c r="AE335" s="207"/>
      <c r="AF335" s="207"/>
      <c r="AG335" s="207"/>
      <c r="AH335" s="207"/>
      <c r="AI335" s="207"/>
      <c r="AJ335" s="207"/>
      <c r="AK335" s="207"/>
      <c r="AL335" s="207"/>
      <c r="AM335" s="207"/>
      <c r="AN335" s="207"/>
      <c r="AO335" s="207"/>
      <c r="AP335" s="207"/>
      <c r="AQ335" s="207"/>
      <c r="AR335" s="207"/>
      <c r="AS335" s="207"/>
      <c r="AT335" s="207"/>
      <c r="AU335" s="207"/>
      <c r="AV335" s="207"/>
      <c r="AW335" s="207"/>
      <c r="AX335" s="207"/>
      <c r="AY335" s="207"/>
      <c r="AZ335" s="207"/>
      <c r="BA335" s="207"/>
    </row>
    <row r="336" ht="18.75" hidden="1" customHeight="1">
      <c r="A336" s="207"/>
      <c r="B336" s="207"/>
      <c r="C336" s="207"/>
      <c r="D336" s="207"/>
      <c r="E336" s="207"/>
      <c r="F336" s="207"/>
      <c r="G336" s="207"/>
      <c r="H336" s="207"/>
      <c r="I336" s="207"/>
      <c r="J336" s="207"/>
      <c r="K336" s="207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  <c r="AA336" s="207"/>
      <c r="AB336" s="207"/>
      <c r="AC336" s="207"/>
      <c r="AD336" s="207"/>
      <c r="AE336" s="207"/>
      <c r="AF336" s="207"/>
      <c r="AG336" s="207"/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</row>
    <row r="337" ht="18.75" hidden="1" customHeight="1">
      <c r="A337" s="207"/>
      <c r="B337" s="207"/>
      <c r="C337" s="207"/>
      <c r="D337" s="207"/>
      <c r="E337" s="207"/>
      <c r="F337" s="207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  <c r="AA337" s="207"/>
      <c r="AB337" s="207"/>
      <c r="AC337" s="207"/>
      <c r="AD337" s="207"/>
      <c r="AE337" s="207"/>
      <c r="AF337" s="207"/>
      <c r="AG337" s="207"/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</row>
    <row r="338" ht="18.75" hidden="1" customHeight="1">
      <c r="A338" s="207"/>
      <c r="B338" s="207"/>
      <c r="C338" s="207"/>
      <c r="D338" s="207"/>
      <c r="E338" s="207"/>
      <c r="F338" s="207"/>
      <c r="G338" s="207"/>
      <c r="H338" s="207"/>
      <c r="I338" s="207"/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  <c r="AA338" s="207"/>
      <c r="AB338" s="207"/>
      <c r="AC338" s="207"/>
      <c r="AD338" s="207"/>
      <c r="AE338" s="207"/>
      <c r="AF338" s="207"/>
      <c r="AG338" s="207"/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</row>
    <row r="339" ht="18.75" hidden="1" customHeight="1">
      <c r="A339" s="207"/>
      <c r="B339" s="207"/>
      <c r="C339" s="207"/>
      <c r="D339" s="207"/>
      <c r="E339" s="207"/>
      <c r="F339" s="207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  <c r="AA339" s="207"/>
      <c r="AB339" s="207"/>
      <c r="AC339" s="207"/>
      <c r="AD339" s="207"/>
      <c r="AE339" s="207"/>
      <c r="AF339" s="207"/>
      <c r="AG339" s="207"/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</row>
    <row r="340" ht="18.75" hidden="1" customHeight="1">
      <c r="A340" s="207"/>
      <c r="B340" s="207"/>
      <c r="C340" s="207"/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  <c r="AA340" s="207"/>
      <c r="AB340" s="207"/>
      <c r="AC340" s="207"/>
      <c r="AD340" s="207"/>
      <c r="AE340" s="207"/>
      <c r="AF340" s="207"/>
      <c r="AG340" s="207"/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</row>
    <row r="341" ht="18.75" hidden="1" customHeight="1">
      <c r="A341" s="207"/>
      <c r="B341" s="207"/>
      <c r="C341" s="207"/>
      <c r="D341" s="207"/>
      <c r="E341" s="207"/>
      <c r="F341" s="207"/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  <c r="AA341" s="207"/>
      <c r="AB341" s="207"/>
      <c r="AC341" s="207"/>
      <c r="AD341" s="207"/>
      <c r="AE341" s="207"/>
      <c r="AF341" s="207"/>
      <c r="AG341" s="207"/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</row>
    <row r="342" ht="18.75" hidden="1" customHeight="1">
      <c r="A342" s="207"/>
      <c r="B342" s="207"/>
      <c r="C342" s="207"/>
      <c r="D342" s="207"/>
      <c r="E342" s="207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  <c r="AA342" s="207"/>
      <c r="AB342" s="207"/>
      <c r="AC342" s="207"/>
      <c r="AD342" s="207"/>
      <c r="AE342" s="207"/>
      <c r="AF342" s="207"/>
      <c r="AG342" s="207"/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</row>
    <row r="343" ht="18.75" hidden="1" customHeight="1">
      <c r="A343" s="207"/>
      <c r="B343" s="207"/>
      <c r="C343" s="207"/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  <c r="AA343" s="207"/>
      <c r="AB343" s="207"/>
      <c r="AC343" s="207"/>
      <c r="AD343" s="207"/>
      <c r="AE343" s="207"/>
      <c r="AF343" s="207"/>
      <c r="AG343" s="207"/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</row>
    <row r="344" ht="18.75" hidden="1" customHeight="1">
      <c r="A344" s="207"/>
      <c r="B344" s="207"/>
      <c r="C344" s="207"/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  <c r="AA344" s="207"/>
      <c r="AB344" s="207"/>
      <c r="AC344" s="207"/>
      <c r="AD344" s="207"/>
      <c r="AE344" s="207"/>
      <c r="AF344" s="207"/>
      <c r="AG344" s="207"/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</row>
    <row r="345" ht="18.75" hidden="1" customHeight="1">
      <c r="A345" s="207"/>
      <c r="B345" s="207"/>
      <c r="C345" s="207"/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  <c r="AA345" s="207"/>
      <c r="AB345" s="207"/>
      <c r="AC345" s="207"/>
      <c r="AD345" s="207"/>
      <c r="AE345" s="207"/>
      <c r="AF345" s="207"/>
      <c r="AG345" s="207"/>
      <c r="AH345" s="207"/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</row>
    <row r="346" ht="18.75" hidden="1" customHeight="1">
      <c r="A346" s="207"/>
      <c r="B346" s="207"/>
      <c r="C346" s="207"/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  <c r="AA346" s="207"/>
      <c r="AB346" s="207"/>
      <c r="AC346" s="207"/>
      <c r="AD346" s="207"/>
      <c r="AE346" s="207"/>
      <c r="AF346" s="207"/>
      <c r="AG346" s="207"/>
      <c r="AH346" s="207"/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</row>
    <row r="347" ht="18.75" hidden="1" customHeight="1">
      <c r="A347" s="207"/>
      <c r="B347" s="207"/>
      <c r="C347" s="207"/>
      <c r="D347" s="207"/>
      <c r="E347" s="207"/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  <c r="AA347" s="207"/>
      <c r="AB347" s="207"/>
      <c r="AC347" s="207"/>
      <c r="AD347" s="207"/>
      <c r="AE347" s="207"/>
      <c r="AF347" s="207"/>
      <c r="AG347" s="207"/>
      <c r="AH347" s="207"/>
      <c r="AI347" s="207"/>
      <c r="AJ347" s="207"/>
      <c r="AK347" s="207"/>
      <c r="AL347" s="207"/>
      <c r="AM347" s="207"/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</row>
    <row r="348" ht="18.75" hidden="1" customHeight="1">
      <c r="A348" s="207"/>
      <c r="B348" s="207"/>
      <c r="C348" s="207"/>
      <c r="D348" s="207"/>
      <c r="E348" s="207"/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  <c r="AA348" s="207"/>
      <c r="AB348" s="207"/>
      <c r="AC348" s="207"/>
      <c r="AD348" s="207"/>
      <c r="AE348" s="207"/>
      <c r="AF348" s="207"/>
      <c r="AG348" s="207"/>
      <c r="AH348" s="207"/>
      <c r="AI348" s="207"/>
      <c r="AJ348" s="207"/>
      <c r="AK348" s="207"/>
      <c r="AL348" s="207"/>
      <c r="AM348" s="207"/>
      <c r="AN348" s="207"/>
      <c r="AO348" s="207"/>
      <c r="AP348" s="207"/>
      <c r="AQ348" s="207"/>
      <c r="AR348" s="207"/>
      <c r="AS348" s="207"/>
      <c r="AT348" s="207"/>
      <c r="AU348" s="207"/>
      <c r="AV348" s="207"/>
      <c r="AW348" s="207"/>
      <c r="AX348" s="207"/>
      <c r="AY348" s="207"/>
      <c r="AZ348" s="207"/>
      <c r="BA348" s="207"/>
    </row>
    <row r="349" ht="18.75" hidden="1" customHeight="1">
      <c r="A349" s="207"/>
      <c r="B349" s="207"/>
      <c r="C349" s="207"/>
      <c r="D349" s="207"/>
      <c r="E349" s="207"/>
      <c r="F349" s="207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  <c r="AA349" s="207"/>
      <c r="AB349" s="207"/>
      <c r="AC349" s="207"/>
      <c r="AD349" s="207"/>
      <c r="AE349" s="207"/>
      <c r="AF349" s="207"/>
      <c r="AG349" s="207"/>
      <c r="AH349" s="207"/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</row>
    <row r="350" ht="18.75" hidden="1" customHeight="1">
      <c r="A350" s="207"/>
      <c r="B350" s="207"/>
      <c r="C350" s="207"/>
      <c r="D350" s="207"/>
      <c r="E350" s="207"/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  <c r="AA350" s="207"/>
      <c r="AB350" s="207"/>
      <c r="AC350" s="207"/>
      <c r="AD350" s="207"/>
      <c r="AE350" s="207"/>
      <c r="AF350" s="207"/>
      <c r="AG350" s="207"/>
      <c r="AH350" s="207"/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</row>
    <row r="351" ht="18.75" hidden="1" customHeight="1">
      <c r="A351" s="207"/>
      <c r="B351" s="207"/>
      <c r="C351" s="207"/>
      <c r="D351" s="207"/>
      <c r="E351" s="207"/>
      <c r="F351" s="207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  <c r="AA351" s="207"/>
      <c r="AB351" s="207"/>
      <c r="AC351" s="207"/>
      <c r="AD351" s="207"/>
      <c r="AE351" s="207"/>
      <c r="AF351" s="207"/>
      <c r="AG351" s="207"/>
      <c r="AH351" s="207"/>
      <c r="AI351" s="207"/>
      <c r="AJ351" s="207"/>
      <c r="AK351" s="207"/>
      <c r="AL351" s="207"/>
      <c r="AM351" s="207"/>
      <c r="AN351" s="207"/>
      <c r="AO351" s="207"/>
      <c r="AP351" s="207"/>
      <c r="AQ351" s="207"/>
      <c r="AR351" s="207"/>
      <c r="AS351" s="207"/>
      <c r="AT351" s="207"/>
      <c r="AU351" s="207"/>
      <c r="AV351" s="207"/>
      <c r="AW351" s="207"/>
      <c r="AX351" s="207"/>
      <c r="AY351" s="207"/>
      <c r="AZ351" s="207"/>
      <c r="BA351" s="207"/>
    </row>
    <row r="352" ht="18.75" hidden="1" customHeight="1">
      <c r="A352" s="207"/>
      <c r="B352" s="207"/>
      <c r="C352" s="207"/>
      <c r="D352" s="207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  <c r="AA352" s="207"/>
      <c r="AB352" s="207"/>
      <c r="AC352" s="207"/>
      <c r="AD352" s="207"/>
      <c r="AE352" s="207"/>
      <c r="AF352" s="207"/>
      <c r="AG352" s="207"/>
      <c r="AH352" s="207"/>
      <c r="AI352" s="207"/>
      <c r="AJ352" s="207"/>
      <c r="AK352" s="207"/>
      <c r="AL352" s="207"/>
      <c r="AM352" s="207"/>
      <c r="AN352" s="207"/>
      <c r="AO352" s="207"/>
      <c r="AP352" s="207"/>
      <c r="AQ352" s="207"/>
      <c r="AR352" s="207"/>
      <c r="AS352" s="207"/>
      <c r="AT352" s="207"/>
      <c r="AU352" s="207"/>
      <c r="AV352" s="207"/>
      <c r="AW352" s="207"/>
      <c r="AX352" s="207"/>
      <c r="AY352" s="207"/>
      <c r="AZ352" s="207"/>
      <c r="BA352" s="207"/>
    </row>
    <row r="353" ht="18.75" hidden="1" customHeight="1">
      <c r="A353" s="207"/>
      <c r="B353" s="207"/>
      <c r="C353" s="207"/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  <c r="AA353" s="207"/>
      <c r="AB353" s="207"/>
      <c r="AC353" s="207"/>
      <c r="AD353" s="207"/>
      <c r="AE353" s="207"/>
      <c r="AF353" s="207"/>
      <c r="AG353" s="207"/>
      <c r="AH353" s="207"/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</row>
    <row r="354" ht="18.75" hidden="1" customHeight="1">
      <c r="A354" s="207"/>
      <c r="B354" s="207"/>
      <c r="C354" s="207"/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  <c r="AA354" s="207"/>
      <c r="AB354" s="207"/>
      <c r="AC354" s="207"/>
      <c r="AD354" s="207"/>
      <c r="AE354" s="207"/>
      <c r="AF354" s="207"/>
      <c r="AG354" s="207"/>
      <c r="AH354" s="207"/>
      <c r="AI354" s="207"/>
      <c r="AJ354" s="207"/>
      <c r="AK354" s="207"/>
      <c r="AL354" s="207"/>
      <c r="AM354" s="207"/>
      <c r="AN354" s="207"/>
      <c r="AO354" s="207"/>
      <c r="AP354" s="207"/>
      <c r="AQ354" s="207"/>
      <c r="AR354" s="207"/>
      <c r="AS354" s="207"/>
      <c r="AT354" s="207"/>
      <c r="AU354" s="207"/>
      <c r="AV354" s="207"/>
      <c r="AW354" s="207"/>
      <c r="AX354" s="207"/>
      <c r="AY354" s="207"/>
      <c r="AZ354" s="207"/>
      <c r="BA354" s="207"/>
    </row>
    <row r="355" ht="18.75" hidden="1" customHeight="1">
      <c r="A355" s="207"/>
      <c r="B355" s="207"/>
      <c r="C355" s="207"/>
      <c r="D355" s="207"/>
      <c r="E355" s="207"/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  <c r="AA355" s="207"/>
      <c r="AB355" s="207"/>
      <c r="AC355" s="207"/>
      <c r="AD355" s="207"/>
      <c r="AE355" s="207"/>
      <c r="AF355" s="207"/>
      <c r="AG355" s="207"/>
      <c r="AH355" s="207"/>
      <c r="AI355" s="207"/>
      <c r="AJ355" s="207"/>
      <c r="AK355" s="207"/>
      <c r="AL355" s="207"/>
      <c r="AM355" s="207"/>
      <c r="AN355" s="207"/>
      <c r="AO355" s="207"/>
      <c r="AP355" s="207"/>
      <c r="AQ355" s="207"/>
      <c r="AR355" s="207"/>
      <c r="AS355" s="207"/>
      <c r="AT355" s="207"/>
      <c r="AU355" s="207"/>
      <c r="AV355" s="207"/>
      <c r="AW355" s="207"/>
      <c r="AX355" s="207"/>
      <c r="AY355" s="207"/>
      <c r="AZ355" s="207"/>
      <c r="BA355" s="207"/>
    </row>
    <row r="356" ht="18.75" hidden="1" customHeight="1">
      <c r="A356" s="207"/>
      <c r="B356" s="207"/>
      <c r="C356" s="207"/>
      <c r="D356" s="207"/>
      <c r="E356" s="207"/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  <c r="AA356" s="207"/>
      <c r="AB356" s="207"/>
      <c r="AC356" s="207"/>
      <c r="AD356" s="207"/>
      <c r="AE356" s="207"/>
      <c r="AF356" s="207"/>
      <c r="AG356" s="207"/>
      <c r="AH356" s="207"/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</row>
    <row r="357" ht="18.75" hidden="1" customHeight="1">
      <c r="A357" s="207"/>
      <c r="B357" s="207"/>
      <c r="C357" s="207"/>
      <c r="D357" s="207"/>
      <c r="E357" s="207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  <c r="AA357" s="207"/>
      <c r="AB357" s="207"/>
      <c r="AC357" s="207"/>
      <c r="AD357" s="207"/>
      <c r="AE357" s="207"/>
      <c r="AF357" s="207"/>
      <c r="AG357" s="207"/>
      <c r="AH357" s="207"/>
      <c r="AI357" s="207"/>
      <c r="AJ357" s="207"/>
      <c r="AK357" s="207"/>
      <c r="AL357" s="207"/>
      <c r="AM357" s="207"/>
      <c r="AN357" s="207"/>
      <c r="AO357" s="207"/>
      <c r="AP357" s="207"/>
      <c r="AQ357" s="207"/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</row>
    <row r="358" ht="18.75" hidden="1" customHeight="1">
      <c r="A358" s="207"/>
      <c r="B358" s="207"/>
      <c r="C358" s="207"/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  <c r="AA358" s="207"/>
      <c r="AB358" s="207"/>
      <c r="AC358" s="207"/>
      <c r="AD358" s="207"/>
      <c r="AE358" s="207"/>
      <c r="AF358" s="207"/>
      <c r="AG358" s="207"/>
      <c r="AH358" s="207"/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</row>
    <row r="359" ht="18.75" hidden="1" customHeight="1">
      <c r="A359" s="207"/>
      <c r="B359" s="207"/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  <c r="AA359" s="207"/>
      <c r="AB359" s="207"/>
      <c r="AC359" s="207"/>
      <c r="AD359" s="207"/>
      <c r="AE359" s="207"/>
      <c r="AF359" s="207"/>
      <c r="AG359" s="207"/>
      <c r="AH359" s="207"/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07"/>
      <c r="BA359" s="207"/>
    </row>
    <row r="360" ht="18.75" hidden="1" customHeight="1">
      <c r="A360" s="207"/>
      <c r="B360" s="207"/>
      <c r="C360" s="207"/>
      <c r="D360" s="207"/>
      <c r="E360" s="207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  <c r="AA360" s="207"/>
      <c r="AB360" s="207"/>
      <c r="AC360" s="207"/>
      <c r="AD360" s="207"/>
      <c r="AE360" s="207"/>
      <c r="AF360" s="207"/>
      <c r="AG360" s="207"/>
      <c r="AH360" s="207"/>
      <c r="AI360" s="207"/>
      <c r="AJ360" s="207"/>
      <c r="AK360" s="207"/>
      <c r="AL360" s="207"/>
      <c r="AM360" s="207"/>
      <c r="AN360" s="207"/>
      <c r="AO360" s="207"/>
      <c r="AP360" s="207"/>
      <c r="AQ360" s="207"/>
      <c r="AR360" s="207"/>
      <c r="AS360" s="207"/>
      <c r="AT360" s="207"/>
      <c r="AU360" s="207"/>
      <c r="AV360" s="207"/>
      <c r="AW360" s="207"/>
      <c r="AX360" s="207"/>
      <c r="AY360" s="207"/>
      <c r="AZ360" s="207"/>
      <c r="BA360" s="207"/>
    </row>
    <row r="361" ht="18.75" hidden="1" customHeight="1">
      <c r="A361" s="207"/>
      <c r="B361" s="207"/>
      <c r="C361" s="207"/>
      <c r="D361" s="207"/>
      <c r="E361" s="207"/>
      <c r="F361" s="207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  <c r="AA361" s="207"/>
      <c r="AB361" s="207"/>
      <c r="AC361" s="207"/>
      <c r="AD361" s="207"/>
      <c r="AE361" s="207"/>
      <c r="AF361" s="207"/>
      <c r="AG361" s="207"/>
      <c r="AH361" s="207"/>
      <c r="AI361" s="207"/>
      <c r="AJ361" s="207"/>
      <c r="AK361" s="207"/>
      <c r="AL361" s="207"/>
      <c r="AM361" s="207"/>
      <c r="AN361" s="207"/>
      <c r="AO361" s="207"/>
      <c r="AP361" s="207"/>
      <c r="AQ361" s="207"/>
      <c r="AR361" s="207"/>
      <c r="AS361" s="207"/>
      <c r="AT361" s="207"/>
      <c r="AU361" s="207"/>
      <c r="AV361" s="207"/>
      <c r="AW361" s="207"/>
      <c r="AX361" s="207"/>
      <c r="AY361" s="207"/>
      <c r="AZ361" s="207"/>
      <c r="BA361" s="207"/>
    </row>
    <row r="362" ht="18.75" hidden="1" customHeight="1">
      <c r="A362" s="207"/>
      <c r="B362" s="207"/>
      <c r="C362" s="207"/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  <c r="AA362" s="207"/>
      <c r="AB362" s="207"/>
      <c r="AC362" s="207"/>
      <c r="AD362" s="207"/>
      <c r="AE362" s="207"/>
      <c r="AF362" s="207"/>
      <c r="AG362" s="207"/>
      <c r="AH362" s="207"/>
      <c r="AI362" s="207"/>
      <c r="AJ362" s="207"/>
      <c r="AK362" s="207"/>
      <c r="AL362" s="207"/>
      <c r="AM362" s="207"/>
      <c r="AN362" s="207"/>
      <c r="AO362" s="207"/>
      <c r="AP362" s="207"/>
      <c r="AQ362" s="207"/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</row>
    <row r="363" ht="18.75" hidden="1" customHeight="1">
      <c r="A363" s="207"/>
      <c r="B363" s="207"/>
      <c r="C363" s="207"/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  <c r="AA363" s="207"/>
      <c r="AB363" s="207"/>
      <c r="AC363" s="207"/>
      <c r="AD363" s="207"/>
      <c r="AE363" s="207"/>
      <c r="AF363" s="207"/>
      <c r="AG363" s="207"/>
      <c r="AH363" s="207"/>
      <c r="AI363" s="207"/>
      <c r="AJ363" s="207"/>
      <c r="AK363" s="207"/>
      <c r="AL363" s="207"/>
      <c r="AM363" s="207"/>
      <c r="AN363" s="207"/>
      <c r="AO363" s="207"/>
      <c r="AP363" s="207"/>
      <c r="AQ363" s="207"/>
      <c r="AR363" s="207"/>
      <c r="AS363" s="207"/>
      <c r="AT363" s="207"/>
      <c r="AU363" s="207"/>
      <c r="AV363" s="207"/>
      <c r="AW363" s="207"/>
      <c r="AX363" s="207"/>
      <c r="AY363" s="207"/>
      <c r="AZ363" s="207"/>
      <c r="BA363" s="207"/>
    </row>
    <row r="364" ht="18.75" hidden="1" customHeight="1">
      <c r="A364" s="207"/>
      <c r="B364" s="207"/>
      <c r="C364" s="207"/>
      <c r="D364" s="207"/>
      <c r="E364" s="207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  <c r="AA364" s="207"/>
      <c r="AB364" s="207"/>
      <c r="AC364" s="207"/>
      <c r="AD364" s="207"/>
      <c r="AE364" s="207"/>
      <c r="AF364" s="207"/>
      <c r="AG364" s="207"/>
      <c r="AH364" s="207"/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</row>
    <row r="365" ht="18.75" hidden="1" customHeight="1">
      <c r="A365" s="207"/>
      <c r="B365" s="207"/>
      <c r="C365" s="207"/>
      <c r="D365" s="207"/>
      <c r="E365" s="207"/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  <c r="AA365" s="207"/>
      <c r="AB365" s="207"/>
      <c r="AC365" s="207"/>
      <c r="AD365" s="207"/>
      <c r="AE365" s="207"/>
      <c r="AF365" s="207"/>
      <c r="AG365" s="207"/>
      <c r="AH365" s="207"/>
      <c r="AI365" s="207"/>
      <c r="AJ365" s="207"/>
      <c r="AK365" s="207"/>
      <c r="AL365" s="207"/>
      <c r="AM365" s="207"/>
      <c r="AN365" s="207"/>
      <c r="AO365" s="207"/>
      <c r="AP365" s="207"/>
      <c r="AQ365" s="207"/>
      <c r="AR365" s="207"/>
      <c r="AS365" s="207"/>
      <c r="AT365" s="207"/>
      <c r="AU365" s="207"/>
      <c r="AV365" s="207"/>
      <c r="AW365" s="207"/>
      <c r="AX365" s="207"/>
      <c r="AY365" s="207"/>
      <c r="AZ365" s="207"/>
      <c r="BA365" s="207"/>
    </row>
    <row r="366" ht="18.75" hidden="1" customHeight="1">
      <c r="A366" s="207"/>
      <c r="B366" s="207"/>
      <c r="C366" s="207"/>
      <c r="D366" s="207"/>
      <c r="E366" s="207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  <c r="AA366" s="207"/>
      <c r="AB366" s="207"/>
      <c r="AC366" s="207"/>
      <c r="AD366" s="207"/>
      <c r="AE366" s="207"/>
      <c r="AF366" s="207"/>
      <c r="AG366" s="207"/>
      <c r="AH366" s="207"/>
      <c r="AI366" s="207"/>
      <c r="AJ366" s="207"/>
      <c r="AK366" s="207"/>
      <c r="AL366" s="207"/>
      <c r="AM366" s="207"/>
      <c r="AN366" s="207"/>
      <c r="AO366" s="207"/>
      <c r="AP366" s="207"/>
      <c r="AQ366" s="207"/>
      <c r="AR366" s="207"/>
      <c r="AS366" s="207"/>
      <c r="AT366" s="207"/>
      <c r="AU366" s="207"/>
      <c r="AV366" s="207"/>
      <c r="AW366" s="207"/>
      <c r="AX366" s="207"/>
      <c r="AY366" s="207"/>
      <c r="AZ366" s="207"/>
      <c r="BA366" s="207"/>
    </row>
    <row r="367" ht="18.75" hidden="1" customHeight="1">
      <c r="A367" s="207"/>
      <c r="B367" s="207"/>
      <c r="C367" s="207"/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  <c r="AA367" s="207"/>
      <c r="AB367" s="207"/>
      <c r="AC367" s="207"/>
      <c r="AD367" s="207"/>
      <c r="AE367" s="207"/>
      <c r="AF367" s="207"/>
      <c r="AG367" s="207"/>
      <c r="AH367" s="207"/>
      <c r="AI367" s="207"/>
      <c r="AJ367" s="207"/>
      <c r="AK367" s="207"/>
      <c r="AL367" s="207"/>
      <c r="AM367" s="207"/>
      <c r="AN367" s="207"/>
      <c r="AO367" s="207"/>
      <c r="AP367" s="207"/>
      <c r="AQ367" s="207"/>
      <c r="AR367" s="207"/>
      <c r="AS367" s="207"/>
      <c r="AT367" s="207"/>
      <c r="AU367" s="207"/>
      <c r="AV367" s="207"/>
      <c r="AW367" s="207"/>
      <c r="AX367" s="207"/>
      <c r="AY367" s="207"/>
      <c r="AZ367" s="207"/>
      <c r="BA367" s="207"/>
    </row>
    <row r="368" ht="18.75" hidden="1" customHeight="1">
      <c r="A368" s="207"/>
      <c r="B368" s="207"/>
      <c r="C368" s="207"/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  <c r="AA368" s="207"/>
      <c r="AB368" s="207"/>
      <c r="AC368" s="207"/>
      <c r="AD368" s="207"/>
      <c r="AE368" s="207"/>
      <c r="AF368" s="207"/>
      <c r="AG368" s="207"/>
      <c r="AH368" s="207"/>
      <c r="AI368" s="207"/>
      <c r="AJ368" s="207"/>
      <c r="AK368" s="207"/>
      <c r="AL368" s="207"/>
      <c r="AM368" s="207"/>
      <c r="AN368" s="207"/>
      <c r="AO368" s="207"/>
      <c r="AP368" s="207"/>
      <c r="AQ368" s="207"/>
      <c r="AR368" s="207"/>
      <c r="AS368" s="207"/>
      <c r="AT368" s="207"/>
      <c r="AU368" s="207"/>
      <c r="AV368" s="207"/>
      <c r="AW368" s="207"/>
      <c r="AX368" s="207"/>
      <c r="AY368" s="207"/>
      <c r="AZ368" s="207"/>
      <c r="BA368" s="207"/>
    </row>
    <row r="369" ht="18.75" hidden="1" customHeight="1">
      <c r="A369" s="207"/>
      <c r="B369" s="207"/>
      <c r="C369" s="207"/>
      <c r="D369" s="207"/>
      <c r="E369" s="207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  <c r="AA369" s="207"/>
      <c r="AB369" s="207"/>
      <c r="AC369" s="207"/>
      <c r="AD369" s="207"/>
      <c r="AE369" s="207"/>
      <c r="AF369" s="207"/>
      <c r="AG369" s="207"/>
      <c r="AH369" s="207"/>
      <c r="AI369" s="207"/>
      <c r="AJ369" s="207"/>
      <c r="AK369" s="207"/>
      <c r="AL369" s="207"/>
      <c r="AM369" s="207"/>
      <c r="AN369" s="207"/>
      <c r="AO369" s="207"/>
      <c r="AP369" s="207"/>
      <c r="AQ369" s="207"/>
      <c r="AR369" s="207"/>
      <c r="AS369" s="207"/>
      <c r="AT369" s="207"/>
      <c r="AU369" s="207"/>
      <c r="AV369" s="207"/>
      <c r="AW369" s="207"/>
      <c r="AX369" s="207"/>
      <c r="AY369" s="207"/>
      <c r="AZ369" s="207"/>
      <c r="BA369" s="207"/>
    </row>
    <row r="370" ht="18.75" hidden="1" customHeight="1">
      <c r="A370" s="207"/>
      <c r="B370" s="207"/>
      <c r="C370" s="207"/>
      <c r="D370" s="207"/>
      <c r="E370" s="207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  <c r="AA370" s="207"/>
      <c r="AB370" s="207"/>
      <c r="AC370" s="207"/>
      <c r="AD370" s="207"/>
      <c r="AE370" s="207"/>
      <c r="AF370" s="207"/>
      <c r="AG370" s="207"/>
      <c r="AH370" s="207"/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</row>
    <row r="371" ht="18.75" hidden="1" customHeight="1">
      <c r="A371" s="207"/>
      <c r="B371" s="207"/>
      <c r="C371" s="207"/>
      <c r="D371" s="207"/>
      <c r="E371" s="207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  <c r="AA371" s="207"/>
      <c r="AB371" s="207"/>
      <c r="AC371" s="207"/>
      <c r="AD371" s="207"/>
      <c r="AE371" s="207"/>
      <c r="AF371" s="207"/>
      <c r="AG371" s="207"/>
      <c r="AH371" s="207"/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</row>
    <row r="372" ht="18.75" hidden="1" customHeight="1">
      <c r="A372" s="207"/>
      <c r="B372" s="207"/>
      <c r="C372" s="207"/>
      <c r="D372" s="207"/>
      <c r="E372" s="207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  <c r="AA372" s="207"/>
      <c r="AB372" s="207"/>
      <c r="AC372" s="207"/>
      <c r="AD372" s="207"/>
      <c r="AE372" s="207"/>
      <c r="AF372" s="207"/>
      <c r="AG372" s="207"/>
      <c r="AH372" s="207"/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</row>
    <row r="373" ht="18.75" hidden="1" customHeight="1">
      <c r="A373" s="207"/>
      <c r="B373" s="207"/>
      <c r="C373" s="207"/>
      <c r="D373" s="207"/>
      <c r="E373" s="207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  <c r="AA373" s="207"/>
      <c r="AB373" s="207"/>
      <c r="AC373" s="207"/>
      <c r="AD373" s="207"/>
      <c r="AE373" s="207"/>
      <c r="AF373" s="207"/>
      <c r="AG373" s="207"/>
      <c r="AH373" s="207"/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</row>
    <row r="374" ht="18.75" hidden="1" customHeight="1">
      <c r="A374" s="207"/>
      <c r="B374" s="207"/>
      <c r="C374" s="207"/>
      <c r="D374" s="207"/>
      <c r="E374" s="207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  <c r="AA374" s="207"/>
      <c r="AB374" s="207"/>
      <c r="AC374" s="207"/>
      <c r="AD374" s="207"/>
      <c r="AE374" s="207"/>
      <c r="AF374" s="207"/>
      <c r="AG374" s="207"/>
      <c r="AH374" s="207"/>
      <c r="AI374" s="207"/>
      <c r="AJ374" s="207"/>
      <c r="AK374" s="207"/>
      <c r="AL374" s="207"/>
      <c r="AM374" s="207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7"/>
    </row>
    <row r="375" ht="18.75" hidden="1" customHeight="1">
      <c r="A375" s="207"/>
      <c r="B375" s="207"/>
      <c r="C375" s="207"/>
      <c r="D375" s="207"/>
      <c r="E375" s="207"/>
      <c r="F375" s="207"/>
      <c r="G375" s="207"/>
      <c r="H375" s="207"/>
      <c r="I375" s="207"/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  <c r="AA375" s="207"/>
      <c r="AB375" s="207"/>
      <c r="AC375" s="207"/>
      <c r="AD375" s="207"/>
      <c r="AE375" s="207"/>
      <c r="AF375" s="207"/>
      <c r="AG375" s="207"/>
      <c r="AH375" s="207"/>
      <c r="AI375" s="207"/>
      <c r="AJ375" s="207"/>
      <c r="AK375" s="207"/>
      <c r="AL375" s="207"/>
      <c r="AM375" s="207"/>
      <c r="AN375" s="207"/>
      <c r="AO375" s="207"/>
      <c r="AP375" s="207"/>
      <c r="AQ375" s="207"/>
      <c r="AR375" s="207"/>
      <c r="AS375" s="207"/>
      <c r="AT375" s="207"/>
      <c r="AU375" s="207"/>
      <c r="AV375" s="207"/>
      <c r="AW375" s="207"/>
      <c r="AX375" s="207"/>
      <c r="AY375" s="207"/>
      <c r="AZ375" s="207"/>
      <c r="BA375" s="207"/>
    </row>
    <row r="376" ht="18.75" hidden="1" customHeight="1">
      <c r="A376" s="207"/>
      <c r="B376" s="207"/>
      <c r="C376" s="207"/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  <c r="AA376" s="207"/>
      <c r="AB376" s="207"/>
      <c r="AC376" s="207"/>
      <c r="AD376" s="207"/>
      <c r="AE376" s="207"/>
      <c r="AF376" s="207"/>
      <c r="AG376" s="207"/>
      <c r="AH376" s="207"/>
      <c r="AI376" s="207"/>
      <c r="AJ376" s="207"/>
      <c r="AK376" s="207"/>
      <c r="AL376" s="207"/>
      <c r="AM376" s="207"/>
      <c r="AN376" s="207"/>
      <c r="AO376" s="207"/>
      <c r="AP376" s="207"/>
      <c r="AQ376" s="207"/>
      <c r="AR376" s="207"/>
      <c r="AS376" s="207"/>
      <c r="AT376" s="207"/>
      <c r="AU376" s="207"/>
      <c r="AV376" s="207"/>
      <c r="AW376" s="207"/>
      <c r="AX376" s="207"/>
      <c r="AY376" s="207"/>
      <c r="AZ376" s="207"/>
      <c r="BA376" s="207"/>
    </row>
    <row r="377" ht="18.75" hidden="1" customHeight="1">
      <c r="A377" s="207"/>
      <c r="B377" s="207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  <c r="AA377" s="207"/>
      <c r="AB377" s="207"/>
      <c r="AC377" s="207"/>
      <c r="AD377" s="207"/>
      <c r="AE377" s="207"/>
      <c r="AF377" s="207"/>
      <c r="AG377" s="207"/>
      <c r="AH377" s="207"/>
      <c r="AI377" s="207"/>
      <c r="AJ377" s="207"/>
      <c r="AK377" s="207"/>
      <c r="AL377" s="207"/>
      <c r="AM377" s="207"/>
      <c r="AN377" s="207"/>
      <c r="AO377" s="207"/>
      <c r="AP377" s="207"/>
      <c r="AQ377" s="207"/>
      <c r="AR377" s="207"/>
      <c r="AS377" s="207"/>
      <c r="AT377" s="207"/>
      <c r="AU377" s="207"/>
      <c r="AV377" s="207"/>
      <c r="AW377" s="207"/>
      <c r="AX377" s="207"/>
      <c r="AY377" s="207"/>
      <c r="AZ377" s="207"/>
      <c r="BA377" s="207"/>
    </row>
    <row r="378" ht="18.75" hidden="1" customHeight="1">
      <c r="A378" s="207"/>
      <c r="B378" s="207"/>
      <c r="C378" s="207"/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  <c r="AA378" s="207"/>
      <c r="AB378" s="207"/>
      <c r="AC378" s="207"/>
      <c r="AD378" s="207"/>
      <c r="AE378" s="207"/>
      <c r="AF378" s="207"/>
      <c r="AG378" s="207"/>
      <c r="AH378" s="207"/>
      <c r="AI378" s="207"/>
      <c r="AJ378" s="207"/>
      <c r="AK378" s="207"/>
      <c r="AL378" s="207"/>
      <c r="AM378" s="207"/>
      <c r="AN378" s="207"/>
      <c r="AO378" s="207"/>
      <c r="AP378" s="207"/>
      <c r="AQ378" s="207"/>
      <c r="AR378" s="207"/>
      <c r="AS378" s="207"/>
      <c r="AT378" s="207"/>
      <c r="AU378" s="207"/>
      <c r="AV378" s="207"/>
      <c r="AW378" s="207"/>
      <c r="AX378" s="207"/>
      <c r="AY378" s="207"/>
      <c r="AZ378" s="207"/>
      <c r="BA378" s="207"/>
    </row>
    <row r="379" ht="18.75" hidden="1" customHeight="1">
      <c r="A379" s="207"/>
      <c r="B379" s="207"/>
      <c r="C379" s="207"/>
      <c r="D379" s="207"/>
      <c r="E379" s="207"/>
      <c r="F379" s="207"/>
      <c r="G379" s="207"/>
      <c r="H379" s="207"/>
      <c r="I379" s="207"/>
      <c r="J379" s="207"/>
      <c r="K379" s="207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  <c r="AA379" s="207"/>
      <c r="AB379" s="207"/>
      <c r="AC379" s="207"/>
      <c r="AD379" s="207"/>
      <c r="AE379" s="207"/>
      <c r="AF379" s="207"/>
      <c r="AG379" s="207"/>
      <c r="AH379" s="207"/>
      <c r="AI379" s="207"/>
      <c r="AJ379" s="207"/>
      <c r="AK379" s="207"/>
      <c r="AL379" s="207"/>
      <c r="AM379" s="207"/>
      <c r="AN379" s="207"/>
      <c r="AO379" s="207"/>
      <c r="AP379" s="207"/>
      <c r="AQ379" s="207"/>
      <c r="AR379" s="207"/>
      <c r="AS379" s="207"/>
      <c r="AT379" s="207"/>
      <c r="AU379" s="207"/>
      <c r="AV379" s="207"/>
      <c r="AW379" s="207"/>
      <c r="AX379" s="207"/>
      <c r="AY379" s="207"/>
      <c r="AZ379" s="207"/>
      <c r="BA379" s="207"/>
    </row>
    <row r="380" ht="18.75" hidden="1" customHeight="1">
      <c r="A380" s="207"/>
      <c r="B380" s="207"/>
      <c r="C380" s="207"/>
      <c r="D380" s="207"/>
      <c r="E380" s="207"/>
      <c r="F380" s="207"/>
      <c r="G380" s="207"/>
      <c r="H380" s="207"/>
      <c r="I380" s="207"/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  <c r="AA380" s="207"/>
      <c r="AB380" s="207"/>
      <c r="AC380" s="207"/>
      <c r="AD380" s="207"/>
      <c r="AE380" s="207"/>
      <c r="AF380" s="207"/>
      <c r="AG380" s="207"/>
      <c r="AH380" s="207"/>
      <c r="AI380" s="207"/>
      <c r="AJ380" s="207"/>
      <c r="AK380" s="207"/>
      <c r="AL380" s="207"/>
      <c r="AM380" s="207"/>
      <c r="AN380" s="207"/>
      <c r="AO380" s="207"/>
      <c r="AP380" s="207"/>
      <c r="AQ380" s="207"/>
      <c r="AR380" s="207"/>
      <c r="AS380" s="207"/>
      <c r="AT380" s="207"/>
      <c r="AU380" s="207"/>
      <c r="AV380" s="207"/>
      <c r="AW380" s="207"/>
      <c r="AX380" s="207"/>
      <c r="AY380" s="207"/>
      <c r="AZ380" s="207"/>
      <c r="BA380" s="207"/>
    </row>
    <row r="381" ht="18.75" hidden="1" customHeight="1">
      <c r="A381" s="207"/>
      <c r="B381" s="207"/>
      <c r="C381" s="207"/>
      <c r="D381" s="207"/>
      <c r="E381" s="207"/>
      <c r="F381" s="207"/>
      <c r="G381" s="207"/>
      <c r="H381" s="207"/>
      <c r="I381" s="207"/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  <c r="AA381" s="207"/>
      <c r="AB381" s="207"/>
      <c r="AC381" s="207"/>
      <c r="AD381" s="207"/>
      <c r="AE381" s="207"/>
      <c r="AF381" s="207"/>
      <c r="AG381" s="207"/>
      <c r="AH381" s="207"/>
      <c r="AI381" s="207"/>
      <c r="AJ381" s="207"/>
      <c r="AK381" s="207"/>
      <c r="AL381" s="207"/>
      <c r="AM381" s="207"/>
      <c r="AN381" s="207"/>
      <c r="AO381" s="207"/>
      <c r="AP381" s="207"/>
      <c r="AQ381" s="207"/>
      <c r="AR381" s="207"/>
      <c r="AS381" s="207"/>
      <c r="AT381" s="207"/>
      <c r="AU381" s="207"/>
      <c r="AV381" s="207"/>
      <c r="AW381" s="207"/>
      <c r="AX381" s="207"/>
      <c r="AY381" s="207"/>
      <c r="AZ381" s="207"/>
      <c r="BA381" s="207"/>
    </row>
    <row r="382" ht="18.75" hidden="1" customHeight="1">
      <c r="A382" s="207"/>
      <c r="B382" s="207"/>
      <c r="C382" s="207"/>
      <c r="D382" s="207"/>
      <c r="E382" s="207"/>
      <c r="F382" s="207"/>
      <c r="G382" s="207"/>
      <c r="H382" s="207"/>
      <c r="I382" s="207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  <c r="AA382" s="207"/>
      <c r="AB382" s="207"/>
      <c r="AC382" s="207"/>
      <c r="AD382" s="207"/>
      <c r="AE382" s="207"/>
      <c r="AF382" s="207"/>
      <c r="AG382" s="207"/>
      <c r="AH382" s="207"/>
      <c r="AI382" s="207"/>
      <c r="AJ382" s="207"/>
      <c r="AK382" s="207"/>
      <c r="AL382" s="207"/>
      <c r="AM382" s="207"/>
      <c r="AN382" s="207"/>
      <c r="AO382" s="207"/>
      <c r="AP382" s="207"/>
      <c r="AQ382" s="207"/>
      <c r="AR382" s="207"/>
      <c r="AS382" s="207"/>
      <c r="AT382" s="207"/>
      <c r="AU382" s="207"/>
      <c r="AV382" s="207"/>
      <c r="AW382" s="207"/>
      <c r="AX382" s="207"/>
      <c r="AY382" s="207"/>
      <c r="AZ382" s="207"/>
      <c r="BA382" s="207"/>
    </row>
    <row r="383" ht="18.75" hidden="1" customHeight="1">
      <c r="A383" s="207"/>
      <c r="B383" s="207"/>
      <c r="C383" s="207"/>
      <c r="D383" s="207"/>
      <c r="E383" s="207"/>
      <c r="F383" s="207"/>
      <c r="G383" s="207"/>
      <c r="H383" s="207"/>
      <c r="I383" s="207"/>
      <c r="J383" s="207"/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  <c r="AA383" s="207"/>
      <c r="AB383" s="207"/>
      <c r="AC383" s="207"/>
      <c r="AD383" s="207"/>
      <c r="AE383" s="207"/>
      <c r="AF383" s="207"/>
      <c r="AG383" s="207"/>
      <c r="AH383" s="207"/>
      <c r="AI383" s="207"/>
      <c r="AJ383" s="207"/>
      <c r="AK383" s="207"/>
      <c r="AL383" s="207"/>
      <c r="AM383" s="207"/>
      <c r="AN383" s="207"/>
      <c r="AO383" s="207"/>
      <c r="AP383" s="207"/>
      <c r="AQ383" s="207"/>
      <c r="AR383" s="207"/>
      <c r="AS383" s="207"/>
      <c r="AT383" s="207"/>
      <c r="AU383" s="207"/>
      <c r="AV383" s="207"/>
      <c r="AW383" s="207"/>
      <c r="AX383" s="207"/>
      <c r="AY383" s="207"/>
      <c r="AZ383" s="207"/>
      <c r="BA383" s="207"/>
    </row>
    <row r="384" ht="18.75" hidden="1" customHeight="1">
      <c r="A384" s="207"/>
      <c r="B384" s="207"/>
      <c r="C384" s="207"/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  <c r="AB384" s="207"/>
      <c r="AC384" s="207"/>
      <c r="AD384" s="207"/>
      <c r="AE384" s="207"/>
      <c r="AF384" s="207"/>
      <c r="AG384" s="207"/>
      <c r="AH384" s="207"/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</row>
    <row r="385" ht="18.75" hidden="1" customHeight="1">
      <c r="A385" s="207"/>
      <c r="B385" s="207"/>
      <c r="C385" s="207"/>
      <c r="D385" s="207"/>
      <c r="E385" s="207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  <c r="AA385" s="207"/>
      <c r="AB385" s="207"/>
      <c r="AC385" s="207"/>
      <c r="AD385" s="207"/>
      <c r="AE385" s="207"/>
      <c r="AF385" s="207"/>
      <c r="AG385" s="207"/>
      <c r="AH385" s="207"/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07"/>
    </row>
    <row r="386" ht="18.75" hidden="1" customHeight="1">
      <c r="A386" s="207"/>
      <c r="B386" s="207"/>
      <c r="C386" s="207"/>
      <c r="D386" s="207"/>
      <c r="E386" s="207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  <c r="AB386" s="207"/>
      <c r="AC386" s="207"/>
      <c r="AD386" s="207"/>
      <c r="AE386" s="207"/>
      <c r="AF386" s="207"/>
      <c r="AG386" s="207"/>
      <c r="AH386" s="207"/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</row>
    <row r="387" ht="18.75" hidden="1" customHeight="1">
      <c r="A387" s="207"/>
      <c r="B387" s="207"/>
      <c r="C387" s="207"/>
      <c r="D387" s="207"/>
      <c r="E387" s="207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  <c r="AB387" s="207"/>
      <c r="AC387" s="207"/>
      <c r="AD387" s="207"/>
      <c r="AE387" s="207"/>
      <c r="AF387" s="207"/>
      <c r="AG387" s="207"/>
      <c r="AH387" s="207"/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</row>
    <row r="388" ht="18.75" hidden="1" customHeight="1">
      <c r="A388" s="207"/>
      <c r="B388" s="207"/>
      <c r="C388" s="207"/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  <c r="AA388" s="207"/>
      <c r="AB388" s="207"/>
      <c r="AC388" s="207"/>
      <c r="AD388" s="207"/>
      <c r="AE388" s="207"/>
      <c r="AF388" s="207"/>
      <c r="AG388" s="207"/>
      <c r="AH388" s="207"/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07"/>
    </row>
    <row r="389" ht="18.75" hidden="1" customHeight="1">
      <c r="A389" s="207"/>
      <c r="B389" s="207"/>
      <c r="C389" s="207"/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  <c r="AA389" s="207"/>
      <c r="AB389" s="207"/>
      <c r="AC389" s="207"/>
      <c r="AD389" s="207"/>
      <c r="AE389" s="207"/>
      <c r="AF389" s="207"/>
      <c r="AG389" s="207"/>
      <c r="AH389" s="207"/>
      <c r="AI389" s="207"/>
      <c r="AJ389" s="207"/>
      <c r="AK389" s="207"/>
      <c r="AL389" s="207"/>
      <c r="AM389" s="207"/>
      <c r="AN389" s="207"/>
      <c r="AO389" s="207"/>
      <c r="AP389" s="207"/>
      <c r="AQ389" s="207"/>
      <c r="AR389" s="207"/>
      <c r="AS389" s="207"/>
      <c r="AT389" s="207"/>
      <c r="AU389" s="207"/>
      <c r="AV389" s="207"/>
      <c r="AW389" s="207"/>
      <c r="AX389" s="207"/>
      <c r="AY389" s="207"/>
      <c r="AZ389" s="207"/>
      <c r="BA389" s="207"/>
    </row>
    <row r="390" ht="18.75" hidden="1" customHeight="1">
      <c r="A390" s="207"/>
      <c r="B390" s="207"/>
      <c r="C390" s="207"/>
      <c r="D390" s="207"/>
      <c r="E390" s="207"/>
      <c r="F390" s="207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  <c r="AA390" s="207"/>
      <c r="AB390" s="207"/>
      <c r="AC390" s="207"/>
      <c r="AD390" s="207"/>
      <c r="AE390" s="207"/>
      <c r="AF390" s="207"/>
      <c r="AG390" s="207"/>
      <c r="AH390" s="207"/>
      <c r="AI390" s="207"/>
      <c r="AJ390" s="207"/>
      <c r="AK390" s="207"/>
      <c r="AL390" s="207"/>
      <c r="AM390" s="207"/>
      <c r="AN390" s="207"/>
      <c r="AO390" s="207"/>
      <c r="AP390" s="207"/>
      <c r="AQ390" s="207"/>
      <c r="AR390" s="207"/>
      <c r="AS390" s="207"/>
      <c r="AT390" s="207"/>
      <c r="AU390" s="207"/>
      <c r="AV390" s="207"/>
      <c r="AW390" s="207"/>
      <c r="AX390" s="207"/>
      <c r="AY390" s="207"/>
      <c r="AZ390" s="207"/>
      <c r="BA390" s="207"/>
    </row>
    <row r="391" ht="18.75" hidden="1" customHeight="1">
      <c r="A391" s="207"/>
      <c r="B391" s="207"/>
      <c r="C391" s="207"/>
      <c r="D391" s="207"/>
      <c r="E391" s="207"/>
      <c r="F391" s="207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  <c r="AA391" s="207"/>
      <c r="AB391" s="207"/>
      <c r="AC391" s="207"/>
      <c r="AD391" s="207"/>
      <c r="AE391" s="207"/>
      <c r="AF391" s="207"/>
      <c r="AG391" s="207"/>
      <c r="AH391" s="207"/>
      <c r="AI391" s="207"/>
      <c r="AJ391" s="207"/>
      <c r="AK391" s="207"/>
      <c r="AL391" s="207"/>
      <c r="AM391" s="207"/>
      <c r="AN391" s="207"/>
      <c r="AO391" s="207"/>
      <c r="AP391" s="207"/>
      <c r="AQ391" s="207"/>
      <c r="AR391" s="207"/>
      <c r="AS391" s="207"/>
      <c r="AT391" s="207"/>
      <c r="AU391" s="207"/>
      <c r="AV391" s="207"/>
      <c r="AW391" s="207"/>
      <c r="AX391" s="207"/>
      <c r="AY391" s="207"/>
      <c r="AZ391" s="207"/>
      <c r="BA391" s="207"/>
    </row>
    <row r="392" ht="18.75" hidden="1" customHeight="1">
      <c r="A392" s="207"/>
      <c r="B392" s="207"/>
      <c r="C392" s="207"/>
      <c r="D392" s="207"/>
      <c r="E392" s="207"/>
      <c r="F392" s="207"/>
      <c r="G392" s="207"/>
      <c r="H392" s="207"/>
      <c r="I392" s="207"/>
      <c r="J392" s="207"/>
      <c r="K392" s="207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  <c r="AA392" s="207"/>
      <c r="AB392" s="207"/>
      <c r="AC392" s="207"/>
      <c r="AD392" s="207"/>
      <c r="AE392" s="207"/>
      <c r="AF392" s="207"/>
      <c r="AG392" s="207"/>
      <c r="AH392" s="207"/>
      <c r="AI392" s="207"/>
      <c r="AJ392" s="207"/>
      <c r="AK392" s="207"/>
      <c r="AL392" s="207"/>
      <c r="AM392" s="207"/>
      <c r="AN392" s="207"/>
      <c r="AO392" s="207"/>
      <c r="AP392" s="207"/>
      <c r="AQ392" s="207"/>
      <c r="AR392" s="207"/>
      <c r="AS392" s="207"/>
      <c r="AT392" s="207"/>
      <c r="AU392" s="207"/>
      <c r="AV392" s="207"/>
      <c r="AW392" s="207"/>
      <c r="AX392" s="207"/>
      <c r="AY392" s="207"/>
      <c r="AZ392" s="207"/>
      <c r="BA392" s="207"/>
    </row>
    <row r="393" ht="18.75" hidden="1" customHeight="1">
      <c r="A393" s="207"/>
      <c r="B393" s="207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  <c r="AA393" s="207"/>
      <c r="AB393" s="207"/>
      <c r="AC393" s="207"/>
      <c r="AD393" s="207"/>
      <c r="AE393" s="207"/>
      <c r="AF393" s="207"/>
      <c r="AG393" s="207"/>
      <c r="AH393" s="207"/>
      <c r="AI393" s="207"/>
      <c r="AJ393" s="207"/>
      <c r="AK393" s="207"/>
      <c r="AL393" s="207"/>
      <c r="AM393" s="207"/>
      <c r="AN393" s="207"/>
      <c r="AO393" s="207"/>
      <c r="AP393" s="207"/>
      <c r="AQ393" s="207"/>
      <c r="AR393" s="207"/>
      <c r="AS393" s="207"/>
      <c r="AT393" s="207"/>
      <c r="AU393" s="207"/>
      <c r="AV393" s="207"/>
      <c r="AW393" s="207"/>
      <c r="AX393" s="207"/>
      <c r="AY393" s="207"/>
      <c r="AZ393" s="207"/>
      <c r="BA393" s="207"/>
    </row>
    <row r="394" ht="18.75" hidden="1" customHeight="1">
      <c r="A394" s="207"/>
      <c r="B394" s="207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  <c r="AA394" s="207"/>
      <c r="AB394" s="207"/>
      <c r="AC394" s="207"/>
      <c r="AD394" s="207"/>
      <c r="AE394" s="207"/>
      <c r="AF394" s="207"/>
      <c r="AG394" s="207"/>
      <c r="AH394" s="207"/>
      <c r="AI394" s="207"/>
      <c r="AJ394" s="207"/>
      <c r="AK394" s="207"/>
      <c r="AL394" s="207"/>
      <c r="AM394" s="207"/>
      <c r="AN394" s="207"/>
      <c r="AO394" s="207"/>
      <c r="AP394" s="207"/>
      <c r="AQ394" s="207"/>
      <c r="AR394" s="207"/>
      <c r="AS394" s="207"/>
      <c r="AT394" s="207"/>
      <c r="AU394" s="207"/>
      <c r="AV394" s="207"/>
      <c r="AW394" s="207"/>
      <c r="AX394" s="207"/>
      <c r="AY394" s="207"/>
      <c r="AZ394" s="207"/>
      <c r="BA394" s="207"/>
    </row>
    <row r="395" ht="18.75" hidden="1" customHeight="1">
      <c r="A395" s="207"/>
      <c r="B395" s="207"/>
      <c r="C395" s="207"/>
      <c r="D395" s="207"/>
      <c r="E395" s="207"/>
      <c r="F395" s="207"/>
      <c r="G395" s="207"/>
      <c r="H395" s="207"/>
      <c r="I395" s="207"/>
      <c r="J395" s="207"/>
      <c r="K395" s="207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  <c r="AA395" s="207"/>
      <c r="AB395" s="207"/>
      <c r="AC395" s="207"/>
      <c r="AD395" s="207"/>
      <c r="AE395" s="207"/>
      <c r="AF395" s="207"/>
      <c r="AG395" s="207"/>
      <c r="AH395" s="207"/>
      <c r="AI395" s="207"/>
      <c r="AJ395" s="207"/>
      <c r="AK395" s="207"/>
      <c r="AL395" s="207"/>
      <c r="AM395" s="207"/>
      <c r="AN395" s="207"/>
      <c r="AO395" s="207"/>
      <c r="AP395" s="207"/>
      <c r="AQ395" s="207"/>
      <c r="AR395" s="207"/>
      <c r="AS395" s="207"/>
      <c r="AT395" s="207"/>
      <c r="AU395" s="207"/>
      <c r="AV395" s="207"/>
      <c r="AW395" s="207"/>
      <c r="AX395" s="207"/>
      <c r="AY395" s="207"/>
      <c r="AZ395" s="207"/>
      <c r="BA395" s="207"/>
    </row>
    <row r="396" ht="18.75" hidden="1" customHeight="1">
      <c r="A396" s="207"/>
      <c r="B396" s="207"/>
      <c r="C396" s="207"/>
      <c r="D396" s="207"/>
      <c r="E396" s="207"/>
      <c r="F396" s="207"/>
      <c r="G396" s="207"/>
      <c r="H396" s="207"/>
      <c r="I396" s="207"/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  <c r="AA396" s="207"/>
      <c r="AB396" s="207"/>
      <c r="AC396" s="207"/>
      <c r="AD396" s="207"/>
      <c r="AE396" s="207"/>
      <c r="AF396" s="207"/>
      <c r="AG396" s="207"/>
      <c r="AH396" s="207"/>
      <c r="AI396" s="207"/>
      <c r="AJ396" s="207"/>
      <c r="AK396" s="207"/>
      <c r="AL396" s="207"/>
      <c r="AM396" s="207"/>
      <c r="AN396" s="207"/>
      <c r="AO396" s="207"/>
      <c r="AP396" s="207"/>
      <c r="AQ396" s="207"/>
      <c r="AR396" s="207"/>
      <c r="AS396" s="207"/>
      <c r="AT396" s="207"/>
      <c r="AU396" s="207"/>
      <c r="AV396" s="207"/>
      <c r="AW396" s="207"/>
      <c r="AX396" s="207"/>
      <c r="AY396" s="207"/>
      <c r="AZ396" s="207"/>
      <c r="BA396" s="207"/>
    </row>
    <row r="397" ht="18.75" hidden="1" customHeight="1">
      <c r="A397" s="207"/>
      <c r="B397" s="207"/>
      <c r="C397" s="207"/>
      <c r="D397" s="207"/>
      <c r="E397" s="207"/>
      <c r="F397" s="207"/>
      <c r="G397" s="207"/>
      <c r="H397" s="207"/>
      <c r="I397" s="207"/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  <c r="AA397" s="207"/>
      <c r="AB397" s="207"/>
      <c r="AC397" s="207"/>
      <c r="AD397" s="207"/>
      <c r="AE397" s="207"/>
      <c r="AF397" s="207"/>
      <c r="AG397" s="207"/>
      <c r="AH397" s="207"/>
      <c r="AI397" s="207"/>
      <c r="AJ397" s="207"/>
      <c r="AK397" s="207"/>
      <c r="AL397" s="207"/>
      <c r="AM397" s="207"/>
      <c r="AN397" s="207"/>
      <c r="AO397" s="207"/>
      <c r="AP397" s="207"/>
      <c r="AQ397" s="207"/>
      <c r="AR397" s="207"/>
      <c r="AS397" s="207"/>
      <c r="AT397" s="207"/>
      <c r="AU397" s="207"/>
      <c r="AV397" s="207"/>
      <c r="AW397" s="207"/>
      <c r="AX397" s="207"/>
      <c r="AY397" s="207"/>
      <c r="AZ397" s="207"/>
      <c r="BA397" s="207"/>
    </row>
    <row r="398" ht="18.75" hidden="1" customHeight="1">
      <c r="A398" s="207"/>
      <c r="B398" s="207"/>
      <c r="C398" s="207"/>
      <c r="D398" s="207"/>
      <c r="E398" s="207"/>
      <c r="F398" s="207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  <c r="AA398" s="207"/>
      <c r="AB398" s="207"/>
      <c r="AC398" s="207"/>
      <c r="AD398" s="207"/>
      <c r="AE398" s="207"/>
      <c r="AF398" s="207"/>
      <c r="AG398" s="207"/>
      <c r="AH398" s="207"/>
      <c r="AI398" s="207"/>
      <c r="AJ398" s="207"/>
      <c r="AK398" s="207"/>
      <c r="AL398" s="207"/>
      <c r="AM398" s="207"/>
      <c r="AN398" s="207"/>
      <c r="AO398" s="207"/>
      <c r="AP398" s="207"/>
      <c r="AQ398" s="207"/>
      <c r="AR398" s="207"/>
      <c r="AS398" s="207"/>
      <c r="AT398" s="207"/>
      <c r="AU398" s="207"/>
      <c r="AV398" s="207"/>
      <c r="AW398" s="207"/>
      <c r="AX398" s="207"/>
      <c r="AY398" s="207"/>
      <c r="AZ398" s="207"/>
      <c r="BA398" s="207"/>
    </row>
    <row r="399" ht="18.75" hidden="1" customHeight="1">
      <c r="A399" s="207"/>
      <c r="B399" s="207"/>
      <c r="C399" s="207"/>
      <c r="D399" s="207"/>
      <c r="E399" s="207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  <c r="AA399" s="207"/>
      <c r="AB399" s="207"/>
      <c r="AC399" s="207"/>
      <c r="AD399" s="207"/>
      <c r="AE399" s="207"/>
      <c r="AF399" s="207"/>
      <c r="AG399" s="207"/>
      <c r="AH399" s="207"/>
      <c r="AI399" s="207"/>
      <c r="AJ399" s="207"/>
      <c r="AK399" s="207"/>
      <c r="AL399" s="207"/>
      <c r="AM399" s="207"/>
      <c r="AN399" s="207"/>
      <c r="AO399" s="207"/>
      <c r="AP399" s="207"/>
      <c r="AQ399" s="207"/>
      <c r="AR399" s="207"/>
      <c r="AS399" s="207"/>
      <c r="AT399" s="207"/>
      <c r="AU399" s="207"/>
      <c r="AV399" s="207"/>
      <c r="AW399" s="207"/>
      <c r="AX399" s="207"/>
      <c r="AY399" s="207"/>
      <c r="AZ399" s="207"/>
      <c r="BA399" s="207"/>
    </row>
    <row r="400" ht="18.75" hidden="1" customHeight="1">
      <c r="A400" s="207"/>
      <c r="B400" s="207"/>
      <c r="C400" s="207"/>
      <c r="D400" s="207"/>
      <c r="E400" s="207"/>
      <c r="F400" s="207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  <c r="AA400" s="207"/>
      <c r="AB400" s="207"/>
      <c r="AC400" s="207"/>
      <c r="AD400" s="207"/>
      <c r="AE400" s="207"/>
      <c r="AF400" s="207"/>
      <c r="AG400" s="207"/>
      <c r="AH400" s="207"/>
      <c r="AI400" s="207"/>
      <c r="AJ400" s="207"/>
      <c r="AK400" s="207"/>
      <c r="AL400" s="207"/>
      <c r="AM400" s="207"/>
      <c r="AN400" s="207"/>
      <c r="AO400" s="207"/>
      <c r="AP400" s="207"/>
      <c r="AQ400" s="207"/>
      <c r="AR400" s="207"/>
      <c r="AS400" s="207"/>
      <c r="AT400" s="207"/>
      <c r="AU400" s="207"/>
      <c r="AV400" s="207"/>
      <c r="AW400" s="207"/>
      <c r="AX400" s="207"/>
      <c r="AY400" s="207"/>
      <c r="AZ400" s="207"/>
      <c r="BA400" s="207"/>
    </row>
    <row r="401" ht="18.75" hidden="1" customHeight="1">
      <c r="A401" s="207"/>
      <c r="B401" s="207"/>
      <c r="C401" s="207"/>
      <c r="D401" s="207"/>
      <c r="E401" s="207"/>
      <c r="F401" s="207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  <c r="AA401" s="207"/>
      <c r="AB401" s="207"/>
      <c r="AC401" s="207"/>
      <c r="AD401" s="207"/>
      <c r="AE401" s="207"/>
      <c r="AF401" s="207"/>
      <c r="AG401" s="207"/>
      <c r="AH401" s="207"/>
      <c r="AI401" s="207"/>
      <c r="AJ401" s="207"/>
      <c r="AK401" s="207"/>
      <c r="AL401" s="207"/>
      <c r="AM401" s="207"/>
      <c r="AN401" s="207"/>
      <c r="AO401" s="207"/>
      <c r="AP401" s="207"/>
      <c r="AQ401" s="207"/>
      <c r="AR401" s="207"/>
      <c r="AS401" s="207"/>
      <c r="AT401" s="207"/>
      <c r="AU401" s="207"/>
      <c r="AV401" s="207"/>
      <c r="AW401" s="207"/>
      <c r="AX401" s="207"/>
      <c r="AY401" s="207"/>
      <c r="AZ401" s="207"/>
      <c r="BA401" s="207"/>
    </row>
    <row r="402" ht="18.75" hidden="1" customHeight="1">
      <c r="A402" s="207"/>
      <c r="B402" s="207"/>
      <c r="C402" s="207"/>
      <c r="D402" s="207"/>
      <c r="E402" s="207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  <c r="AA402" s="207"/>
      <c r="AB402" s="207"/>
      <c r="AC402" s="207"/>
      <c r="AD402" s="207"/>
      <c r="AE402" s="207"/>
      <c r="AF402" s="207"/>
      <c r="AG402" s="207"/>
      <c r="AH402" s="207"/>
      <c r="AI402" s="207"/>
      <c r="AJ402" s="207"/>
      <c r="AK402" s="207"/>
      <c r="AL402" s="207"/>
      <c r="AM402" s="207"/>
      <c r="AN402" s="207"/>
      <c r="AO402" s="207"/>
      <c r="AP402" s="207"/>
      <c r="AQ402" s="207"/>
      <c r="AR402" s="207"/>
      <c r="AS402" s="207"/>
      <c r="AT402" s="207"/>
      <c r="AU402" s="207"/>
      <c r="AV402" s="207"/>
      <c r="AW402" s="207"/>
      <c r="AX402" s="207"/>
      <c r="AY402" s="207"/>
      <c r="AZ402" s="207"/>
      <c r="BA402" s="207"/>
    </row>
    <row r="403" ht="18.75" hidden="1" customHeight="1">
      <c r="A403" s="207"/>
      <c r="B403" s="207"/>
      <c r="C403" s="207"/>
      <c r="D403" s="207"/>
      <c r="E403" s="207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  <c r="AA403" s="207"/>
      <c r="AB403" s="207"/>
      <c r="AC403" s="207"/>
      <c r="AD403" s="207"/>
      <c r="AE403" s="207"/>
      <c r="AF403" s="207"/>
      <c r="AG403" s="207"/>
      <c r="AH403" s="207"/>
      <c r="AI403" s="207"/>
      <c r="AJ403" s="207"/>
      <c r="AK403" s="207"/>
      <c r="AL403" s="207"/>
      <c r="AM403" s="207"/>
      <c r="AN403" s="207"/>
      <c r="AO403" s="207"/>
      <c r="AP403" s="207"/>
      <c r="AQ403" s="207"/>
      <c r="AR403" s="207"/>
      <c r="AS403" s="207"/>
      <c r="AT403" s="207"/>
      <c r="AU403" s="207"/>
      <c r="AV403" s="207"/>
      <c r="AW403" s="207"/>
      <c r="AX403" s="207"/>
      <c r="AY403" s="207"/>
      <c r="AZ403" s="207"/>
      <c r="BA403" s="207"/>
    </row>
    <row r="404" ht="18.75" hidden="1" customHeight="1">
      <c r="A404" s="207"/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  <c r="AA404" s="207"/>
      <c r="AB404" s="207"/>
      <c r="AC404" s="207"/>
      <c r="AD404" s="207"/>
      <c r="AE404" s="207"/>
      <c r="AF404" s="207"/>
      <c r="AG404" s="207"/>
      <c r="AH404" s="207"/>
      <c r="AI404" s="207"/>
      <c r="AJ404" s="207"/>
      <c r="AK404" s="207"/>
      <c r="AL404" s="207"/>
      <c r="AM404" s="207"/>
      <c r="AN404" s="207"/>
      <c r="AO404" s="207"/>
      <c r="AP404" s="207"/>
      <c r="AQ404" s="207"/>
      <c r="AR404" s="207"/>
      <c r="AS404" s="207"/>
      <c r="AT404" s="207"/>
      <c r="AU404" s="207"/>
      <c r="AV404" s="207"/>
      <c r="AW404" s="207"/>
      <c r="AX404" s="207"/>
      <c r="AY404" s="207"/>
      <c r="AZ404" s="207"/>
      <c r="BA404" s="207"/>
    </row>
    <row r="405" ht="18.75" hidden="1" customHeight="1">
      <c r="A405" s="207"/>
      <c r="B405" s="207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  <c r="AA405" s="207"/>
      <c r="AB405" s="207"/>
      <c r="AC405" s="207"/>
      <c r="AD405" s="207"/>
      <c r="AE405" s="207"/>
      <c r="AF405" s="207"/>
      <c r="AG405" s="207"/>
      <c r="AH405" s="207"/>
      <c r="AI405" s="207"/>
      <c r="AJ405" s="207"/>
      <c r="AK405" s="207"/>
      <c r="AL405" s="207"/>
      <c r="AM405" s="207"/>
      <c r="AN405" s="207"/>
      <c r="AO405" s="207"/>
      <c r="AP405" s="207"/>
      <c r="AQ405" s="207"/>
      <c r="AR405" s="207"/>
      <c r="AS405" s="207"/>
      <c r="AT405" s="207"/>
      <c r="AU405" s="207"/>
      <c r="AV405" s="207"/>
      <c r="AW405" s="207"/>
      <c r="AX405" s="207"/>
      <c r="AY405" s="207"/>
      <c r="AZ405" s="207"/>
      <c r="BA405" s="207"/>
    </row>
    <row r="406" ht="18.75" hidden="1" customHeight="1">
      <c r="A406" s="207"/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  <c r="AA406" s="207"/>
      <c r="AB406" s="207"/>
      <c r="AC406" s="207"/>
      <c r="AD406" s="207"/>
      <c r="AE406" s="207"/>
      <c r="AF406" s="207"/>
      <c r="AG406" s="207"/>
      <c r="AH406" s="207"/>
      <c r="AI406" s="207"/>
      <c r="AJ406" s="207"/>
      <c r="AK406" s="207"/>
      <c r="AL406" s="207"/>
      <c r="AM406" s="207"/>
      <c r="AN406" s="207"/>
      <c r="AO406" s="207"/>
      <c r="AP406" s="207"/>
      <c r="AQ406" s="207"/>
      <c r="AR406" s="207"/>
      <c r="AS406" s="207"/>
      <c r="AT406" s="207"/>
      <c r="AU406" s="207"/>
      <c r="AV406" s="207"/>
      <c r="AW406" s="207"/>
      <c r="AX406" s="207"/>
      <c r="AY406" s="207"/>
      <c r="AZ406" s="207"/>
      <c r="BA406" s="207"/>
    </row>
    <row r="407" ht="18.75" hidden="1" customHeight="1">
      <c r="A407" s="207"/>
      <c r="B407" s="207"/>
      <c r="C407" s="207"/>
      <c r="D407" s="207"/>
      <c r="E407" s="207"/>
      <c r="F407" s="207"/>
      <c r="G407" s="207"/>
      <c r="H407" s="207"/>
      <c r="I407" s="207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  <c r="AA407" s="207"/>
      <c r="AB407" s="207"/>
      <c r="AC407" s="207"/>
      <c r="AD407" s="207"/>
      <c r="AE407" s="207"/>
      <c r="AF407" s="207"/>
      <c r="AG407" s="207"/>
      <c r="AH407" s="207"/>
      <c r="AI407" s="207"/>
      <c r="AJ407" s="207"/>
      <c r="AK407" s="207"/>
      <c r="AL407" s="207"/>
      <c r="AM407" s="207"/>
      <c r="AN407" s="207"/>
      <c r="AO407" s="207"/>
      <c r="AP407" s="207"/>
      <c r="AQ407" s="207"/>
      <c r="AR407" s="207"/>
      <c r="AS407" s="207"/>
      <c r="AT407" s="207"/>
      <c r="AU407" s="207"/>
      <c r="AV407" s="207"/>
      <c r="AW407" s="207"/>
      <c r="AX407" s="207"/>
      <c r="AY407" s="207"/>
      <c r="AZ407" s="207"/>
      <c r="BA407" s="207"/>
    </row>
    <row r="408" ht="18.75" hidden="1" customHeight="1">
      <c r="A408" s="207"/>
      <c r="B408" s="207"/>
      <c r="C408" s="207"/>
      <c r="D408" s="207"/>
      <c r="E408" s="207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  <c r="AA408" s="207"/>
      <c r="AB408" s="207"/>
      <c r="AC408" s="207"/>
      <c r="AD408" s="207"/>
      <c r="AE408" s="207"/>
      <c r="AF408" s="207"/>
      <c r="AG408" s="207"/>
      <c r="AH408" s="207"/>
      <c r="AI408" s="207"/>
      <c r="AJ408" s="207"/>
      <c r="AK408" s="207"/>
      <c r="AL408" s="207"/>
      <c r="AM408" s="207"/>
      <c r="AN408" s="207"/>
      <c r="AO408" s="207"/>
      <c r="AP408" s="207"/>
      <c r="AQ408" s="207"/>
      <c r="AR408" s="207"/>
      <c r="AS408" s="207"/>
      <c r="AT408" s="207"/>
      <c r="AU408" s="207"/>
      <c r="AV408" s="207"/>
      <c r="AW408" s="207"/>
      <c r="AX408" s="207"/>
      <c r="AY408" s="207"/>
      <c r="AZ408" s="207"/>
      <c r="BA408" s="207"/>
    </row>
    <row r="409" ht="18.75" hidden="1" customHeight="1">
      <c r="A409" s="207"/>
      <c r="B409" s="207"/>
      <c r="C409" s="207"/>
      <c r="D409" s="207"/>
      <c r="E409" s="207"/>
      <c r="F409" s="207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  <c r="AA409" s="207"/>
      <c r="AB409" s="207"/>
      <c r="AC409" s="207"/>
      <c r="AD409" s="207"/>
      <c r="AE409" s="207"/>
      <c r="AF409" s="207"/>
      <c r="AG409" s="207"/>
      <c r="AH409" s="207"/>
      <c r="AI409" s="207"/>
      <c r="AJ409" s="207"/>
      <c r="AK409" s="207"/>
      <c r="AL409" s="207"/>
      <c r="AM409" s="207"/>
      <c r="AN409" s="207"/>
      <c r="AO409" s="207"/>
      <c r="AP409" s="207"/>
      <c r="AQ409" s="207"/>
      <c r="AR409" s="207"/>
      <c r="AS409" s="207"/>
      <c r="AT409" s="207"/>
      <c r="AU409" s="207"/>
      <c r="AV409" s="207"/>
      <c r="AW409" s="207"/>
      <c r="AX409" s="207"/>
      <c r="AY409" s="207"/>
      <c r="AZ409" s="207"/>
      <c r="BA409" s="207"/>
    </row>
    <row r="410" ht="18.75" hidden="1" customHeight="1">
      <c r="A410" s="207"/>
      <c r="B410" s="207"/>
      <c r="C410" s="207"/>
      <c r="D410" s="207"/>
      <c r="E410" s="207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  <c r="AA410" s="207"/>
      <c r="AB410" s="207"/>
      <c r="AC410" s="207"/>
      <c r="AD410" s="207"/>
      <c r="AE410" s="207"/>
      <c r="AF410" s="207"/>
      <c r="AG410" s="207"/>
      <c r="AH410" s="207"/>
      <c r="AI410" s="207"/>
      <c r="AJ410" s="207"/>
      <c r="AK410" s="207"/>
      <c r="AL410" s="207"/>
      <c r="AM410" s="207"/>
      <c r="AN410" s="207"/>
      <c r="AO410" s="207"/>
      <c r="AP410" s="207"/>
      <c r="AQ410" s="207"/>
      <c r="AR410" s="207"/>
      <c r="AS410" s="207"/>
      <c r="AT410" s="207"/>
      <c r="AU410" s="207"/>
      <c r="AV410" s="207"/>
      <c r="AW410" s="207"/>
      <c r="AX410" s="207"/>
      <c r="AY410" s="207"/>
      <c r="AZ410" s="207"/>
      <c r="BA410" s="207"/>
    </row>
    <row r="411" ht="18.75" hidden="1" customHeight="1">
      <c r="A411" s="207"/>
      <c r="B411" s="207"/>
      <c r="C411" s="207"/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  <c r="AB411" s="207"/>
      <c r="AC411" s="207"/>
      <c r="AD411" s="207"/>
      <c r="AE411" s="207"/>
      <c r="AF411" s="207"/>
      <c r="AG411" s="207"/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</row>
    <row r="412" ht="18.75" hidden="1" customHeight="1">
      <c r="A412" s="207"/>
      <c r="B412" s="207"/>
      <c r="C412" s="207"/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</row>
    <row r="413" ht="18.75" hidden="1" customHeight="1">
      <c r="A413" s="207"/>
      <c r="B413" s="207"/>
      <c r="C413" s="207"/>
      <c r="D413" s="207"/>
      <c r="E413" s="207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</row>
    <row r="414" ht="18.75" hidden="1" customHeight="1">
      <c r="A414" s="207"/>
      <c r="B414" s="207"/>
      <c r="C414" s="207"/>
      <c r="D414" s="207"/>
      <c r="E414" s="207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/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</row>
    <row r="415" ht="18.75" hidden="1" customHeight="1">
      <c r="A415" s="207"/>
      <c r="B415" s="207"/>
      <c r="C415" s="207"/>
      <c r="D415" s="207"/>
      <c r="E415" s="207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/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</row>
    <row r="416" ht="18.75" hidden="1" customHeight="1">
      <c r="A416" s="207"/>
      <c r="B416" s="207"/>
      <c r="C416" s="207"/>
      <c r="D416" s="207"/>
      <c r="E416" s="207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</row>
    <row r="417" ht="18.75" hidden="1" customHeight="1">
      <c r="A417" s="207"/>
      <c r="B417" s="207"/>
      <c r="C417" s="207"/>
      <c r="D417" s="207"/>
      <c r="E417" s="207"/>
      <c r="F417" s="207"/>
      <c r="G417" s="207"/>
      <c r="H417" s="207"/>
      <c r="I417" s="207"/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  <c r="AA417" s="207"/>
      <c r="AB417" s="207"/>
      <c r="AC417" s="207"/>
      <c r="AD417" s="207"/>
      <c r="AE417" s="207"/>
      <c r="AF417" s="207"/>
      <c r="AG417" s="207"/>
      <c r="AH417" s="207"/>
      <c r="AI417" s="207"/>
      <c r="AJ417" s="207"/>
      <c r="AK417" s="207"/>
      <c r="AL417" s="207"/>
      <c r="AM417" s="207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7"/>
    </row>
    <row r="418" ht="18.75" hidden="1" customHeight="1">
      <c r="A418" s="207"/>
      <c r="B418" s="207"/>
      <c r="C418" s="207"/>
      <c r="D418" s="207"/>
      <c r="E418" s="207"/>
      <c r="F418" s="207"/>
      <c r="G418" s="207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  <c r="AA418" s="207"/>
      <c r="AB418" s="207"/>
      <c r="AC418" s="207"/>
      <c r="AD418" s="207"/>
      <c r="AE418" s="207"/>
      <c r="AF418" s="207"/>
      <c r="AG418" s="207"/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</row>
    <row r="419" ht="18.75" hidden="1" customHeight="1">
      <c r="A419" s="207"/>
      <c r="B419" s="207"/>
      <c r="C419" s="207"/>
      <c r="D419" s="207"/>
      <c r="E419" s="207"/>
      <c r="F419" s="207"/>
      <c r="G419" s="207"/>
      <c r="H419" s="207"/>
      <c r="I419" s="207"/>
      <c r="J419" s="207"/>
      <c r="K419" s="207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  <c r="AA419" s="207"/>
      <c r="AB419" s="207"/>
      <c r="AC419" s="207"/>
      <c r="AD419" s="207"/>
      <c r="AE419" s="207"/>
      <c r="AF419" s="207"/>
      <c r="AG419" s="207"/>
      <c r="AH419" s="207"/>
      <c r="AI419" s="207"/>
      <c r="AJ419" s="207"/>
      <c r="AK419" s="207"/>
      <c r="AL419" s="207"/>
      <c r="AM419" s="207"/>
      <c r="AN419" s="207"/>
      <c r="AO419" s="207"/>
      <c r="AP419" s="207"/>
      <c r="AQ419" s="207"/>
      <c r="AR419" s="207"/>
      <c r="AS419" s="207"/>
      <c r="AT419" s="207"/>
      <c r="AU419" s="207"/>
      <c r="AV419" s="207"/>
      <c r="AW419" s="207"/>
      <c r="AX419" s="207"/>
      <c r="AY419" s="207"/>
      <c r="AZ419" s="207"/>
      <c r="BA419" s="207"/>
    </row>
    <row r="420" ht="18.75" hidden="1" customHeight="1">
      <c r="A420" s="207"/>
      <c r="B420" s="207"/>
      <c r="C420" s="207"/>
      <c r="D420" s="207"/>
      <c r="E420" s="207"/>
      <c r="F420" s="207"/>
      <c r="G420" s="207"/>
      <c r="H420" s="207"/>
      <c r="I420" s="207"/>
      <c r="J420" s="207"/>
      <c r="K420" s="207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  <c r="AA420" s="207"/>
      <c r="AB420" s="207"/>
      <c r="AC420" s="207"/>
      <c r="AD420" s="207"/>
      <c r="AE420" s="207"/>
      <c r="AF420" s="207"/>
      <c r="AG420" s="207"/>
      <c r="AH420" s="207"/>
      <c r="AI420" s="207"/>
      <c r="AJ420" s="207"/>
      <c r="AK420" s="207"/>
      <c r="AL420" s="207"/>
      <c r="AM420" s="207"/>
      <c r="AN420" s="207"/>
      <c r="AO420" s="207"/>
      <c r="AP420" s="207"/>
      <c r="AQ420" s="207"/>
      <c r="AR420" s="207"/>
      <c r="AS420" s="207"/>
      <c r="AT420" s="207"/>
      <c r="AU420" s="207"/>
      <c r="AV420" s="207"/>
      <c r="AW420" s="207"/>
      <c r="AX420" s="207"/>
      <c r="AY420" s="207"/>
      <c r="AZ420" s="207"/>
      <c r="BA420" s="207"/>
    </row>
    <row r="421" ht="18.75" hidden="1" customHeight="1">
      <c r="A421" s="207"/>
      <c r="B421" s="207"/>
      <c r="C421" s="207"/>
      <c r="D421" s="207"/>
      <c r="E421" s="207"/>
      <c r="F421" s="207"/>
      <c r="G421" s="207"/>
      <c r="H421" s="207"/>
      <c r="I421" s="207"/>
      <c r="J421" s="207"/>
      <c r="K421" s="207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  <c r="AA421" s="207"/>
      <c r="AB421" s="207"/>
      <c r="AC421" s="207"/>
      <c r="AD421" s="207"/>
      <c r="AE421" s="207"/>
      <c r="AF421" s="207"/>
      <c r="AG421" s="207"/>
      <c r="AH421" s="207"/>
      <c r="AI421" s="207"/>
      <c r="AJ421" s="207"/>
      <c r="AK421" s="207"/>
      <c r="AL421" s="207"/>
      <c r="AM421" s="207"/>
      <c r="AN421" s="207"/>
      <c r="AO421" s="207"/>
      <c r="AP421" s="207"/>
      <c r="AQ421" s="207"/>
      <c r="AR421" s="207"/>
      <c r="AS421" s="207"/>
      <c r="AT421" s="207"/>
      <c r="AU421" s="207"/>
      <c r="AV421" s="207"/>
      <c r="AW421" s="207"/>
      <c r="AX421" s="207"/>
      <c r="AY421" s="207"/>
      <c r="AZ421" s="207"/>
      <c r="BA421" s="207"/>
    </row>
    <row r="422" ht="18.75" hidden="1" customHeight="1">
      <c r="A422" s="207"/>
      <c r="B422" s="207"/>
      <c r="C422" s="207"/>
      <c r="D422" s="207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  <c r="AB422" s="207"/>
      <c r="AC422" s="207"/>
      <c r="AD422" s="207"/>
      <c r="AE422" s="207"/>
      <c r="AF422" s="207"/>
      <c r="AG422" s="207"/>
      <c r="AH422" s="207"/>
      <c r="AI422" s="207"/>
      <c r="AJ422" s="207"/>
      <c r="AK422" s="207"/>
      <c r="AL422" s="207"/>
      <c r="AM422" s="207"/>
      <c r="AN422" s="207"/>
      <c r="AO422" s="207"/>
      <c r="AP422" s="207"/>
      <c r="AQ422" s="207"/>
      <c r="AR422" s="207"/>
      <c r="AS422" s="207"/>
      <c r="AT422" s="207"/>
      <c r="AU422" s="207"/>
      <c r="AV422" s="207"/>
      <c r="AW422" s="207"/>
      <c r="AX422" s="207"/>
      <c r="AY422" s="207"/>
      <c r="AZ422" s="207"/>
      <c r="BA422" s="207"/>
    </row>
    <row r="423" ht="18.75" hidden="1" customHeight="1">
      <c r="A423" s="207"/>
      <c r="B423" s="207"/>
      <c r="C423" s="207"/>
      <c r="D423" s="207"/>
      <c r="E423" s="207"/>
      <c r="F423" s="207"/>
      <c r="G423" s="207"/>
      <c r="H423" s="207"/>
      <c r="I423" s="207"/>
      <c r="J423" s="207"/>
      <c r="K423" s="207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  <c r="AA423" s="207"/>
      <c r="AB423" s="207"/>
      <c r="AC423" s="207"/>
      <c r="AD423" s="207"/>
      <c r="AE423" s="207"/>
      <c r="AF423" s="207"/>
      <c r="AG423" s="207"/>
      <c r="AH423" s="207"/>
      <c r="AI423" s="207"/>
      <c r="AJ423" s="207"/>
      <c r="AK423" s="207"/>
      <c r="AL423" s="207"/>
      <c r="AM423" s="207"/>
      <c r="AN423" s="207"/>
      <c r="AO423" s="207"/>
      <c r="AP423" s="207"/>
      <c r="AQ423" s="207"/>
      <c r="AR423" s="207"/>
      <c r="AS423" s="207"/>
      <c r="AT423" s="207"/>
      <c r="AU423" s="207"/>
      <c r="AV423" s="207"/>
      <c r="AW423" s="207"/>
      <c r="AX423" s="207"/>
      <c r="AY423" s="207"/>
      <c r="AZ423" s="207"/>
      <c r="BA423" s="207"/>
    </row>
    <row r="424" ht="18.75" hidden="1" customHeight="1">
      <c r="A424" s="207"/>
      <c r="B424" s="207"/>
      <c r="C424" s="207"/>
      <c r="D424" s="207"/>
      <c r="E424" s="207"/>
      <c r="F424" s="207"/>
      <c r="G424" s="207"/>
      <c r="H424" s="207"/>
      <c r="I424" s="207"/>
      <c r="J424" s="207"/>
      <c r="K424" s="207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  <c r="AA424" s="207"/>
      <c r="AB424" s="207"/>
      <c r="AC424" s="207"/>
      <c r="AD424" s="207"/>
      <c r="AE424" s="207"/>
      <c r="AF424" s="207"/>
      <c r="AG424" s="207"/>
      <c r="AH424" s="207"/>
      <c r="AI424" s="207"/>
      <c r="AJ424" s="207"/>
      <c r="AK424" s="207"/>
      <c r="AL424" s="207"/>
      <c r="AM424" s="207"/>
      <c r="AN424" s="207"/>
      <c r="AO424" s="207"/>
      <c r="AP424" s="207"/>
      <c r="AQ424" s="207"/>
      <c r="AR424" s="207"/>
      <c r="AS424" s="207"/>
      <c r="AT424" s="207"/>
      <c r="AU424" s="207"/>
      <c r="AV424" s="207"/>
      <c r="AW424" s="207"/>
      <c r="AX424" s="207"/>
      <c r="AY424" s="207"/>
      <c r="AZ424" s="207"/>
      <c r="BA424" s="207"/>
    </row>
    <row r="425" ht="18.75" hidden="1" customHeight="1">
      <c r="A425" s="207"/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  <c r="AA425" s="207"/>
      <c r="AB425" s="207"/>
      <c r="AC425" s="207"/>
      <c r="AD425" s="207"/>
      <c r="AE425" s="207"/>
      <c r="AF425" s="207"/>
      <c r="AG425" s="207"/>
      <c r="AH425" s="207"/>
      <c r="AI425" s="207"/>
      <c r="AJ425" s="207"/>
      <c r="AK425" s="207"/>
      <c r="AL425" s="207"/>
      <c r="AM425" s="207"/>
      <c r="AN425" s="207"/>
      <c r="AO425" s="207"/>
      <c r="AP425" s="207"/>
      <c r="AQ425" s="207"/>
      <c r="AR425" s="207"/>
      <c r="AS425" s="207"/>
      <c r="AT425" s="207"/>
      <c r="AU425" s="207"/>
      <c r="AV425" s="207"/>
      <c r="AW425" s="207"/>
      <c r="AX425" s="207"/>
      <c r="AY425" s="207"/>
      <c r="AZ425" s="207"/>
      <c r="BA425" s="207"/>
    </row>
    <row r="426" ht="18.75" hidden="1" customHeight="1">
      <c r="A426" s="207"/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  <c r="AA426" s="207"/>
      <c r="AB426" s="207"/>
      <c r="AC426" s="207"/>
      <c r="AD426" s="207"/>
      <c r="AE426" s="207"/>
      <c r="AF426" s="207"/>
      <c r="AG426" s="207"/>
      <c r="AH426" s="207"/>
      <c r="AI426" s="207"/>
      <c r="AJ426" s="207"/>
      <c r="AK426" s="207"/>
      <c r="AL426" s="207"/>
      <c r="AM426" s="207"/>
      <c r="AN426" s="207"/>
      <c r="AO426" s="207"/>
      <c r="AP426" s="207"/>
      <c r="AQ426" s="207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</row>
    <row r="427" ht="18.75" hidden="1" customHeight="1">
      <c r="A427" s="207"/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  <c r="AB427" s="207"/>
      <c r="AC427" s="207"/>
      <c r="AD427" s="207"/>
      <c r="AE427" s="207"/>
      <c r="AF427" s="207"/>
      <c r="AG427" s="207"/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</row>
    <row r="428" ht="18.75" hidden="1" customHeight="1">
      <c r="A428" s="207"/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  <c r="AA428" s="207"/>
      <c r="AB428" s="207"/>
      <c r="AC428" s="207"/>
      <c r="AD428" s="207"/>
      <c r="AE428" s="207"/>
      <c r="AF428" s="207"/>
      <c r="AG428" s="207"/>
      <c r="AH428" s="207"/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</row>
    <row r="429" ht="18.75" hidden="1" customHeight="1">
      <c r="A429" s="207"/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  <c r="AB429" s="207"/>
      <c r="AC429" s="207"/>
      <c r="AD429" s="207"/>
      <c r="AE429" s="207"/>
      <c r="AF429" s="207"/>
      <c r="AG429" s="207"/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</row>
    <row r="430" ht="18.75" hidden="1" customHeight="1">
      <c r="A430" s="207"/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  <c r="AB430" s="207"/>
      <c r="AC430" s="207"/>
      <c r="AD430" s="207"/>
      <c r="AE430" s="207"/>
      <c r="AF430" s="207"/>
      <c r="AG430" s="207"/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</row>
    <row r="431" ht="18.75" hidden="1" customHeight="1">
      <c r="A431" s="207"/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  <c r="AA431" s="207"/>
      <c r="AB431" s="207"/>
      <c r="AC431" s="207"/>
      <c r="AD431" s="207"/>
      <c r="AE431" s="207"/>
      <c r="AF431" s="207"/>
      <c r="AG431" s="207"/>
      <c r="AH431" s="207"/>
      <c r="AI431" s="207"/>
      <c r="AJ431" s="207"/>
      <c r="AK431" s="207"/>
      <c r="AL431" s="207"/>
      <c r="AM431" s="207"/>
      <c r="AN431" s="207"/>
      <c r="AO431" s="207"/>
      <c r="AP431" s="207"/>
      <c r="AQ431" s="207"/>
      <c r="AR431" s="207"/>
      <c r="AS431" s="207"/>
      <c r="AT431" s="207"/>
      <c r="AU431" s="207"/>
      <c r="AV431" s="207"/>
      <c r="AW431" s="207"/>
      <c r="AX431" s="207"/>
      <c r="AY431" s="207"/>
      <c r="AZ431" s="207"/>
      <c r="BA431" s="207"/>
    </row>
    <row r="432" ht="18.75" hidden="1" customHeight="1">
      <c r="A432" s="207"/>
      <c r="B432" s="207"/>
      <c r="C432" s="207"/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  <c r="AA432" s="207"/>
      <c r="AB432" s="207"/>
      <c r="AC432" s="207"/>
      <c r="AD432" s="207"/>
      <c r="AE432" s="207"/>
      <c r="AF432" s="207"/>
      <c r="AG432" s="207"/>
      <c r="AH432" s="207"/>
      <c r="AI432" s="207"/>
      <c r="AJ432" s="207"/>
      <c r="AK432" s="207"/>
      <c r="AL432" s="207"/>
      <c r="AM432" s="207"/>
      <c r="AN432" s="207"/>
      <c r="AO432" s="207"/>
      <c r="AP432" s="207"/>
      <c r="AQ432" s="207"/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7"/>
    </row>
    <row r="433" ht="18.75" hidden="1" customHeight="1">
      <c r="A433" s="207"/>
      <c r="B433" s="207"/>
      <c r="C433" s="207"/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  <c r="AA433" s="207"/>
      <c r="AB433" s="207"/>
      <c r="AC433" s="207"/>
      <c r="AD433" s="207"/>
      <c r="AE433" s="207"/>
      <c r="AF433" s="207"/>
      <c r="AG433" s="207"/>
      <c r="AH433" s="207"/>
      <c r="AI433" s="207"/>
      <c r="AJ433" s="207"/>
      <c r="AK433" s="207"/>
      <c r="AL433" s="207"/>
      <c r="AM433" s="207"/>
      <c r="AN433" s="207"/>
      <c r="AO433" s="207"/>
      <c r="AP433" s="207"/>
      <c r="AQ433" s="207"/>
      <c r="AR433" s="207"/>
      <c r="AS433" s="207"/>
      <c r="AT433" s="207"/>
      <c r="AU433" s="207"/>
      <c r="AV433" s="207"/>
      <c r="AW433" s="207"/>
      <c r="AX433" s="207"/>
      <c r="AY433" s="207"/>
      <c r="AZ433" s="207"/>
      <c r="BA433" s="207"/>
    </row>
    <row r="434" ht="18.75" hidden="1" customHeight="1">
      <c r="A434" s="207"/>
      <c r="B434" s="207"/>
      <c r="C434" s="207"/>
      <c r="D434" s="207"/>
      <c r="E434" s="207"/>
      <c r="F434" s="207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  <c r="AA434" s="207"/>
      <c r="AB434" s="207"/>
      <c r="AC434" s="207"/>
      <c r="AD434" s="207"/>
      <c r="AE434" s="207"/>
      <c r="AF434" s="207"/>
      <c r="AG434" s="207"/>
      <c r="AH434" s="207"/>
      <c r="AI434" s="207"/>
      <c r="AJ434" s="207"/>
      <c r="AK434" s="207"/>
      <c r="AL434" s="207"/>
      <c r="AM434" s="207"/>
      <c r="AN434" s="207"/>
      <c r="AO434" s="207"/>
      <c r="AP434" s="207"/>
      <c r="AQ434" s="207"/>
      <c r="AR434" s="207"/>
      <c r="AS434" s="207"/>
      <c r="AT434" s="207"/>
      <c r="AU434" s="207"/>
      <c r="AV434" s="207"/>
      <c r="AW434" s="207"/>
      <c r="AX434" s="207"/>
      <c r="AY434" s="207"/>
      <c r="AZ434" s="207"/>
      <c r="BA434" s="207"/>
    </row>
    <row r="435" ht="18.75" hidden="1" customHeight="1">
      <c r="A435" s="207"/>
      <c r="B435" s="207"/>
      <c r="C435" s="207"/>
      <c r="D435" s="207"/>
      <c r="E435" s="207"/>
      <c r="F435" s="207"/>
      <c r="G435" s="207"/>
      <c r="H435" s="207"/>
      <c r="I435" s="207"/>
      <c r="J435" s="207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  <c r="AA435" s="207"/>
      <c r="AB435" s="207"/>
      <c r="AC435" s="207"/>
      <c r="AD435" s="207"/>
      <c r="AE435" s="207"/>
      <c r="AF435" s="207"/>
      <c r="AG435" s="207"/>
      <c r="AH435" s="207"/>
      <c r="AI435" s="207"/>
      <c r="AJ435" s="207"/>
      <c r="AK435" s="207"/>
      <c r="AL435" s="207"/>
      <c r="AM435" s="207"/>
      <c r="AN435" s="207"/>
      <c r="AO435" s="207"/>
      <c r="AP435" s="207"/>
      <c r="AQ435" s="207"/>
      <c r="AR435" s="207"/>
      <c r="AS435" s="207"/>
      <c r="AT435" s="207"/>
      <c r="AU435" s="207"/>
      <c r="AV435" s="207"/>
      <c r="AW435" s="207"/>
      <c r="AX435" s="207"/>
      <c r="AY435" s="207"/>
      <c r="AZ435" s="207"/>
      <c r="BA435" s="207"/>
    </row>
    <row r="436" ht="18.75" hidden="1" customHeight="1">
      <c r="A436" s="207"/>
      <c r="B436" s="207"/>
      <c r="C436" s="207"/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  <c r="AA436" s="207"/>
      <c r="AB436" s="207"/>
      <c r="AC436" s="207"/>
      <c r="AD436" s="207"/>
      <c r="AE436" s="207"/>
      <c r="AF436" s="207"/>
      <c r="AG436" s="207"/>
      <c r="AH436" s="207"/>
      <c r="AI436" s="207"/>
      <c r="AJ436" s="207"/>
      <c r="AK436" s="207"/>
      <c r="AL436" s="207"/>
      <c r="AM436" s="207"/>
      <c r="AN436" s="207"/>
      <c r="AO436" s="207"/>
      <c r="AP436" s="207"/>
      <c r="AQ436" s="207"/>
      <c r="AR436" s="207"/>
      <c r="AS436" s="207"/>
      <c r="AT436" s="207"/>
      <c r="AU436" s="207"/>
      <c r="AV436" s="207"/>
      <c r="AW436" s="207"/>
      <c r="AX436" s="207"/>
      <c r="AY436" s="207"/>
      <c r="AZ436" s="207"/>
      <c r="BA436" s="207"/>
    </row>
    <row r="437" ht="18.75" hidden="1" customHeight="1">
      <c r="A437" s="207"/>
      <c r="B437" s="207"/>
      <c r="C437" s="207"/>
      <c r="D437" s="207"/>
      <c r="E437" s="207"/>
      <c r="F437" s="207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  <c r="AA437" s="207"/>
      <c r="AB437" s="207"/>
      <c r="AC437" s="207"/>
      <c r="AD437" s="207"/>
      <c r="AE437" s="207"/>
      <c r="AF437" s="207"/>
      <c r="AG437" s="207"/>
      <c r="AH437" s="207"/>
      <c r="AI437" s="207"/>
      <c r="AJ437" s="207"/>
      <c r="AK437" s="207"/>
      <c r="AL437" s="207"/>
      <c r="AM437" s="207"/>
      <c r="AN437" s="207"/>
      <c r="AO437" s="207"/>
      <c r="AP437" s="207"/>
      <c r="AQ437" s="207"/>
      <c r="AR437" s="207"/>
      <c r="AS437" s="207"/>
      <c r="AT437" s="207"/>
      <c r="AU437" s="207"/>
      <c r="AV437" s="207"/>
      <c r="AW437" s="207"/>
      <c r="AX437" s="207"/>
      <c r="AY437" s="207"/>
      <c r="AZ437" s="207"/>
      <c r="BA437" s="207"/>
    </row>
    <row r="438" ht="18.75" hidden="1" customHeight="1">
      <c r="A438" s="207"/>
      <c r="B438" s="207"/>
      <c r="C438" s="207"/>
      <c r="D438" s="207"/>
      <c r="E438" s="207"/>
      <c r="F438" s="207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  <c r="AA438" s="207"/>
      <c r="AB438" s="207"/>
      <c r="AC438" s="207"/>
      <c r="AD438" s="207"/>
      <c r="AE438" s="207"/>
      <c r="AF438" s="207"/>
      <c r="AG438" s="207"/>
      <c r="AH438" s="207"/>
      <c r="AI438" s="207"/>
      <c r="AJ438" s="207"/>
      <c r="AK438" s="207"/>
      <c r="AL438" s="207"/>
      <c r="AM438" s="207"/>
      <c r="AN438" s="207"/>
      <c r="AO438" s="207"/>
      <c r="AP438" s="207"/>
      <c r="AQ438" s="207"/>
      <c r="AR438" s="207"/>
      <c r="AS438" s="207"/>
      <c r="AT438" s="207"/>
      <c r="AU438" s="207"/>
      <c r="AV438" s="207"/>
      <c r="AW438" s="207"/>
      <c r="AX438" s="207"/>
      <c r="AY438" s="207"/>
      <c r="AZ438" s="207"/>
      <c r="BA438" s="207"/>
    </row>
    <row r="439" ht="18.75" hidden="1" customHeight="1">
      <c r="A439" s="207"/>
      <c r="B439" s="207"/>
      <c r="C439" s="207"/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  <c r="AA439" s="207"/>
      <c r="AB439" s="207"/>
      <c r="AC439" s="207"/>
      <c r="AD439" s="207"/>
      <c r="AE439" s="207"/>
      <c r="AF439" s="207"/>
      <c r="AG439" s="207"/>
      <c r="AH439" s="207"/>
      <c r="AI439" s="207"/>
      <c r="AJ439" s="207"/>
      <c r="AK439" s="207"/>
      <c r="AL439" s="207"/>
      <c r="AM439" s="207"/>
      <c r="AN439" s="207"/>
      <c r="AO439" s="207"/>
      <c r="AP439" s="207"/>
      <c r="AQ439" s="207"/>
      <c r="AR439" s="207"/>
      <c r="AS439" s="207"/>
      <c r="AT439" s="207"/>
      <c r="AU439" s="207"/>
      <c r="AV439" s="207"/>
      <c r="AW439" s="207"/>
      <c r="AX439" s="207"/>
      <c r="AY439" s="207"/>
      <c r="AZ439" s="207"/>
      <c r="BA439" s="207"/>
    </row>
    <row r="440" ht="18.75" hidden="1" customHeight="1">
      <c r="A440" s="207"/>
      <c r="B440" s="207"/>
      <c r="C440" s="207"/>
      <c r="D440" s="207"/>
      <c r="E440" s="207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  <c r="AA440" s="207"/>
      <c r="AB440" s="207"/>
      <c r="AC440" s="207"/>
      <c r="AD440" s="207"/>
      <c r="AE440" s="207"/>
      <c r="AF440" s="207"/>
      <c r="AG440" s="207"/>
      <c r="AH440" s="207"/>
      <c r="AI440" s="207"/>
      <c r="AJ440" s="207"/>
      <c r="AK440" s="207"/>
      <c r="AL440" s="207"/>
      <c r="AM440" s="207"/>
      <c r="AN440" s="207"/>
      <c r="AO440" s="207"/>
      <c r="AP440" s="207"/>
      <c r="AQ440" s="207"/>
      <c r="AR440" s="207"/>
      <c r="AS440" s="207"/>
      <c r="AT440" s="207"/>
      <c r="AU440" s="207"/>
      <c r="AV440" s="207"/>
      <c r="AW440" s="207"/>
      <c r="AX440" s="207"/>
      <c r="AY440" s="207"/>
      <c r="AZ440" s="207"/>
      <c r="BA440" s="207"/>
    </row>
    <row r="441" ht="18.75" hidden="1" customHeight="1">
      <c r="A441" s="207"/>
      <c r="B441" s="207"/>
      <c r="C441" s="207"/>
      <c r="D441" s="207"/>
      <c r="E441" s="207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  <c r="AA441" s="207"/>
      <c r="AB441" s="207"/>
      <c r="AC441" s="207"/>
      <c r="AD441" s="207"/>
      <c r="AE441" s="207"/>
      <c r="AF441" s="207"/>
      <c r="AG441" s="207"/>
      <c r="AH441" s="207"/>
      <c r="AI441" s="207"/>
      <c r="AJ441" s="207"/>
      <c r="AK441" s="207"/>
      <c r="AL441" s="207"/>
      <c r="AM441" s="207"/>
      <c r="AN441" s="207"/>
      <c r="AO441" s="207"/>
      <c r="AP441" s="207"/>
      <c r="AQ441" s="207"/>
      <c r="AR441" s="207"/>
      <c r="AS441" s="207"/>
      <c r="AT441" s="207"/>
      <c r="AU441" s="207"/>
      <c r="AV441" s="207"/>
      <c r="AW441" s="207"/>
      <c r="AX441" s="207"/>
      <c r="AY441" s="207"/>
      <c r="AZ441" s="207"/>
      <c r="BA441" s="207"/>
    </row>
    <row r="442" ht="18.75" hidden="1" customHeight="1">
      <c r="A442" s="207"/>
      <c r="B442" s="207"/>
      <c r="C442" s="207"/>
      <c r="D442" s="207"/>
      <c r="E442" s="207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  <c r="AA442" s="207"/>
      <c r="AB442" s="207"/>
      <c r="AC442" s="207"/>
      <c r="AD442" s="207"/>
      <c r="AE442" s="207"/>
      <c r="AF442" s="207"/>
      <c r="AG442" s="207"/>
      <c r="AH442" s="207"/>
      <c r="AI442" s="207"/>
      <c r="AJ442" s="207"/>
      <c r="AK442" s="207"/>
      <c r="AL442" s="207"/>
      <c r="AM442" s="207"/>
      <c r="AN442" s="207"/>
      <c r="AO442" s="207"/>
      <c r="AP442" s="207"/>
      <c r="AQ442" s="207"/>
      <c r="AR442" s="207"/>
      <c r="AS442" s="207"/>
      <c r="AT442" s="207"/>
      <c r="AU442" s="207"/>
      <c r="AV442" s="207"/>
      <c r="AW442" s="207"/>
      <c r="AX442" s="207"/>
      <c r="AY442" s="207"/>
      <c r="AZ442" s="207"/>
      <c r="BA442" s="207"/>
    </row>
    <row r="443" ht="18.75" hidden="1" customHeight="1">
      <c r="A443" s="207"/>
      <c r="B443" s="207"/>
      <c r="C443" s="207"/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  <c r="AA443" s="207"/>
      <c r="AB443" s="207"/>
      <c r="AC443" s="207"/>
      <c r="AD443" s="207"/>
      <c r="AE443" s="207"/>
      <c r="AF443" s="207"/>
      <c r="AG443" s="207"/>
      <c r="AH443" s="207"/>
      <c r="AI443" s="207"/>
      <c r="AJ443" s="207"/>
      <c r="AK443" s="207"/>
      <c r="AL443" s="207"/>
      <c r="AM443" s="207"/>
      <c r="AN443" s="207"/>
      <c r="AO443" s="207"/>
      <c r="AP443" s="207"/>
      <c r="AQ443" s="207"/>
      <c r="AR443" s="207"/>
      <c r="AS443" s="207"/>
      <c r="AT443" s="207"/>
      <c r="AU443" s="207"/>
      <c r="AV443" s="207"/>
      <c r="AW443" s="207"/>
      <c r="AX443" s="207"/>
      <c r="AY443" s="207"/>
      <c r="AZ443" s="207"/>
      <c r="BA443" s="207"/>
    </row>
    <row r="444" ht="18.75" hidden="1" customHeight="1">
      <c r="A444" s="207"/>
      <c r="B444" s="207"/>
      <c r="C444" s="207"/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  <c r="AA444" s="207"/>
      <c r="AB444" s="207"/>
      <c r="AC444" s="207"/>
      <c r="AD444" s="207"/>
      <c r="AE444" s="207"/>
      <c r="AF444" s="207"/>
      <c r="AG444" s="207"/>
      <c r="AH444" s="207"/>
      <c r="AI444" s="207"/>
      <c r="AJ444" s="207"/>
      <c r="AK444" s="207"/>
      <c r="AL444" s="207"/>
      <c r="AM444" s="207"/>
      <c r="AN444" s="207"/>
      <c r="AO444" s="207"/>
      <c r="AP444" s="207"/>
      <c r="AQ444" s="207"/>
      <c r="AR444" s="207"/>
      <c r="AS444" s="207"/>
      <c r="AT444" s="207"/>
      <c r="AU444" s="207"/>
      <c r="AV444" s="207"/>
      <c r="AW444" s="207"/>
      <c r="AX444" s="207"/>
      <c r="AY444" s="207"/>
      <c r="AZ444" s="207"/>
      <c r="BA444" s="207"/>
    </row>
    <row r="445" ht="18.75" hidden="1" customHeight="1">
      <c r="A445" s="207"/>
      <c r="B445" s="207"/>
      <c r="C445" s="207"/>
      <c r="D445" s="207"/>
      <c r="E445" s="207"/>
      <c r="F445" s="207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  <c r="AA445" s="207"/>
      <c r="AB445" s="207"/>
      <c r="AC445" s="207"/>
      <c r="AD445" s="207"/>
      <c r="AE445" s="207"/>
      <c r="AF445" s="207"/>
      <c r="AG445" s="207"/>
      <c r="AH445" s="207"/>
      <c r="AI445" s="207"/>
      <c r="AJ445" s="207"/>
      <c r="AK445" s="207"/>
      <c r="AL445" s="207"/>
      <c r="AM445" s="207"/>
      <c r="AN445" s="207"/>
      <c r="AO445" s="207"/>
      <c r="AP445" s="207"/>
      <c r="AQ445" s="207"/>
      <c r="AR445" s="207"/>
      <c r="AS445" s="207"/>
      <c r="AT445" s="207"/>
      <c r="AU445" s="207"/>
      <c r="AV445" s="207"/>
      <c r="AW445" s="207"/>
      <c r="AX445" s="207"/>
      <c r="AY445" s="207"/>
      <c r="AZ445" s="207"/>
      <c r="BA445" s="207"/>
    </row>
    <row r="446" ht="18.75" hidden="1" customHeight="1">
      <c r="A446" s="207"/>
      <c r="B446" s="207"/>
      <c r="C446" s="207"/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  <c r="AA446" s="207"/>
      <c r="AB446" s="207"/>
      <c r="AC446" s="207"/>
      <c r="AD446" s="207"/>
      <c r="AE446" s="207"/>
      <c r="AF446" s="207"/>
      <c r="AG446" s="207"/>
      <c r="AH446" s="207"/>
      <c r="AI446" s="207"/>
      <c r="AJ446" s="207"/>
      <c r="AK446" s="207"/>
      <c r="AL446" s="207"/>
      <c r="AM446" s="207"/>
      <c r="AN446" s="207"/>
      <c r="AO446" s="207"/>
      <c r="AP446" s="207"/>
      <c r="AQ446" s="207"/>
      <c r="AR446" s="207"/>
      <c r="AS446" s="207"/>
      <c r="AT446" s="207"/>
      <c r="AU446" s="207"/>
      <c r="AV446" s="207"/>
      <c r="AW446" s="207"/>
      <c r="AX446" s="207"/>
      <c r="AY446" s="207"/>
      <c r="AZ446" s="207"/>
      <c r="BA446" s="207"/>
    </row>
    <row r="447" ht="18.75" hidden="1" customHeight="1">
      <c r="A447" s="207"/>
      <c r="B447" s="207"/>
      <c r="C447" s="207"/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  <c r="AA447" s="207"/>
      <c r="AB447" s="207"/>
      <c r="AC447" s="207"/>
      <c r="AD447" s="207"/>
      <c r="AE447" s="207"/>
      <c r="AF447" s="207"/>
      <c r="AG447" s="207"/>
      <c r="AH447" s="207"/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</row>
    <row r="448" ht="18.75" hidden="1" customHeight="1">
      <c r="A448" s="207"/>
      <c r="B448" s="207"/>
      <c r="C448" s="207"/>
      <c r="D448" s="207"/>
      <c r="E448" s="207"/>
      <c r="F448" s="207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  <c r="AA448" s="207"/>
      <c r="AB448" s="207"/>
      <c r="AC448" s="207"/>
      <c r="AD448" s="207"/>
      <c r="AE448" s="207"/>
      <c r="AF448" s="207"/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</row>
    <row r="449" ht="18.75" hidden="1" customHeight="1">
      <c r="A449" s="207"/>
      <c r="B449" s="207"/>
      <c r="C449" s="207"/>
      <c r="D449" s="207"/>
      <c r="E449" s="207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  <c r="AA449" s="207"/>
      <c r="AB449" s="207"/>
      <c r="AC449" s="207"/>
      <c r="AD449" s="207"/>
      <c r="AE449" s="207"/>
      <c r="AF449" s="207"/>
      <c r="AG449" s="207"/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</row>
    <row r="450" ht="18.75" hidden="1" customHeight="1">
      <c r="A450" s="207"/>
      <c r="B450" s="207"/>
      <c r="C450" s="207"/>
      <c r="D450" s="207"/>
      <c r="E450" s="207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  <c r="AA450" s="207"/>
      <c r="AB450" s="207"/>
      <c r="AC450" s="207"/>
      <c r="AD450" s="207"/>
      <c r="AE450" s="207"/>
      <c r="AF450" s="207"/>
      <c r="AG450" s="207"/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</row>
    <row r="451" ht="18.75" hidden="1" customHeight="1">
      <c r="A451" s="207"/>
      <c r="B451" s="207"/>
      <c r="C451" s="207"/>
      <c r="D451" s="207"/>
      <c r="E451" s="207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  <c r="AA451" s="207"/>
      <c r="AB451" s="207"/>
      <c r="AC451" s="207"/>
      <c r="AD451" s="207"/>
      <c r="AE451" s="207"/>
      <c r="AF451" s="207"/>
      <c r="AG451" s="207"/>
      <c r="AH451" s="207"/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</row>
    <row r="452" ht="18.75" hidden="1" customHeight="1">
      <c r="A452" s="207"/>
      <c r="B452" s="207"/>
      <c r="C452" s="207"/>
      <c r="D452" s="207"/>
      <c r="E452" s="207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  <c r="AA452" s="207"/>
      <c r="AB452" s="207"/>
      <c r="AC452" s="207"/>
      <c r="AD452" s="207"/>
      <c r="AE452" s="207"/>
      <c r="AF452" s="207"/>
      <c r="AG452" s="207"/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</row>
    <row r="453" ht="18.75" hidden="1" customHeight="1">
      <c r="A453" s="207"/>
      <c r="B453" s="207"/>
      <c r="C453" s="207"/>
      <c r="D453" s="207"/>
      <c r="E453" s="207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  <c r="AA453" s="207"/>
      <c r="AB453" s="207"/>
      <c r="AC453" s="207"/>
      <c r="AD453" s="207"/>
      <c r="AE453" s="207"/>
      <c r="AF453" s="207"/>
      <c r="AG453" s="207"/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</row>
    <row r="454" ht="18.75" hidden="1" customHeight="1">
      <c r="A454" s="207"/>
      <c r="B454" s="207"/>
      <c r="C454" s="207"/>
      <c r="D454" s="207"/>
      <c r="E454" s="207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  <c r="AA454" s="207"/>
      <c r="AB454" s="207"/>
      <c r="AC454" s="207"/>
      <c r="AD454" s="207"/>
      <c r="AE454" s="207"/>
      <c r="AF454" s="207"/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</row>
    <row r="455" ht="18.75" hidden="1" customHeight="1">
      <c r="A455" s="207"/>
      <c r="B455" s="207"/>
      <c r="C455" s="207"/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  <c r="AA455" s="207"/>
      <c r="AB455" s="207"/>
      <c r="AC455" s="207"/>
      <c r="AD455" s="207"/>
      <c r="AE455" s="207"/>
      <c r="AF455" s="207"/>
      <c r="AG455" s="207"/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</row>
    <row r="456" ht="18.75" hidden="1" customHeight="1">
      <c r="A456" s="207"/>
      <c r="B456" s="207"/>
      <c r="C456" s="207"/>
      <c r="D456" s="207"/>
      <c r="E456" s="207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  <c r="AA456" s="207"/>
      <c r="AB456" s="207"/>
      <c r="AC456" s="207"/>
      <c r="AD456" s="207"/>
      <c r="AE456" s="207"/>
      <c r="AF456" s="207"/>
      <c r="AG456" s="207"/>
      <c r="AH456" s="207"/>
      <c r="AI456" s="207"/>
      <c r="AJ456" s="207"/>
      <c r="AK456" s="207"/>
      <c r="AL456" s="207"/>
      <c r="AM456" s="207"/>
      <c r="AN456" s="207"/>
      <c r="AO456" s="207"/>
      <c r="AP456" s="207"/>
      <c r="AQ456" s="207"/>
      <c r="AR456" s="207"/>
      <c r="AS456" s="207"/>
      <c r="AT456" s="207"/>
      <c r="AU456" s="207"/>
      <c r="AV456" s="207"/>
      <c r="AW456" s="207"/>
      <c r="AX456" s="207"/>
      <c r="AY456" s="207"/>
      <c r="AZ456" s="207"/>
      <c r="BA456" s="207"/>
    </row>
    <row r="457" ht="18.75" hidden="1" customHeight="1">
      <c r="A457" s="207"/>
      <c r="B457" s="207"/>
      <c r="C457" s="207"/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  <c r="AB457" s="207"/>
      <c r="AC457" s="207"/>
      <c r="AD457" s="207"/>
      <c r="AE457" s="207"/>
      <c r="AF457" s="207"/>
      <c r="AG457" s="207"/>
      <c r="AH457" s="207"/>
      <c r="AI457" s="207"/>
      <c r="AJ457" s="207"/>
      <c r="AK457" s="207"/>
      <c r="AL457" s="207"/>
      <c r="AM457" s="207"/>
      <c r="AN457" s="207"/>
      <c r="AO457" s="207"/>
      <c r="AP457" s="207"/>
      <c r="AQ457" s="207"/>
      <c r="AR457" s="207"/>
      <c r="AS457" s="207"/>
      <c r="AT457" s="207"/>
      <c r="AU457" s="207"/>
      <c r="AV457" s="207"/>
      <c r="AW457" s="207"/>
      <c r="AX457" s="207"/>
      <c r="AY457" s="207"/>
      <c r="AZ457" s="207"/>
      <c r="BA457" s="207"/>
    </row>
    <row r="458" ht="18.75" hidden="1" customHeight="1">
      <c r="A458" s="207"/>
      <c r="B458" s="207"/>
      <c r="C458" s="207"/>
      <c r="D458" s="207"/>
      <c r="E458" s="207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  <c r="AB458" s="207"/>
      <c r="AC458" s="207"/>
      <c r="AD458" s="207"/>
      <c r="AE458" s="207"/>
      <c r="AF458" s="207"/>
      <c r="AG458" s="207"/>
      <c r="AH458" s="207"/>
      <c r="AI458" s="207"/>
      <c r="AJ458" s="207"/>
      <c r="AK458" s="207"/>
      <c r="AL458" s="207"/>
      <c r="AM458" s="207"/>
      <c r="AN458" s="207"/>
      <c r="AO458" s="207"/>
      <c r="AP458" s="207"/>
      <c r="AQ458" s="207"/>
      <c r="AR458" s="207"/>
      <c r="AS458" s="207"/>
      <c r="AT458" s="207"/>
      <c r="AU458" s="207"/>
      <c r="AV458" s="207"/>
      <c r="AW458" s="207"/>
      <c r="AX458" s="207"/>
      <c r="AY458" s="207"/>
      <c r="AZ458" s="207"/>
      <c r="BA458" s="207"/>
    </row>
    <row r="459" ht="18.75" hidden="1" customHeight="1">
      <c r="A459" s="207"/>
      <c r="B459" s="207"/>
      <c r="C459" s="207"/>
      <c r="D459" s="207"/>
      <c r="E459" s="207"/>
      <c r="F459" s="207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  <c r="AA459" s="207"/>
      <c r="AB459" s="207"/>
      <c r="AC459" s="207"/>
      <c r="AD459" s="207"/>
      <c r="AE459" s="207"/>
      <c r="AF459" s="207"/>
      <c r="AG459" s="207"/>
      <c r="AH459" s="207"/>
      <c r="AI459" s="207"/>
      <c r="AJ459" s="207"/>
      <c r="AK459" s="207"/>
      <c r="AL459" s="207"/>
      <c r="AM459" s="207"/>
      <c r="AN459" s="207"/>
      <c r="AO459" s="207"/>
      <c r="AP459" s="207"/>
      <c r="AQ459" s="207"/>
      <c r="AR459" s="207"/>
      <c r="AS459" s="207"/>
      <c r="AT459" s="207"/>
      <c r="AU459" s="207"/>
      <c r="AV459" s="207"/>
      <c r="AW459" s="207"/>
      <c r="AX459" s="207"/>
      <c r="AY459" s="207"/>
      <c r="AZ459" s="207"/>
      <c r="BA459" s="207"/>
    </row>
    <row r="460" ht="18.75" hidden="1" customHeight="1">
      <c r="A460" s="207"/>
      <c r="B460" s="207"/>
      <c r="C460" s="207"/>
      <c r="D460" s="207"/>
      <c r="E460" s="207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  <c r="AA460" s="207"/>
      <c r="AB460" s="207"/>
      <c r="AC460" s="207"/>
      <c r="AD460" s="207"/>
      <c r="AE460" s="207"/>
      <c r="AF460" s="207"/>
      <c r="AG460" s="207"/>
      <c r="AH460" s="207"/>
      <c r="AI460" s="207"/>
      <c r="AJ460" s="207"/>
      <c r="AK460" s="207"/>
      <c r="AL460" s="207"/>
      <c r="AM460" s="207"/>
      <c r="AN460" s="207"/>
      <c r="AO460" s="207"/>
      <c r="AP460" s="207"/>
      <c r="AQ460" s="207"/>
      <c r="AR460" s="207"/>
      <c r="AS460" s="207"/>
      <c r="AT460" s="207"/>
      <c r="AU460" s="207"/>
      <c r="AV460" s="207"/>
      <c r="AW460" s="207"/>
      <c r="AX460" s="207"/>
      <c r="AY460" s="207"/>
      <c r="AZ460" s="207"/>
      <c r="BA460" s="207"/>
    </row>
    <row r="461" ht="18.75" hidden="1" customHeight="1">
      <c r="A461" s="207"/>
      <c r="B461" s="207"/>
      <c r="C461" s="207"/>
      <c r="D461" s="207"/>
      <c r="E461" s="207"/>
      <c r="F461" s="207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  <c r="AA461" s="207"/>
      <c r="AB461" s="207"/>
      <c r="AC461" s="207"/>
      <c r="AD461" s="207"/>
      <c r="AE461" s="207"/>
      <c r="AF461" s="207"/>
      <c r="AG461" s="207"/>
      <c r="AH461" s="207"/>
      <c r="AI461" s="207"/>
      <c r="AJ461" s="207"/>
      <c r="AK461" s="207"/>
      <c r="AL461" s="207"/>
      <c r="AM461" s="207"/>
      <c r="AN461" s="207"/>
      <c r="AO461" s="207"/>
      <c r="AP461" s="207"/>
      <c r="AQ461" s="207"/>
      <c r="AR461" s="207"/>
      <c r="AS461" s="207"/>
      <c r="AT461" s="207"/>
      <c r="AU461" s="207"/>
      <c r="AV461" s="207"/>
      <c r="AW461" s="207"/>
      <c r="AX461" s="207"/>
      <c r="AY461" s="207"/>
      <c r="AZ461" s="207"/>
      <c r="BA461" s="207"/>
    </row>
    <row r="462" ht="18.75" hidden="1" customHeight="1">
      <c r="A462" s="207"/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  <c r="AA462" s="207"/>
      <c r="AB462" s="207"/>
      <c r="AC462" s="207"/>
      <c r="AD462" s="207"/>
      <c r="AE462" s="207"/>
      <c r="AF462" s="207"/>
      <c r="AG462" s="207"/>
      <c r="AH462" s="207"/>
      <c r="AI462" s="207"/>
      <c r="AJ462" s="207"/>
      <c r="AK462" s="207"/>
      <c r="AL462" s="207"/>
      <c r="AM462" s="207"/>
      <c r="AN462" s="207"/>
      <c r="AO462" s="207"/>
      <c r="AP462" s="207"/>
      <c r="AQ462" s="207"/>
      <c r="AR462" s="207"/>
      <c r="AS462" s="207"/>
      <c r="AT462" s="207"/>
      <c r="AU462" s="207"/>
      <c r="AV462" s="207"/>
      <c r="AW462" s="207"/>
      <c r="AX462" s="207"/>
      <c r="AY462" s="207"/>
      <c r="AZ462" s="207"/>
      <c r="BA462" s="207"/>
    </row>
    <row r="463" ht="18.75" hidden="1" customHeight="1">
      <c r="A463" s="207"/>
      <c r="B463" s="207"/>
      <c r="C463" s="207"/>
      <c r="D463" s="207"/>
      <c r="E463" s="207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  <c r="AA463" s="207"/>
      <c r="AB463" s="207"/>
      <c r="AC463" s="207"/>
      <c r="AD463" s="207"/>
      <c r="AE463" s="207"/>
      <c r="AF463" s="207"/>
      <c r="AG463" s="207"/>
      <c r="AH463" s="207"/>
      <c r="AI463" s="207"/>
      <c r="AJ463" s="207"/>
      <c r="AK463" s="207"/>
      <c r="AL463" s="207"/>
      <c r="AM463" s="207"/>
      <c r="AN463" s="207"/>
      <c r="AO463" s="207"/>
      <c r="AP463" s="207"/>
      <c r="AQ463" s="207"/>
      <c r="AR463" s="207"/>
      <c r="AS463" s="207"/>
      <c r="AT463" s="207"/>
      <c r="AU463" s="207"/>
      <c r="AV463" s="207"/>
      <c r="AW463" s="207"/>
      <c r="AX463" s="207"/>
      <c r="AY463" s="207"/>
      <c r="AZ463" s="207"/>
      <c r="BA463" s="207"/>
    </row>
    <row r="464" ht="18.75" hidden="1" customHeight="1">
      <c r="A464" s="207"/>
      <c r="B464" s="207"/>
      <c r="C464" s="207"/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  <c r="AA464" s="207"/>
      <c r="AB464" s="207"/>
      <c r="AC464" s="207"/>
      <c r="AD464" s="207"/>
      <c r="AE464" s="207"/>
      <c r="AF464" s="207"/>
      <c r="AG464" s="207"/>
      <c r="AH464" s="207"/>
      <c r="AI464" s="207"/>
      <c r="AJ464" s="207"/>
      <c r="AK464" s="207"/>
      <c r="AL464" s="207"/>
      <c r="AM464" s="207"/>
      <c r="AN464" s="207"/>
      <c r="AO464" s="207"/>
      <c r="AP464" s="207"/>
      <c r="AQ464" s="207"/>
      <c r="AR464" s="207"/>
      <c r="AS464" s="207"/>
      <c r="AT464" s="207"/>
      <c r="AU464" s="207"/>
      <c r="AV464" s="207"/>
      <c r="AW464" s="207"/>
      <c r="AX464" s="207"/>
      <c r="AY464" s="207"/>
      <c r="AZ464" s="207"/>
      <c r="BA464" s="207"/>
    </row>
    <row r="465" ht="18.75" hidden="1" customHeight="1">
      <c r="A465" s="207"/>
      <c r="B465" s="207"/>
      <c r="C465" s="207"/>
      <c r="D465" s="207"/>
      <c r="E465" s="207"/>
      <c r="F465" s="207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  <c r="AA465" s="207"/>
      <c r="AB465" s="207"/>
      <c r="AC465" s="207"/>
      <c r="AD465" s="207"/>
      <c r="AE465" s="207"/>
      <c r="AF465" s="207"/>
      <c r="AG465" s="207"/>
      <c r="AH465" s="207"/>
      <c r="AI465" s="207"/>
      <c r="AJ465" s="207"/>
      <c r="AK465" s="207"/>
      <c r="AL465" s="207"/>
      <c r="AM465" s="207"/>
      <c r="AN465" s="207"/>
      <c r="AO465" s="207"/>
      <c r="AP465" s="207"/>
      <c r="AQ465" s="207"/>
      <c r="AR465" s="207"/>
      <c r="AS465" s="207"/>
      <c r="AT465" s="207"/>
      <c r="AU465" s="207"/>
      <c r="AV465" s="207"/>
      <c r="AW465" s="207"/>
      <c r="AX465" s="207"/>
      <c r="AY465" s="207"/>
      <c r="AZ465" s="207"/>
      <c r="BA465" s="207"/>
    </row>
    <row r="466" ht="18.75" hidden="1" customHeight="1">
      <c r="A466" s="207"/>
      <c r="B466" s="207"/>
      <c r="C466" s="207"/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  <c r="AA466" s="207"/>
      <c r="AB466" s="207"/>
      <c r="AC466" s="207"/>
      <c r="AD466" s="207"/>
      <c r="AE466" s="207"/>
      <c r="AF466" s="207"/>
      <c r="AG466" s="207"/>
      <c r="AH466" s="207"/>
      <c r="AI466" s="207"/>
      <c r="AJ466" s="207"/>
      <c r="AK466" s="207"/>
      <c r="AL466" s="207"/>
      <c r="AM466" s="207"/>
      <c r="AN466" s="207"/>
      <c r="AO466" s="207"/>
      <c r="AP466" s="207"/>
      <c r="AQ466" s="207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</row>
    <row r="467" ht="18.75" hidden="1" customHeight="1">
      <c r="A467" s="207"/>
      <c r="B467" s="207"/>
      <c r="C467" s="207"/>
      <c r="D467" s="207"/>
      <c r="E467" s="207"/>
      <c r="F467" s="207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  <c r="AA467" s="207"/>
      <c r="AB467" s="207"/>
      <c r="AC467" s="207"/>
      <c r="AD467" s="207"/>
      <c r="AE467" s="207"/>
      <c r="AF467" s="207"/>
      <c r="AG467" s="207"/>
      <c r="AH467" s="207"/>
      <c r="AI467" s="207"/>
      <c r="AJ467" s="207"/>
      <c r="AK467" s="207"/>
      <c r="AL467" s="207"/>
      <c r="AM467" s="207"/>
      <c r="AN467" s="207"/>
      <c r="AO467" s="207"/>
      <c r="AP467" s="207"/>
      <c r="AQ467" s="207"/>
      <c r="AR467" s="207"/>
      <c r="AS467" s="207"/>
      <c r="AT467" s="207"/>
      <c r="AU467" s="207"/>
      <c r="AV467" s="207"/>
      <c r="AW467" s="207"/>
      <c r="AX467" s="207"/>
      <c r="AY467" s="207"/>
      <c r="AZ467" s="207"/>
      <c r="BA467" s="207"/>
    </row>
    <row r="468" ht="18.75" hidden="1" customHeight="1">
      <c r="A468" s="207"/>
      <c r="B468" s="207"/>
      <c r="C468" s="207"/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  <c r="AA468" s="207"/>
      <c r="AB468" s="207"/>
      <c r="AC468" s="207"/>
      <c r="AD468" s="207"/>
      <c r="AE468" s="207"/>
      <c r="AF468" s="207"/>
      <c r="AG468" s="207"/>
      <c r="AH468" s="207"/>
      <c r="AI468" s="207"/>
      <c r="AJ468" s="207"/>
      <c r="AK468" s="207"/>
      <c r="AL468" s="207"/>
      <c r="AM468" s="207"/>
      <c r="AN468" s="207"/>
      <c r="AO468" s="207"/>
      <c r="AP468" s="207"/>
      <c r="AQ468" s="207"/>
      <c r="AR468" s="207"/>
      <c r="AS468" s="207"/>
      <c r="AT468" s="207"/>
      <c r="AU468" s="207"/>
      <c r="AV468" s="207"/>
      <c r="AW468" s="207"/>
      <c r="AX468" s="207"/>
      <c r="AY468" s="207"/>
      <c r="AZ468" s="207"/>
      <c r="BA468" s="207"/>
    </row>
    <row r="469" ht="18.75" hidden="1" customHeight="1">
      <c r="A469" s="207"/>
      <c r="B469" s="207"/>
      <c r="C469" s="207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  <c r="AB469" s="207"/>
      <c r="AC469" s="207"/>
      <c r="AD469" s="207"/>
      <c r="AE469" s="207"/>
      <c r="AF469" s="207"/>
      <c r="AG469" s="207"/>
      <c r="AH469" s="207"/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</row>
    <row r="470" ht="18.75" hidden="1" customHeight="1">
      <c r="A470" s="207"/>
      <c r="B470" s="207"/>
      <c r="C470" s="207"/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  <c r="AA470" s="207"/>
      <c r="AB470" s="207"/>
      <c r="AC470" s="207"/>
      <c r="AD470" s="207"/>
      <c r="AE470" s="207"/>
      <c r="AF470" s="207"/>
      <c r="AG470" s="207"/>
      <c r="AH470" s="207"/>
      <c r="AI470" s="207"/>
      <c r="AJ470" s="207"/>
      <c r="AK470" s="207"/>
      <c r="AL470" s="207"/>
      <c r="AM470" s="207"/>
      <c r="AN470" s="207"/>
      <c r="AO470" s="207"/>
      <c r="AP470" s="207"/>
      <c r="AQ470" s="207"/>
      <c r="AR470" s="207"/>
      <c r="AS470" s="207"/>
      <c r="AT470" s="207"/>
      <c r="AU470" s="207"/>
      <c r="AV470" s="207"/>
      <c r="AW470" s="207"/>
      <c r="AX470" s="207"/>
      <c r="AY470" s="207"/>
      <c r="AZ470" s="207"/>
      <c r="BA470" s="207"/>
    </row>
    <row r="471" ht="18.75" hidden="1" customHeight="1">
      <c r="A471" s="207"/>
      <c r="B471" s="207"/>
      <c r="C471" s="207"/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  <c r="AA471" s="207"/>
      <c r="AB471" s="207"/>
      <c r="AC471" s="207"/>
      <c r="AD471" s="207"/>
      <c r="AE471" s="207"/>
      <c r="AF471" s="207"/>
      <c r="AG471" s="207"/>
      <c r="AH471" s="207"/>
      <c r="AI471" s="207"/>
      <c r="AJ471" s="207"/>
      <c r="AK471" s="207"/>
      <c r="AL471" s="207"/>
      <c r="AM471" s="207"/>
      <c r="AN471" s="207"/>
      <c r="AO471" s="207"/>
      <c r="AP471" s="207"/>
      <c r="AQ471" s="207"/>
      <c r="AR471" s="207"/>
      <c r="AS471" s="207"/>
      <c r="AT471" s="207"/>
      <c r="AU471" s="207"/>
      <c r="AV471" s="207"/>
      <c r="AW471" s="207"/>
      <c r="AX471" s="207"/>
      <c r="AY471" s="207"/>
      <c r="AZ471" s="207"/>
      <c r="BA471" s="207"/>
    </row>
    <row r="472" ht="18.75" hidden="1" customHeight="1">
      <c r="A472" s="207"/>
      <c r="B472" s="207"/>
      <c r="C472" s="207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  <c r="AA472" s="207"/>
      <c r="AB472" s="207"/>
      <c r="AC472" s="207"/>
      <c r="AD472" s="207"/>
      <c r="AE472" s="207"/>
      <c r="AF472" s="207"/>
      <c r="AG472" s="207"/>
      <c r="AH472" s="207"/>
      <c r="AI472" s="207"/>
      <c r="AJ472" s="207"/>
      <c r="AK472" s="207"/>
      <c r="AL472" s="207"/>
      <c r="AM472" s="207"/>
      <c r="AN472" s="207"/>
      <c r="AO472" s="207"/>
      <c r="AP472" s="207"/>
      <c r="AQ472" s="207"/>
      <c r="AR472" s="207"/>
      <c r="AS472" s="207"/>
      <c r="AT472" s="207"/>
      <c r="AU472" s="207"/>
      <c r="AV472" s="207"/>
      <c r="AW472" s="207"/>
      <c r="AX472" s="207"/>
      <c r="AY472" s="207"/>
      <c r="AZ472" s="207"/>
      <c r="BA472" s="207"/>
    </row>
    <row r="473" ht="18.75" hidden="1" customHeight="1">
      <c r="A473" s="207"/>
      <c r="B473" s="207"/>
      <c r="C473" s="207"/>
      <c r="D473" s="207"/>
      <c r="E473" s="207"/>
      <c r="F473" s="207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  <c r="AA473" s="207"/>
      <c r="AB473" s="207"/>
      <c r="AC473" s="207"/>
      <c r="AD473" s="207"/>
      <c r="AE473" s="207"/>
      <c r="AF473" s="207"/>
      <c r="AG473" s="207"/>
      <c r="AH473" s="207"/>
      <c r="AI473" s="207"/>
      <c r="AJ473" s="207"/>
      <c r="AK473" s="207"/>
      <c r="AL473" s="207"/>
      <c r="AM473" s="207"/>
      <c r="AN473" s="207"/>
      <c r="AO473" s="207"/>
      <c r="AP473" s="207"/>
      <c r="AQ473" s="207"/>
      <c r="AR473" s="207"/>
      <c r="AS473" s="207"/>
      <c r="AT473" s="207"/>
      <c r="AU473" s="207"/>
      <c r="AV473" s="207"/>
      <c r="AW473" s="207"/>
      <c r="AX473" s="207"/>
      <c r="AY473" s="207"/>
      <c r="AZ473" s="207"/>
      <c r="BA473" s="207"/>
    </row>
    <row r="474" ht="18.75" hidden="1" customHeight="1">
      <c r="A474" s="207"/>
      <c r="B474" s="207"/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  <c r="AA474" s="207"/>
      <c r="AB474" s="207"/>
      <c r="AC474" s="207"/>
      <c r="AD474" s="207"/>
      <c r="AE474" s="207"/>
      <c r="AF474" s="207"/>
      <c r="AG474" s="207"/>
      <c r="AH474" s="207"/>
      <c r="AI474" s="207"/>
      <c r="AJ474" s="207"/>
      <c r="AK474" s="207"/>
      <c r="AL474" s="207"/>
      <c r="AM474" s="207"/>
      <c r="AN474" s="207"/>
      <c r="AO474" s="207"/>
      <c r="AP474" s="207"/>
      <c r="AQ474" s="207"/>
      <c r="AR474" s="207"/>
      <c r="AS474" s="207"/>
      <c r="AT474" s="207"/>
      <c r="AU474" s="207"/>
      <c r="AV474" s="207"/>
      <c r="AW474" s="207"/>
      <c r="AX474" s="207"/>
      <c r="AY474" s="207"/>
      <c r="AZ474" s="207"/>
      <c r="BA474" s="207"/>
    </row>
    <row r="475" ht="18.75" hidden="1" customHeight="1">
      <c r="A475" s="207"/>
      <c r="B475" s="207"/>
      <c r="C475" s="207"/>
      <c r="D475" s="207"/>
      <c r="E475" s="207"/>
      <c r="F475" s="207"/>
      <c r="G475" s="207"/>
      <c r="H475" s="207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  <c r="AA475" s="207"/>
      <c r="AB475" s="207"/>
      <c r="AC475" s="207"/>
      <c r="AD475" s="207"/>
      <c r="AE475" s="207"/>
      <c r="AF475" s="207"/>
      <c r="AG475" s="207"/>
      <c r="AH475" s="207"/>
      <c r="AI475" s="207"/>
      <c r="AJ475" s="207"/>
      <c r="AK475" s="207"/>
      <c r="AL475" s="207"/>
      <c r="AM475" s="207"/>
      <c r="AN475" s="207"/>
      <c r="AO475" s="207"/>
      <c r="AP475" s="207"/>
      <c r="AQ475" s="207"/>
      <c r="AR475" s="207"/>
      <c r="AS475" s="207"/>
      <c r="AT475" s="207"/>
      <c r="AU475" s="207"/>
      <c r="AV475" s="207"/>
      <c r="AW475" s="207"/>
      <c r="AX475" s="207"/>
      <c r="AY475" s="207"/>
      <c r="AZ475" s="207"/>
      <c r="BA475" s="207"/>
    </row>
    <row r="476" ht="18.75" hidden="1" customHeight="1">
      <c r="A476" s="207"/>
      <c r="B476" s="207"/>
      <c r="C476" s="207"/>
      <c r="D476" s="207"/>
      <c r="E476" s="207"/>
      <c r="F476" s="207"/>
      <c r="G476" s="207"/>
      <c r="H476" s="207"/>
      <c r="I476" s="207"/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  <c r="AA476" s="207"/>
      <c r="AB476" s="207"/>
      <c r="AC476" s="207"/>
      <c r="AD476" s="207"/>
      <c r="AE476" s="207"/>
      <c r="AF476" s="207"/>
      <c r="AG476" s="207"/>
      <c r="AH476" s="207"/>
      <c r="AI476" s="207"/>
      <c r="AJ476" s="207"/>
      <c r="AK476" s="207"/>
      <c r="AL476" s="207"/>
      <c r="AM476" s="207"/>
      <c r="AN476" s="207"/>
      <c r="AO476" s="207"/>
      <c r="AP476" s="207"/>
      <c r="AQ476" s="207"/>
      <c r="AR476" s="207"/>
      <c r="AS476" s="207"/>
      <c r="AT476" s="207"/>
      <c r="AU476" s="207"/>
      <c r="AV476" s="207"/>
      <c r="AW476" s="207"/>
      <c r="AX476" s="207"/>
      <c r="AY476" s="207"/>
      <c r="AZ476" s="207"/>
      <c r="BA476" s="207"/>
    </row>
    <row r="477" ht="18.75" hidden="1" customHeight="1">
      <c r="A477" s="207"/>
      <c r="B477" s="207"/>
      <c r="C477" s="207"/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  <c r="AA477" s="207"/>
      <c r="AB477" s="207"/>
      <c r="AC477" s="207"/>
      <c r="AD477" s="207"/>
      <c r="AE477" s="207"/>
      <c r="AF477" s="207"/>
      <c r="AG477" s="207"/>
      <c r="AH477" s="207"/>
      <c r="AI477" s="207"/>
      <c r="AJ477" s="207"/>
      <c r="AK477" s="207"/>
      <c r="AL477" s="207"/>
      <c r="AM477" s="207"/>
      <c r="AN477" s="207"/>
      <c r="AO477" s="207"/>
      <c r="AP477" s="207"/>
      <c r="AQ477" s="207"/>
      <c r="AR477" s="207"/>
      <c r="AS477" s="207"/>
      <c r="AT477" s="207"/>
      <c r="AU477" s="207"/>
      <c r="AV477" s="207"/>
      <c r="AW477" s="207"/>
      <c r="AX477" s="207"/>
      <c r="AY477" s="207"/>
      <c r="AZ477" s="207"/>
      <c r="BA477" s="207"/>
    </row>
    <row r="478" ht="18.75" hidden="1" customHeight="1">
      <c r="A478" s="207"/>
      <c r="B478" s="207"/>
      <c r="C478" s="207"/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  <c r="AA478" s="207"/>
      <c r="AB478" s="207"/>
      <c r="AC478" s="207"/>
      <c r="AD478" s="207"/>
      <c r="AE478" s="207"/>
      <c r="AF478" s="207"/>
      <c r="AG478" s="207"/>
      <c r="AH478" s="207"/>
      <c r="AI478" s="207"/>
      <c r="AJ478" s="207"/>
      <c r="AK478" s="207"/>
      <c r="AL478" s="207"/>
      <c r="AM478" s="207"/>
      <c r="AN478" s="207"/>
      <c r="AO478" s="207"/>
      <c r="AP478" s="207"/>
      <c r="AQ478" s="207"/>
      <c r="AR478" s="207"/>
      <c r="AS478" s="207"/>
      <c r="AT478" s="207"/>
      <c r="AU478" s="207"/>
      <c r="AV478" s="207"/>
      <c r="AW478" s="207"/>
      <c r="AX478" s="207"/>
      <c r="AY478" s="207"/>
      <c r="AZ478" s="207"/>
      <c r="BA478" s="207"/>
    </row>
    <row r="479" ht="18.75" hidden="1" customHeight="1">
      <c r="A479" s="207"/>
      <c r="B479" s="207"/>
      <c r="C479" s="207"/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  <c r="AA479" s="207"/>
      <c r="AB479" s="207"/>
      <c r="AC479" s="207"/>
      <c r="AD479" s="207"/>
      <c r="AE479" s="207"/>
      <c r="AF479" s="207"/>
      <c r="AG479" s="207"/>
      <c r="AH479" s="207"/>
      <c r="AI479" s="207"/>
      <c r="AJ479" s="207"/>
      <c r="AK479" s="207"/>
      <c r="AL479" s="207"/>
      <c r="AM479" s="207"/>
      <c r="AN479" s="207"/>
      <c r="AO479" s="207"/>
      <c r="AP479" s="207"/>
      <c r="AQ479" s="207"/>
      <c r="AR479" s="207"/>
      <c r="AS479" s="207"/>
      <c r="AT479" s="207"/>
      <c r="AU479" s="207"/>
      <c r="AV479" s="207"/>
      <c r="AW479" s="207"/>
      <c r="AX479" s="207"/>
      <c r="AY479" s="207"/>
      <c r="AZ479" s="207"/>
      <c r="BA479" s="207"/>
    </row>
    <row r="480" ht="18.75" hidden="1" customHeight="1">
      <c r="A480" s="207"/>
      <c r="B480" s="207"/>
      <c r="C480" s="207"/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  <c r="AA480" s="207"/>
      <c r="AB480" s="207"/>
      <c r="AC480" s="207"/>
      <c r="AD480" s="207"/>
      <c r="AE480" s="207"/>
      <c r="AF480" s="207"/>
      <c r="AG480" s="207"/>
      <c r="AH480" s="207"/>
      <c r="AI480" s="207"/>
      <c r="AJ480" s="207"/>
      <c r="AK480" s="207"/>
      <c r="AL480" s="207"/>
      <c r="AM480" s="207"/>
      <c r="AN480" s="207"/>
      <c r="AO480" s="207"/>
      <c r="AP480" s="207"/>
      <c r="AQ480" s="207"/>
      <c r="AR480" s="207"/>
      <c r="AS480" s="207"/>
      <c r="AT480" s="207"/>
      <c r="AU480" s="207"/>
      <c r="AV480" s="207"/>
      <c r="AW480" s="207"/>
      <c r="AX480" s="207"/>
      <c r="AY480" s="207"/>
      <c r="AZ480" s="207"/>
      <c r="BA480" s="207"/>
    </row>
    <row r="481" ht="18.75" hidden="1" customHeight="1">
      <c r="A481" s="207"/>
      <c r="B481" s="207"/>
      <c r="C481" s="207"/>
      <c r="D481" s="207"/>
      <c r="E481" s="207"/>
      <c r="F481" s="207"/>
      <c r="G481" s="207"/>
      <c r="H481" s="207"/>
      <c r="I481" s="207"/>
      <c r="J481" s="207"/>
      <c r="K481" s="207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  <c r="AA481" s="207"/>
      <c r="AB481" s="207"/>
      <c r="AC481" s="207"/>
      <c r="AD481" s="207"/>
      <c r="AE481" s="207"/>
      <c r="AF481" s="207"/>
      <c r="AG481" s="207"/>
      <c r="AH481" s="207"/>
      <c r="AI481" s="207"/>
      <c r="AJ481" s="207"/>
      <c r="AK481" s="207"/>
      <c r="AL481" s="207"/>
      <c r="AM481" s="207"/>
      <c r="AN481" s="207"/>
      <c r="AO481" s="207"/>
      <c r="AP481" s="207"/>
      <c r="AQ481" s="207"/>
      <c r="AR481" s="207"/>
      <c r="AS481" s="207"/>
      <c r="AT481" s="207"/>
      <c r="AU481" s="207"/>
      <c r="AV481" s="207"/>
      <c r="AW481" s="207"/>
      <c r="AX481" s="207"/>
      <c r="AY481" s="207"/>
      <c r="AZ481" s="207"/>
      <c r="BA481" s="207"/>
    </row>
    <row r="482" ht="18.75" hidden="1" customHeight="1">
      <c r="A482" s="207"/>
      <c r="B482" s="207"/>
      <c r="C482" s="207"/>
      <c r="D482" s="207"/>
      <c r="E482" s="207"/>
      <c r="F482" s="207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  <c r="AA482" s="207"/>
      <c r="AB482" s="207"/>
      <c r="AC482" s="207"/>
      <c r="AD482" s="207"/>
      <c r="AE482" s="207"/>
      <c r="AF482" s="207"/>
      <c r="AG482" s="207"/>
      <c r="AH482" s="207"/>
      <c r="AI482" s="207"/>
      <c r="AJ482" s="207"/>
      <c r="AK482" s="207"/>
      <c r="AL482" s="207"/>
      <c r="AM482" s="207"/>
      <c r="AN482" s="207"/>
      <c r="AO482" s="207"/>
      <c r="AP482" s="207"/>
      <c r="AQ482" s="207"/>
      <c r="AR482" s="207"/>
      <c r="AS482" s="207"/>
      <c r="AT482" s="207"/>
      <c r="AU482" s="207"/>
      <c r="AV482" s="207"/>
      <c r="AW482" s="207"/>
      <c r="AX482" s="207"/>
      <c r="AY482" s="207"/>
      <c r="AZ482" s="207"/>
      <c r="BA482" s="207"/>
    </row>
    <row r="483" ht="18.75" hidden="1" customHeight="1">
      <c r="A483" s="207"/>
      <c r="B483" s="207"/>
      <c r="C483" s="207"/>
      <c r="D483" s="207"/>
      <c r="E483" s="207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  <c r="AA483" s="207"/>
      <c r="AB483" s="207"/>
      <c r="AC483" s="207"/>
      <c r="AD483" s="207"/>
      <c r="AE483" s="207"/>
      <c r="AF483" s="207"/>
      <c r="AG483" s="207"/>
      <c r="AH483" s="207"/>
      <c r="AI483" s="207"/>
      <c r="AJ483" s="207"/>
      <c r="AK483" s="207"/>
      <c r="AL483" s="207"/>
      <c r="AM483" s="207"/>
      <c r="AN483" s="207"/>
      <c r="AO483" s="207"/>
      <c r="AP483" s="207"/>
      <c r="AQ483" s="207"/>
      <c r="AR483" s="207"/>
      <c r="AS483" s="207"/>
      <c r="AT483" s="207"/>
      <c r="AU483" s="207"/>
      <c r="AV483" s="207"/>
      <c r="AW483" s="207"/>
      <c r="AX483" s="207"/>
      <c r="AY483" s="207"/>
      <c r="AZ483" s="207"/>
      <c r="BA483" s="207"/>
    </row>
    <row r="484" ht="18.75" hidden="1" customHeight="1">
      <c r="A484" s="207"/>
      <c r="B484" s="207"/>
      <c r="C484" s="207"/>
      <c r="D484" s="207"/>
      <c r="E484" s="207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  <c r="AA484" s="207"/>
      <c r="AB484" s="207"/>
      <c r="AC484" s="207"/>
      <c r="AD484" s="207"/>
      <c r="AE484" s="207"/>
      <c r="AF484" s="207"/>
      <c r="AG484" s="207"/>
      <c r="AH484" s="207"/>
      <c r="AI484" s="207"/>
      <c r="AJ484" s="207"/>
      <c r="AK484" s="207"/>
      <c r="AL484" s="207"/>
      <c r="AM484" s="207"/>
      <c r="AN484" s="207"/>
      <c r="AO484" s="207"/>
      <c r="AP484" s="207"/>
      <c r="AQ484" s="207"/>
      <c r="AR484" s="207"/>
      <c r="AS484" s="207"/>
      <c r="AT484" s="207"/>
      <c r="AU484" s="207"/>
      <c r="AV484" s="207"/>
      <c r="AW484" s="207"/>
      <c r="AX484" s="207"/>
      <c r="AY484" s="207"/>
      <c r="AZ484" s="207"/>
      <c r="BA484" s="207"/>
    </row>
    <row r="485" ht="18.75" hidden="1" customHeight="1">
      <c r="A485" s="207"/>
      <c r="B485" s="207"/>
      <c r="C485" s="207"/>
      <c r="D485" s="207"/>
      <c r="E485" s="207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  <c r="AA485" s="207"/>
      <c r="AB485" s="207"/>
      <c r="AC485" s="207"/>
      <c r="AD485" s="207"/>
      <c r="AE485" s="207"/>
      <c r="AF485" s="207"/>
      <c r="AG485" s="207"/>
      <c r="AH485" s="207"/>
      <c r="AI485" s="207"/>
      <c r="AJ485" s="207"/>
      <c r="AK485" s="207"/>
      <c r="AL485" s="207"/>
      <c r="AM485" s="207"/>
      <c r="AN485" s="207"/>
      <c r="AO485" s="207"/>
      <c r="AP485" s="207"/>
      <c r="AQ485" s="207"/>
      <c r="AR485" s="207"/>
      <c r="AS485" s="207"/>
      <c r="AT485" s="207"/>
      <c r="AU485" s="207"/>
      <c r="AV485" s="207"/>
      <c r="AW485" s="207"/>
      <c r="AX485" s="207"/>
      <c r="AY485" s="207"/>
      <c r="AZ485" s="207"/>
      <c r="BA485" s="207"/>
    </row>
    <row r="486" ht="18.75" hidden="1" customHeight="1">
      <c r="A486" s="207"/>
      <c r="B486" s="207"/>
      <c r="C486" s="207"/>
      <c r="D486" s="207"/>
      <c r="E486" s="207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  <c r="AA486" s="207"/>
      <c r="AB486" s="207"/>
      <c r="AC486" s="207"/>
      <c r="AD486" s="207"/>
      <c r="AE486" s="207"/>
      <c r="AF486" s="207"/>
      <c r="AG486" s="207"/>
      <c r="AH486" s="207"/>
      <c r="AI486" s="207"/>
      <c r="AJ486" s="207"/>
      <c r="AK486" s="207"/>
      <c r="AL486" s="207"/>
      <c r="AM486" s="207"/>
      <c r="AN486" s="207"/>
      <c r="AO486" s="207"/>
      <c r="AP486" s="207"/>
      <c r="AQ486" s="207"/>
      <c r="AR486" s="207"/>
      <c r="AS486" s="207"/>
      <c r="AT486" s="207"/>
      <c r="AU486" s="207"/>
      <c r="AV486" s="207"/>
      <c r="AW486" s="207"/>
      <c r="AX486" s="207"/>
      <c r="AY486" s="207"/>
      <c r="AZ486" s="207"/>
      <c r="BA486" s="207"/>
    </row>
    <row r="487" ht="18.75" hidden="1" customHeight="1">
      <c r="A487" s="207"/>
      <c r="B487" s="207"/>
      <c r="C487" s="207"/>
      <c r="D487" s="207"/>
      <c r="E487" s="207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  <c r="AA487" s="207"/>
      <c r="AB487" s="207"/>
      <c r="AC487" s="207"/>
      <c r="AD487" s="207"/>
      <c r="AE487" s="207"/>
      <c r="AF487" s="207"/>
      <c r="AG487" s="207"/>
      <c r="AH487" s="207"/>
      <c r="AI487" s="207"/>
      <c r="AJ487" s="207"/>
      <c r="AK487" s="207"/>
      <c r="AL487" s="207"/>
      <c r="AM487" s="207"/>
      <c r="AN487" s="207"/>
      <c r="AO487" s="207"/>
      <c r="AP487" s="207"/>
      <c r="AQ487" s="207"/>
      <c r="AR487" s="207"/>
      <c r="AS487" s="207"/>
      <c r="AT487" s="207"/>
      <c r="AU487" s="207"/>
      <c r="AV487" s="207"/>
      <c r="AW487" s="207"/>
      <c r="AX487" s="207"/>
      <c r="AY487" s="207"/>
      <c r="AZ487" s="207"/>
      <c r="BA487" s="207"/>
    </row>
    <row r="488" ht="18.75" hidden="1" customHeight="1">
      <c r="A488" s="207"/>
      <c r="B488" s="207"/>
      <c r="C488" s="207"/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  <c r="AA488" s="207"/>
      <c r="AB488" s="207"/>
      <c r="AC488" s="207"/>
      <c r="AD488" s="207"/>
      <c r="AE488" s="207"/>
      <c r="AF488" s="207"/>
      <c r="AG488" s="207"/>
      <c r="AH488" s="207"/>
      <c r="AI488" s="207"/>
      <c r="AJ488" s="207"/>
      <c r="AK488" s="207"/>
      <c r="AL488" s="207"/>
      <c r="AM488" s="207"/>
      <c r="AN488" s="207"/>
      <c r="AO488" s="207"/>
      <c r="AP488" s="207"/>
      <c r="AQ488" s="207"/>
      <c r="AR488" s="207"/>
      <c r="AS488" s="207"/>
      <c r="AT488" s="207"/>
      <c r="AU488" s="207"/>
      <c r="AV488" s="207"/>
      <c r="AW488" s="207"/>
      <c r="AX488" s="207"/>
      <c r="AY488" s="207"/>
      <c r="AZ488" s="207"/>
      <c r="BA488" s="207"/>
    </row>
    <row r="489" ht="18.75" hidden="1" customHeight="1">
      <c r="A489" s="207"/>
      <c r="B489" s="207"/>
      <c r="C489" s="207"/>
      <c r="D489" s="207"/>
      <c r="E489" s="207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  <c r="AA489" s="207"/>
      <c r="AB489" s="207"/>
      <c r="AC489" s="207"/>
      <c r="AD489" s="207"/>
      <c r="AE489" s="207"/>
      <c r="AF489" s="207"/>
      <c r="AG489" s="207"/>
      <c r="AH489" s="207"/>
      <c r="AI489" s="207"/>
      <c r="AJ489" s="207"/>
      <c r="AK489" s="207"/>
      <c r="AL489" s="207"/>
      <c r="AM489" s="207"/>
      <c r="AN489" s="207"/>
      <c r="AO489" s="207"/>
      <c r="AP489" s="207"/>
      <c r="AQ489" s="207"/>
      <c r="AR489" s="207"/>
      <c r="AS489" s="207"/>
      <c r="AT489" s="207"/>
      <c r="AU489" s="207"/>
      <c r="AV489" s="207"/>
      <c r="AW489" s="207"/>
      <c r="AX489" s="207"/>
      <c r="AY489" s="207"/>
      <c r="AZ489" s="207"/>
      <c r="BA489" s="207"/>
    </row>
    <row r="490" ht="18.75" hidden="1" customHeight="1">
      <c r="A490" s="207"/>
      <c r="B490" s="207"/>
      <c r="C490" s="207"/>
      <c r="D490" s="207"/>
      <c r="E490" s="207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  <c r="AA490" s="207"/>
      <c r="AB490" s="207"/>
      <c r="AC490" s="207"/>
      <c r="AD490" s="207"/>
      <c r="AE490" s="207"/>
      <c r="AF490" s="207"/>
      <c r="AG490" s="207"/>
      <c r="AH490" s="207"/>
      <c r="AI490" s="207"/>
      <c r="AJ490" s="207"/>
      <c r="AK490" s="207"/>
      <c r="AL490" s="207"/>
      <c r="AM490" s="207"/>
      <c r="AN490" s="207"/>
      <c r="AO490" s="207"/>
      <c r="AP490" s="207"/>
      <c r="AQ490" s="207"/>
      <c r="AR490" s="207"/>
      <c r="AS490" s="207"/>
      <c r="AT490" s="207"/>
      <c r="AU490" s="207"/>
      <c r="AV490" s="207"/>
      <c r="AW490" s="207"/>
      <c r="AX490" s="207"/>
      <c r="AY490" s="207"/>
      <c r="AZ490" s="207"/>
      <c r="BA490" s="207"/>
    </row>
    <row r="491" ht="18.75" hidden="1" customHeight="1">
      <c r="A491" s="207"/>
      <c r="B491" s="207"/>
      <c r="C491" s="207"/>
      <c r="D491" s="207"/>
      <c r="E491" s="207"/>
      <c r="F491" s="207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  <c r="AA491" s="207"/>
      <c r="AB491" s="207"/>
      <c r="AC491" s="207"/>
      <c r="AD491" s="207"/>
      <c r="AE491" s="207"/>
      <c r="AF491" s="207"/>
      <c r="AG491" s="207"/>
      <c r="AH491" s="207"/>
      <c r="AI491" s="207"/>
      <c r="AJ491" s="207"/>
      <c r="AK491" s="207"/>
      <c r="AL491" s="207"/>
      <c r="AM491" s="207"/>
      <c r="AN491" s="207"/>
      <c r="AO491" s="207"/>
      <c r="AP491" s="207"/>
      <c r="AQ491" s="207"/>
      <c r="AR491" s="207"/>
      <c r="AS491" s="207"/>
      <c r="AT491" s="207"/>
      <c r="AU491" s="207"/>
      <c r="AV491" s="207"/>
      <c r="AW491" s="207"/>
      <c r="AX491" s="207"/>
      <c r="AY491" s="207"/>
      <c r="AZ491" s="207"/>
      <c r="BA491" s="207"/>
    </row>
    <row r="492" ht="18.75" hidden="1" customHeight="1">
      <c r="A492" s="207"/>
      <c r="B492" s="207"/>
      <c r="C492" s="207"/>
      <c r="D492" s="207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  <c r="AB492" s="207"/>
      <c r="AC492" s="207"/>
      <c r="AD492" s="207"/>
      <c r="AE492" s="207"/>
      <c r="AF492" s="207"/>
      <c r="AG492" s="207"/>
      <c r="AH492" s="207"/>
      <c r="AI492" s="207"/>
      <c r="AJ492" s="207"/>
      <c r="AK492" s="207"/>
      <c r="AL492" s="207"/>
      <c r="AM492" s="207"/>
      <c r="AN492" s="207"/>
      <c r="AO492" s="207"/>
      <c r="AP492" s="207"/>
      <c r="AQ492" s="207"/>
      <c r="AR492" s="207"/>
      <c r="AS492" s="207"/>
      <c r="AT492" s="207"/>
      <c r="AU492" s="207"/>
      <c r="AV492" s="207"/>
      <c r="AW492" s="207"/>
      <c r="AX492" s="207"/>
      <c r="AY492" s="207"/>
      <c r="AZ492" s="207"/>
      <c r="BA492" s="207"/>
    </row>
    <row r="493" ht="18.75" hidden="1" customHeight="1">
      <c r="A493" s="207"/>
      <c r="B493" s="207"/>
      <c r="C493" s="207"/>
      <c r="D493" s="207"/>
      <c r="E493" s="207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  <c r="AA493" s="207"/>
      <c r="AB493" s="207"/>
      <c r="AC493" s="207"/>
      <c r="AD493" s="207"/>
      <c r="AE493" s="207"/>
      <c r="AF493" s="207"/>
      <c r="AG493" s="207"/>
      <c r="AH493" s="207"/>
      <c r="AI493" s="207"/>
      <c r="AJ493" s="207"/>
      <c r="AK493" s="207"/>
      <c r="AL493" s="207"/>
      <c r="AM493" s="207"/>
      <c r="AN493" s="207"/>
      <c r="AO493" s="207"/>
      <c r="AP493" s="207"/>
      <c r="AQ493" s="207"/>
      <c r="AR493" s="207"/>
      <c r="AS493" s="207"/>
      <c r="AT493" s="207"/>
      <c r="AU493" s="207"/>
      <c r="AV493" s="207"/>
      <c r="AW493" s="207"/>
      <c r="AX493" s="207"/>
      <c r="AY493" s="207"/>
      <c r="AZ493" s="207"/>
      <c r="BA493" s="207"/>
    </row>
    <row r="494" ht="18.75" hidden="1" customHeight="1">
      <c r="A494" s="207"/>
      <c r="B494" s="207"/>
      <c r="C494" s="207"/>
      <c r="D494" s="207"/>
      <c r="E494" s="207"/>
      <c r="F494" s="207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  <c r="AA494" s="207"/>
      <c r="AB494" s="207"/>
      <c r="AC494" s="207"/>
      <c r="AD494" s="207"/>
      <c r="AE494" s="207"/>
      <c r="AF494" s="207"/>
      <c r="AG494" s="207"/>
      <c r="AH494" s="207"/>
      <c r="AI494" s="207"/>
      <c r="AJ494" s="207"/>
      <c r="AK494" s="207"/>
      <c r="AL494" s="207"/>
      <c r="AM494" s="207"/>
      <c r="AN494" s="207"/>
      <c r="AO494" s="207"/>
      <c r="AP494" s="207"/>
      <c r="AQ494" s="207"/>
      <c r="AR494" s="207"/>
      <c r="AS494" s="207"/>
      <c r="AT494" s="207"/>
      <c r="AU494" s="207"/>
      <c r="AV494" s="207"/>
      <c r="AW494" s="207"/>
      <c r="AX494" s="207"/>
      <c r="AY494" s="207"/>
      <c r="AZ494" s="207"/>
      <c r="BA494" s="207"/>
    </row>
    <row r="495" ht="18.75" hidden="1" customHeight="1">
      <c r="A495" s="207"/>
      <c r="B495" s="207"/>
      <c r="C495" s="207"/>
      <c r="D495" s="207"/>
      <c r="E495" s="207"/>
      <c r="F495" s="207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  <c r="AA495" s="207"/>
      <c r="AB495" s="207"/>
      <c r="AC495" s="207"/>
      <c r="AD495" s="207"/>
      <c r="AE495" s="207"/>
      <c r="AF495" s="207"/>
      <c r="AG495" s="207"/>
      <c r="AH495" s="207"/>
      <c r="AI495" s="207"/>
      <c r="AJ495" s="207"/>
      <c r="AK495" s="207"/>
      <c r="AL495" s="207"/>
      <c r="AM495" s="207"/>
      <c r="AN495" s="207"/>
      <c r="AO495" s="207"/>
      <c r="AP495" s="207"/>
      <c r="AQ495" s="207"/>
      <c r="AR495" s="207"/>
      <c r="AS495" s="207"/>
      <c r="AT495" s="207"/>
      <c r="AU495" s="207"/>
      <c r="AV495" s="207"/>
      <c r="AW495" s="207"/>
      <c r="AX495" s="207"/>
      <c r="AY495" s="207"/>
      <c r="AZ495" s="207"/>
      <c r="BA495" s="207"/>
    </row>
    <row r="496" ht="18.75" hidden="1" customHeight="1">
      <c r="A496" s="207"/>
      <c r="B496" s="207"/>
      <c r="C496" s="207"/>
      <c r="D496" s="207"/>
      <c r="E496" s="207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  <c r="AA496" s="207"/>
      <c r="AB496" s="207"/>
      <c r="AC496" s="207"/>
      <c r="AD496" s="207"/>
      <c r="AE496" s="207"/>
      <c r="AF496" s="207"/>
      <c r="AG496" s="207"/>
      <c r="AH496" s="207"/>
      <c r="AI496" s="207"/>
      <c r="AJ496" s="207"/>
      <c r="AK496" s="207"/>
      <c r="AL496" s="207"/>
      <c r="AM496" s="207"/>
      <c r="AN496" s="207"/>
      <c r="AO496" s="207"/>
      <c r="AP496" s="207"/>
      <c r="AQ496" s="207"/>
      <c r="AR496" s="207"/>
      <c r="AS496" s="207"/>
      <c r="AT496" s="207"/>
      <c r="AU496" s="207"/>
      <c r="AV496" s="207"/>
      <c r="AW496" s="207"/>
      <c r="AX496" s="207"/>
      <c r="AY496" s="207"/>
      <c r="AZ496" s="207"/>
      <c r="BA496" s="207"/>
    </row>
    <row r="497" ht="18.75" hidden="1" customHeight="1">
      <c r="A497" s="207"/>
      <c r="B497" s="207"/>
      <c r="C497" s="207"/>
      <c r="D497" s="207"/>
      <c r="E497" s="207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  <c r="AA497" s="207"/>
      <c r="AB497" s="207"/>
      <c r="AC497" s="207"/>
      <c r="AD497" s="207"/>
      <c r="AE497" s="207"/>
      <c r="AF497" s="207"/>
      <c r="AG497" s="207"/>
      <c r="AH497" s="207"/>
      <c r="AI497" s="207"/>
      <c r="AJ497" s="207"/>
      <c r="AK497" s="207"/>
      <c r="AL497" s="207"/>
      <c r="AM497" s="207"/>
      <c r="AN497" s="207"/>
      <c r="AO497" s="207"/>
      <c r="AP497" s="207"/>
      <c r="AQ497" s="207"/>
      <c r="AR497" s="207"/>
      <c r="AS497" s="207"/>
      <c r="AT497" s="207"/>
      <c r="AU497" s="207"/>
      <c r="AV497" s="207"/>
      <c r="AW497" s="207"/>
      <c r="AX497" s="207"/>
      <c r="AY497" s="207"/>
      <c r="AZ497" s="207"/>
      <c r="BA497" s="207"/>
    </row>
    <row r="498" ht="18.75" hidden="1" customHeight="1">
      <c r="A498" s="207"/>
      <c r="B498" s="207"/>
      <c r="C498" s="207"/>
      <c r="D498" s="207"/>
      <c r="E498" s="207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  <c r="AA498" s="207"/>
      <c r="AB498" s="207"/>
      <c r="AC498" s="207"/>
      <c r="AD498" s="207"/>
      <c r="AE498" s="207"/>
      <c r="AF498" s="207"/>
      <c r="AG498" s="207"/>
      <c r="AH498" s="207"/>
      <c r="AI498" s="207"/>
      <c r="AJ498" s="207"/>
      <c r="AK498" s="207"/>
      <c r="AL498" s="207"/>
      <c r="AM498" s="207"/>
      <c r="AN498" s="207"/>
      <c r="AO498" s="207"/>
      <c r="AP498" s="207"/>
      <c r="AQ498" s="207"/>
      <c r="AR498" s="207"/>
      <c r="AS498" s="207"/>
      <c r="AT498" s="207"/>
      <c r="AU498" s="207"/>
      <c r="AV498" s="207"/>
      <c r="AW498" s="207"/>
      <c r="AX498" s="207"/>
      <c r="AY498" s="207"/>
      <c r="AZ498" s="207"/>
      <c r="BA498" s="207"/>
    </row>
    <row r="499" ht="18.75" hidden="1" customHeight="1">
      <c r="A499" s="207"/>
      <c r="B499" s="207"/>
      <c r="C499" s="207"/>
      <c r="D499" s="207"/>
      <c r="E499" s="207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  <c r="AA499" s="207"/>
      <c r="AB499" s="207"/>
      <c r="AC499" s="207"/>
      <c r="AD499" s="207"/>
      <c r="AE499" s="207"/>
      <c r="AF499" s="207"/>
      <c r="AG499" s="207"/>
      <c r="AH499" s="207"/>
      <c r="AI499" s="207"/>
      <c r="AJ499" s="207"/>
      <c r="AK499" s="207"/>
      <c r="AL499" s="207"/>
      <c r="AM499" s="207"/>
      <c r="AN499" s="207"/>
      <c r="AO499" s="207"/>
      <c r="AP499" s="207"/>
      <c r="AQ499" s="207"/>
      <c r="AR499" s="207"/>
      <c r="AS499" s="207"/>
      <c r="AT499" s="207"/>
      <c r="AU499" s="207"/>
      <c r="AV499" s="207"/>
      <c r="AW499" s="207"/>
      <c r="AX499" s="207"/>
      <c r="AY499" s="207"/>
      <c r="AZ499" s="207"/>
      <c r="BA499" s="207"/>
    </row>
    <row r="500" ht="18.75" hidden="1" customHeight="1">
      <c r="A500" s="207"/>
      <c r="B500" s="207"/>
      <c r="C500" s="207"/>
      <c r="D500" s="207"/>
      <c r="E500" s="207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  <c r="AA500" s="207"/>
      <c r="AB500" s="207"/>
      <c r="AC500" s="207"/>
      <c r="AD500" s="207"/>
      <c r="AE500" s="207"/>
      <c r="AF500" s="207"/>
      <c r="AG500" s="207"/>
      <c r="AH500" s="207"/>
      <c r="AI500" s="207"/>
      <c r="AJ500" s="207"/>
      <c r="AK500" s="207"/>
      <c r="AL500" s="207"/>
      <c r="AM500" s="207"/>
      <c r="AN500" s="207"/>
      <c r="AO500" s="207"/>
      <c r="AP500" s="207"/>
      <c r="AQ500" s="207"/>
      <c r="AR500" s="207"/>
      <c r="AS500" s="207"/>
      <c r="AT500" s="207"/>
      <c r="AU500" s="207"/>
      <c r="AV500" s="207"/>
      <c r="AW500" s="207"/>
      <c r="AX500" s="207"/>
      <c r="AY500" s="207"/>
      <c r="AZ500" s="207"/>
      <c r="BA500" s="207"/>
    </row>
    <row r="501" ht="18.75" hidden="1" customHeight="1">
      <c r="A501" s="207"/>
      <c r="B501" s="207"/>
      <c r="C501" s="207"/>
      <c r="D501" s="207"/>
      <c r="E501" s="207"/>
      <c r="F501" s="207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  <c r="AA501" s="207"/>
      <c r="AB501" s="207"/>
      <c r="AC501" s="207"/>
      <c r="AD501" s="207"/>
      <c r="AE501" s="207"/>
      <c r="AF501" s="207"/>
      <c r="AG501" s="207"/>
      <c r="AH501" s="207"/>
      <c r="AI501" s="207"/>
      <c r="AJ501" s="207"/>
      <c r="AK501" s="207"/>
      <c r="AL501" s="207"/>
      <c r="AM501" s="207"/>
      <c r="AN501" s="207"/>
      <c r="AO501" s="207"/>
      <c r="AP501" s="207"/>
      <c r="AQ501" s="207"/>
      <c r="AR501" s="207"/>
      <c r="AS501" s="207"/>
      <c r="AT501" s="207"/>
      <c r="AU501" s="207"/>
      <c r="AV501" s="207"/>
      <c r="AW501" s="207"/>
      <c r="AX501" s="207"/>
      <c r="AY501" s="207"/>
      <c r="AZ501" s="207"/>
      <c r="BA501" s="207"/>
    </row>
    <row r="502" ht="18.75" hidden="1" customHeight="1">
      <c r="A502" s="207"/>
      <c r="B502" s="207"/>
      <c r="C502" s="207"/>
      <c r="D502" s="207"/>
      <c r="E502" s="207"/>
      <c r="F502" s="207"/>
      <c r="G502" s="207"/>
      <c r="H502" s="207"/>
      <c r="I502" s="207"/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  <c r="AA502" s="207"/>
      <c r="AB502" s="207"/>
      <c r="AC502" s="207"/>
      <c r="AD502" s="207"/>
      <c r="AE502" s="207"/>
      <c r="AF502" s="207"/>
      <c r="AG502" s="207"/>
      <c r="AH502" s="207"/>
      <c r="AI502" s="207"/>
      <c r="AJ502" s="207"/>
      <c r="AK502" s="207"/>
      <c r="AL502" s="207"/>
      <c r="AM502" s="207"/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</row>
    <row r="503" ht="18.75" hidden="1" customHeight="1">
      <c r="A503" s="207"/>
      <c r="B503" s="207"/>
      <c r="C503" s="207"/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  <c r="AA503" s="207"/>
      <c r="AB503" s="207"/>
      <c r="AC503" s="207"/>
      <c r="AD503" s="207"/>
      <c r="AE503" s="207"/>
      <c r="AF503" s="207"/>
      <c r="AG503" s="207"/>
      <c r="AH503" s="207"/>
      <c r="AI503" s="207"/>
      <c r="AJ503" s="207"/>
      <c r="AK503" s="207"/>
      <c r="AL503" s="207"/>
      <c r="AM503" s="207"/>
      <c r="AN503" s="207"/>
      <c r="AO503" s="207"/>
      <c r="AP503" s="207"/>
      <c r="AQ503" s="207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</row>
    <row r="504" ht="18.75" hidden="1" customHeight="1">
      <c r="A504" s="207"/>
      <c r="B504" s="207"/>
      <c r="C504" s="207"/>
      <c r="D504" s="207"/>
      <c r="E504" s="207"/>
      <c r="F504" s="207"/>
      <c r="G504" s="207"/>
      <c r="H504" s="207"/>
      <c r="I504" s="207"/>
      <c r="J504" s="207"/>
      <c r="K504" s="207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  <c r="AA504" s="207"/>
      <c r="AB504" s="207"/>
      <c r="AC504" s="207"/>
      <c r="AD504" s="207"/>
      <c r="AE504" s="207"/>
      <c r="AF504" s="207"/>
      <c r="AG504" s="207"/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</row>
    <row r="505" ht="18.75" hidden="1" customHeight="1">
      <c r="A505" s="207"/>
      <c r="B505" s="207"/>
      <c r="C505" s="207"/>
      <c r="D505" s="207"/>
      <c r="E505" s="207"/>
      <c r="F505" s="207"/>
      <c r="G505" s="207"/>
      <c r="H505" s="207"/>
      <c r="I505" s="207"/>
      <c r="J505" s="207"/>
      <c r="K505" s="207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  <c r="AA505" s="207"/>
      <c r="AB505" s="207"/>
      <c r="AC505" s="207"/>
      <c r="AD505" s="207"/>
      <c r="AE505" s="207"/>
      <c r="AF505" s="207"/>
      <c r="AG505" s="207"/>
      <c r="AH505" s="207"/>
      <c r="AI505" s="207"/>
      <c r="AJ505" s="207"/>
      <c r="AK505" s="207"/>
      <c r="AL505" s="207"/>
      <c r="AM505" s="207"/>
      <c r="AN505" s="207"/>
      <c r="AO505" s="207"/>
      <c r="AP505" s="207"/>
      <c r="AQ505" s="207"/>
      <c r="AR505" s="207"/>
      <c r="AS505" s="207"/>
      <c r="AT505" s="207"/>
      <c r="AU505" s="207"/>
      <c r="AV505" s="207"/>
      <c r="AW505" s="207"/>
      <c r="AX505" s="207"/>
      <c r="AY505" s="207"/>
      <c r="AZ505" s="207"/>
      <c r="BA505" s="207"/>
    </row>
    <row r="506" ht="18.75" hidden="1" customHeight="1">
      <c r="A506" s="207"/>
      <c r="B506" s="207"/>
      <c r="C506" s="207"/>
      <c r="D506" s="207"/>
      <c r="E506" s="207"/>
      <c r="F506" s="207"/>
      <c r="G506" s="207"/>
      <c r="H506" s="207"/>
      <c r="I506" s="207"/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  <c r="AA506" s="207"/>
      <c r="AB506" s="207"/>
      <c r="AC506" s="207"/>
      <c r="AD506" s="207"/>
      <c r="AE506" s="207"/>
      <c r="AF506" s="207"/>
      <c r="AG506" s="207"/>
      <c r="AH506" s="207"/>
      <c r="AI506" s="207"/>
      <c r="AJ506" s="207"/>
      <c r="AK506" s="207"/>
      <c r="AL506" s="207"/>
      <c r="AM506" s="207"/>
      <c r="AN506" s="207"/>
      <c r="AO506" s="207"/>
      <c r="AP506" s="207"/>
      <c r="AQ506" s="207"/>
      <c r="AR506" s="207"/>
      <c r="AS506" s="207"/>
      <c r="AT506" s="207"/>
      <c r="AU506" s="207"/>
      <c r="AV506" s="207"/>
      <c r="AW506" s="207"/>
      <c r="AX506" s="207"/>
      <c r="AY506" s="207"/>
      <c r="AZ506" s="207"/>
      <c r="BA506" s="207"/>
    </row>
    <row r="507" ht="18.75" hidden="1" customHeight="1">
      <c r="A507" s="207"/>
      <c r="B507" s="207"/>
      <c r="C507" s="207"/>
      <c r="D507" s="207"/>
      <c r="E507" s="207"/>
      <c r="F507" s="207"/>
      <c r="G507" s="207"/>
      <c r="H507" s="207"/>
      <c r="I507" s="207"/>
      <c r="J507" s="207"/>
      <c r="K507" s="207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  <c r="AA507" s="207"/>
      <c r="AB507" s="207"/>
      <c r="AC507" s="207"/>
      <c r="AD507" s="207"/>
      <c r="AE507" s="207"/>
      <c r="AF507" s="207"/>
      <c r="AG507" s="207"/>
      <c r="AH507" s="207"/>
      <c r="AI507" s="207"/>
      <c r="AJ507" s="207"/>
      <c r="AK507" s="207"/>
      <c r="AL507" s="207"/>
      <c r="AM507" s="207"/>
      <c r="AN507" s="207"/>
      <c r="AO507" s="207"/>
      <c r="AP507" s="207"/>
      <c r="AQ507" s="207"/>
      <c r="AR507" s="207"/>
      <c r="AS507" s="207"/>
      <c r="AT507" s="207"/>
      <c r="AU507" s="207"/>
      <c r="AV507" s="207"/>
      <c r="AW507" s="207"/>
      <c r="AX507" s="207"/>
      <c r="AY507" s="207"/>
      <c r="AZ507" s="207"/>
      <c r="BA507" s="207"/>
    </row>
    <row r="508" ht="18.75" hidden="1" customHeight="1">
      <c r="A508" s="207"/>
      <c r="B508" s="207"/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  <c r="AA508" s="207"/>
      <c r="AB508" s="207"/>
      <c r="AC508" s="207"/>
      <c r="AD508" s="207"/>
      <c r="AE508" s="207"/>
      <c r="AF508" s="207"/>
      <c r="AG508" s="207"/>
      <c r="AH508" s="207"/>
      <c r="AI508" s="207"/>
      <c r="AJ508" s="207"/>
      <c r="AK508" s="207"/>
      <c r="AL508" s="207"/>
      <c r="AM508" s="207"/>
      <c r="AN508" s="207"/>
      <c r="AO508" s="207"/>
      <c r="AP508" s="207"/>
      <c r="AQ508" s="207"/>
      <c r="AR508" s="207"/>
      <c r="AS508" s="207"/>
      <c r="AT508" s="207"/>
      <c r="AU508" s="207"/>
      <c r="AV508" s="207"/>
      <c r="AW508" s="207"/>
      <c r="AX508" s="207"/>
      <c r="AY508" s="207"/>
      <c r="AZ508" s="207"/>
      <c r="BA508" s="207"/>
    </row>
    <row r="509" ht="18.75" hidden="1" customHeight="1">
      <c r="A509" s="207"/>
      <c r="B509" s="207"/>
      <c r="C509" s="207"/>
      <c r="D509" s="207"/>
      <c r="E509" s="207"/>
      <c r="F509" s="207"/>
      <c r="G509" s="207"/>
      <c r="H509" s="207"/>
      <c r="I509" s="207"/>
      <c r="J509" s="207"/>
      <c r="K509" s="207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  <c r="AA509" s="207"/>
      <c r="AB509" s="207"/>
      <c r="AC509" s="207"/>
      <c r="AD509" s="207"/>
      <c r="AE509" s="207"/>
      <c r="AF509" s="207"/>
      <c r="AG509" s="207"/>
      <c r="AH509" s="207"/>
      <c r="AI509" s="207"/>
      <c r="AJ509" s="207"/>
      <c r="AK509" s="207"/>
      <c r="AL509" s="207"/>
      <c r="AM509" s="207"/>
      <c r="AN509" s="207"/>
      <c r="AO509" s="207"/>
      <c r="AP509" s="207"/>
      <c r="AQ509" s="207"/>
      <c r="AR509" s="207"/>
      <c r="AS509" s="207"/>
      <c r="AT509" s="207"/>
      <c r="AU509" s="207"/>
      <c r="AV509" s="207"/>
      <c r="AW509" s="207"/>
      <c r="AX509" s="207"/>
      <c r="AY509" s="207"/>
      <c r="AZ509" s="207"/>
      <c r="BA509" s="207"/>
    </row>
    <row r="510" ht="18.75" hidden="1" customHeight="1">
      <c r="A510" s="207"/>
      <c r="B510" s="207"/>
      <c r="C510" s="207"/>
      <c r="D510" s="207"/>
      <c r="E510" s="207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  <c r="AA510" s="207"/>
      <c r="AB510" s="207"/>
      <c r="AC510" s="207"/>
      <c r="AD510" s="207"/>
      <c r="AE510" s="207"/>
      <c r="AF510" s="207"/>
      <c r="AG510" s="207"/>
      <c r="AH510" s="207"/>
      <c r="AI510" s="207"/>
      <c r="AJ510" s="207"/>
      <c r="AK510" s="207"/>
      <c r="AL510" s="207"/>
      <c r="AM510" s="207"/>
      <c r="AN510" s="207"/>
      <c r="AO510" s="207"/>
      <c r="AP510" s="207"/>
      <c r="AQ510" s="207"/>
      <c r="AR510" s="207"/>
      <c r="AS510" s="207"/>
      <c r="AT510" s="207"/>
      <c r="AU510" s="207"/>
      <c r="AV510" s="207"/>
      <c r="AW510" s="207"/>
      <c r="AX510" s="207"/>
      <c r="AY510" s="207"/>
      <c r="AZ510" s="207"/>
      <c r="BA510" s="207"/>
    </row>
    <row r="511" ht="18.75" hidden="1" customHeight="1">
      <c r="A511" s="207"/>
      <c r="B511" s="207"/>
      <c r="C511" s="207"/>
      <c r="D511" s="207"/>
      <c r="E511" s="207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  <c r="AA511" s="207"/>
      <c r="AB511" s="207"/>
      <c r="AC511" s="207"/>
      <c r="AD511" s="207"/>
      <c r="AE511" s="207"/>
      <c r="AF511" s="207"/>
      <c r="AG511" s="207"/>
      <c r="AH511" s="207"/>
      <c r="AI511" s="207"/>
      <c r="AJ511" s="207"/>
      <c r="AK511" s="207"/>
      <c r="AL511" s="207"/>
      <c r="AM511" s="207"/>
      <c r="AN511" s="207"/>
      <c r="AO511" s="207"/>
      <c r="AP511" s="207"/>
      <c r="AQ511" s="207"/>
      <c r="AR511" s="207"/>
      <c r="AS511" s="207"/>
      <c r="AT511" s="207"/>
      <c r="AU511" s="207"/>
      <c r="AV511" s="207"/>
      <c r="AW511" s="207"/>
      <c r="AX511" s="207"/>
      <c r="AY511" s="207"/>
      <c r="AZ511" s="207"/>
      <c r="BA511" s="207"/>
    </row>
    <row r="512" ht="18.75" hidden="1" customHeight="1">
      <c r="A512" s="207"/>
      <c r="B512" s="207"/>
      <c r="C512" s="207"/>
      <c r="D512" s="207"/>
      <c r="E512" s="207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  <c r="AA512" s="207"/>
      <c r="AB512" s="207"/>
      <c r="AC512" s="207"/>
      <c r="AD512" s="207"/>
      <c r="AE512" s="207"/>
      <c r="AF512" s="207"/>
      <c r="AG512" s="207"/>
      <c r="AH512" s="207"/>
      <c r="AI512" s="207"/>
      <c r="AJ512" s="207"/>
      <c r="AK512" s="207"/>
      <c r="AL512" s="207"/>
      <c r="AM512" s="207"/>
      <c r="AN512" s="207"/>
      <c r="AO512" s="207"/>
      <c r="AP512" s="207"/>
      <c r="AQ512" s="207"/>
      <c r="AR512" s="207"/>
      <c r="AS512" s="207"/>
      <c r="AT512" s="207"/>
      <c r="AU512" s="207"/>
      <c r="AV512" s="207"/>
      <c r="AW512" s="207"/>
      <c r="AX512" s="207"/>
      <c r="AY512" s="207"/>
      <c r="AZ512" s="207"/>
      <c r="BA512" s="207"/>
    </row>
    <row r="513" ht="18.75" hidden="1" customHeight="1">
      <c r="A513" s="207"/>
      <c r="B513" s="207"/>
      <c r="C513" s="207"/>
      <c r="D513" s="207"/>
      <c r="E513" s="207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  <c r="AA513" s="207"/>
      <c r="AB513" s="207"/>
      <c r="AC513" s="207"/>
      <c r="AD513" s="207"/>
      <c r="AE513" s="207"/>
      <c r="AF513" s="207"/>
      <c r="AG513" s="207"/>
      <c r="AH513" s="207"/>
      <c r="AI513" s="207"/>
      <c r="AJ513" s="207"/>
      <c r="AK513" s="207"/>
      <c r="AL513" s="207"/>
      <c r="AM513" s="207"/>
      <c r="AN513" s="207"/>
      <c r="AO513" s="207"/>
      <c r="AP513" s="207"/>
      <c r="AQ513" s="207"/>
      <c r="AR513" s="207"/>
      <c r="AS513" s="207"/>
      <c r="AT513" s="207"/>
      <c r="AU513" s="207"/>
      <c r="AV513" s="207"/>
      <c r="AW513" s="207"/>
      <c r="AX513" s="207"/>
      <c r="AY513" s="207"/>
      <c r="AZ513" s="207"/>
      <c r="BA513" s="207"/>
    </row>
    <row r="514" ht="18.75" hidden="1" customHeight="1">
      <c r="A514" s="207"/>
      <c r="B514" s="207"/>
      <c r="C514" s="207"/>
      <c r="D514" s="207"/>
      <c r="E514" s="207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  <c r="AA514" s="207"/>
      <c r="AB514" s="207"/>
      <c r="AC514" s="207"/>
      <c r="AD514" s="207"/>
      <c r="AE514" s="207"/>
      <c r="AF514" s="207"/>
      <c r="AG514" s="207"/>
      <c r="AH514" s="207"/>
      <c r="AI514" s="207"/>
      <c r="AJ514" s="207"/>
      <c r="AK514" s="207"/>
      <c r="AL514" s="207"/>
      <c r="AM514" s="207"/>
      <c r="AN514" s="207"/>
      <c r="AO514" s="207"/>
      <c r="AP514" s="207"/>
      <c r="AQ514" s="207"/>
      <c r="AR514" s="207"/>
      <c r="AS514" s="207"/>
      <c r="AT514" s="207"/>
      <c r="AU514" s="207"/>
      <c r="AV514" s="207"/>
      <c r="AW514" s="207"/>
      <c r="AX514" s="207"/>
      <c r="AY514" s="207"/>
      <c r="AZ514" s="207"/>
      <c r="BA514" s="207"/>
    </row>
    <row r="515" ht="18.75" hidden="1" customHeight="1">
      <c r="A515" s="207"/>
      <c r="B515" s="207"/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  <c r="AA515" s="207"/>
      <c r="AB515" s="207"/>
      <c r="AC515" s="207"/>
      <c r="AD515" s="207"/>
      <c r="AE515" s="207"/>
      <c r="AF515" s="207"/>
      <c r="AG515" s="207"/>
      <c r="AH515" s="207"/>
      <c r="AI515" s="207"/>
      <c r="AJ515" s="207"/>
      <c r="AK515" s="207"/>
      <c r="AL515" s="207"/>
      <c r="AM515" s="207"/>
      <c r="AN515" s="207"/>
      <c r="AO515" s="207"/>
      <c r="AP515" s="207"/>
      <c r="AQ515" s="207"/>
      <c r="AR515" s="207"/>
      <c r="AS515" s="207"/>
      <c r="AT515" s="207"/>
      <c r="AU515" s="207"/>
      <c r="AV515" s="207"/>
      <c r="AW515" s="207"/>
      <c r="AX515" s="207"/>
      <c r="AY515" s="207"/>
      <c r="AZ515" s="207"/>
      <c r="BA515" s="207"/>
    </row>
    <row r="516" ht="18.75" hidden="1" customHeight="1">
      <c r="A516" s="207"/>
      <c r="B516" s="207"/>
      <c r="C516" s="207"/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  <c r="AA516" s="207"/>
      <c r="AB516" s="207"/>
      <c r="AC516" s="207"/>
      <c r="AD516" s="207"/>
      <c r="AE516" s="207"/>
      <c r="AF516" s="207"/>
      <c r="AG516" s="207"/>
      <c r="AH516" s="207"/>
      <c r="AI516" s="207"/>
      <c r="AJ516" s="207"/>
      <c r="AK516" s="207"/>
      <c r="AL516" s="207"/>
      <c r="AM516" s="207"/>
      <c r="AN516" s="207"/>
      <c r="AO516" s="207"/>
      <c r="AP516" s="207"/>
      <c r="AQ516" s="207"/>
      <c r="AR516" s="207"/>
      <c r="AS516" s="207"/>
      <c r="AT516" s="207"/>
      <c r="AU516" s="207"/>
      <c r="AV516" s="207"/>
      <c r="AW516" s="207"/>
      <c r="AX516" s="207"/>
      <c r="AY516" s="207"/>
      <c r="AZ516" s="207"/>
      <c r="BA516" s="207"/>
    </row>
    <row r="517" ht="18.75" hidden="1" customHeight="1">
      <c r="A517" s="207"/>
      <c r="B517" s="207"/>
      <c r="C517" s="207"/>
      <c r="D517" s="207"/>
      <c r="E517" s="207"/>
      <c r="F517" s="207"/>
      <c r="G517" s="207"/>
      <c r="H517" s="207"/>
      <c r="I517" s="207"/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  <c r="AA517" s="207"/>
      <c r="AB517" s="207"/>
      <c r="AC517" s="207"/>
      <c r="AD517" s="207"/>
      <c r="AE517" s="207"/>
      <c r="AF517" s="207"/>
      <c r="AG517" s="207"/>
      <c r="AH517" s="207"/>
      <c r="AI517" s="207"/>
      <c r="AJ517" s="207"/>
      <c r="AK517" s="207"/>
      <c r="AL517" s="207"/>
      <c r="AM517" s="207"/>
      <c r="AN517" s="207"/>
      <c r="AO517" s="207"/>
      <c r="AP517" s="207"/>
      <c r="AQ517" s="207"/>
      <c r="AR517" s="207"/>
      <c r="AS517" s="207"/>
      <c r="AT517" s="207"/>
      <c r="AU517" s="207"/>
      <c r="AV517" s="207"/>
      <c r="AW517" s="207"/>
      <c r="AX517" s="207"/>
      <c r="AY517" s="207"/>
      <c r="AZ517" s="207"/>
      <c r="BA517" s="207"/>
    </row>
    <row r="518" ht="18.75" hidden="1" customHeight="1">
      <c r="A518" s="207"/>
      <c r="B518" s="207"/>
      <c r="C518" s="207"/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  <c r="AA518" s="207"/>
      <c r="AB518" s="207"/>
      <c r="AC518" s="207"/>
      <c r="AD518" s="207"/>
      <c r="AE518" s="207"/>
      <c r="AF518" s="207"/>
      <c r="AG518" s="207"/>
      <c r="AH518" s="207"/>
      <c r="AI518" s="207"/>
      <c r="AJ518" s="207"/>
      <c r="AK518" s="207"/>
      <c r="AL518" s="207"/>
      <c r="AM518" s="207"/>
      <c r="AN518" s="207"/>
      <c r="AO518" s="207"/>
      <c r="AP518" s="207"/>
      <c r="AQ518" s="207"/>
      <c r="AR518" s="207"/>
      <c r="AS518" s="207"/>
      <c r="AT518" s="207"/>
      <c r="AU518" s="207"/>
      <c r="AV518" s="207"/>
      <c r="AW518" s="207"/>
      <c r="AX518" s="207"/>
      <c r="AY518" s="207"/>
      <c r="AZ518" s="207"/>
      <c r="BA518" s="207"/>
    </row>
    <row r="519" ht="18.75" hidden="1" customHeight="1">
      <c r="A519" s="207"/>
      <c r="B519" s="207"/>
      <c r="C519" s="207"/>
      <c r="D519" s="207"/>
      <c r="E519" s="207"/>
      <c r="F519" s="207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  <c r="AA519" s="207"/>
      <c r="AB519" s="207"/>
      <c r="AC519" s="207"/>
      <c r="AD519" s="207"/>
      <c r="AE519" s="207"/>
      <c r="AF519" s="207"/>
      <c r="AG519" s="207"/>
      <c r="AH519" s="207"/>
      <c r="AI519" s="207"/>
      <c r="AJ519" s="207"/>
      <c r="AK519" s="207"/>
      <c r="AL519" s="207"/>
      <c r="AM519" s="207"/>
      <c r="AN519" s="207"/>
      <c r="AO519" s="207"/>
      <c r="AP519" s="207"/>
      <c r="AQ519" s="207"/>
      <c r="AR519" s="207"/>
      <c r="AS519" s="207"/>
      <c r="AT519" s="207"/>
      <c r="AU519" s="207"/>
      <c r="AV519" s="207"/>
      <c r="AW519" s="207"/>
      <c r="AX519" s="207"/>
      <c r="AY519" s="207"/>
      <c r="AZ519" s="207"/>
      <c r="BA519" s="207"/>
    </row>
    <row r="520" ht="18.75" hidden="1" customHeight="1">
      <c r="A520" s="207"/>
      <c r="B520" s="207"/>
      <c r="C520" s="207"/>
      <c r="D520" s="207"/>
      <c r="E520" s="207"/>
      <c r="F520" s="207"/>
      <c r="G520" s="207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  <c r="AA520" s="207"/>
      <c r="AB520" s="207"/>
      <c r="AC520" s="207"/>
      <c r="AD520" s="207"/>
      <c r="AE520" s="207"/>
      <c r="AF520" s="207"/>
      <c r="AG520" s="207"/>
      <c r="AH520" s="207"/>
      <c r="AI520" s="207"/>
      <c r="AJ520" s="207"/>
      <c r="AK520" s="207"/>
      <c r="AL520" s="207"/>
      <c r="AM520" s="207"/>
      <c r="AN520" s="207"/>
      <c r="AO520" s="207"/>
      <c r="AP520" s="207"/>
      <c r="AQ520" s="207"/>
      <c r="AR520" s="207"/>
      <c r="AS520" s="207"/>
      <c r="AT520" s="207"/>
      <c r="AU520" s="207"/>
      <c r="AV520" s="207"/>
      <c r="AW520" s="207"/>
      <c r="AX520" s="207"/>
      <c r="AY520" s="207"/>
      <c r="AZ520" s="207"/>
      <c r="BA520" s="207"/>
    </row>
    <row r="521" ht="18.75" hidden="1" customHeight="1">
      <c r="A521" s="207"/>
      <c r="B521" s="207"/>
      <c r="C521" s="207"/>
      <c r="D521" s="207"/>
      <c r="E521" s="207"/>
      <c r="F521" s="207"/>
      <c r="G521" s="207"/>
      <c r="H521" s="207"/>
      <c r="I521" s="207"/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  <c r="AA521" s="207"/>
      <c r="AB521" s="207"/>
      <c r="AC521" s="207"/>
      <c r="AD521" s="207"/>
      <c r="AE521" s="207"/>
      <c r="AF521" s="207"/>
      <c r="AG521" s="207"/>
      <c r="AH521" s="207"/>
      <c r="AI521" s="207"/>
      <c r="AJ521" s="207"/>
      <c r="AK521" s="207"/>
      <c r="AL521" s="207"/>
      <c r="AM521" s="207"/>
      <c r="AN521" s="207"/>
      <c r="AO521" s="207"/>
      <c r="AP521" s="207"/>
      <c r="AQ521" s="207"/>
      <c r="AR521" s="207"/>
      <c r="AS521" s="207"/>
      <c r="AT521" s="207"/>
      <c r="AU521" s="207"/>
      <c r="AV521" s="207"/>
      <c r="AW521" s="207"/>
      <c r="AX521" s="207"/>
      <c r="AY521" s="207"/>
      <c r="AZ521" s="207"/>
      <c r="BA521" s="207"/>
    </row>
    <row r="522" ht="18.75" hidden="1" customHeight="1">
      <c r="A522" s="207"/>
      <c r="B522" s="207"/>
      <c r="C522" s="207"/>
      <c r="D522" s="207"/>
      <c r="E522" s="207"/>
      <c r="F522" s="207"/>
      <c r="G522" s="207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  <c r="AA522" s="207"/>
      <c r="AB522" s="207"/>
      <c r="AC522" s="207"/>
      <c r="AD522" s="207"/>
      <c r="AE522" s="207"/>
      <c r="AF522" s="207"/>
      <c r="AG522" s="207"/>
      <c r="AH522" s="207"/>
      <c r="AI522" s="207"/>
      <c r="AJ522" s="207"/>
      <c r="AK522" s="207"/>
      <c r="AL522" s="207"/>
      <c r="AM522" s="207"/>
      <c r="AN522" s="207"/>
      <c r="AO522" s="207"/>
      <c r="AP522" s="207"/>
      <c r="AQ522" s="207"/>
      <c r="AR522" s="207"/>
      <c r="AS522" s="207"/>
      <c r="AT522" s="207"/>
      <c r="AU522" s="207"/>
      <c r="AV522" s="207"/>
      <c r="AW522" s="207"/>
      <c r="AX522" s="207"/>
      <c r="AY522" s="207"/>
      <c r="AZ522" s="207"/>
      <c r="BA522" s="207"/>
    </row>
    <row r="523" ht="18.75" hidden="1" customHeight="1">
      <c r="A523" s="207"/>
      <c r="B523" s="207"/>
      <c r="C523" s="207"/>
      <c r="D523" s="207"/>
      <c r="E523" s="207"/>
      <c r="F523" s="207"/>
      <c r="G523" s="207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  <c r="AA523" s="207"/>
      <c r="AB523" s="207"/>
      <c r="AC523" s="207"/>
      <c r="AD523" s="207"/>
      <c r="AE523" s="207"/>
      <c r="AF523" s="207"/>
      <c r="AG523" s="207"/>
      <c r="AH523" s="207"/>
      <c r="AI523" s="207"/>
      <c r="AJ523" s="207"/>
      <c r="AK523" s="207"/>
      <c r="AL523" s="207"/>
      <c r="AM523" s="207"/>
      <c r="AN523" s="207"/>
      <c r="AO523" s="207"/>
      <c r="AP523" s="207"/>
      <c r="AQ523" s="207"/>
      <c r="AR523" s="207"/>
      <c r="AS523" s="207"/>
      <c r="AT523" s="207"/>
      <c r="AU523" s="207"/>
      <c r="AV523" s="207"/>
      <c r="AW523" s="207"/>
      <c r="AX523" s="207"/>
      <c r="AY523" s="207"/>
      <c r="AZ523" s="207"/>
      <c r="BA523" s="207"/>
    </row>
    <row r="524" ht="18.75" hidden="1" customHeight="1">
      <c r="A524" s="207"/>
      <c r="B524" s="207"/>
      <c r="C524" s="207"/>
      <c r="D524" s="207"/>
      <c r="E524" s="207"/>
      <c r="F524" s="207"/>
      <c r="G524" s="207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  <c r="AA524" s="207"/>
      <c r="AB524" s="207"/>
      <c r="AC524" s="207"/>
      <c r="AD524" s="207"/>
      <c r="AE524" s="207"/>
      <c r="AF524" s="207"/>
      <c r="AG524" s="207"/>
      <c r="AH524" s="207"/>
      <c r="AI524" s="207"/>
      <c r="AJ524" s="207"/>
      <c r="AK524" s="207"/>
      <c r="AL524" s="207"/>
      <c r="AM524" s="207"/>
      <c r="AN524" s="207"/>
      <c r="AO524" s="207"/>
      <c r="AP524" s="207"/>
      <c r="AQ524" s="207"/>
      <c r="AR524" s="207"/>
      <c r="AS524" s="207"/>
      <c r="AT524" s="207"/>
      <c r="AU524" s="207"/>
      <c r="AV524" s="207"/>
      <c r="AW524" s="207"/>
      <c r="AX524" s="207"/>
      <c r="AY524" s="207"/>
      <c r="AZ524" s="207"/>
      <c r="BA524" s="207"/>
    </row>
    <row r="525" ht="18.75" hidden="1" customHeight="1">
      <c r="A525" s="207"/>
      <c r="B525" s="207"/>
      <c r="C525" s="207"/>
      <c r="D525" s="207"/>
      <c r="E525" s="207"/>
      <c r="F525" s="207"/>
      <c r="G525" s="207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  <c r="AA525" s="207"/>
      <c r="AB525" s="207"/>
      <c r="AC525" s="207"/>
      <c r="AD525" s="207"/>
      <c r="AE525" s="207"/>
      <c r="AF525" s="207"/>
      <c r="AG525" s="207"/>
      <c r="AH525" s="207"/>
      <c r="AI525" s="207"/>
      <c r="AJ525" s="207"/>
      <c r="AK525" s="207"/>
      <c r="AL525" s="207"/>
      <c r="AM525" s="207"/>
      <c r="AN525" s="207"/>
      <c r="AO525" s="207"/>
      <c r="AP525" s="207"/>
      <c r="AQ525" s="207"/>
      <c r="AR525" s="207"/>
      <c r="AS525" s="207"/>
      <c r="AT525" s="207"/>
      <c r="AU525" s="207"/>
      <c r="AV525" s="207"/>
      <c r="AW525" s="207"/>
      <c r="AX525" s="207"/>
      <c r="AY525" s="207"/>
      <c r="AZ525" s="207"/>
      <c r="BA525" s="207"/>
    </row>
    <row r="526" ht="18.75" hidden="1" customHeight="1">
      <c r="A526" s="207"/>
      <c r="B526" s="207"/>
      <c r="C526" s="207"/>
      <c r="D526" s="207"/>
      <c r="E526" s="207"/>
      <c r="F526" s="207"/>
      <c r="G526" s="207"/>
      <c r="H526" s="207"/>
      <c r="I526" s="207"/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  <c r="AA526" s="207"/>
      <c r="AB526" s="207"/>
      <c r="AC526" s="207"/>
      <c r="AD526" s="207"/>
      <c r="AE526" s="207"/>
      <c r="AF526" s="207"/>
      <c r="AG526" s="207"/>
      <c r="AH526" s="207"/>
      <c r="AI526" s="207"/>
      <c r="AJ526" s="207"/>
      <c r="AK526" s="207"/>
      <c r="AL526" s="207"/>
      <c r="AM526" s="207"/>
      <c r="AN526" s="207"/>
      <c r="AO526" s="207"/>
      <c r="AP526" s="207"/>
      <c r="AQ526" s="207"/>
      <c r="AR526" s="207"/>
      <c r="AS526" s="207"/>
      <c r="AT526" s="207"/>
      <c r="AU526" s="207"/>
      <c r="AV526" s="207"/>
      <c r="AW526" s="207"/>
      <c r="AX526" s="207"/>
      <c r="AY526" s="207"/>
      <c r="AZ526" s="207"/>
      <c r="BA526" s="207"/>
    </row>
    <row r="527" ht="18.75" hidden="1" customHeight="1">
      <c r="A527" s="207"/>
      <c r="B527" s="207"/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  <c r="AA527" s="207"/>
      <c r="AB527" s="207"/>
      <c r="AC527" s="207"/>
      <c r="AD527" s="207"/>
      <c r="AE527" s="207"/>
      <c r="AF527" s="207"/>
      <c r="AG527" s="207"/>
      <c r="AH527" s="207"/>
      <c r="AI527" s="207"/>
      <c r="AJ527" s="207"/>
      <c r="AK527" s="207"/>
      <c r="AL527" s="207"/>
      <c r="AM527" s="207"/>
      <c r="AN527" s="207"/>
      <c r="AO527" s="207"/>
      <c r="AP527" s="207"/>
      <c r="AQ527" s="207"/>
      <c r="AR527" s="207"/>
      <c r="AS527" s="207"/>
      <c r="AT527" s="207"/>
      <c r="AU527" s="207"/>
      <c r="AV527" s="207"/>
      <c r="AW527" s="207"/>
      <c r="AX527" s="207"/>
      <c r="AY527" s="207"/>
      <c r="AZ527" s="207"/>
      <c r="BA527" s="207"/>
    </row>
    <row r="528" ht="18.75" hidden="1" customHeight="1">
      <c r="A528" s="207"/>
      <c r="B528" s="207"/>
      <c r="C528" s="207"/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  <c r="AA528" s="207"/>
      <c r="AB528" s="207"/>
      <c r="AC528" s="207"/>
      <c r="AD528" s="207"/>
      <c r="AE528" s="207"/>
      <c r="AF528" s="207"/>
      <c r="AG528" s="207"/>
      <c r="AH528" s="207"/>
      <c r="AI528" s="207"/>
      <c r="AJ528" s="207"/>
      <c r="AK528" s="207"/>
      <c r="AL528" s="207"/>
      <c r="AM528" s="207"/>
      <c r="AN528" s="207"/>
      <c r="AO528" s="207"/>
      <c r="AP528" s="207"/>
      <c r="AQ528" s="207"/>
      <c r="AR528" s="207"/>
      <c r="AS528" s="207"/>
      <c r="AT528" s="207"/>
      <c r="AU528" s="207"/>
      <c r="AV528" s="207"/>
      <c r="AW528" s="207"/>
      <c r="AX528" s="207"/>
      <c r="AY528" s="207"/>
      <c r="AZ528" s="207"/>
      <c r="BA528" s="207"/>
    </row>
    <row r="529" ht="18.75" hidden="1" customHeight="1">
      <c r="A529" s="207"/>
      <c r="B529" s="207"/>
      <c r="C529" s="207"/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  <c r="AA529" s="207"/>
      <c r="AB529" s="207"/>
      <c r="AC529" s="207"/>
      <c r="AD529" s="207"/>
      <c r="AE529" s="207"/>
      <c r="AF529" s="207"/>
      <c r="AG529" s="207"/>
      <c r="AH529" s="207"/>
      <c r="AI529" s="207"/>
      <c r="AJ529" s="207"/>
      <c r="AK529" s="207"/>
      <c r="AL529" s="207"/>
      <c r="AM529" s="207"/>
      <c r="AN529" s="207"/>
      <c r="AO529" s="207"/>
      <c r="AP529" s="207"/>
      <c r="AQ529" s="207"/>
      <c r="AR529" s="207"/>
      <c r="AS529" s="207"/>
      <c r="AT529" s="207"/>
      <c r="AU529" s="207"/>
      <c r="AV529" s="207"/>
      <c r="AW529" s="207"/>
      <c r="AX529" s="207"/>
      <c r="AY529" s="207"/>
      <c r="AZ529" s="207"/>
      <c r="BA529" s="207"/>
    </row>
    <row r="530" ht="18.75" hidden="1" customHeight="1">
      <c r="A530" s="207"/>
      <c r="B530" s="207"/>
      <c r="C530" s="207"/>
      <c r="D530" s="207"/>
      <c r="E530" s="207"/>
      <c r="F530" s="207"/>
      <c r="G530" s="207"/>
      <c r="H530" s="207"/>
      <c r="I530" s="207"/>
      <c r="J530" s="207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  <c r="AA530" s="207"/>
      <c r="AB530" s="207"/>
      <c r="AC530" s="207"/>
      <c r="AD530" s="207"/>
      <c r="AE530" s="207"/>
      <c r="AF530" s="207"/>
      <c r="AG530" s="207"/>
      <c r="AH530" s="207"/>
      <c r="AI530" s="207"/>
      <c r="AJ530" s="207"/>
      <c r="AK530" s="207"/>
      <c r="AL530" s="207"/>
      <c r="AM530" s="207"/>
      <c r="AN530" s="207"/>
      <c r="AO530" s="207"/>
      <c r="AP530" s="207"/>
      <c r="AQ530" s="207"/>
      <c r="AR530" s="207"/>
      <c r="AS530" s="207"/>
      <c r="AT530" s="207"/>
      <c r="AU530" s="207"/>
      <c r="AV530" s="207"/>
      <c r="AW530" s="207"/>
      <c r="AX530" s="207"/>
      <c r="AY530" s="207"/>
      <c r="AZ530" s="207"/>
      <c r="BA530" s="207"/>
    </row>
    <row r="531" ht="18.75" hidden="1" customHeight="1">
      <c r="A531" s="207"/>
      <c r="B531" s="207"/>
      <c r="C531" s="207"/>
      <c r="D531" s="207"/>
      <c r="E531" s="207"/>
      <c r="F531" s="207"/>
      <c r="G531" s="207"/>
      <c r="H531" s="207"/>
      <c r="I531" s="207"/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  <c r="AA531" s="207"/>
      <c r="AB531" s="207"/>
      <c r="AC531" s="207"/>
      <c r="AD531" s="207"/>
      <c r="AE531" s="207"/>
      <c r="AF531" s="207"/>
      <c r="AG531" s="207"/>
      <c r="AH531" s="207"/>
      <c r="AI531" s="207"/>
      <c r="AJ531" s="207"/>
      <c r="AK531" s="207"/>
      <c r="AL531" s="207"/>
      <c r="AM531" s="207"/>
      <c r="AN531" s="207"/>
      <c r="AO531" s="207"/>
      <c r="AP531" s="207"/>
      <c r="AQ531" s="207"/>
      <c r="AR531" s="207"/>
      <c r="AS531" s="207"/>
      <c r="AT531" s="207"/>
      <c r="AU531" s="207"/>
      <c r="AV531" s="207"/>
      <c r="AW531" s="207"/>
      <c r="AX531" s="207"/>
      <c r="AY531" s="207"/>
      <c r="AZ531" s="207"/>
      <c r="BA531" s="207"/>
    </row>
    <row r="532" ht="18.75" hidden="1" customHeight="1">
      <c r="A532" s="207"/>
      <c r="B532" s="207"/>
      <c r="C532" s="207"/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  <c r="AA532" s="207"/>
      <c r="AB532" s="207"/>
      <c r="AC532" s="207"/>
      <c r="AD532" s="207"/>
      <c r="AE532" s="207"/>
      <c r="AF532" s="207"/>
      <c r="AG532" s="207"/>
      <c r="AH532" s="207"/>
      <c r="AI532" s="207"/>
      <c r="AJ532" s="207"/>
      <c r="AK532" s="207"/>
      <c r="AL532" s="207"/>
      <c r="AM532" s="207"/>
      <c r="AN532" s="207"/>
      <c r="AO532" s="207"/>
      <c r="AP532" s="207"/>
      <c r="AQ532" s="207"/>
      <c r="AR532" s="207"/>
      <c r="AS532" s="207"/>
      <c r="AT532" s="207"/>
      <c r="AU532" s="207"/>
      <c r="AV532" s="207"/>
      <c r="AW532" s="207"/>
      <c r="AX532" s="207"/>
      <c r="AY532" s="207"/>
      <c r="AZ532" s="207"/>
      <c r="BA532" s="207"/>
    </row>
    <row r="533" ht="18.75" hidden="1" customHeight="1">
      <c r="A533" s="207"/>
      <c r="B533" s="207"/>
      <c r="C533" s="207"/>
      <c r="D533" s="207"/>
      <c r="E533" s="207"/>
      <c r="F533" s="207"/>
      <c r="G533" s="207"/>
      <c r="H533" s="207"/>
      <c r="I533" s="207"/>
      <c r="J533" s="207"/>
      <c r="K533" s="207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  <c r="AA533" s="207"/>
      <c r="AB533" s="207"/>
      <c r="AC533" s="207"/>
      <c r="AD533" s="207"/>
      <c r="AE533" s="207"/>
      <c r="AF533" s="207"/>
      <c r="AG533" s="207"/>
      <c r="AH533" s="207"/>
      <c r="AI533" s="207"/>
      <c r="AJ533" s="207"/>
      <c r="AK533" s="207"/>
      <c r="AL533" s="207"/>
      <c r="AM533" s="207"/>
      <c r="AN533" s="207"/>
      <c r="AO533" s="207"/>
      <c r="AP533" s="207"/>
      <c r="AQ533" s="207"/>
      <c r="AR533" s="207"/>
      <c r="AS533" s="207"/>
      <c r="AT533" s="207"/>
      <c r="AU533" s="207"/>
      <c r="AV533" s="207"/>
      <c r="AW533" s="207"/>
      <c r="AX533" s="207"/>
      <c r="AY533" s="207"/>
      <c r="AZ533" s="207"/>
      <c r="BA533" s="207"/>
    </row>
    <row r="534" ht="18.75" hidden="1" customHeight="1">
      <c r="A534" s="207"/>
      <c r="B534" s="207"/>
      <c r="C534" s="207"/>
      <c r="D534" s="207"/>
      <c r="E534" s="207"/>
      <c r="F534" s="207"/>
      <c r="G534" s="207"/>
      <c r="H534" s="207"/>
      <c r="I534" s="207"/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  <c r="AA534" s="207"/>
      <c r="AB534" s="207"/>
      <c r="AC534" s="207"/>
      <c r="AD534" s="207"/>
      <c r="AE534" s="207"/>
      <c r="AF534" s="207"/>
      <c r="AG534" s="207"/>
      <c r="AH534" s="207"/>
      <c r="AI534" s="207"/>
      <c r="AJ534" s="207"/>
      <c r="AK534" s="207"/>
      <c r="AL534" s="207"/>
      <c r="AM534" s="207"/>
      <c r="AN534" s="207"/>
      <c r="AO534" s="207"/>
      <c r="AP534" s="207"/>
      <c r="AQ534" s="207"/>
      <c r="AR534" s="207"/>
      <c r="AS534" s="207"/>
      <c r="AT534" s="207"/>
      <c r="AU534" s="207"/>
      <c r="AV534" s="207"/>
      <c r="AW534" s="207"/>
      <c r="AX534" s="207"/>
      <c r="AY534" s="207"/>
      <c r="AZ534" s="207"/>
      <c r="BA534" s="207"/>
    </row>
    <row r="535" ht="18.75" hidden="1" customHeight="1">
      <c r="A535" s="207"/>
      <c r="B535" s="207"/>
      <c r="C535" s="207"/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  <c r="AA535" s="207"/>
      <c r="AB535" s="207"/>
      <c r="AC535" s="207"/>
      <c r="AD535" s="207"/>
      <c r="AE535" s="207"/>
      <c r="AF535" s="207"/>
      <c r="AG535" s="207"/>
      <c r="AH535" s="207"/>
      <c r="AI535" s="207"/>
      <c r="AJ535" s="207"/>
      <c r="AK535" s="207"/>
      <c r="AL535" s="207"/>
      <c r="AM535" s="207"/>
      <c r="AN535" s="207"/>
      <c r="AO535" s="207"/>
      <c r="AP535" s="207"/>
      <c r="AQ535" s="207"/>
      <c r="AR535" s="207"/>
      <c r="AS535" s="207"/>
      <c r="AT535" s="207"/>
      <c r="AU535" s="207"/>
      <c r="AV535" s="207"/>
      <c r="AW535" s="207"/>
      <c r="AX535" s="207"/>
      <c r="AY535" s="207"/>
      <c r="AZ535" s="207"/>
      <c r="BA535" s="207"/>
    </row>
    <row r="536" ht="18.75" hidden="1" customHeight="1">
      <c r="A536" s="207"/>
      <c r="B536" s="207"/>
      <c r="C536" s="207"/>
      <c r="D536" s="207"/>
      <c r="E536" s="207"/>
      <c r="F536" s="207"/>
      <c r="G536" s="207"/>
      <c r="H536" s="207"/>
      <c r="I536" s="207"/>
      <c r="J536" s="207"/>
      <c r="K536" s="207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  <c r="AA536" s="207"/>
      <c r="AB536" s="207"/>
      <c r="AC536" s="207"/>
      <c r="AD536" s="207"/>
      <c r="AE536" s="207"/>
      <c r="AF536" s="207"/>
      <c r="AG536" s="207"/>
      <c r="AH536" s="207"/>
      <c r="AI536" s="207"/>
      <c r="AJ536" s="207"/>
      <c r="AK536" s="207"/>
      <c r="AL536" s="207"/>
      <c r="AM536" s="207"/>
      <c r="AN536" s="207"/>
      <c r="AO536" s="207"/>
      <c r="AP536" s="207"/>
      <c r="AQ536" s="207"/>
      <c r="AR536" s="207"/>
      <c r="AS536" s="207"/>
      <c r="AT536" s="207"/>
      <c r="AU536" s="207"/>
      <c r="AV536" s="207"/>
      <c r="AW536" s="207"/>
      <c r="AX536" s="207"/>
      <c r="AY536" s="207"/>
      <c r="AZ536" s="207"/>
      <c r="BA536" s="207"/>
    </row>
    <row r="537" ht="18.75" hidden="1" customHeight="1">
      <c r="A537" s="207"/>
      <c r="B537" s="207"/>
      <c r="C537" s="207"/>
      <c r="D537" s="207"/>
      <c r="E537" s="207"/>
      <c r="F537" s="207"/>
      <c r="G537" s="207"/>
      <c r="H537" s="207"/>
      <c r="I537" s="207"/>
      <c r="J537" s="207"/>
      <c r="K537" s="207"/>
      <c r="L537" s="207"/>
      <c r="M537" s="207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  <c r="AA537" s="207"/>
      <c r="AB537" s="207"/>
      <c r="AC537" s="207"/>
      <c r="AD537" s="207"/>
      <c r="AE537" s="207"/>
      <c r="AF537" s="207"/>
      <c r="AG537" s="207"/>
      <c r="AH537" s="207"/>
      <c r="AI537" s="207"/>
      <c r="AJ537" s="207"/>
      <c r="AK537" s="207"/>
      <c r="AL537" s="207"/>
      <c r="AM537" s="207"/>
      <c r="AN537" s="207"/>
      <c r="AO537" s="207"/>
      <c r="AP537" s="207"/>
      <c r="AQ537" s="207"/>
      <c r="AR537" s="207"/>
      <c r="AS537" s="207"/>
      <c r="AT537" s="207"/>
      <c r="AU537" s="207"/>
      <c r="AV537" s="207"/>
      <c r="AW537" s="207"/>
      <c r="AX537" s="207"/>
      <c r="AY537" s="207"/>
      <c r="AZ537" s="207"/>
      <c r="BA537" s="207"/>
    </row>
    <row r="538" ht="18.75" hidden="1" customHeight="1">
      <c r="A538" s="207"/>
      <c r="B538" s="207"/>
      <c r="C538" s="207"/>
      <c r="D538" s="207"/>
      <c r="E538" s="207"/>
      <c r="F538" s="207"/>
      <c r="G538" s="207"/>
      <c r="H538" s="207"/>
      <c r="I538" s="207"/>
      <c r="J538" s="207"/>
      <c r="K538" s="207"/>
      <c r="L538" s="207"/>
      <c r="M538" s="207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  <c r="AA538" s="207"/>
      <c r="AB538" s="207"/>
      <c r="AC538" s="207"/>
      <c r="AD538" s="207"/>
      <c r="AE538" s="207"/>
      <c r="AF538" s="207"/>
      <c r="AG538" s="207"/>
      <c r="AH538" s="207"/>
      <c r="AI538" s="207"/>
      <c r="AJ538" s="207"/>
      <c r="AK538" s="207"/>
      <c r="AL538" s="207"/>
      <c r="AM538" s="207"/>
      <c r="AN538" s="207"/>
      <c r="AO538" s="207"/>
      <c r="AP538" s="207"/>
      <c r="AQ538" s="207"/>
      <c r="AR538" s="207"/>
      <c r="AS538" s="207"/>
      <c r="AT538" s="207"/>
      <c r="AU538" s="207"/>
      <c r="AV538" s="207"/>
      <c r="AW538" s="207"/>
      <c r="AX538" s="207"/>
      <c r="AY538" s="207"/>
      <c r="AZ538" s="207"/>
      <c r="BA538" s="207"/>
    </row>
    <row r="539" ht="18.75" hidden="1" customHeight="1">
      <c r="A539" s="207"/>
      <c r="B539" s="207"/>
      <c r="C539" s="207"/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  <c r="AA539" s="207"/>
      <c r="AB539" s="207"/>
      <c r="AC539" s="207"/>
      <c r="AD539" s="207"/>
      <c r="AE539" s="207"/>
      <c r="AF539" s="207"/>
      <c r="AG539" s="207"/>
      <c r="AH539" s="207"/>
      <c r="AI539" s="207"/>
      <c r="AJ539" s="207"/>
      <c r="AK539" s="207"/>
      <c r="AL539" s="207"/>
      <c r="AM539" s="207"/>
      <c r="AN539" s="207"/>
      <c r="AO539" s="207"/>
      <c r="AP539" s="207"/>
      <c r="AQ539" s="207"/>
      <c r="AR539" s="207"/>
      <c r="AS539" s="207"/>
      <c r="AT539" s="207"/>
      <c r="AU539" s="207"/>
      <c r="AV539" s="207"/>
      <c r="AW539" s="207"/>
      <c r="AX539" s="207"/>
      <c r="AY539" s="207"/>
      <c r="AZ539" s="207"/>
      <c r="BA539" s="207"/>
    </row>
    <row r="540" ht="18.75" hidden="1" customHeight="1">
      <c r="A540" s="207"/>
      <c r="B540" s="207"/>
      <c r="C540" s="207"/>
      <c r="D540" s="207"/>
      <c r="E540" s="207"/>
      <c r="F540" s="207"/>
      <c r="G540" s="207"/>
      <c r="H540" s="207"/>
      <c r="I540" s="207"/>
      <c r="J540" s="207"/>
      <c r="K540" s="207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  <c r="AA540" s="207"/>
      <c r="AB540" s="207"/>
      <c r="AC540" s="207"/>
      <c r="AD540" s="207"/>
      <c r="AE540" s="207"/>
      <c r="AF540" s="207"/>
      <c r="AG540" s="207"/>
      <c r="AH540" s="207"/>
      <c r="AI540" s="207"/>
      <c r="AJ540" s="207"/>
      <c r="AK540" s="207"/>
      <c r="AL540" s="207"/>
      <c r="AM540" s="207"/>
      <c r="AN540" s="207"/>
      <c r="AO540" s="207"/>
      <c r="AP540" s="207"/>
      <c r="AQ540" s="207"/>
      <c r="AR540" s="207"/>
      <c r="AS540" s="207"/>
      <c r="AT540" s="207"/>
      <c r="AU540" s="207"/>
      <c r="AV540" s="207"/>
      <c r="AW540" s="207"/>
      <c r="AX540" s="207"/>
      <c r="AY540" s="207"/>
      <c r="AZ540" s="207"/>
      <c r="BA540" s="207"/>
    </row>
    <row r="541" ht="18.75" hidden="1" customHeight="1">
      <c r="A541" s="207"/>
      <c r="B541" s="207"/>
      <c r="C541" s="207"/>
      <c r="D541" s="207"/>
      <c r="E541" s="207"/>
      <c r="F541" s="207"/>
      <c r="G541" s="207"/>
      <c r="H541" s="207"/>
      <c r="I541" s="207"/>
      <c r="J541" s="207"/>
      <c r="K541" s="207"/>
      <c r="L541" s="207"/>
      <c r="M541" s="207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  <c r="AA541" s="207"/>
      <c r="AB541" s="207"/>
      <c r="AC541" s="207"/>
      <c r="AD541" s="207"/>
      <c r="AE541" s="207"/>
      <c r="AF541" s="207"/>
      <c r="AG541" s="207"/>
      <c r="AH541" s="207"/>
      <c r="AI541" s="207"/>
      <c r="AJ541" s="207"/>
      <c r="AK541" s="207"/>
      <c r="AL541" s="207"/>
      <c r="AM541" s="207"/>
      <c r="AN541" s="207"/>
      <c r="AO541" s="207"/>
      <c r="AP541" s="207"/>
      <c r="AQ541" s="207"/>
      <c r="AR541" s="207"/>
      <c r="AS541" s="207"/>
      <c r="AT541" s="207"/>
      <c r="AU541" s="207"/>
      <c r="AV541" s="207"/>
      <c r="AW541" s="207"/>
      <c r="AX541" s="207"/>
      <c r="AY541" s="207"/>
      <c r="AZ541" s="207"/>
      <c r="BA541" s="207"/>
    </row>
    <row r="542" ht="18.75" hidden="1" customHeight="1">
      <c r="A542" s="207"/>
      <c r="B542" s="207"/>
      <c r="C542" s="207"/>
      <c r="D542" s="207"/>
      <c r="E542" s="207"/>
      <c r="F542" s="207"/>
      <c r="G542" s="207"/>
      <c r="H542" s="207"/>
      <c r="I542" s="207"/>
      <c r="J542" s="207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  <c r="AA542" s="207"/>
      <c r="AB542" s="207"/>
      <c r="AC542" s="207"/>
      <c r="AD542" s="207"/>
      <c r="AE542" s="207"/>
      <c r="AF542" s="207"/>
      <c r="AG542" s="207"/>
      <c r="AH542" s="207"/>
      <c r="AI542" s="207"/>
      <c r="AJ542" s="207"/>
      <c r="AK542" s="207"/>
      <c r="AL542" s="207"/>
      <c r="AM542" s="207"/>
      <c r="AN542" s="207"/>
      <c r="AO542" s="207"/>
      <c r="AP542" s="207"/>
      <c r="AQ542" s="207"/>
      <c r="AR542" s="207"/>
      <c r="AS542" s="207"/>
      <c r="AT542" s="207"/>
      <c r="AU542" s="207"/>
      <c r="AV542" s="207"/>
      <c r="AW542" s="207"/>
      <c r="AX542" s="207"/>
      <c r="AY542" s="207"/>
      <c r="AZ542" s="207"/>
      <c r="BA542" s="207"/>
    </row>
    <row r="543" ht="18.75" hidden="1" customHeight="1">
      <c r="A543" s="207"/>
      <c r="B543" s="207"/>
      <c r="C543" s="207"/>
      <c r="D543" s="207"/>
      <c r="E543" s="207"/>
      <c r="F543" s="207"/>
      <c r="G543" s="207"/>
      <c r="H543" s="207"/>
      <c r="I543" s="207"/>
      <c r="J543" s="207"/>
      <c r="K543" s="207"/>
      <c r="L543" s="207"/>
      <c r="M543" s="207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  <c r="AA543" s="207"/>
      <c r="AB543" s="207"/>
      <c r="AC543" s="207"/>
      <c r="AD543" s="207"/>
      <c r="AE543" s="207"/>
      <c r="AF543" s="207"/>
      <c r="AG543" s="207"/>
      <c r="AH543" s="207"/>
      <c r="AI543" s="207"/>
      <c r="AJ543" s="207"/>
      <c r="AK543" s="207"/>
      <c r="AL543" s="207"/>
      <c r="AM543" s="207"/>
      <c r="AN543" s="207"/>
      <c r="AO543" s="207"/>
      <c r="AP543" s="207"/>
      <c r="AQ543" s="207"/>
      <c r="AR543" s="207"/>
      <c r="AS543" s="207"/>
      <c r="AT543" s="207"/>
      <c r="AU543" s="207"/>
      <c r="AV543" s="207"/>
      <c r="AW543" s="207"/>
      <c r="AX543" s="207"/>
      <c r="AY543" s="207"/>
      <c r="AZ543" s="207"/>
      <c r="BA543" s="207"/>
    </row>
    <row r="544" ht="18.75" hidden="1" customHeight="1">
      <c r="A544" s="207"/>
      <c r="B544" s="207"/>
      <c r="C544" s="207"/>
      <c r="D544" s="207"/>
      <c r="E544" s="207"/>
      <c r="F544" s="207"/>
      <c r="G544" s="207"/>
      <c r="H544" s="207"/>
      <c r="I544" s="207"/>
      <c r="J544" s="207"/>
      <c r="K544" s="207"/>
      <c r="L544" s="207"/>
      <c r="M544" s="207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  <c r="AA544" s="207"/>
      <c r="AB544" s="207"/>
      <c r="AC544" s="207"/>
      <c r="AD544" s="207"/>
      <c r="AE544" s="207"/>
      <c r="AF544" s="207"/>
      <c r="AG544" s="207"/>
      <c r="AH544" s="207"/>
      <c r="AI544" s="207"/>
      <c r="AJ544" s="207"/>
      <c r="AK544" s="207"/>
      <c r="AL544" s="207"/>
      <c r="AM544" s="207"/>
      <c r="AN544" s="207"/>
      <c r="AO544" s="207"/>
      <c r="AP544" s="207"/>
      <c r="AQ544" s="207"/>
      <c r="AR544" s="207"/>
      <c r="AS544" s="207"/>
      <c r="AT544" s="207"/>
      <c r="AU544" s="207"/>
      <c r="AV544" s="207"/>
      <c r="AW544" s="207"/>
      <c r="AX544" s="207"/>
      <c r="AY544" s="207"/>
      <c r="AZ544" s="207"/>
      <c r="BA544" s="207"/>
    </row>
    <row r="545" ht="18.75" hidden="1" customHeight="1">
      <c r="A545" s="207"/>
      <c r="B545" s="207"/>
      <c r="C545" s="207"/>
      <c r="D545" s="207"/>
      <c r="E545" s="207"/>
      <c r="F545" s="207"/>
      <c r="G545" s="207"/>
      <c r="H545" s="207"/>
      <c r="I545" s="207"/>
      <c r="J545" s="207"/>
      <c r="K545" s="207"/>
      <c r="L545" s="207"/>
      <c r="M545" s="207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  <c r="AA545" s="207"/>
      <c r="AB545" s="207"/>
      <c r="AC545" s="207"/>
      <c r="AD545" s="207"/>
      <c r="AE545" s="207"/>
      <c r="AF545" s="207"/>
      <c r="AG545" s="207"/>
      <c r="AH545" s="207"/>
      <c r="AI545" s="207"/>
      <c r="AJ545" s="207"/>
      <c r="AK545" s="207"/>
      <c r="AL545" s="207"/>
      <c r="AM545" s="207"/>
      <c r="AN545" s="207"/>
      <c r="AO545" s="207"/>
      <c r="AP545" s="207"/>
      <c r="AQ545" s="207"/>
      <c r="AR545" s="207"/>
      <c r="AS545" s="207"/>
      <c r="AT545" s="207"/>
      <c r="AU545" s="207"/>
      <c r="AV545" s="207"/>
      <c r="AW545" s="207"/>
      <c r="AX545" s="207"/>
      <c r="AY545" s="207"/>
      <c r="AZ545" s="207"/>
      <c r="BA545" s="207"/>
    </row>
    <row r="546" ht="18.75" hidden="1" customHeight="1">
      <c r="A546" s="207"/>
      <c r="B546" s="207"/>
      <c r="C546" s="207"/>
      <c r="D546" s="207"/>
      <c r="E546" s="207"/>
      <c r="F546" s="207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  <c r="AA546" s="207"/>
      <c r="AB546" s="207"/>
      <c r="AC546" s="207"/>
      <c r="AD546" s="207"/>
      <c r="AE546" s="207"/>
      <c r="AF546" s="207"/>
      <c r="AG546" s="207"/>
      <c r="AH546" s="207"/>
      <c r="AI546" s="207"/>
      <c r="AJ546" s="207"/>
      <c r="AK546" s="207"/>
      <c r="AL546" s="207"/>
      <c r="AM546" s="207"/>
      <c r="AN546" s="207"/>
      <c r="AO546" s="207"/>
      <c r="AP546" s="207"/>
      <c r="AQ546" s="207"/>
      <c r="AR546" s="207"/>
      <c r="AS546" s="207"/>
      <c r="AT546" s="207"/>
      <c r="AU546" s="207"/>
      <c r="AV546" s="207"/>
      <c r="AW546" s="207"/>
      <c r="AX546" s="207"/>
      <c r="AY546" s="207"/>
      <c r="AZ546" s="207"/>
      <c r="BA546" s="207"/>
    </row>
    <row r="547" ht="18.75" hidden="1" customHeight="1">
      <c r="A547" s="207"/>
      <c r="B547" s="207"/>
      <c r="C547" s="207"/>
      <c r="D547" s="207"/>
      <c r="E547" s="207"/>
      <c r="F547" s="207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  <c r="AA547" s="207"/>
      <c r="AB547" s="207"/>
      <c r="AC547" s="207"/>
      <c r="AD547" s="207"/>
      <c r="AE547" s="207"/>
      <c r="AF547" s="207"/>
      <c r="AG547" s="207"/>
      <c r="AH547" s="207"/>
      <c r="AI547" s="207"/>
      <c r="AJ547" s="207"/>
      <c r="AK547" s="207"/>
      <c r="AL547" s="207"/>
      <c r="AM547" s="207"/>
      <c r="AN547" s="207"/>
      <c r="AO547" s="207"/>
      <c r="AP547" s="207"/>
      <c r="AQ547" s="207"/>
      <c r="AR547" s="207"/>
      <c r="AS547" s="207"/>
      <c r="AT547" s="207"/>
      <c r="AU547" s="207"/>
      <c r="AV547" s="207"/>
      <c r="AW547" s="207"/>
      <c r="AX547" s="207"/>
      <c r="AY547" s="207"/>
      <c r="AZ547" s="207"/>
      <c r="BA547" s="207"/>
    </row>
    <row r="548" ht="18.75" hidden="1" customHeight="1">
      <c r="A548" s="207"/>
      <c r="B548" s="207"/>
      <c r="C548" s="207"/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  <c r="AA548" s="207"/>
      <c r="AB548" s="207"/>
      <c r="AC548" s="207"/>
      <c r="AD548" s="207"/>
      <c r="AE548" s="207"/>
      <c r="AF548" s="207"/>
      <c r="AG548" s="207"/>
      <c r="AH548" s="207"/>
      <c r="AI548" s="207"/>
      <c r="AJ548" s="207"/>
      <c r="AK548" s="207"/>
      <c r="AL548" s="207"/>
      <c r="AM548" s="207"/>
      <c r="AN548" s="207"/>
      <c r="AO548" s="207"/>
      <c r="AP548" s="207"/>
      <c r="AQ548" s="207"/>
      <c r="AR548" s="207"/>
      <c r="AS548" s="207"/>
      <c r="AT548" s="207"/>
      <c r="AU548" s="207"/>
      <c r="AV548" s="207"/>
      <c r="AW548" s="207"/>
      <c r="AX548" s="207"/>
      <c r="AY548" s="207"/>
      <c r="AZ548" s="207"/>
      <c r="BA548" s="207"/>
    </row>
    <row r="549" ht="18.75" hidden="1" customHeight="1">
      <c r="A549" s="207"/>
      <c r="B549" s="207"/>
      <c r="C549" s="207"/>
      <c r="D549" s="207"/>
      <c r="E549" s="207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  <c r="AA549" s="207"/>
      <c r="AB549" s="207"/>
      <c r="AC549" s="207"/>
      <c r="AD549" s="207"/>
      <c r="AE549" s="207"/>
      <c r="AF549" s="207"/>
      <c r="AG549" s="207"/>
      <c r="AH549" s="207"/>
      <c r="AI549" s="207"/>
      <c r="AJ549" s="207"/>
      <c r="AK549" s="207"/>
      <c r="AL549" s="207"/>
      <c r="AM549" s="207"/>
      <c r="AN549" s="207"/>
      <c r="AO549" s="207"/>
      <c r="AP549" s="207"/>
      <c r="AQ549" s="207"/>
      <c r="AR549" s="207"/>
      <c r="AS549" s="207"/>
      <c r="AT549" s="207"/>
      <c r="AU549" s="207"/>
      <c r="AV549" s="207"/>
      <c r="AW549" s="207"/>
      <c r="AX549" s="207"/>
      <c r="AY549" s="207"/>
      <c r="AZ549" s="207"/>
      <c r="BA549" s="207"/>
    </row>
    <row r="550" ht="18.75" hidden="1" customHeight="1">
      <c r="A550" s="207"/>
      <c r="B550" s="207"/>
      <c r="C550" s="207"/>
      <c r="D550" s="207"/>
      <c r="E550" s="207"/>
      <c r="F550" s="207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  <c r="AA550" s="207"/>
      <c r="AB550" s="207"/>
      <c r="AC550" s="207"/>
      <c r="AD550" s="207"/>
      <c r="AE550" s="207"/>
      <c r="AF550" s="207"/>
      <c r="AG550" s="207"/>
      <c r="AH550" s="207"/>
      <c r="AI550" s="207"/>
      <c r="AJ550" s="207"/>
      <c r="AK550" s="207"/>
      <c r="AL550" s="207"/>
      <c r="AM550" s="207"/>
      <c r="AN550" s="207"/>
      <c r="AO550" s="207"/>
      <c r="AP550" s="207"/>
      <c r="AQ550" s="207"/>
      <c r="AR550" s="207"/>
      <c r="AS550" s="207"/>
      <c r="AT550" s="207"/>
      <c r="AU550" s="207"/>
      <c r="AV550" s="207"/>
      <c r="AW550" s="207"/>
      <c r="AX550" s="207"/>
      <c r="AY550" s="207"/>
      <c r="AZ550" s="207"/>
      <c r="BA550" s="207"/>
    </row>
    <row r="551" ht="18.75" hidden="1" customHeight="1">
      <c r="A551" s="207"/>
      <c r="B551" s="207"/>
      <c r="C551" s="207"/>
      <c r="D551" s="207"/>
      <c r="E551" s="207"/>
      <c r="F551" s="207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  <c r="AA551" s="207"/>
      <c r="AB551" s="207"/>
      <c r="AC551" s="207"/>
      <c r="AD551" s="207"/>
      <c r="AE551" s="207"/>
      <c r="AF551" s="207"/>
      <c r="AG551" s="207"/>
      <c r="AH551" s="207"/>
      <c r="AI551" s="207"/>
      <c r="AJ551" s="207"/>
      <c r="AK551" s="207"/>
      <c r="AL551" s="207"/>
      <c r="AM551" s="207"/>
      <c r="AN551" s="207"/>
      <c r="AO551" s="207"/>
      <c r="AP551" s="207"/>
      <c r="AQ551" s="207"/>
      <c r="AR551" s="207"/>
      <c r="AS551" s="207"/>
      <c r="AT551" s="207"/>
      <c r="AU551" s="207"/>
      <c r="AV551" s="207"/>
      <c r="AW551" s="207"/>
      <c r="AX551" s="207"/>
      <c r="AY551" s="207"/>
      <c r="AZ551" s="207"/>
      <c r="BA551" s="207"/>
    </row>
    <row r="552" ht="18.75" hidden="1" customHeight="1">
      <c r="A552" s="207"/>
      <c r="B552" s="207"/>
      <c r="C552" s="207"/>
      <c r="D552" s="207"/>
      <c r="E552" s="207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  <c r="AA552" s="207"/>
      <c r="AB552" s="207"/>
      <c r="AC552" s="207"/>
      <c r="AD552" s="207"/>
      <c r="AE552" s="207"/>
      <c r="AF552" s="207"/>
      <c r="AG552" s="207"/>
      <c r="AH552" s="207"/>
      <c r="AI552" s="207"/>
      <c r="AJ552" s="207"/>
      <c r="AK552" s="207"/>
      <c r="AL552" s="207"/>
      <c r="AM552" s="207"/>
      <c r="AN552" s="207"/>
      <c r="AO552" s="207"/>
      <c r="AP552" s="207"/>
      <c r="AQ552" s="207"/>
      <c r="AR552" s="207"/>
      <c r="AS552" s="207"/>
      <c r="AT552" s="207"/>
      <c r="AU552" s="207"/>
      <c r="AV552" s="207"/>
      <c r="AW552" s="207"/>
      <c r="AX552" s="207"/>
      <c r="AY552" s="207"/>
      <c r="AZ552" s="207"/>
      <c r="BA552" s="207"/>
    </row>
    <row r="553" ht="18.75" hidden="1" customHeight="1">
      <c r="A553" s="207"/>
      <c r="B553" s="207"/>
      <c r="C553" s="207"/>
      <c r="D553" s="207"/>
      <c r="E553" s="207"/>
      <c r="F553" s="207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  <c r="AA553" s="207"/>
      <c r="AB553" s="207"/>
      <c r="AC553" s="207"/>
      <c r="AD553" s="207"/>
      <c r="AE553" s="207"/>
      <c r="AF553" s="207"/>
      <c r="AG553" s="207"/>
      <c r="AH553" s="207"/>
      <c r="AI553" s="207"/>
      <c r="AJ553" s="207"/>
      <c r="AK553" s="207"/>
      <c r="AL553" s="207"/>
      <c r="AM553" s="207"/>
      <c r="AN553" s="207"/>
      <c r="AO553" s="207"/>
      <c r="AP553" s="207"/>
      <c r="AQ553" s="207"/>
      <c r="AR553" s="207"/>
      <c r="AS553" s="207"/>
      <c r="AT553" s="207"/>
      <c r="AU553" s="207"/>
      <c r="AV553" s="207"/>
      <c r="AW553" s="207"/>
      <c r="AX553" s="207"/>
      <c r="AY553" s="207"/>
      <c r="AZ553" s="207"/>
      <c r="BA553" s="207"/>
    </row>
    <row r="554" ht="18.75" hidden="1" customHeight="1">
      <c r="A554" s="207"/>
      <c r="B554" s="207"/>
      <c r="C554" s="207"/>
      <c r="D554" s="207"/>
      <c r="E554" s="207"/>
      <c r="F554" s="207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  <c r="AA554" s="207"/>
      <c r="AB554" s="207"/>
      <c r="AC554" s="207"/>
      <c r="AD554" s="207"/>
      <c r="AE554" s="207"/>
      <c r="AF554" s="207"/>
      <c r="AG554" s="207"/>
      <c r="AH554" s="207"/>
      <c r="AI554" s="207"/>
      <c r="AJ554" s="207"/>
      <c r="AK554" s="207"/>
      <c r="AL554" s="207"/>
      <c r="AM554" s="207"/>
      <c r="AN554" s="207"/>
      <c r="AO554" s="207"/>
      <c r="AP554" s="207"/>
      <c r="AQ554" s="207"/>
      <c r="AR554" s="207"/>
      <c r="AS554" s="207"/>
      <c r="AT554" s="207"/>
      <c r="AU554" s="207"/>
      <c r="AV554" s="207"/>
      <c r="AW554" s="207"/>
      <c r="AX554" s="207"/>
      <c r="AY554" s="207"/>
      <c r="AZ554" s="207"/>
      <c r="BA554" s="207"/>
    </row>
    <row r="555" ht="18.75" hidden="1" customHeight="1">
      <c r="A555" s="207"/>
      <c r="B555" s="207"/>
      <c r="C555" s="207"/>
      <c r="D555" s="207"/>
      <c r="E555" s="207"/>
      <c r="F555" s="207"/>
      <c r="G555" s="207"/>
      <c r="H555" s="207"/>
      <c r="I555" s="207"/>
      <c r="J555" s="207"/>
      <c r="K555" s="207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  <c r="AA555" s="207"/>
      <c r="AB555" s="207"/>
      <c r="AC555" s="207"/>
      <c r="AD555" s="207"/>
      <c r="AE555" s="207"/>
      <c r="AF555" s="207"/>
      <c r="AG555" s="207"/>
      <c r="AH555" s="207"/>
      <c r="AI555" s="207"/>
      <c r="AJ555" s="207"/>
      <c r="AK555" s="207"/>
      <c r="AL555" s="207"/>
      <c r="AM555" s="207"/>
      <c r="AN555" s="207"/>
      <c r="AO555" s="207"/>
      <c r="AP555" s="207"/>
      <c r="AQ555" s="207"/>
      <c r="AR555" s="207"/>
      <c r="AS555" s="207"/>
      <c r="AT555" s="207"/>
      <c r="AU555" s="207"/>
      <c r="AV555" s="207"/>
      <c r="AW555" s="207"/>
      <c r="AX555" s="207"/>
      <c r="AY555" s="207"/>
      <c r="AZ555" s="207"/>
      <c r="BA555" s="207"/>
    </row>
    <row r="556" ht="18.75" hidden="1" customHeight="1">
      <c r="A556" s="207"/>
      <c r="B556" s="207"/>
      <c r="C556" s="207"/>
      <c r="D556" s="207"/>
      <c r="E556" s="207"/>
      <c r="F556" s="207"/>
      <c r="G556" s="207"/>
      <c r="H556" s="207"/>
      <c r="I556" s="207"/>
      <c r="J556" s="207"/>
      <c r="K556" s="207"/>
      <c r="L556" s="207"/>
      <c r="M556" s="207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  <c r="AA556" s="207"/>
      <c r="AB556" s="207"/>
      <c r="AC556" s="207"/>
      <c r="AD556" s="207"/>
      <c r="AE556" s="207"/>
      <c r="AF556" s="207"/>
      <c r="AG556" s="207"/>
      <c r="AH556" s="207"/>
      <c r="AI556" s="207"/>
      <c r="AJ556" s="207"/>
      <c r="AK556" s="207"/>
      <c r="AL556" s="207"/>
      <c r="AM556" s="207"/>
      <c r="AN556" s="207"/>
      <c r="AO556" s="207"/>
      <c r="AP556" s="207"/>
      <c r="AQ556" s="207"/>
      <c r="AR556" s="207"/>
      <c r="AS556" s="207"/>
      <c r="AT556" s="207"/>
      <c r="AU556" s="207"/>
      <c r="AV556" s="207"/>
      <c r="AW556" s="207"/>
      <c r="AX556" s="207"/>
      <c r="AY556" s="207"/>
      <c r="AZ556" s="207"/>
      <c r="BA556" s="207"/>
    </row>
    <row r="557" ht="18.75" hidden="1" customHeight="1">
      <c r="A557" s="207"/>
      <c r="B557" s="207"/>
      <c r="C557" s="207"/>
      <c r="D557" s="207"/>
      <c r="E557" s="207"/>
      <c r="F557" s="207"/>
      <c r="G557" s="207"/>
      <c r="H557" s="207"/>
      <c r="I557" s="207"/>
      <c r="J557" s="207"/>
      <c r="K557" s="207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  <c r="AA557" s="207"/>
      <c r="AB557" s="207"/>
      <c r="AC557" s="207"/>
      <c r="AD557" s="207"/>
      <c r="AE557" s="207"/>
      <c r="AF557" s="207"/>
      <c r="AG557" s="207"/>
      <c r="AH557" s="207"/>
      <c r="AI557" s="207"/>
      <c r="AJ557" s="207"/>
      <c r="AK557" s="207"/>
      <c r="AL557" s="207"/>
      <c r="AM557" s="207"/>
      <c r="AN557" s="207"/>
      <c r="AO557" s="207"/>
      <c r="AP557" s="207"/>
      <c r="AQ557" s="207"/>
      <c r="AR557" s="207"/>
      <c r="AS557" s="207"/>
      <c r="AT557" s="207"/>
      <c r="AU557" s="207"/>
      <c r="AV557" s="207"/>
      <c r="AW557" s="207"/>
      <c r="AX557" s="207"/>
      <c r="AY557" s="207"/>
      <c r="AZ557" s="207"/>
      <c r="BA557" s="207"/>
    </row>
    <row r="558" ht="18.75" hidden="1" customHeight="1">
      <c r="A558" s="207"/>
      <c r="B558" s="207"/>
      <c r="C558" s="207"/>
      <c r="D558" s="207"/>
      <c r="E558" s="207"/>
      <c r="F558" s="207"/>
      <c r="G558" s="207"/>
      <c r="H558" s="207"/>
      <c r="I558" s="207"/>
      <c r="J558" s="207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  <c r="AA558" s="207"/>
      <c r="AB558" s="207"/>
      <c r="AC558" s="207"/>
      <c r="AD558" s="207"/>
      <c r="AE558" s="207"/>
      <c r="AF558" s="207"/>
      <c r="AG558" s="207"/>
      <c r="AH558" s="207"/>
      <c r="AI558" s="207"/>
      <c r="AJ558" s="207"/>
      <c r="AK558" s="207"/>
      <c r="AL558" s="207"/>
      <c r="AM558" s="207"/>
      <c r="AN558" s="207"/>
      <c r="AO558" s="207"/>
      <c r="AP558" s="207"/>
      <c r="AQ558" s="207"/>
      <c r="AR558" s="207"/>
      <c r="AS558" s="207"/>
      <c r="AT558" s="207"/>
      <c r="AU558" s="207"/>
      <c r="AV558" s="207"/>
      <c r="AW558" s="207"/>
      <c r="AX558" s="207"/>
      <c r="AY558" s="207"/>
      <c r="AZ558" s="207"/>
      <c r="BA558" s="207"/>
    </row>
    <row r="559" ht="18.75" hidden="1" customHeight="1">
      <c r="A559" s="207"/>
      <c r="B559" s="207"/>
      <c r="C559" s="207"/>
      <c r="D559" s="207"/>
      <c r="E559" s="207"/>
      <c r="F559" s="207"/>
      <c r="G559" s="207"/>
      <c r="H559" s="207"/>
      <c r="I559" s="207"/>
      <c r="J559" s="207"/>
      <c r="K559" s="207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  <c r="AA559" s="207"/>
      <c r="AB559" s="207"/>
      <c r="AC559" s="207"/>
      <c r="AD559" s="207"/>
      <c r="AE559" s="207"/>
      <c r="AF559" s="207"/>
      <c r="AG559" s="207"/>
      <c r="AH559" s="207"/>
      <c r="AI559" s="207"/>
      <c r="AJ559" s="207"/>
      <c r="AK559" s="207"/>
      <c r="AL559" s="207"/>
      <c r="AM559" s="207"/>
      <c r="AN559" s="207"/>
      <c r="AO559" s="207"/>
      <c r="AP559" s="207"/>
      <c r="AQ559" s="207"/>
      <c r="AR559" s="207"/>
      <c r="AS559" s="207"/>
      <c r="AT559" s="207"/>
      <c r="AU559" s="207"/>
      <c r="AV559" s="207"/>
      <c r="AW559" s="207"/>
      <c r="AX559" s="207"/>
      <c r="AY559" s="207"/>
      <c r="AZ559" s="207"/>
      <c r="BA559" s="207"/>
    </row>
    <row r="560" ht="18.75" hidden="1" customHeight="1">
      <c r="A560" s="207"/>
      <c r="B560" s="207"/>
      <c r="C560" s="207"/>
      <c r="D560" s="207"/>
      <c r="E560" s="207"/>
      <c r="F560" s="207"/>
      <c r="G560" s="207"/>
      <c r="H560" s="207"/>
      <c r="I560" s="207"/>
      <c r="J560" s="207"/>
      <c r="K560" s="207"/>
      <c r="L560" s="207"/>
      <c r="M560" s="207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  <c r="AA560" s="207"/>
      <c r="AB560" s="207"/>
      <c r="AC560" s="207"/>
      <c r="AD560" s="207"/>
      <c r="AE560" s="207"/>
      <c r="AF560" s="207"/>
      <c r="AG560" s="207"/>
      <c r="AH560" s="207"/>
      <c r="AI560" s="207"/>
      <c r="AJ560" s="207"/>
      <c r="AK560" s="207"/>
      <c r="AL560" s="207"/>
      <c r="AM560" s="207"/>
      <c r="AN560" s="207"/>
      <c r="AO560" s="207"/>
      <c r="AP560" s="207"/>
      <c r="AQ560" s="207"/>
      <c r="AR560" s="207"/>
      <c r="AS560" s="207"/>
      <c r="AT560" s="207"/>
      <c r="AU560" s="207"/>
      <c r="AV560" s="207"/>
      <c r="AW560" s="207"/>
      <c r="AX560" s="207"/>
      <c r="AY560" s="207"/>
      <c r="AZ560" s="207"/>
      <c r="BA560" s="207"/>
    </row>
    <row r="561" ht="18.75" hidden="1" customHeight="1">
      <c r="A561" s="207"/>
      <c r="B561" s="207"/>
      <c r="C561" s="207"/>
      <c r="D561" s="207"/>
      <c r="E561" s="207"/>
      <c r="F561" s="207"/>
      <c r="G561" s="207"/>
      <c r="H561" s="207"/>
      <c r="I561" s="207"/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  <c r="AA561" s="207"/>
      <c r="AB561" s="207"/>
      <c r="AC561" s="207"/>
      <c r="AD561" s="207"/>
      <c r="AE561" s="207"/>
      <c r="AF561" s="207"/>
      <c r="AG561" s="207"/>
      <c r="AH561" s="207"/>
      <c r="AI561" s="207"/>
      <c r="AJ561" s="207"/>
      <c r="AK561" s="207"/>
      <c r="AL561" s="207"/>
      <c r="AM561" s="207"/>
      <c r="AN561" s="207"/>
      <c r="AO561" s="207"/>
      <c r="AP561" s="207"/>
      <c r="AQ561" s="207"/>
      <c r="AR561" s="207"/>
      <c r="AS561" s="207"/>
      <c r="AT561" s="207"/>
      <c r="AU561" s="207"/>
      <c r="AV561" s="207"/>
      <c r="AW561" s="207"/>
      <c r="AX561" s="207"/>
      <c r="AY561" s="207"/>
      <c r="AZ561" s="207"/>
      <c r="BA561" s="207"/>
    </row>
    <row r="562" ht="18.75" hidden="1" customHeight="1">
      <c r="A562" s="207"/>
      <c r="B562" s="207"/>
      <c r="C562" s="207"/>
      <c r="D562" s="207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  <c r="AA562" s="207"/>
      <c r="AB562" s="207"/>
      <c r="AC562" s="207"/>
      <c r="AD562" s="207"/>
      <c r="AE562" s="207"/>
      <c r="AF562" s="207"/>
      <c r="AG562" s="207"/>
      <c r="AH562" s="207"/>
      <c r="AI562" s="207"/>
      <c r="AJ562" s="207"/>
      <c r="AK562" s="207"/>
      <c r="AL562" s="207"/>
      <c r="AM562" s="207"/>
      <c r="AN562" s="207"/>
      <c r="AO562" s="207"/>
      <c r="AP562" s="207"/>
      <c r="AQ562" s="207"/>
      <c r="AR562" s="207"/>
      <c r="AS562" s="207"/>
      <c r="AT562" s="207"/>
      <c r="AU562" s="207"/>
      <c r="AV562" s="207"/>
      <c r="AW562" s="207"/>
      <c r="AX562" s="207"/>
      <c r="AY562" s="207"/>
      <c r="AZ562" s="207"/>
      <c r="BA562" s="207"/>
    </row>
    <row r="563" ht="18.75" hidden="1" customHeight="1">
      <c r="A563" s="207"/>
      <c r="B563" s="207"/>
      <c r="C563" s="207"/>
      <c r="D563" s="207"/>
      <c r="E563" s="207"/>
      <c r="F563" s="207"/>
      <c r="G563" s="207"/>
      <c r="H563" s="207"/>
      <c r="I563" s="207"/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  <c r="AA563" s="207"/>
      <c r="AB563" s="207"/>
      <c r="AC563" s="207"/>
      <c r="AD563" s="207"/>
      <c r="AE563" s="207"/>
      <c r="AF563" s="207"/>
      <c r="AG563" s="207"/>
      <c r="AH563" s="207"/>
      <c r="AI563" s="207"/>
      <c r="AJ563" s="207"/>
      <c r="AK563" s="207"/>
      <c r="AL563" s="207"/>
      <c r="AM563" s="207"/>
      <c r="AN563" s="207"/>
      <c r="AO563" s="207"/>
      <c r="AP563" s="207"/>
      <c r="AQ563" s="207"/>
      <c r="AR563" s="207"/>
      <c r="AS563" s="207"/>
      <c r="AT563" s="207"/>
      <c r="AU563" s="207"/>
      <c r="AV563" s="207"/>
      <c r="AW563" s="207"/>
      <c r="AX563" s="207"/>
      <c r="AY563" s="207"/>
      <c r="AZ563" s="207"/>
      <c r="BA563" s="207"/>
    </row>
    <row r="564" ht="18.75" hidden="1" customHeight="1">
      <c r="A564" s="207"/>
      <c r="B564" s="207"/>
      <c r="C564" s="207"/>
      <c r="D564" s="207"/>
      <c r="E564" s="207"/>
      <c r="F564" s="207"/>
      <c r="G564" s="207"/>
      <c r="H564" s="207"/>
      <c r="I564" s="207"/>
      <c r="J564" s="207"/>
      <c r="K564" s="207"/>
      <c r="L564" s="207"/>
      <c r="M564" s="207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  <c r="AA564" s="207"/>
      <c r="AB564" s="207"/>
      <c r="AC564" s="207"/>
      <c r="AD564" s="207"/>
      <c r="AE564" s="207"/>
      <c r="AF564" s="207"/>
      <c r="AG564" s="207"/>
      <c r="AH564" s="207"/>
      <c r="AI564" s="207"/>
      <c r="AJ564" s="207"/>
      <c r="AK564" s="207"/>
      <c r="AL564" s="207"/>
      <c r="AM564" s="207"/>
      <c r="AN564" s="207"/>
      <c r="AO564" s="207"/>
      <c r="AP564" s="207"/>
      <c r="AQ564" s="207"/>
      <c r="AR564" s="207"/>
      <c r="AS564" s="207"/>
      <c r="AT564" s="207"/>
      <c r="AU564" s="207"/>
      <c r="AV564" s="207"/>
      <c r="AW564" s="207"/>
      <c r="AX564" s="207"/>
      <c r="AY564" s="207"/>
      <c r="AZ564" s="207"/>
      <c r="BA564" s="207"/>
    </row>
    <row r="565" ht="18.75" hidden="1" customHeight="1">
      <c r="A565" s="207"/>
      <c r="B565" s="207"/>
      <c r="C565" s="207"/>
      <c r="D565" s="207"/>
      <c r="E565" s="207"/>
      <c r="F565" s="207"/>
      <c r="G565" s="207"/>
      <c r="H565" s="207"/>
      <c r="I565" s="207"/>
      <c r="J565" s="207"/>
      <c r="K565" s="207"/>
      <c r="L565" s="207"/>
      <c r="M565" s="207"/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  <c r="AA565" s="207"/>
      <c r="AB565" s="207"/>
      <c r="AC565" s="207"/>
      <c r="AD565" s="207"/>
      <c r="AE565" s="207"/>
      <c r="AF565" s="207"/>
      <c r="AG565" s="207"/>
      <c r="AH565" s="207"/>
      <c r="AI565" s="207"/>
      <c r="AJ565" s="207"/>
      <c r="AK565" s="207"/>
      <c r="AL565" s="207"/>
      <c r="AM565" s="207"/>
      <c r="AN565" s="207"/>
      <c r="AO565" s="207"/>
      <c r="AP565" s="207"/>
      <c r="AQ565" s="207"/>
      <c r="AR565" s="207"/>
      <c r="AS565" s="207"/>
      <c r="AT565" s="207"/>
      <c r="AU565" s="207"/>
      <c r="AV565" s="207"/>
      <c r="AW565" s="207"/>
      <c r="AX565" s="207"/>
      <c r="AY565" s="207"/>
      <c r="AZ565" s="207"/>
      <c r="BA565" s="207"/>
    </row>
    <row r="566" ht="18.75" hidden="1" customHeight="1">
      <c r="A566" s="207"/>
      <c r="B566" s="207"/>
      <c r="C566" s="207"/>
      <c r="D566" s="207"/>
      <c r="E566" s="207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  <c r="AA566" s="207"/>
      <c r="AB566" s="207"/>
      <c r="AC566" s="207"/>
      <c r="AD566" s="207"/>
      <c r="AE566" s="207"/>
      <c r="AF566" s="207"/>
      <c r="AG566" s="207"/>
      <c r="AH566" s="207"/>
      <c r="AI566" s="207"/>
      <c r="AJ566" s="207"/>
      <c r="AK566" s="207"/>
      <c r="AL566" s="207"/>
      <c r="AM566" s="207"/>
      <c r="AN566" s="207"/>
      <c r="AO566" s="207"/>
      <c r="AP566" s="207"/>
      <c r="AQ566" s="207"/>
      <c r="AR566" s="207"/>
      <c r="AS566" s="207"/>
      <c r="AT566" s="207"/>
      <c r="AU566" s="207"/>
      <c r="AV566" s="207"/>
      <c r="AW566" s="207"/>
      <c r="AX566" s="207"/>
      <c r="AY566" s="207"/>
      <c r="AZ566" s="207"/>
      <c r="BA566" s="207"/>
    </row>
    <row r="567" ht="18.75" hidden="1" customHeight="1">
      <c r="A567" s="207"/>
      <c r="B567" s="207"/>
      <c r="C567" s="207"/>
      <c r="D567" s="207"/>
      <c r="E567" s="207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  <c r="AA567" s="207"/>
      <c r="AB567" s="207"/>
      <c r="AC567" s="207"/>
      <c r="AD567" s="207"/>
      <c r="AE567" s="207"/>
      <c r="AF567" s="207"/>
      <c r="AG567" s="207"/>
      <c r="AH567" s="207"/>
      <c r="AI567" s="207"/>
      <c r="AJ567" s="207"/>
      <c r="AK567" s="207"/>
      <c r="AL567" s="207"/>
      <c r="AM567" s="207"/>
      <c r="AN567" s="207"/>
      <c r="AO567" s="207"/>
      <c r="AP567" s="207"/>
      <c r="AQ567" s="207"/>
      <c r="AR567" s="207"/>
      <c r="AS567" s="207"/>
      <c r="AT567" s="207"/>
      <c r="AU567" s="207"/>
      <c r="AV567" s="207"/>
      <c r="AW567" s="207"/>
      <c r="AX567" s="207"/>
      <c r="AY567" s="207"/>
      <c r="AZ567" s="207"/>
      <c r="BA567" s="207"/>
    </row>
    <row r="568" ht="18.75" hidden="1" customHeight="1">
      <c r="A568" s="207"/>
      <c r="B568" s="207"/>
      <c r="C568" s="207"/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  <c r="AA568" s="207"/>
      <c r="AB568" s="207"/>
      <c r="AC568" s="207"/>
      <c r="AD568" s="207"/>
      <c r="AE568" s="207"/>
      <c r="AF568" s="207"/>
      <c r="AG568" s="207"/>
      <c r="AH568" s="207"/>
      <c r="AI568" s="207"/>
      <c r="AJ568" s="207"/>
      <c r="AK568" s="207"/>
      <c r="AL568" s="207"/>
      <c r="AM568" s="207"/>
      <c r="AN568" s="207"/>
      <c r="AO568" s="207"/>
      <c r="AP568" s="207"/>
      <c r="AQ568" s="207"/>
      <c r="AR568" s="207"/>
      <c r="AS568" s="207"/>
      <c r="AT568" s="207"/>
      <c r="AU568" s="207"/>
      <c r="AV568" s="207"/>
      <c r="AW568" s="207"/>
      <c r="AX568" s="207"/>
      <c r="AY568" s="207"/>
      <c r="AZ568" s="207"/>
      <c r="BA568" s="207"/>
    </row>
    <row r="569" ht="18.75" hidden="1" customHeight="1">
      <c r="A569" s="207"/>
      <c r="B569" s="207"/>
      <c r="C569" s="207"/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  <c r="AA569" s="207"/>
      <c r="AB569" s="207"/>
      <c r="AC569" s="207"/>
      <c r="AD569" s="207"/>
      <c r="AE569" s="207"/>
      <c r="AF569" s="207"/>
      <c r="AG569" s="207"/>
      <c r="AH569" s="207"/>
      <c r="AI569" s="207"/>
      <c r="AJ569" s="207"/>
      <c r="AK569" s="207"/>
      <c r="AL569" s="207"/>
      <c r="AM569" s="207"/>
      <c r="AN569" s="207"/>
      <c r="AO569" s="207"/>
      <c r="AP569" s="207"/>
      <c r="AQ569" s="207"/>
      <c r="AR569" s="207"/>
      <c r="AS569" s="207"/>
      <c r="AT569" s="207"/>
      <c r="AU569" s="207"/>
      <c r="AV569" s="207"/>
      <c r="AW569" s="207"/>
      <c r="AX569" s="207"/>
      <c r="AY569" s="207"/>
      <c r="AZ569" s="207"/>
      <c r="BA569" s="207"/>
    </row>
    <row r="570" ht="18.75" hidden="1" customHeight="1">
      <c r="A570" s="207"/>
      <c r="B570" s="207"/>
      <c r="C570" s="207"/>
      <c r="D570" s="207"/>
      <c r="E570" s="207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  <c r="AA570" s="207"/>
      <c r="AB570" s="207"/>
      <c r="AC570" s="207"/>
      <c r="AD570" s="207"/>
      <c r="AE570" s="207"/>
      <c r="AF570" s="207"/>
      <c r="AG570" s="207"/>
      <c r="AH570" s="207"/>
      <c r="AI570" s="207"/>
      <c r="AJ570" s="207"/>
      <c r="AK570" s="207"/>
      <c r="AL570" s="207"/>
      <c r="AM570" s="207"/>
      <c r="AN570" s="207"/>
      <c r="AO570" s="207"/>
      <c r="AP570" s="207"/>
      <c r="AQ570" s="207"/>
      <c r="AR570" s="207"/>
      <c r="AS570" s="207"/>
      <c r="AT570" s="207"/>
      <c r="AU570" s="207"/>
      <c r="AV570" s="207"/>
      <c r="AW570" s="207"/>
      <c r="AX570" s="207"/>
      <c r="AY570" s="207"/>
      <c r="AZ570" s="207"/>
      <c r="BA570" s="207"/>
    </row>
    <row r="571" ht="18.75" hidden="1" customHeight="1">
      <c r="A571" s="207"/>
      <c r="B571" s="207"/>
      <c r="C571" s="207"/>
      <c r="D571" s="207"/>
      <c r="E571" s="207"/>
      <c r="F571" s="207"/>
      <c r="G571" s="207"/>
      <c r="H571" s="207"/>
      <c r="I571" s="207"/>
      <c r="J571" s="207"/>
      <c r="K571" s="207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  <c r="AA571" s="207"/>
      <c r="AB571" s="207"/>
      <c r="AC571" s="207"/>
      <c r="AD571" s="207"/>
      <c r="AE571" s="207"/>
      <c r="AF571" s="207"/>
      <c r="AG571" s="207"/>
      <c r="AH571" s="207"/>
      <c r="AI571" s="207"/>
      <c r="AJ571" s="207"/>
      <c r="AK571" s="207"/>
      <c r="AL571" s="207"/>
      <c r="AM571" s="207"/>
      <c r="AN571" s="207"/>
      <c r="AO571" s="207"/>
      <c r="AP571" s="207"/>
      <c r="AQ571" s="207"/>
      <c r="AR571" s="207"/>
      <c r="AS571" s="207"/>
      <c r="AT571" s="207"/>
      <c r="AU571" s="207"/>
      <c r="AV571" s="207"/>
      <c r="AW571" s="207"/>
      <c r="AX571" s="207"/>
      <c r="AY571" s="207"/>
      <c r="AZ571" s="207"/>
      <c r="BA571" s="207"/>
    </row>
    <row r="572" ht="18.75" hidden="1" customHeight="1">
      <c r="A572" s="207"/>
      <c r="B572" s="207"/>
      <c r="C572" s="207"/>
      <c r="D572" s="207"/>
      <c r="E572" s="207"/>
      <c r="F572" s="207"/>
      <c r="G572" s="207"/>
      <c r="H572" s="207"/>
      <c r="I572" s="207"/>
      <c r="J572" s="207"/>
      <c r="K572" s="207"/>
      <c r="L572" s="207"/>
      <c r="M572" s="207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  <c r="AA572" s="207"/>
      <c r="AB572" s="207"/>
      <c r="AC572" s="207"/>
      <c r="AD572" s="207"/>
      <c r="AE572" s="207"/>
      <c r="AF572" s="207"/>
      <c r="AG572" s="207"/>
      <c r="AH572" s="207"/>
      <c r="AI572" s="207"/>
      <c r="AJ572" s="207"/>
      <c r="AK572" s="207"/>
      <c r="AL572" s="207"/>
      <c r="AM572" s="207"/>
      <c r="AN572" s="207"/>
      <c r="AO572" s="207"/>
      <c r="AP572" s="207"/>
      <c r="AQ572" s="207"/>
      <c r="AR572" s="207"/>
      <c r="AS572" s="207"/>
      <c r="AT572" s="207"/>
      <c r="AU572" s="207"/>
      <c r="AV572" s="207"/>
      <c r="AW572" s="207"/>
      <c r="AX572" s="207"/>
      <c r="AY572" s="207"/>
      <c r="AZ572" s="207"/>
      <c r="BA572" s="207"/>
    </row>
    <row r="573" ht="18.75" hidden="1" customHeight="1">
      <c r="A573" s="207"/>
      <c r="B573" s="207"/>
      <c r="C573" s="207"/>
      <c r="D573" s="207"/>
      <c r="E573" s="207"/>
      <c r="F573" s="207"/>
      <c r="G573" s="207"/>
      <c r="H573" s="207"/>
      <c r="I573" s="207"/>
      <c r="J573" s="207"/>
      <c r="K573" s="207"/>
      <c r="L573" s="207"/>
      <c r="M573" s="207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  <c r="AA573" s="207"/>
      <c r="AB573" s="207"/>
      <c r="AC573" s="207"/>
      <c r="AD573" s="207"/>
      <c r="AE573" s="207"/>
      <c r="AF573" s="207"/>
      <c r="AG573" s="207"/>
      <c r="AH573" s="207"/>
      <c r="AI573" s="207"/>
      <c r="AJ573" s="207"/>
      <c r="AK573" s="207"/>
      <c r="AL573" s="207"/>
      <c r="AM573" s="207"/>
      <c r="AN573" s="207"/>
      <c r="AO573" s="207"/>
      <c r="AP573" s="207"/>
      <c r="AQ573" s="207"/>
      <c r="AR573" s="207"/>
      <c r="AS573" s="207"/>
      <c r="AT573" s="207"/>
      <c r="AU573" s="207"/>
      <c r="AV573" s="207"/>
      <c r="AW573" s="207"/>
      <c r="AX573" s="207"/>
      <c r="AY573" s="207"/>
      <c r="AZ573" s="207"/>
      <c r="BA573" s="207"/>
    </row>
    <row r="574" ht="18.75" hidden="1" customHeight="1">
      <c r="A574" s="207"/>
      <c r="B574" s="207"/>
      <c r="C574" s="207"/>
      <c r="D574" s="207"/>
      <c r="E574" s="207"/>
      <c r="F574" s="207"/>
      <c r="G574" s="207"/>
      <c r="H574" s="207"/>
      <c r="I574" s="207"/>
      <c r="J574" s="207"/>
      <c r="K574" s="207"/>
      <c r="L574" s="207"/>
      <c r="M574" s="207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  <c r="AA574" s="207"/>
      <c r="AB574" s="207"/>
      <c r="AC574" s="207"/>
      <c r="AD574" s="207"/>
      <c r="AE574" s="207"/>
      <c r="AF574" s="207"/>
      <c r="AG574" s="207"/>
      <c r="AH574" s="207"/>
      <c r="AI574" s="207"/>
      <c r="AJ574" s="207"/>
      <c r="AK574" s="207"/>
      <c r="AL574" s="207"/>
      <c r="AM574" s="207"/>
      <c r="AN574" s="207"/>
      <c r="AO574" s="207"/>
      <c r="AP574" s="207"/>
      <c r="AQ574" s="207"/>
      <c r="AR574" s="207"/>
      <c r="AS574" s="207"/>
      <c r="AT574" s="207"/>
      <c r="AU574" s="207"/>
      <c r="AV574" s="207"/>
      <c r="AW574" s="207"/>
      <c r="AX574" s="207"/>
      <c r="AY574" s="207"/>
      <c r="AZ574" s="207"/>
      <c r="BA574" s="207"/>
    </row>
    <row r="575" ht="18.75" hidden="1" customHeight="1">
      <c r="A575" s="207"/>
      <c r="B575" s="207"/>
      <c r="C575" s="207"/>
      <c r="D575" s="207"/>
      <c r="E575" s="207"/>
      <c r="F575" s="207"/>
      <c r="G575" s="207"/>
      <c r="H575" s="207"/>
      <c r="I575" s="207"/>
      <c r="J575" s="207"/>
      <c r="K575" s="207"/>
      <c r="L575" s="207"/>
      <c r="M575" s="207"/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  <c r="AA575" s="207"/>
      <c r="AB575" s="207"/>
      <c r="AC575" s="207"/>
      <c r="AD575" s="207"/>
      <c r="AE575" s="207"/>
      <c r="AF575" s="207"/>
      <c r="AG575" s="207"/>
      <c r="AH575" s="207"/>
      <c r="AI575" s="207"/>
      <c r="AJ575" s="207"/>
      <c r="AK575" s="207"/>
      <c r="AL575" s="207"/>
      <c r="AM575" s="207"/>
      <c r="AN575" s="207"/>
      <c r="AO575" s="207"/>
      <c r="AP575" s="207"/>
      <c r="AQ575" s="207"/>
      <c r="AR575" s="207"/>
      <c r="AS575" s="207"/>
      <c r="AT575" s="207"/>
      <c r="AU575" s="207"/>
      <c r="AV575" s="207"/>
      <c r="AW575" s="207"/>
      <c r="AX575" s="207"/>
      <c r="AY575" s="207"/>
      <c r="AZ575" s="207"/>
      <c r="BA575" s="207"/>
    </row>
    <row r="576" ht="18.75" hidden="1" customHeight="1">
      <c r="A576" s="207"/>
      <c r="B576" s="207"/>
      <c r="C576" s="207"/>
      <c r="D576" s="207"/>
      <c r="E576" s="207"/>
      <c r="F576" s="207"/>
      <c r="G576" s="207"/>
      <c r="H576" s="207"/>
      <c r="I576" s="207"/>
      <c r="J576" s="207"/>
      <c r="K576" s="207"/>
      <c r="L576" s="207"/>
      <c r="M576" s="207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  <c r="AA576" s="207"/>
      <c r="AB576" s="207"/>
      <c r="AC576" s="207"/>
      <c r="AD576" s="207"/>
      <c r="AE576" s="207"/>
      <c r="AF576" s="207"/>
      <c r="AG576" s="207"/>
      <c r="AH576" s="207"/>
      <c r="AI576" s="207"/>
      <c r="AJ576" s="207"/>
      <c r="AK576" s="207"/>
      <c r="AL576" s="207"/>
      <c r="AM576" s="207"/>
      <c r="AN576" s="207"/>
      <c r="AO576" s="207"/>
      <c r="AP576" s="207"/>
      <c r="AQ576" s="207"/>
      <c r="AR576" s="207"/>
      <c r="AS576" s="207"/>
      <c r="AT576" s="207"/>
      <c r="AU576" s="207"/>
      <c r="AV576" s="207"/>
      <c r="AW576" s="207"/>
      <c r="AX576" s="207"/>
      <c r="AY576" s="207"/>
      <c r="AZ576" s="207"/>
      <c r="BA576" s="207"/>
    </row>
    <row r="577" ht="18.75" hidden="1" customHeight="1">
      <c r="A577" s="207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  <c r="AA577" s="207"/>
      <c r="AB577" s="207"/>
      <c r="AC577" s="207"/>
      <c r="AD577" s="207"/>
      <c r="AE577" s="207"/>
      <c r="AF577" s="207"/>
      <c r="AG577" s="207"/>
      <c r="AH577" s="207"/>
      <c r="AI577" s="207"/>
      <c r="AJ577" s="207"/>
      <c r="AK577" s="207"/>
      <c r="AL577" s="207"/>
      <c r="AM577" s="207"/>
      <c r="AN577" s="207"/>
      <c r="AO577" s="207"/>
      <c r="AP577" s="207"/>
      <c r="AQ577" s="207"/>
      <c r="AR577" s="207"/>
      <c r="AS577" s="207"/>
      <c r="AT577" s="207"/>
      <c r="AU577" s="207"/>
      <c r="AV577" s="207"/>
      <c r="AW577" s="207"/>
      <c r="AX577" s="207"/>
      <c r="AY577" s="207"/>
      <c r="AZ577" s="207"/>
      <c r="BA577" s="207"/>
    </row>
    <row r="578" ht="18.75" hidden="1" customHeight="1">
      <c r="A578" s="207"/>
      <c r="B578" s="207"/>
      <c r="C578" s="207"/>
      <c r="D578" s="207"/>
      <c r="E578" s="207"/>
      <c r="F578" s="207"/>
      <c r="G578" s="207"/>
      <c r="H578" s="207"/>
      <c r="I578" s="207"/>
      <c r="J578" s="207"/>
      <c r="K578" s="207"/>
      <c r="L578" s="207"/>
      <c r="M578" s="207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  <c r="AA578" s="207"/>
      <c r="AB578" s="207"/>
      <c r="AC578" s="207"/>
      <c r="AD578" s="207"/>
      <c r="AE578" s="207"/>
      <c r="AF578" s="207"/>
      <c r="AG578" s="207"/>
      <c r="AH578" s="207"/>
      <c r="AI578" s="207"/>
      <c r="AJ578" s="207"/>
      <c r="AK578" s="207"/>
      <c r="AL578" s="207"/>
      <c r="AM578" s="207"/>
      <c r="AN578" s="207"/>
      <c r="AO578" s="207"/>
      <c r="AP578" s="207"/>
      <c r="AQ578" s="207"/>
      <c r="AR578" s="207"/>
      <c r="AS578" s="207"/>
      <c r="AT578" s="207"/>
      <c r="AU578" s="207"/>
      <c r="AV578" s="207"/>
      <c r="AW578" s="207"/>
      <c r="AX578" s="207"/>
      <c r="AY578" s="207"/>
      <c r="AZ578" s="207"/>
      <c r="BA578" s="207"/>
    </row>
    <row r="579" ht="18.75" hidden="1" customHeight="1">
      <c r="A579" s="207"/>
      <c r="B579" s="207"/>
      <c r="C579" s="207"/>
      <c r="D579" s="207"/>
      <c r="E579" s="207"/>
      <c r="F579" s="207"/>
      <c r="G579" s="207"/>
      <c r="H579" s="207"/>
      <c r="I579" s="207"/>
      <c r="J579" s="207"/>
      <c r="K579" s="207"/>
      <c r="L579" s="207"/>
      <c r="M579" s="207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  <c r="AA579" s="207"/>
      <c r="AB579" s="207"/>
      <c r="AC579" s="207"/>
      <c r="AD579" s="207"/>
      <c r="AE579" s="207"/>
      <c r="AF579" s="207"/>
      <c r="AG579" s="207"/>
      <c r="AH579" s="207"/>
      <c r="AI579" s="207"/>
      <c r="AJ579" s="207"/>
      <c r="AK579" s="207"/>
      <c r="AL579" s="207"/>
      <c r="AM579" s="207"/>
      <c r="AN579" s="207"/>
      <c r="AO579" s="207"/>
      <c r="AP579" s="207"/>
      <c r="AQ579" s="207"/>
      <c r="AR579" s="207"/>
      <c r="AS579" s="207"/>
      <c r="AT579" s="207"/>
      <c r="AU579" s="207"/>
      <c r="AV579" s="207"/>
      <c r="AW579" s="207"/>
      <c r="AX579" s="207"/>
      <c r="AY579" s="207"/>
      <c r="AZ579" s="207"/>
      <c r="BA579" s="207"/>
    </row>
    <row r="580" ht="18.75" hidden="1" customHeight="1">
      <c r="A580" s="207"/>
      <c r="B580" s="207"/>
      <c r="C580" s="207"/>
      <c r="D580" s="207"/>
      <c r="E580" s="207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  <c r="AA580" s="207"/>
      <c r="AB580" s="207"/>
      <c r="AC580" s="207"/>
      <c r="AD580" s="207"/>
      <c r="AE580" s="207"/>
      <c r="AF580" s="207"/>
      <c r="AG580" s="207"/>
      <c r="AH580" s="207"/>
      <c r="AI580" s="207"/>
      <c r="AJ580" s="207"/>
      <c r="AK580" s="207"/>
      <c r="AL580" s="207"/>
      <c r="AM580" s="207"/>
      <c r="AN580" s="207"/>
      <c r="AO580" s="207"/>
      <c r="AP580" s="207"/>
      <c r="AQ580" s="207"/>
      <c r="AR580" s="207"/>
      <c r="AS580" s="207"/>
      <c r="AT580" s="207"/>
      <c r="AU580" s="207"/>
      <c r="AV580" s="207"/>
      <c r="AW580" s="207"/>
      <c r="AX580" s="207"/>
      <c r="AY580" s="207"/>
      <c r="AZ580" s="207"/>
      <c r="BA580" s="207"/>
    </row>
    <row r="581" ht="18.75" hidden="1" customHeight="1">
      <c r="A581" s="207"/>
      <c r="B581" s="207"/>
      <c r="C581" s="207"/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  <c r="AA581" s="207"/>
      <c r="AB581" s="207"/>
      <c r="AC581" s="207"/>
      <c r="AD581" s="207"/>
      <c r="AE581" s="207"/>
      <c r="AF581" s="207"/>
      <c r="AG581" s="207"/>
      <c r="AH581" s="207"/>
      <c r="AI581" s="207"/>
      <c r="AJ581" s="207"/>
      <c r="AK581" s="207"/>
      <c r="AL581" s="207"/>
      <c r="AM581" s="207"/>
      <c r="AN581" s="207"/>
      <c r="AO581" s="207"/>
      <c r="AP581" s="207"/>
      <c r="AQ581" s="207"/>
      <c r="AR581" s="207"/>
      <c r="AS581" s="207"/>
      <c r="AT581" s="207"/>
      <c r="AU581" s="207"/>
      <c r="AV581" s="207"/>
      <c r="AW581" s="207"/>
      <c r="AX581" s="207"/>
      <c r="AY581" s="207"/>
      <c r="AZ581" s="207"/>
      <c r="BA581" s="207"/>
    </row>
    <row r="582" ht="18.75" hidden="1" customHeight="1">
      <c r="A582" s="207"/>
      <c r="B582" s="207"/>
      <c r="C582" s="207"/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  <c r="AA582" s="207"/>
      <c r="AB582" s="207"/>
      <c r="AC582" s="207"/>
      <c r="AD582" s="207"/>
      <c r="AE582" s="207"/>
      <c r="AF582" s="207"/>
      <c r="AG582" s="207"/>
      <c r="AH582" s="207"/>
      <c r="AI582" s="207"/>
      <c r="AJ582" s="207"/>
      <c r="AK582" s="207"/>
      <c r="AL582" s="207"/>
      <c r="AM582" s="207"/>
      <c r="AN582" s="207"/>
      <c r="AO582" s="207"/>
      <c r="AP582" s="207"/>
      <c r="AQ582" s="207"/>
      <c r="AR582" s="207"/>
      <c r="AS582" s="207"/>
      <c r="AT582" s="207"/>
      <c r="AU582" s="207"/>
      <c r="AV582" s="207"/>
      <c r="AW582" s="207"/>
      <c r="AX582" s="207"/>
      <c r="AY582" s="207"/>
      <c r="AZ582" s="207"/>
      <c r="BA582" s="207"/>
    </row>
    <row r="583" ht="18.75" hidden="1" customHeight="1">
      <c r="A583" s="207"/>
      <c r="B583" s="207"/>
      <c r="C583" s="207"/>
      <c r="D583" s="207"/>
      <c r="E583" s="207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  <c r="AA583" s="207"/>
      <c r="AB583" s="207"/>
      <c r="AC583" s="207"/>
      <c r="AD583" s="207"/>
      <c r="AE583" s="207"/>
      <c r="AF583" s="207"/>
      <c r="AG583" s="207"/>
      <c r="AH583" s="207"/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7"/>
    </row>
    <row r="584" ht="18.75" hidden="1" customHeight="1">
      <c r="A584" s="207"/>
      <c r="B584" s="207"/>
      <c r="C584" s="207"/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  <c r="AB584" s="207"/>
      <c r="AC584" s="207"/>
      <c r="AD584" s="207"/>
      <c r="AE584" s="207"/>
      <c r="AF584" s="207"/>
      <c r="AG584" s="207"/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</row>
    <row r="585" ht="18.75" hidden="1" customHeight="1">
      <c r="A585" s="207"/>
      <c r="B585" s="207"/>
      <c r="C585" s="207"/>
      <c r="D585" s="207"/>
      <c r="E585" s="207"/>
      <c r="F585" s="207"/>
      <c r="G585" s="207"/>
      <c r="H585" s="207"/>
      <c r="I585" s="207"/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  <c r="AA585" s="207"/>
      <c r="AB585" s="207"/>
      <c r="AC585" s="207"/>
      <c r="AD585" s="207"/>
      <c r="AE585" s="207"/>
      <c r="AF585" s="207"/>
      <c r="AG585" s="207"/>
      <c r="AH585" s="207"/>
      <c r="AI585" s="207"/>
      <c r="AJ585" s="207"/>
      <c r="AK585" s="207"/>
      <c r="AL585" s="207"/>
      <c r="AM585" s="207"/>
      <c r="AN585" s="207"/>
      <c r="AO585" s="207"/>
      <c r="AP585" s="207"/>
      <c r="AQ585" s="207"/>
      <c r="AR585" s="207"/>
      <c r="AS585" s="207"/>
      <c r="AT585" s="207"/>
      <c r="AU585" s="207"/>
      <c r="AV585" s="207"/>
      <c r="AW585" s="207"/>
      <c r="AX585" s="207"/>
      <c r="AY585" s="207"/>
      <c r="AZ585" s="207"/>
      <c r="BA585" s="207"/>
    </row>
    <row r="586" ht="18.75" hidden="1" customHeight="1">
      <c r="A586" s="207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  <c r="AA586" s="207"/>
      <c r="AB586" s="207"/>
      <c r="AC586" s="207"/>
      <c r="AD586" s="207"/>
      <c r="AE586" s="207"/>
      <c r="AF586" s="207"/>
      <c r="AG586" s="207"/>
      <c r="AH586" s="207"/>
      <c r="AI586" s="207"/>
      <c r="AJ586" s="207"/>
      <c r="AK586" s="207"/>
      <c r="AL586" s="207"/>
      <c r="AM586" s="207"/>
      <c r="AN586" s="207"/>
      <c r="AO586" s="207"/>
      <c r="AP586" s="207"/>
      <c r="AQ586" s="207"/>
      <c r="AR586" s="207"/>
      <c r="AS586" s="207"/>
      <c r="AT586" s="207"/>
      <c r="AU586" s="207"/>
      <c r="AV586" s="207"/>
      <c r="AW586" s="207"/>
      <c r="AX586" s="207"/>
      <c r="AY586" s="207"/>
      <c r="AZ586" s="207"/>
      <c r="BA586" s="207"/>
    </row>
    <row r="587" ht="18.75" hidden="1" customHeight="1">
      <c r="A587" s="207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  <c r="AA587" s="207"/>
      <c r="AB587" s="207"/>
      <c r="AC587" s="207"/>
      <c r="AD587" s="207"/>
      <c r="AE587" s="207"/>
      <c r="AF587" s="207"/>
      <c r="AG587" s="207"/>
      <c r="AH587" s="207"/>
      <c r="AI587" s="207"/>
      <c r="AJ587" s="207"/>
      <c r="AK587" s="207"/>
      <c r="AL587" s="207"/>
      <c r="AM587" s="207"/>
      <c r="AN587" s="207"/>
      <c r="AO587" s="207"/>
      <c r="AP587" s="207"/>
      <c r="AQ587" s="207"/>
      <c r="AR587" s="207"/>
      <c r="AS587" s="207"/>
      <c r="AT587" s="207"/>
      <c r="AU587" s="207"/>
      <c r="AV587" s="207"/>
      <c r="AW587" s="207"/>
      <c r="AX587" s="207"/>
      <c r="AY587" s="207"/>
      <c r="AZ587" s="207"/>
      <c r="BA587" s="207"/>
    </row>
    <row r="588" ht="18.75" hidden="1" customHeight="1">
      <c r="A588" s="207"/>
      <c r="B588" s="207"/>
      <c r="C588" s="20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  <c r="AA588" s="207"/>
      <c r="AB588" s="207"/>
      <c r="AC588" s="207"/>
      <c r="AD588" s="207"/>
      <c r="AE588" s="207"/>
      <c r="AF588" s="207"/>
      <c r="AG588" s="207"/>
      <c r="AH588" s="207"/>
      <c r="AI588" s="207"/>
      <c r="AJ588" s="207"/>
      <c r="AK588" s="207"/>
      <c r="AL588" s="207"/>
      <c r="AM588" s="207"/>
      <c r="AN588" s="207"/>
      <c r="AO588" s="207"/>
      <c r="AP588" s="207"/>
      <c r="AQ588" s="207"/>
      <c r="AR588" s="207"/>
      <c r="AS588" s="207"/>
      <c r="AT588" s="207"/>
      <c r="AU588" s="207"/>
      <c r="AV588" s="207"/>
      <c r="AW588" s="207"/>
      <c r="AX588" s="207"/>
      <c r="AY588" s="207"/>
      <c r="AZ588" s="207"/>
      <c r="BA588" s="207"/>
    </row>
    <row r="589" ht="18.75" hidden="1" customHeight="1">
      <c r="A589" s="207"/>
      <c r="B589" s="207"/>
      <c r="C589" s="207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  <c r="AA589" s="207"/>
      <c r="AB589" s="207"/>
      <c r="AC589" s="207"/>
      <c r="AD589" s="207"/>
      <c r="AE589" s="207"/>
      <c r="AF589" s="207"/>
      <c r="AG589" s="207"/>
      <c r="AH589" s="207"/>
      <c r="AI589" s="207"/>
      <c r="AJ589" s="207"/>
      <c r="AK589" s="207"/>
      <c r="AL589" s="207"/>
      <c r="AM589" s="207"/>
      <c r="AN589" s="207"/>
      <c r="AO589" s="207"/>
      <c r="AP589" s="207"/>
      <c r="AQ589" s="207"/>
      <c r="AR589" s="207"/>
      <c r="AS589" s="207"/>
      <c r="AT589" s="207"/>
      <c r="AU589" s="207"/>
      <c r="AV589" s="207"/>
      <c r="AW589" s="207"/>
      <c r="AX589" s="207"/>
      <c r="AY589" s="207"/>
      <c r="AZ589" s="207"/>
      <c r="BA589" s="207"/>
    </row>
    <row r="590" ht="18.75" hidden="1" customHeight="1">
      <c r="A590" s="207"/>
      <c r="B590" s="207"/>
      <c r="C590" s="207"/>
      <c r="D590" s="207"/>
      <c r="E590" s="207"/>
      <c r="F590" s="207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  <c r="AA590" s="207"/>
      <c r="AB590" s="207"/>
      <c r="AC590" s="207"/>
      <c r="AD590" s="207"/>
      <c r="AE590" s="207"/>
      <c r="AF590" s="207"/>
      <c r="AG590" s="207"/>
      <c r="AH590" s="207"/>
      <c r="AI590" s="207"/>
      <c r="AJ590" s="207"/>
      <c r="AK590" s="207"/>
      <c r="AL590" s="207"/>
      <c r="AM590" s="207"/>
      <c r="AN590" s="207"/>
      <c r="AO590" s="207"/>
      <c r="AP590" s="207"/>
      <c r="AQ590" s="207"/>
      <c r="AR590" s="207"/>
      <c r="AS590" s="207"/>
      <c r="AT590" s="207"/>
      <c r="AU590" s="207"/>
      <c r="AV590" s="207"/>
      <c r="AW590" s="207"/>
      <c r="AX590" s="207"/>
      <c r="AY590" s="207"/>
      <c r="AZ590" s="207"/>
      <c r="BA590" s="207"/>
    </row>
    <row r="591" ht="18.75" hidden="1" customHeight="1">
      <c r="A591" s="207"/>
      <c r="B591" s="207"/>
      <c r="C591" s="207"/>
      <c r="D591" s="207"/>
      <c r="E591" s="207"/>
      <c r="F591" s="207"/>
      <c r="G591" s="207"/>
      <c r="H591" s="207"/>
      <c r="I591" s="207"/>
      <c r="J591" s="207"/>
      <c r="K591" s="207"/>
      <c r="L591" s="207"/>
      <c r="M591" s="207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  <c r="AA591" s="207"/>
      <c r="AB591" s="207"/>
      <c r="AC591" s="207"/>
      <c r="AD591" s="207"/>
      <c r="AE591" s="207"/>
      <c r="AF591" s="207"/>
      <c r="AG591" s="207"/>
      <c r="AH591" s="207"/>
      <c r="AI591" s="207"/>
      <c r="AJ591" s="207"/>
      <c r="AK591" s="207"/>
      <c r="AL591" s="207"/>
      <c r="AM591" s="207"/>
      <c r="AN591" s="207"/>
      <c r="AO591" s="207"/>
      <c r="AP591" s="207"/>
      <c r="AQ591" s="207"/>
      <c r="AR591" s="207"/>
      <c r="AS591" s="207"/>
      <c r="AT591" s="207"/>
      <c r="AU591" s="207"/>
      <c r="AV591" s="207"/>
      <c r="AW591" s="207"/>
      <c r="AX591" s="207"/>
      <c r="AY591" s="207"/>
      <c r="AZ591" s="207"/>
      <c r="BA591" s="207"/>
    </row>
    <row r="592" ht="18.75" hidden="1" customHeight="1">
      <c r="A592" s="207"/>
      <c r="B592" s="207"/>
      <c r="C592" s="207"/>
      <c r="D592" s="207"/>
      <c r="E592" s="207"/>
      <c r="F592" s="207"/>
      <c r="G592" s="207"/>
      <c r="H592" s="207"/>
      <c r="I592" s="207"/>
      <c r="J592" s="207"/>
      <c r="K592" s="207"/>
      <c r="L592" s="207"/>
      <c r="M592" s="207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  <c r="AA592" s="207"/>
      <c r="AB592" s="207"/>
      <c r="AC592" s="207"/>
      <c r="AD592" s="207"/>
      <c r="AE592" s="207"/>
      <c r="AF592" s="207"/>
      <c r="AG592" s="207"/>
      <c r="AH592" s="207"/>
      <c r="AI592" s="207"/>
      <c r="AJ592" s="207"/>
      <c r="AK592" s="207"/>
      <c r="AL592" s="207"/>
      <c r="AM592" s="207"/>
      <c r="AN592" s="207"/>
      <c r="AO592" s="207"/>
      <c r="AP592" s="207"/>
      <c r="AQ592" s="207"/>
      <c r="AR592" s="207"/>
      <c r="AS592" s="207"/>
      <c r="AT592" s="207"/>
      <c r="AU592" s="207"/>
      <c r="AV592" s="207"/>
      <c r="AW592" s="207"/>
      <c r="AX592" s="207"/>
      <c r="AY592" s="207"/>
      <c r="AZ592" s="207"/>
      <c r="BA592" s="207"/>
    </row>
    <row r="593" ht="18.75" hidden="1" customHeight="1">
      <c r="A593" s="207"/>
      <c r="B593" s="207"/>
      <c r="C593" s="207"/>
      <c r="D593" s="207"/>
      <c r="E593" s="207"/>
      <c r="F593" s="207"/>
      <c r="G593" s="207"/>
      <c r="H593" s="207"/>
      <c r="I593" s="207"/>
      <c r="J593" s="207"/>
      <c r="K593" s="207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  <c r="AA593" s="207"/>
      <c r="AB593" s="207"/>
      <c r="AC593" s="207"/>
      <c r="AD593" s="207"/>
      <c r="AE593" s="207"/>
      <c r="AF593" s="207"/>
      <c r="AG593" s="207"/>
      <c r="AH593" s="207"/>
      <c r="AI593" s="207"/>
      <c r="AJ593" s="207"/>
      <c r="AK593" s="207"/>
      <c r="AL593" s="207"/>
      <c r="AM593" s="207"/>
      <c r="AN593" s="207"/>
      <c r="AO593" s="207"/>
      <c r="AP593" s="207"/>
      <c r="AQ593" s="207"/>
      <c r="AR593" s="207"/>
      <c r="AS593" s="207"/>
      <c r="AT593" s="207"/>
      <c r="AU593" s="207"/>
      <c r="AV593" s="207"/>
      <c r="AW593" s="207"/>
      <c r="AX593" s="207"/>
      <c r="AY593" s="207"/>
      <c r="AZ593" s="207"/>
      <c r="BA593" s="207"/>
    </row>
    <row r="594" ht="18.75" hidden="1" customHeight="1">
      <c r="A594" s="207"/>
      <c r="B594" s="207"/>
      <c r="C594" s="207"/>
      <c r="D594" s="207"/>
      <c r="E594" s="207"/>
      <c r="F594" s="207"/>
      <c r="G594" s="207"/>
      <c r="H594" s="207"/>
      <c r="I594" s="207"/>
      <c r="J594" s="207"/>
      <c r="K594" s="207"/>
      <c r="L594" s="207"/>
      <c r="M594" s="207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  <c r="AA594" s="207"/>
      <c r="AB594" s="207"/>
      <c r="AC594" s="207"/>
      <c r="AD594" s="207"/>
      <c r="AE594" s="207"/>
      <c r="AF594" s="207"/>
      <c r="AG594" s="207"/>
      <c r="AH594" s="207"/>
      <c r="AI594" s="207"/>
      <c r="AJ594" s="207"/>
      <c r="AK594" s="207"/>
      <c r="AL594" s="207"/>
      <c r="AM594" s="207"/>
      <c r="AN594" s="207"/>
      <c r="AO594" s="207"/>
      <c r="AP594" s="207"/>
      <c r="AQ594" s="207"/>
      <c r="AR594" s="207"/>
      <c r="AS594" s="207"/>
      <c r="AT594" s="207"/>
      <c r="AU594" s="207"/>
      <c r="AV594" s="207"/>
      <c r="AW594" s="207"/>
      <c r="AX594" s="207"/>
      <c r="AY594" s="207"/>
      <c r="AZ594" s="207"/>
      <c r="BA594" s="207"/>
    </row>
    <row r="595" ht="18.75" hidden="1" customHeight="1">
      <c r="A595" s="207"/>
      <c r="B595" s="207"/>
      <c r="C595" s="207"/>
      <c r="D595" s="207"/>
      <c r="E595" s="207"/>
      <c r="F595" s="207"/>
      <c r="G595" s="207"/>
      <c r="H595" s="207"/>
      <c r="I595" s="207"/>
      <c r="J595" s="207"/>
      <c r="K595" s="207"/>
      <c r="L595" s="207"/>
      <c r="M595" s="207"/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  <c r="AA595" s="207"/>
      <c r="AB595" s="207"/>
      <c r="AC595" s="207"/>
      <c r="AD595" s="207"/>
      <c r="AE595" s="207"/>
      <c r="AF595" s="207"/>
      <c r="AG595" s="207"/>
      <c r="AH595" s="207"/>
      <c r="AI595" s="207"/>
      <c r="AJ595" s="207"/>
      <c r="AK595" s="207"/>
      <c r="AL595" s="207"/>
      <c r="AM595" s="207"/>
      <c r="AN595" s="207"/>
      <c r="AO595" s="207"/>
      <c r="AP595" s="207"/>
      <c r="AQ595" s="207"/>
      <c r="AR595" s="207"/>
      <c r="AS595" s="207"/>
      <c r="AT595" s="207"/>
      <c r="AU595" s="207"/>
      <c r="AV595" s="207"/>
      <c r="AW595" s="207"/>
      <c r="AX595" s="207"/>
      <c r="AY595" s="207"/>
      <c r="AZ595" s="207"/>
      <c r="BA595" s="207"/>
    </row>
    <row r="596" ht="18.75" hidden="1" customHeight="1">
      <c r="A596" s="207"/>
      <c r="B596" s="207"/>
      <c r="C596" s="207"/>
      <c r="D596" s="207"/>
      <c r="E596" s="207"/>
      <c r="F596" s="207"/>
      <c r="G596" s="207"/>
      <c r="H596" s="207"/>
      <c r="I596" s="207"/>
      <c r="J596" s="207"/>
      <c r="K596" s="207"/>
      <c r="L596" s="207"/>
      <c r="M596" s="207"/>
      <c r="N596" s="207"/>
      <c r="O596" s="207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  <c r="AA596" s="207"/>
      <c r="AB596" s="207"/>
      <c r="AC596" s="207"/>
      <c r="AD596" s="207"/>
      <c r="AE596" s="207"/>
      <c r="AF596" s="207"/>
      <c r="AG596" s="207"/>
      <c r="AH596" s="207"/>
      <c r="AI596" s="207"/>
      <c r="AJ596" s="207"/>
      <c r="AK596" s="207"/>
      <c r="AL596" s="207"/>
      <c r="AM596" s="207"/>
      <c r="AN596" s="207"/>
      <c r="AO596" s="207"/>
      <c r="AP596" s="207"/>
      <c r="AQ596" s="207"/>
      <c r="AR596" s="207"/>
      <c r="AS596" s="207"/>
      <c r="AT596" s="207"/>
      <c r="AU596" s="207"/>
      <c r="AV596" s="207"/>
      <c r="AW596" s="207"/>
      <c r="AX596" s="207"/>
      <c r="AY596" s="207"/>
      <c r="AZ596" s="207"/>
      <c r="BA596" s="207"/>
    </row>
    <row r="597" ht="18.75" hidden="1" customHeight="1">
      <c r="A597" s="207"/>
      <c r="B597" s="207"/>
      <c r="C597" s="207"/>
      <c r="D597" s="207"/>
      <c r="E597" s="207"/>
      <c r="F597" s="207"/>
      <c r="G597" s="207"/>
      <c r="H597" s="207"/>
      <c r="I597" s="207"/>
      <c r="J597" s="207"/>
      <c r="K597" s="207"/>
      <c r="L597" s="207"/>
      <c r="M597" s="207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  <c r="AA597" s="207"/>
      <c r="AB597" s="207"/>
      <c r="AC597" s="207"/>
      <c r="AD597" s="207"/>
      <c r="AE597" s="207"/>
      <c r="AF597" s="207"/>
      <c r="AG597" s="207"/>
      <c r="AH597" s="207"/>
      <c r="AI597" s="207"/>
      <c r="AJ597" s="207"/>
      <c r="AK597" s="207"/>
      <c r="AL597" s="207"/>
      <c r="AM597" s="207"/>
      <c r="AN597" s="207"/>
      <c r="AO597" s="207"/>
      <c r="AP597" s="207"/>
      <c r="AQ597" s="207"/>
      <c r="AR597" s="207"/>
      <c r="AS597" s="207"/>
      <c r="AT597" s="207"/>
      <c r="AU597" s="207"/>
      <c r="AV597" s="207"/>
      <c r="AW597" s="207"/>
      <c r="AX597" s="207"/>
      <c r="AY597" s="207"/>
      <c r="AZ597" s="207"/>
      <c r="BA597" s="207"/>
    </row>
    <row r="598" ht="18.75" hidden="1" customHeight="1">
      <c r="A598" s="207"/>
      <c r="B598" s="207"/>
      <c r="C598" s="207"/>
      <c r="D598" s="207"/>
      <c r="E598" s="207"/>
      <c r="F598" s="207"/>
      <c r="G598" s="207"/>
      <c r="H598" s="207"/>
      <c r="I598" s="207"/>
      <c r="J598" s="207"/>
      <c r="K598" s="207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  <c r="AA598" s="207"/>
      <c r="AB598" s="207"/>
      <c r="AC598" s="207"/>
      <c r="AD598" s="207"/>
      <c r="AE598" s="207"/>
      <c r="AF598" s="207"/>
      <c r="AG598" s="207"/>
      <c r="AH598" s="207"/>
      <c r="AI598" s="207"/>
      <c r="AJ598" s="207"/>
      <c r="AK598" s="207"/>
      <c r="AL598" s="207"/>
      <c r="AM598" s="207"/>
      <c r="AN598" s="207"/>
      <c r="AO598" s="207"/>
      <c r="AP598" s="207"/>
      <c r="AQ598" s="207"/>
      <c r="AR598" s="207"/>
      <c r="AS598" s="207"/>
      <c r="AT598" s="207"/>
      <c r="AU598" s="207"/>
      <c r="AV598" s="207"/>
      <c r="AW598" s="207"/>
      <c r="AX598" s="207"/>
      <c r="AY598" s="207"/>
      <c r="AZ598" s="207"/>
      <c r="BA598" s="207"/>
    </row>
    <row r="599" ht="18.75" hidden="1" customHeight="1">
      <c r="A599" s="207"/>
      <c r="B599" s="207"/>
      <c r="C599" s="207"/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  <c r="AA599" s="207"/>
      <c r="AB599" s="207"/>
      <c r="AC599" s="207"/>
      <c r="AD599" s="207"/>
      <c r="AE599" s="207"/>
      <c r="AF599" s="207"/>
      <c r="AG599" s="207"/>
      <c r="AH599" s="207"/>
      <c r="AI599" s="207"/>
      <c r="AJ599" s="207"/>
      <c r="AK599" s="207"/>
      <c r="AL599" s="207"/>
      <c r="AM599" s="207"/>
      <c r="AN599" s="207"/>
      <c r="AO599" s="207"/>
      <c r="AP599" s="207"/>
      <c r="AQ599" s="207"/>
      <c r="AR599" s="207"/>
      <c r="AS599" s="207"/>
      <c r="AT599" s="207"/>
      <c r="AU599" s="207"/>
      <c r="AV599" s="207"/>
      <c r="AW599" s="207"/>
      <c r="AX599" s="207"/>
      <c r="AY599" s="207"/>
      <c r="AZ599" s="207"/>
      <c r="BA599" s="207"/>
    </row>
    <row r="600" ht="18.75" hidden="1" customHeight="1">
      <c r="A600" s="207"/>
      <c r="B600" s="207"/>
      <c r="C600" s="207"/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  <c r="AA600" s="207"/>
      <c r="AB600" s="207"/>
      <c r="AC600" s="207"/>
      <c r="AD600" s="207"/>
      <c r="AE600" s="207"/>
      <c r="AF600" s="207"/>
      <c r="AG600" s="207"/>
      <c r="AH600" s="207"/>
      <c r="AI600" s="207"/>
      <c r="AJ600" s="207"/>
      <c r="AK600" s="207"/>
      <c r="AL600" s="207"/>
      <c r="AM600" s="207"/>
      <c r="AN600" s="207"/>
      <c r="AO600" s="207"/>
      <c r="AP600" s="207"/>
      <c r="AQ600" s="207"/>
      <c r="AR600" s="207"/>
      <c r="AS600" s="207"/>
      <c r="AT600" s="207"/>
      <c r="AU600" s="207"/>
      <c r="AV600" s="207"/>
      <c r="AW600" s="207"/>
      <c r="AX600" s="207"/>
      <c r="AY600" s="207"/>
      <c r="AZ600" s="207"/>
      <c r="BA600" s="207"/>
    </row>
    <row r="601" ht="18.75" hidden="1" customHeight="1">
      <c r="A601" s="207"/>
      <c r="B601" s="207"/>
      <c r="C601" s="207"/>
      <c r="D601" s="207"/>
      <c r="E601" s="207"/>
      <c r="F601" s="207"/>
      <c r="G601" s="207"/>
      <c r="H601" s="207"/>
      <c r="I601" s="207"/>
      <c r="J601" s="207"/>
      <c r="K601" s="207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  <c r="AA601" s="207"/>
      <c r="AB601" s="207"/>
      <c r="AC601" s="207"/>
      <c r="AD601" s="207"/>
      <c r="AE601" s="207"/>
      <c r="AF601" s="207"/>
      <c r="AG601" s="207"/>
      <c r="AH601" s="207"/>
      <c r="AI601" s="207"/>
      <c r="AJ601" s="207"/>
      <c r="AK601" s="207"/>
      <c r="AL601" s="207"/>
      <c r="AM601" s="207"/>
      <c r="AN601" s="207"/>
      <c r="AO601" s="207"/>
      <c r="AP601" s="207"/>
      <c r="AQ601" s="207"/>
      <c r="AR601" s="207"/>
      <c r="AS601" s="207"/>
      <c r="AT601" s="207"/>
      <c r="AU601" s="207"/>
      <c r="AV601" s="207"/>
      <c r="AW601" s="207"/>
      <c r="AX601" s="207"/>
      <c r="AY601" s="207"/>
      <c r="AZ601" s="207"/>
      <c r="BA601" s="207"/>
    </row>
    <row r="602" ht="18.75" hidden="1" customHeight="1">
      <c r="A602" s="207"/>
      <c r="B602" s="207"/>
      <c r="C602" s="207"/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  <c r="AA602" s="207"/>
      <c r="AB602" s="207"/>
      <c r="AC602" s="207"/>
      <c r="AD602" s="207"/>
      <c r="AE602" s="207"/>
      <c r="AF602" s="207"/>
      <c r="AG602" s="207"/>
      <c r="AH602" s="207"/>
      <c r="AI602" s="207"/>
      <c r="AJ602" s="207"/>
      <c r="AK602" s="207"/>
      <c r="AL602" s="207"/>
      <c r="AM602" s="207"/>
      <c r="AN602" s="207"/>
      <c r="AO602" s="207"/>
      <c r="AP602" s="207"/>
      <c r="AQ602" s="207"/>
      <c r="AR602" s="207"/>
      <c r="AS602" s="207"/>
      <c r="AT602" s="207"/>
      <c r="AU602" s="207"/>
      <c r="AV602" s="207"/>
      <c r="AW602" s="207"/>
      <c r="AX602" s="207"/>
      <c r="AY602" s="207"/>
      <c r="AZ602" s="207"/>
      <c r="BA602" s="207"/>
    </row>
    <row r="603" ht="18.75" hidden="1" customHeight="1">
      <c r="A603" s="207"/>
      <c r="B603" s="207"/>
      <c r="C603" s="207"/>
      <c r="D603" s="207"/>
      <c r="E603" s="207"/>
      <c r="F603" s="207"/>
      <c r="G603" s="207"/>
      <c r="H603" s="207"/>
      <c r="I603" s="207"/>
      <c r="J603" s="207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  <c r="AA603" s="207"/>
      <c r="AB603" s="207"/>
      <c r="AC603" s="207"/>
      <c r="AD603" s="207"/>
      <c r="AE603" s="207"/>
      <c r="AF603" s="207"/>
      <c r="AG603" s="207"/>
      <c r="AH603" s="207"/>
      <c r="AI603" s="207"/>
      <c r="AJ603" s="207"/>
      <c r="AK603" s="207"/>
      <c r="AL603" s="207"/>
      <c r="AM603" s="207"/>
      <c r="AN603" s="207"/>
      <c r="AO603" s="207"/>
      <c r="AP603" s="207"/>
      <c r="AQ603" s="207"/>
      <c r="AR603" s="207"/>
      <c r="AS603" s="207"/>
      <c r="AT603" s="207"/>
      <c r="AU603" s="207"/>
      <c r="AV603" s="207"/>
      <c r="AW603" s="207"/>
      <c r="AX603" s="207"/>
      <c r="AY603" s="207"/>
      <c r="AZ603" s="207"/>
      <c r="BA603" s="207"/>
    </row>
    <row r="604" ht="18.75" hidden="1" customHeight="1">
      <c r="A604" s="207"/>
      <c r="B604" s="207"/>
      <c r="C604" s="207"/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  <c r="AA604" s="207"/>
      <c r="AB604" s="207"/>
      <c r="AC604" s="207"/>
      <c r="AD604" s="207"/>
      <c r="AE604" s="207"/>
      <c r="AF604" s="207"/>
      <c r="AG604" s="207"/>
      <c r="AH604" s="207"/>
      <c r="AI604" s="207"/>
      <c r="AJ604" s="207"/>
      <c r="AK604" s="207"/>
      <c r="AL604" s="207"/>
      <c r="AM604" s="207"/>
      <c r="AN604" s="207"/>
      <c r="AO604" s="207"/>
      <c r="AP604" s="207"/>
      <c r="AQ604" s="207"/>
      <c r="AR604" s="207"/>
      <c r="AS604" s="207"/>
      <c r="AT604" s="207"/>
      <c r="AU604" s="207"/>
      <c r="AV604" s="207"/>
      <c r="AW604" s="207"/>
      <c r="AX604" s="207"/>
      <c r="AY604" s="207"/>
      <c r="AZ604" s="207"/>
      <c r="BA604" s="207"/>
    </row>
    <row r="605" ht="18.75" hidden="1" customHeight="1">
      <c r="A605" s="207"/>
      <c r="B605" s="207"/>
      <c r="C605" s="207"/>
      <c r="D605" s="207"/>
      <c r="E605" s="207"/>
      <c r="F605" s="207"/>
      <c r="G605" s="207"/>
      <c r="H605" s="207"/>
      <c r="I605" s="207"/>
      <c r="J605" s="207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  <c r="AA605" s="207"/>
      <c r="AB605" s="207"/>
      <c r="AC605" s="207"/>
      <c r="AD605" s="207"/>
      <c r="AE605" s="207"/>
      <c r="AF605" s="207"/>
      <c r="AG605" s="207"/>
      <c r="AH605" s="207"/>
      <c r="AI605" s="207"/>
      <c r="AJ605" s="207"/>
      <c r="AK605" s="207"/>
      <c r="AL605" s="207"/>
      <c r="AM605" s="207"/>
      <c r="AN605" s="207"/>
      <c r="AO605" s="207"/>
      <c r="AP605" s="207"/>
      <c r="AQ605" s="207"/>
      <c r="AR605" s="207"/>
      <c r="AS605" s="207"/>
      <c r="AT605" s="207"/>
      <c r="AU605" s="207"/>
      <c r="AV605" s="207"/>
      <c r="AW605" s="207"/>
      <c r="AX605" s="207"/>
      <c r="AY605" s="207"/>
      <c r="AZ605" s="207"/>
      <c r="BA605" s="207"/>
    </row>
    <row r="606" ht="18.75" hidden="1" customHeight="1">
      <c r="A606" s="207"/>
      <c r="B606" s="207"/>
      <c r="C606" s="207"/>
      <c r="D606" s="207"/>
      <c r="E606" s="207"/>
      <c r="F606" s="207"/>
      <c r="G606" s="207"/>
      <c r="H606" s="207"/>
      <c r="I606" s="207"/>
      <c r="J606" s="207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  <c r="AA606" s="207"/>
      <c r="AB606" s="207"/>
      <c r="AC606" s="207"/>
      <c r="AD606" s="207"/>
      <c r="AE606" s="207"/>
      <c r="AF606" s="207"/>
      <c r="AG606" s="207"/>
      <c r="AH606" s="207"/>
      <c r="AI606" s="207"/>
      <c r="AJ606" s="207"/>
      <c r="AK606" s="207"/>
      <c r="AL606" s="207"/>
      <c r="AM606" s="207"/>
      <c r="AN606" s="207"/>
      <c r="AO606" s="207"/>
      <c r="AP606" s="207"/>
      <c r="AQ606" s="207"/>
      <c r="AR606" s="207"/>
      <c r="AS606" s="207"/>
      <c r="AT606" s="207"/>
      <c r="AU606" s="207"/>
      <c r="AV606" s="207"/>
      <c r="AW606" s="207"/>
      <c r="AX606" s="207"/>
      <c r="AY606" s="207"/>
      <c r="AZ606" s="207"/>
      <c r="BA606" s="207"/>
    </row>
    <row r="607" ht="18.75" hidden="1" customHeight="1">
      <c r="A607" s="207"/>
      <c r="B607" s="207"/>
      <c r="C607" s="207"/>
      <c r="D607" s="207"/>
      <c r="E607" s="207"/>
      <c r="F607" s="207"/>
      <c r="G607" s="207"/>
      <c r="H607" s="207"/>
      <c r="I607" s="207"/>
      <c r="J607" s="207"/>
      <c r="K607" s="207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  <c r="AA607" s="207"/>
      <c r="AB607" s="207"/>
      <c r="AC607" s="207"/>
      <c r="AD607" s="207"/>
      <c r="AE607" s="207"/>
      <c r="AF607" s="207"/>
      <c r="AG607" s="207"/>
      <c r="AH607" s="207"/>
      <c r="AI607" s="207"/>
      <c r="AJ607" s="207"/>
      <c r="AK607" s="207"/>
      <c r="AL607" s="207"/>
      <c r="AM607" s="207"/>
      <c r="AN607" s="207"/>
      <c r="AO607" s="207"/>
      <c r="AP607" s="207"/>
      <c r="AQ607" s="207"/>
      <c r="AR607" s="207"/>
      <c r="AS607" s="207"/>
      <c r="AT607" s="207"/>
      <c r="AU607" s="207"/>
      <c r="AV607" s="207"/>
      <c r="AW607" s="207"/>
      <c r="AX607" s="207"/>
      <c r="AY607" s="207"/>
      <c r="AZ607" s="207"/>
      <c r="BA607" s="207"/>
    </row>
    <row r="608" ht="18.75" hidden="1" customHeight="1">
      <c r="A608" s="207"/>
      <c r="B608" s="207"/>
      <c r="C608" s="207"/>
      <c r="D608" s="207"/>
      <c r="E608" s="207"/>
      <c r="F608" s="207"/>
      <c r="G608" s="207"/>
      <c r="H608" s="207"/>
      <c r="I608" s="207"/>
      <c r="J608" s="207"/>
      <c r="K608" s="207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  <c r="AA608" s="207"/>
      <c r="AB608" s="207"/>
      <c r="AC608" s="207"/>
      <c r="AD608" s="207"/>
      <c r="AE608" s="207"/>
      <c r="AF608" s="207"/>
      <c r="AG608" s="207"/>
      <c r="AH608" s="207"/>
      <c r="AI608" s="207"/>
      <c r="AJ608" s="207"/>
      <c r="AK608" s="207"/>
      <c r="AL608" s="207"/>
      <c r="AM608" s="207"/>
      <c r="AN608" s="207"/>
      <c r="AO608" s="207"/>
      <c r="AP608" s="207"/>
      <c r="AQ608" s="207"/>
      <c r="AR608" s="207"/>
      <c r="AS608" s="207"/>
      <c r="AT608" s="207"/>
      <c r="AU608" s="207"/>
      <c r="AV608" s="207"/>
      <c r="AW608" s="207"/>
      <c r="AX608" s="207"/>
      <c r="AY608" s="207"/>
      <c r="AZ608" s="207"/>
      <c r="BA608" s="207"/>
    </row>
    <row r="609" ht="18.75" hidden="1" customHeight="1">
      <c r="A609" s="207"/>
      <c r="B609" s="207"/>
      <c r="C609" s="207"/>
      <c r="D609" s="207"/>
      <c r="E609" s="207"/>
      <c r="F609" s="207"/>
      <c r="G609" s="207"/>
      <c r="H609" s="207"/>
      <c r="I609" s="207"/>
      <c r="J609" s="207"/>
      <c r="K609" s="207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  <c r="AA609" s="207"/>
      <c r="AB609" s="207"/>
      <c r="AC609" s="207"/>
      <c r="AD609" s="207"/>
      <c r="AE609" s="207"/>
      <c r="AF609" s="207"/>
      <c r="AG609" s="207"/>
      <c r="AH609" s="207"/>
      <c r="AI609" s="207"/>
      <c r="AJ609" s="207"/>
      <c r="AK609" s="207"/>
      <c r="AL609" s="207"/>
      <c r="AM609" s="207"/>
      <c r="AN609" s="207"/>
      <c r="AO609" s="207"/>
      <c r="AP609" s="207"/>
      <c r="AQ609" s="207"/>
      <c r="AR609" s="207"/>
      <c r="AS609" s="207"/>
      <c r="AT609" s="207"/>
      <c r="AU609" s="207"/>
      <c r="AV609" s="207"/>
      <c r="AW609" s="207"/>
      <c r="AX609" s="207"/>
      <c r="AY609" s="207"/>
      <c r="AZ609" s="207"/>
      <c r="BA609" s="207"/>
    </row>
    <row r="610" ht="18.75" hidden="1" customHeight="1">
      <c r="A610" s="207"/>
      <c r="B610" s="207"/>
      <c r="C610" s="207"/>
      <c r="D610" s="207"/>
      <c r="E610" s="207"/>
      <c r="F610" s="207"/>
      <c r="G610" s="207"/>
      <c r="H610" s="207"/>
      <c r="I610" s="207"/>
      <c r="J610" s="207"/>
      <c r="K610" s="207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  <c r="AA610" s="207"/>
      <c r="AB610" s="207"/>
      <c r="AC610" s="207"/>
      <c r="AD610" s="207"/>
      <c r="AE610" s="207"/>
      <c r="AF610" s="207"/>
      <c r="AG610" s="207"/>
      <c r="AH610" s="207"/>
      <c r="AI610" s="207"/>
      <c r="AJ610" s="207"/>
      <c r="AK610" s="207"/>
      <c r="AL610" s="207"/>
      <c r="AM610" s="207"/>
      <c r="AN610" s="207"/>
      <c r="AO610" s="207"/>
      <c r="AP610" s="207"/>
      <c r="AQ610" s="207"/>
      <c r="AR610" s="207"/>
      <c r="AS610" s="207"/>
      <c r="AT610" s="207"/>
      <c r="AU610" s="207"/>
      <c r="AV610" s="207"/>
      <c r="AW610" s="207"/>
      <c r="AX610" s="207"/>
      <c r="AY610" s="207"/>
      <c r="AZ610" s="207"/>
      <c r="BA610" s="207"/>
    </row>
    <row r="611" ht="18.75" hidden="1" customHeight="1">
      <c r="A611" s="207"/>
      <c r="B611" s="207"/>
      <c r="C611" s="207"/>
      <c r="D611" s="207"/>
      <c r="E611" s="207"/>
      <c r="F611" s="207"/>
      <c r="G611" s="207"/>
      <c r="H611" s="207"/>
      <c r="I611" s="207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  <c r="AA611" s="207"/>
      <c r="AB611" s="207"/>
      <c r="AC611" s="207"/>
      <c r="AD611" s="207"/>
      <c r="AE611" s="207"/>
      <c r="AF611" s="207"/>
      <c r="AG611" s="207"/>
      <c r="AH611" s="207"/>
      <c r="AI611" s="207"/>
      <c r="AJ611" s="207"/>
      <c r="AK611" s="207"/>
      <c r="AL611" s="207"/>
      <c r="AM611" s="207"/>
      <c r="AN611" s="207"/>
      <c r="AO611" s="207"/>
      <c r="AP611" s="207"/>
      <c r="AQ611" s="207"/>
      <c r="AR611" s="207"/>
      <c r="AS611" s="207"/>
      <c r="AT611" s="207"/>
      <c r="AU611" s="207"/>
      <c r="AV611" s="207"/>
      <c r="AW611" s="207"/>
      <c r="AX611" s="207"/>
      <c r="AY611" s="207"/>
      <c r="AZ611" s="207"/>
      <c r="BA611" s="207"/>
    </row>
    <row r="612" ht="18.75" hidden="1" customHeight="1">
      <c r="A612" s="207"/>
      <c r="B612" s="207"/>
      <c r="C612" s="207"/>
      <c r="D612" s="207"/>
      <c r="E612" s="207"/>
      <c r="F612" s="207"/>
      <c r="G612" s="207"/>
      <c r="H612" s="207"/>
      <c r="I612" s="207"/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  <c r="AA612" s="207"/>
      <c r="AB612" s="207"/>
      <c r="AC612" s="207"/>
      <c r="AD612" s="207"/>
      <c r="AE612" s="207"/>
      <c r="AF612" s="207"/>
      <c r="AG612" s="207"/>
      <c r="AH612" s="207"/>
      <c r="AI612" s="207"/>
      <c r="AJ612" s="207"/>
      <c r="AK612" s="207"/>
      <c r="AL612" s="207"/>
      <c r="AM612" s="207"/>
      <c r="AN612" s="207"/>
      <c r="AO612" s="207"/>
      <c r="AP612" s="207"/>
      <c r="AQ612" s="207"/>
      <c r="AR612" s="207"/>
      <c r="AS612" s="207"/>
      <c r="AT612" s="207"/>
      <c r="AU612" s="207"/>
      <c r="AV612" s="207"/>
      <c r="AW612" s="207"/>
      <c r="AX612" s="207"/>
      <c r="AY612" s="207"/>
      <c r="AZ612" s="207"/>
      <c r="BA612" s="207"/>
    </row>
    <row r="613" ht="18.75" hidden="1" customHeight="1">
      <c r="A613" s="207"/>
      <c r="B613" s="207"/>
      <c r="C613" s="207"/>
      <c r="D613" s="207"/>
      <c r="E613" s="207"/>
      <c r="F613" s="207"/>
      <c r="G613" s="207"/>
      <c r="H613" s="207"/>
      <c r="I613" s="207"/>
      <c r="J613" s="207"/>
      <c r="K613" s="207"/>
      <c r="L613" s="207"/>
      <c r="M613" s="207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  <c r="AA613" s="207"/>
      <c r="AB613" s="207"/>
      <c r="AC613" s="207"/>
      <c r="AD613" s="207"/>
      <c r="AE613" s="207"/>
      <c r="AF613" s="207"/>
      <c r="AG613" s="207"/>
      <c r="AH613" s="207"/>
      <c r="AI613" s="207"/>
      <c r="AJ613" s="207"/>
      <c r="AK613" s="207"/>
      <c r="AL613" s="207"/>
      <c r="AM613" s="207"/>
      <c r="AN613" s="207"/>
      <c r="AO613" s="207"/>
      <c r="AP613" s="207"/>
      <c r="AQ613" s="207"/>
      <c r="AR613" s="207"/>
      <c r="AS613" s="207"/>
      <c r="AT613" s="207"/>
      <c r="AU613" s="207"/>
      <c r="AV613" s="207"/>
      <c r="AW613" s="207"/>
      <c r="AX613" s="207"/>
      <c r="AY613" s="207"/>
      <c r="AZ613" s="207"/>
      <c r="BA613" s="207"/>
    </row>
    <row r="614" ht="18.75" hidden="1" customHeight="1">
      <c r="A614" s="207"/>
      <c r="B614" s="207"/>
      <c r="C614" s="207"/>
      <c r="D614" s="207"/>
      <c r="E614" s="207"/>
      <c r="F614" s="207"/>
      <c r="G614" s="207"/>
      <c r="H614" s="207"/>
      <c r="I614" s="207"/>
      <c r="J614" s="207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  <c r="Z614" s="207"/>
      <c r="AA614" s="207"/>
      <c r="AB614" s="207"/>
      <c r="AC614" s="207"/>
      <c r="AD614" s="207"/>
      <c r="AE614" s="207"/>
      <c r="AF614" s="207"/>
      <c r="AG614" s="207"/>
      <c r="AH614" s="207"/>
      <c r="AI614" s="207"/>
      <c r="AJ614" s="207"/>
      <c r="AK614" s="207"/>
      <c r="AL614" s="207"/>
      <c r="AM614" s="207"/>
      <c r="AN614" s="207"/>
      <c r="AO614" s="207"/>
      <c r="AP614" s="207"/>
      <c r="AQ614" s="207"/>
      <c r="AR614" s="207"/>
      <c r="AS614" s="207"/>
      <c r="AT614" s="207"/>
      <c r="AU614" s="207"/>
      <c r="AV614" s="207"/>
      <c r="AW614" s="207"/>
      <c r="AX614" s="207"/>
      <c r="AY614" s="207"/>
      <c r="AZ614" s="207"/>
      <c r="BA614" s="207"/>
    </row>
    <row r="615" ht="18.75" hidden="1" customHeight="1">
      <c r="A615" s="207"/>
      <c r="B615" s="207"/>
      <c r="C615" s="207"/>
      <c r="D615" s="207"/>
      <c r="E615" s="207"/>
      <c r="F615" s="207"/>
      <c r="G615" s="207"/>
      <c r="H615" s="207"/>
      <c r="I615" s="207"/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  <c r="AA615" s="207"/>
      <c r="AB615" s="207"/>
      <c r="AC615" s="207"/>
      <c r="AD615" s="207"/>
      <c r="AE615" s="207"/>
      <c r="AF615" s="207"/>
      <c r="AG615" s="207"/>
      <c r="AH615" s="207"/>
      <c r="AI615" s="207"/>
      <c r="AJ615" s="207"/>
      <c r="AK615" s="207"/>
      <c r="AL615" s="207"/>
      <c r="AM615" s="207"/>
      <c r="AN615" s="207"/>
      <c r="AO615" s="207"/>
      <c r="AP615" s="207"/>
      <c r="AQ615" s="207"/>
      <c r="AR615" s="207"/>
      <c r="AS615" s="207"/>
      <c r="AT615" s="207"/>
      <c r="AU615" s="207"/>
      <c r="AV615" s="207"/>
      <c r="AW615" s="207"/>
      <c r="AX615" s="207"/>
      <c r="AY615" s="207"/>
      <c r="AZ615" s="207"/>
      <c r="BA615" s="207"/>
    </row>
    <row r="616" ht="18.75" hidden="1" customHeight="1">
      <c r="A616" s="207"/>
      <c r="B616" s="207"/>
      <c r="C616" s="207"/>
      <c r="D616" s="207"/>
      <c r="E616" s="207"/>
      <c r="F616" s="207"/>
      <c r="G616" s="207"/>
      <c r="H616" s="207"/>
      <c r="I616" s="207"/>
      <c r="J616" s="207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  <c r="AA616" s="207"/>
      <c r="AB616" s="207"/>
      <c r="AC616" s="207"/>
      <c r="AD616" s="207"/>
      <c r="AE616" s="207"/>
      <c r="AF616" s="207"/>
      <c r="AG616" s="207"/>
      <c r="AH616" s="207"/>
      <c r="AI616" s="207"/>
      <c r="AJ616" s="207"/>
      <c r="AK616" s="207"/>
      <c r="AL616" s="207"/>
      <c r="AM616" s="207"/>
      <c r="AN616" s="207"/>
      <c r="AO616" s="207"/>
      <c r="AP616" s="207"/>
      <c r="AQ616" s="207"/>
      <c r="AR616" s="207"/>
      <c r="AS616" s="207"/>
      <c r="AT616" s="207"/>
      <c r="AU616" s="207"/>
      <c r="AV616" s="207"/>
      <c r="AW616" s="207"/>
      <c r="AX616" s="207"/>
      <c r="AY616" s="207"/>
      <c r="AZ616" s="207"/>
      <c r="BA616" s="207"/>
    </row>
    <row r="617" ht="18.75" hidden="1" customHeight="1">
      <c r="A617" s="207"/>
      <c r="B617" s="207"/>
      <c r="C617" s="207"/>
      <c r="D617" s="207"/>
      <c r="E617" s="207"/>
      <c r="F617" s="207"/>
      <c r="G617" s="207"/>
      <c r="H617" s="207"/>
      <c r="I617" s="207"/>
      <c r="J617" s="207"/>
      <c r="K617" s="207"/>
      <c r="L617" s="207"/>
      <c r="M617" s="207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  <c r="AA617" s="207"/>
      <c r="AB617" s="207"/>
      <c r="AC617" s="207"/>
      <c r="AD617" s="207"/>
      <c r="AE617" s="207"/>
      <c r="AF617" s="207"/>
      <c r="AG617" s="207"/>
      <c r="AH617" s="207"/>
      <c r="AI617" s="207"/>
      <c r="AJ617" s="207"/>
      <c r="AK617" s="207"/>
      <c r="AL617" s="207"/>
      <c r="AM617" s="207"/>
      <c r="AN617" s="207"/>
      <c r="AO617" s="207"/>
      <c r="AP617" s="207"/>
      <c r="AQ617" s="207"/>
      <c r="AR617" s="207"/>
      <c r="AS617" s="207"/>
      <c r="AT617" s="207"/>
      <c r="AU617" s="207"/>
      <c r="AV617" s="207"/>
      <c r="AW617" s="207"/>
      <c r="AX617" s="207"/>
      <c r="AY617" s="207"/>
      <c r="AZ617" s="207"/>
      <c r="BA617" s="207"/>
    </row>
    <row r="618" ht="18.75" hidden="1" customHeight="1">
      <c r="A618" s="207"/>
      <c r="B618" s="207"/>
      <c r="C618" s="207"/>
      <c r="D618" s="207"/>
      <c r="E618" s="207"/>
      <c r="F618" s="207"/>
      <c r="G618" s="207"/>
      <c r="H618" s="207"/>
      <c r="I618" s="207"/>
      <c r="J618" s="207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  <c r="AA618" s="207"/>
      <c r="AB618" s="207"/>
      <c r="AC618" s="207"/>
      <c r="AD618" s="207"/>
      <c r="AE618" s="207"/>
      <c r="AF618" s="207"/>
      <c r="AG618" s="207"/>
      <c r="AH618" s="207"/>
      <c r="AI618" s="207"/>
      <c r="AJ618" s="207"/>
      <c r="AK618" s="207"/>
      <c r="AL618" s="207"/>
      <c r="AM618" s="207"/>
      <c r="AN618" s="207"/>
      <c r="AO618" s="207"/>
      <c r="AP618" s="207"/>
      <c r="AQ618" s="207"/>
      <c r="AR618" s="207"/>
      <c r="AS618" s="207"/>
      <c r="AT618" s="207"/>
      <c r="AU618" s="207"/>
      <c r="AV618" s="207"/>
      <c r="AW618" s="207"/>
      <c r="AX618" s="207"/>
      <c r="AY618" s="207"/>
      <c r="AZ618" s="207"/>
      <c r="BA618" s="207"/>
    </row>
    <row r="619" ht="18.75" hidden="1" customHeight="1">
      <c r="A619" s="207"/>
      <c r="B619" s="207"/>
      <c r="C619" s="207"/>
      <c r="D619" s="207"/>
      <c r="E619" s="207"/>
      <c r="F619" s="207"/>
      <c r="G619" s="207"/>
      <c r="H619" s="207"/>
      <c r="I619" s="207"/>
      <c r="J619" s="207"/>
      <c r="K619" s="207"/>
      <c r="L619" s="207"/>
      <c r="M619" s="207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  <c r="AA619" s="207"/>
      <c r="AB619" s="207"/>
      <c r="AC619" s="207"/>
      <c r="AD619" s="207"/>
      <c r="AE619" s="207"/>
      <c r="AF619" s="207"/>
      <c r="AG619" s="207"/>
      <c r="AH619" s="207"/>
      <c r="AI619" s="207"/>
      <c r="AJ619" s="207"/>
      <c r="AK619" s="207"/>
      <c r="AL619" s="207"/>
      <c r="AM619" s="207"/>
      <c r="AN619" s="207"/>
      <c r="AO619" s="207"/>
      <c r="AP619" s="207"/>
      <c r="AQ619" s="207"/>
      <c r="AR619" s="207"/>
      <c r="AS619" s="207"/>
      <c r="AT619" s="207"/>
      <c r="AU619" s="207"/>
      <c r="AV619" s="207"/>
      <c r="AW619" s="207"/>
      <c r="AX619" s="207"/>
      <c r="AY619" s="207"/>
      <c r="AZ619" s="207"/>
      <c r="BA619" s="207"/>
    </row>
    <row r="620" ht="18.75" hidden="1" customHeight="1">
      <c r="A620" s="207"/>
      <c r="B620" s="207"/>
      <c r="C620" s="207"/>
      <c r="D620" s="207"/>
      <c r="E620" s="207"/>
      <c r="F620" s="207"/>
      <c r="G620" s="207"/>
      <c r="H620" s="207"/>
      <c r="I620" s="207"/>
      <c r="J620" s="207"/>
      <c r="K620" s="207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  <c r="AA620" s="207"/>
      <c r="AB620" s="207"/>
      <c r="AC620" s="207"/>
      <c r="AD620" s="207"/>
      <c r="AE620" s="207"/>
      <c r="AF620" s="207"/>
      <c r="AG620" s="207"/>
      <c r="AH620" s="207"/>
      <c r="AI620" s="207"/>
      <c r="AJ620" s="207"/>
      <c r="AK620" s="207"/>
      <c r="AL620" s="207"/>
      <c r="AM620" s="207"/>
      <c r="AN620" s="207"/>
      <c r="AO620" s="207"/>
      <c r="AP620" s="207"/>
      <c r="AQ620" s="207"/>
      <c r="AR620" s="207"/>
      <c r="AS620" s="207"/>
      <c r="AT620" s="207"/>
      <c r="AU620" s="207"/>
      <c r="AV620" s="207"/>
      <c r="AW620" s="207"/>
      <c r="AX620" s="207"/>
      <c r="AY620" s="207"/>
      <c r="AZ620" s="207"/>
      <c r="BA620" s="207"/>
    </row>
    <row r="621" ht="18.75" hidden="1" customHeight="1">
      <c r="A621" s="207"/>
      <c r="B621" s="207"/>
      <c r="C621" s="207"/>
      <c r="D621" s="207"/>
      <c r="E621" s="207"/>
      <c r="F621" s="207"/>
      <c r="G621" s="207"/>
      <c r="H621" s="207"/>
      <c r="I621" s="207"/>
      <c r="J621" s="207"/>
      <c r="K621" s="207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  <c r="AA621" s="207"/>
      <c r="AB621" s="207"/>
      <c r="AC621" s="207"/>
      <c r="AD621" s="207"/>
      <c r="AE621" s="207"/>
      <c r="AF621" s="207"/>
      <c r="AG621" s="207"/>
      <c r="AH621" s="207"/>
      <c r="AI621" s="207"/>
      <c r="AJ621" s="207"/>
      <c r="AK621" s="207"/>
      <c r="AL621" s="207"/>
      <c r="AM621" s="207"/>
      <c r="AN621" s="207"/>
      <c r="AO621" s="207"/>
      <c r="AP621" s="207"/>
      <c r="AQ621" s="207"/>
      <c r="AR621" s="207"/>
      <c r="AS621" s="207"/>
      <c r="AT621" s="207"/>
      <c r="AU621" s="207"/>
      <c r="AV621" s="207"/>
      <c r="AW621" s="207"/>
      <c r="AX621" s="207"/>
      <c r="AY621" s="207"/>
      <c r="AZ621" s="207"/>
      <c r="BA621" s="207"/>
    </row>
    <row r="622" ht="18.75" hidden="1" customHeight="1">
      <c r="A622" s="207"/>
      <c r="B622" s="207"/>
      <c r="C622" s="207"/>
      <c r="D622" s="207"/>
      <c r="E622" s="207"/>
      <c r="F622" s="207"/>
      <c r="G622" s="207"/>
      <c r="H622" s="207"/>
      <c r="I622" s="207"/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  <c r="AA622" s="207"/>
      <c r="AB622" s="207"/>
      <c r="AC622" s="207"/>
      <c r="AD622" s="207"/>
      <c r="AE622" s="207"/>
      <c r="AF622" s="207"/>
      <c r="AG622" s="207"/>
      <c r="AH622" s="207"/>
      <c r="AI622" s="207"/>
      <c r="AJ622" s="207"/>
      <c r="AK622" s="207"/>
      <c r="AL622" s="207"/>
      <c r="AM622" s="207"/>
      <c r="AN622" s="207"/>
      <c r="AO622" s="207"/>
      <c r="AP622" s="207"/>
      <c r="AQ622" s="207"/>
      <c r="AR622" s="207"/>
      <c r="AS622" s="207"/>
      <c r="AT622" s="207"/>
      <c r="AU622" s="207"/>
      <c r="AV622" s="207"/>
      <c r="AW622" s="207"/>
      <c r="AX622" s="207"/>
      <c r="AY622" s="207"/>
      <c r="AZ622" s="207"/>
      <c r="BA622" s="207"/>
    </row>
    <row r="623" ht="18.75" hidden="1" customHeight="1">
      <c r="A623" s="207"/>
      <c r="B623" s="207"/>
      <c r="C623" s="207"/>
      <c r="D623" s="207"/>
      <c r="E623" s="207"/>
      <c r="F623" s="207"/>
      <c r="G623" s="207"/>
      <c r="H623" s="207"/>
      <c r="I623" s="207"/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  <c r="AA623" s="207"/>
      <c r="AB623" s="207"/>
      <c r="AC623" s="207"/>
      <c r="AD623" s="207"/>
      <c r="AE623" s="207"/>
      <c r="AF623" s="207"/>
      <c r="AG623" s="207"/>
      <c r="AH623" s="207"/>
      <c r="AI623" s="207"/>
      <c r="AJ623" s="207"/>
      <c r="AK623" s="207"/>
      <c r="AL623" s="207"/>
      <c r="AM623" s="207"/>
      <c r="AN623" s="207"/>
      <c r="AO623" s="207"/>
      <c r="AP623" s="207"/>
      <c r="AQ623" s="207"/>
      <c r="AR623" s="207"/>
      <c r="AS623" s="207"/>
      <c r="AT623" s="207"/>
      <c r="AU623" s="207"/>
      <c r="AV623" s="207"/>
      <c r="AW623" s="207"/>
      <c r="AX623" s="207"/>
      <c r="AY623" s="207"/>
      <c r="AZ623" s="207"/>
      <c r="BA623" s="207"/>
    </row>
    <row r="624" ht="18.75" hidden="1" customHeight="1">
      <c r="A624" s="207"/>
      <c r="B624" s="207"/>
      <c r="C624" s="207"/>
      <c r="D624" s="207"/>
      <c r="E624" s="207"/>
      <c r="F624" s="207"/>
      <c r="G624" s="207"/>
      <c r="H624" s="207"/>
      <c r="I624" s="207"/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  <c r="AA624" s="207"/>
      <c r="AB624" s="207"/>
      <c r="AC624" s="207"/>
      <c r="AD624" s="207"/>
      <c r="AE624" s="207"/>
      <c r="AF624" s="207"/>
      <c r="AG624" s="207"/>
      <c r="AH624" s="207"/>
      <c r="AI624" s="207"/>
      <c r="AJ624" s="207"/>
      <c r="AK624" s="207"/>
      <c r="AL624" s="207"/>
      <c r="AM624" s="207"/>
      <c r="AN624" s="207"/>
      <c r="AO624" s="207"/>
      <c r="AP624" s="207"/>
      <c r="AQ624" s="207"/>
      <c r="AR624" s="207"/>
      <c r="AS624" s="207"/>
      <c r="AT624" s="207"/>
      <c r="AU624" s="207"/>
      <c r="AV624" s="207"/>
      <c r="AW624" s="207"/>
      <c r="AX624" s="207"/>
      <c r="AY624" s="207"/>
      <c r="AZ624" s="207"/>
      <c r="BA624" s="207"/>
    </row>
    <row r="625" ht="18.75" hidden="1" customHeight="1">
      <c r="A625" s="207"/>
      <c r="B625" s="207"/>
      <c r="C625" s="207"/>
      <c r="D625" s="207"/>
      <c r="E625" s="207"/>
      <c r="F625" s="207"/>
      <c r="G625" s="207"/>
      <c r="H625" s="207"/>
      <c r="I625" s="207"/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  <c r="AA625" s="207"/>
      <c r="AB625" s="207"/>
      <c r="AC625" s="207"/>
      <c r="AD625" s="207"/>
      <c r="AE625" s="207"/>
      <c r="AF625" s="207"/>
      <c r="AG625" s="207"/>
      <c r="AH625" s="207"/>
      <c r="AI625" s="207"/>
      <c r="AJ625" s="207"/>
      <c r="AK625" s="207"/>
      <c r="AL625" s="207"/>
      <c r="AM625" s="207"/>
      <c r="AN625" s="207"/>
      <c r="AO625" s="207"/>
      <c r="AP625" s="207"/>
      <c r="AQ625" s="207"/>
      <c r="AR625" s="207"/>
      <c r="AS625" s="207"/>
      <c r="AT625" s="207"/>
      <c r="AU625" s="207"/>
      <c r="AV625" s="207"/>
      <c r="AW625" s="207"/>
      <c r="AX625" s="207"/>
      <c r="AY625" s="207"/>
      <c r="AZ625" s="207"/>
      <c r="BA625" s="207"/>
    </row>
    <row r="626" ht="18.75" hidden="1" customHeight="1">
      <c r="A626" s="207"/>
      <c r="B626" s="207"/>
      <c r="C626" s="207"/>
      <c r="D626" s="207"/>
      <c r="E626" s="207"/>
      <c r="F626" s="207"/>
      <c r="G626" s="207"/>
      <c r="H626" s="207"/>
      <c r="I626" s="207"/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  <c r="AA626" s="207"/>
      <c r="AB626" s="207"/>
      <c r="AC626" s="207"/>
      <c r="AD626" s="207"/>
      <c r="AE626" s="207"/>
      <c r="AF626" s="207"/>
      <c r="AG626" s="207"/>
      <c r="AH626" s="207"/>
      <c r="AI626" s="207"/>
      <c r="AJ626" s="207"/>
      <c r="AK626" s="207"/>
      <c r="AL626" s="207"/>
      <c r="AM626" s="207"/>
      <c r="AN626" s="207"/>
      <c r="AO626" s="207"/>
      <c r="AP626" s="207"/>
      <c r="AQ626" s="207"/>
      <c r="AR626" s="207"/>
      <c r="AS626" s="207"/>
      <c r="AT626" s="207"/>
      <c r="AU626" s="207"/>
      <c r="AV626" s="207"/>
      <c r="AW626" s="207"/>
      <c r="AX626" s="207"/>
      <c r="AY626" s="207"/>
      <c r="AZ626" s="207"/>
      <c r="BA626" s="207"/>
    </row>
    <row r="627" ht="18.75" hidden="1" customHeight="1">
      <c r="A627" s="207"/>
      <c r="B627" s="207"/>
      <c r="C627" s="207"/>
      <c r="D627" s="207"/>
      <c r="E627" s="207"/>
      <c r="F627" s="207"/>
      <c r="G627" s="207"/>
      <c r="H627" s="207"/>
      <c r="I627" s="207"/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  <c r="AA627" s="207"/>
      <c r="AB627" s="207"/>
      <c r="AC627" s="207"/>
      <c r="AD627" s="207"/>
      <c r="AE627" s="207"/>
      <c r="AF627" s="207"/>
      <c r="AG627" s="207"/>
      <c r="AH627" s="207"/>
      <c r="AI627" s="207"/>
      <c r="AJ627" s="207"/>
      <c r="AK627" s="207"/>
      <c r="AL627" s="207"/>
      <c r="AM627" s="207"/>
      <c r="AN627" s="207"/>
      <c r="AO627" s="207"/>
      <c r="AP627" s="207"/>
      <c r="AQ627" s="207"/>
      <c r="AR627" s="207"/>
      <c r="AS627" s="207"/>
      <c r="AT627" s="207"/>
      <c r="AU627" s="207"/>
      <c r="AV627" s="207"/>
      <c r="AW627" s="207"/>
      <c r="AX627" s="207"/>
      <c r="AY627" s="207"/>
      <c r="AZ627" s="207"/>
      <c r="BA627" s="207"/>
    </row>
    <row r="628" ht="18.75" hidden="1" customHeight="1">
      <c r="A628" s="207"/>
      <c r="B628" s="207"/>
      <c r="C628" s="207"/>
      <c r="D628" s="207"/>
      <c r="E628" s="207"/>
      <c r="F628" s="207"/>
      <c r="G628" s="207"/>
      <c r="H628" s="207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  <c r="AA628" s="207"/>
      <c r="AB628" s="207"/>
      <c r="AC628" s="207"/>
      <c r="AD628" s="207"/>
      <c r="AE628" s="207"/>
      <c r="AF628" s="207"/>
      <c r="AG628" s="207"/>
      <c r="AH628" s="207"/>
      <c r="AI628" s="207"/>
      <c r="AJ628" s="207"/>
      <c r="AK628" s="207"/>
      <c r="AL628" s="207"/>
      <c r="AM628" s="207"/>
      <c r="AN628" s="207"/>
      <c r="AO628" s="207"/>
      <c r="AP628" s="207"/>
      <c r="AQ628" s="207"/>
      <c r="AR628" s="207"/>
      <c r="AS628" s="207"/>
      <c r="AT628" s="207"/>
      <c r="AU628" s="207"/>
      <c r="AV628" s="207"/>
      <c r="AW628" s="207"/>
      <c r="AX628" s="207"/>
      <c r="AY628" s="207"/>
      <c r="AZ628" s="207"/>
      <c r="BA628" s="207"/>
    </row>
    <row r="629" ht="18.75" hidden="1" customHeight="1">
      <c r="A629" s="207"/>
      <c r="B629" s="207"/>
      <c r="C629" s="207"/>
      <c r="D629" s="207"/>
      <c r="E629" s="207"/>
      <c r="F629" s="207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  <c r="AA629" s="207"/>
      <c r="AB629" s="207"/>
      <c r="AC629" s="207"/>
      <c r="AD629" s="207"/>
      <c r="AE629" s="207"/>
      <c r="AF629" s="207"/>
      <c r="AG629" s="207"/>
      <c r="AH629" s="207"/>
      <c r="AI629" s="207"/>
      <c r="AJ629" s="207"/>
      <c r="AK629" s="207"/>
      <c r="AL629" s="207"/>
      <c r="AM629" s="207"/>
      <c r="AN629" s="207"/>
      <c r="AO629" s="207"/>
      <c r="AP629" s="207"/>
      <c r="AQ629" s="207"/>
      <c r="AR629" s="207"/>
      <c r="AS629" s="207"/>
      <c r="AT629" s="207"/>
      <c r="AU629" s="207"/>
      <c r="AV629" s="207"/>
      <c r="AW629" s="207"/>
      <c r="AX629" s="207"/>
      <c r="AY629" s="207"/>
      <c r="AZ629" s="207"/>
      <c r="BA629" s="207"/>
    </row>
    <row r="630" ht="18.75" hidden="1" customHeight="1">
      <c r="A630" s="207"/>
      <c r="B630" s="207"/>
      <c r="C630" s="207"/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  <c r="AA630" s="207"/>
      <c r="AB630" s="207"/>
      <c r="AC630" s="207"/>
      <c r="AD630" s="207"/>
      <c r="AE630" s="207"/>
      <c r="AF630" s="207"/>
      <c r="AG630" s="207"/>
      <c r="AH630" s="207"/>
      <c r="AI630" s="207"/>
      <c r="AJ630" s="207"/>
      <c r="AK630" s="207"/>
      <c r="AL630" s="207"/>
      <c r="AM630" s="207"/>
      <c r="AN630" s="207"/>
      <c r="AO630" s="207"/>
      <c r="AP630" s="207"/>
      <c r="AQ630" s="207"/>
      <c r="AR630" s="207"/>
      <c r="AS630" s="207"/>
      <c r="AT630" s="207"/>
      <c r="AU630" s="207"/>
      <c r="AV630" s="207"/>
      <c r="AW630" s="207"/>
      <c r="AX630" s="207"/>
      <c r="AY630" s="207"/>
      <c r="AZ630" s="207"/>
      <c r="BA630" s="207"/>
    </row>
    <row r="631" ht="18.75" hidden="1" customHeight="1">
      <c r="A631" s="207"/>
      <c r="B631" s="207"/>
      <c r="C631" s="207"/>
      <c r="D631" s="207"/>
      <c r="E631" s="207"/>
      <c r="F631" s="207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  <c r="AA631" s="207"/>
      <c r="AB631" s="207"/>
      <c r="AC631" s="207"/>
      <c r="AD631" s="207"/>
      <c r="AE631" s="207"/>
      <c r="AF631" s="207"/>
      <c r="AG631" s="207"/>
      <c r="AH631" s="207"/>
      <c r="AI631" s="207"/>
      <c r="AJ631" s="207"/>
      <c r="AK631" s="207"/>
      <c r="AL631" s="207"/>
      <c r="AM631" s="207"/>
      <c r="AN631" s="207"/>
      <c r="AO631" s="207"/>
      <c r="AP631" s="207"/>
      <c r="AQ631" s="207"/>
      <c r="AR631" s="207"/>
      <c r="AS631" s="207"/>
      <c r="AT631" s="207"/>
      <c r="AU631" s="207"/>
      <c r="AV631" s="207"/>
      <c r="AW631" s="207"/>
      <c r="AX631" s="207"/>
      <c r="AY631" s="207"/>
      <c r="AZ631" s="207"/>
      <c r="BA631" s="207"/>
    </row>
    <row r="632" ht="18.75" hidden="1" customHeight="1">
      <c r="A632" s="207"/>
      <c r="B632" s="207"/>
      <c r="C632" s="207"/>
      <c r="D632" s="207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  <c r="AA632" s="207"/>
      <c r="AB632" s="207"/>
      <c r="AC632" s="207"/>
      <c r="AD632" s="207"/>
      <c r="AE632" s="207"/>
      <c r="AF632" s="207"/>
      <c r="AG632" s="207"/>
      <c r="AH632" s="207"/>
      <c r="AI632" s="207"/>
      <c r="AJ632" s="207"/>
      <c r="AK632" s="207"/>
      <c r="AL632" s="207"/>
      <c r="AM632" s="207"/>
      <c r="AN632" s="207"/>
      <c r="AO632" s="207"/>
      <c r="AP632" s="207"/>
      <c r="AQ632" s="207"/>
      <c r="AR632" s="207"/>
      <c r="AS632" s="207"/>
      <c r="AT632" s="207"/>
      <c r="AU632" s="207"/>
      <c r="AV632" s="207"/>
      <c r="AW632" s="207"/>
      <c r="AX632" s="207"/>
      <c r="AY632" s="207"/>
      <c r="AZ632" s="207"/>
      <c r="BA632" s="207"/>
    </row>
    <row r="633" ht="18.75" hidden="1" customHeight="1">
      <c r="A633" s="207"/>
      <c r="B633" s="207"/>
      <c r="C633" s="207"/>
      <c r="D633" s="207"/>
      <c r="E633" s="207"/>
      <c r="F633" s="207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  <c r="AA633" s="207"/>
      <c r="AB633" s="207"/>
      <c r="AC633" s="207"/>
      <c r="AD633" s="207"/>
      <c r="AE633" s="207"/>
      <c r="AF633" s="207"/>
      <c r="AG633" s="207"/>
      <c r="AH633" s="207"/>
      <c r="AI633" s="207"/>
      <c r="AJ633" s="207"/>
      <c r="AK633" s="207"/>
      <c r="AL633" s="207"/>
      <c r="AM633" s="207"/>
      <c r="AN633" s="207"/>
      <c r="AO633" s="207"/>
      <c r="AP633" s="207"/>
      <c r="AQ633" s="207"/>
      <c r="AR633" s="207"/>
      <c r="AS633" s="207"/>
      <c r="AT633" s="207"/>
      <c r="AU633" s="207"/>
      <c r="AV633" s="207"/>
      <c r="AW633" s="207"/>
      <c r="AX633" s="207"/>
      <c r="AY633" s="207"/>
      <c r="AZ633" s="207"/>
      <c r="BA633" s="207"/>
    </row>
    <row r="634" ht="18.75" hidden="1" customHeight="1">
      <c r="A634" s="207"/>
      <c r="B634" s="207"/>
      <c r="C634" s="207"/>
      <c r="D634" s="207"/>
      <c r="E634" s="207"/>
      <c r="F634" s="207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  <c r="AA634" s="207"/>
      <c r="AB634" s="207"/>
      <c r="AC634" s="207"/>
      <c r="AD634" s="207"/>
      <c r="AE634" s="207"/>
      <c r="AF634" s="207"/>
      <c r="AG634" s="207"/>
      <c r="AH634" s="207"/>
      <c r="AI634" s="207"/>
      <c r="AJ634" s="207"/>
      <c r="AK634" s="207"/>
      <c r="AL634" s="207"/>
      <c r="AM634" s="207"/>
      <c r="AN634" s="207"/>
      <c r="AO634" s="207"/>
      <c r="AP634" s="207"/>
      <c r="AQ634" s="207"/>
      <c r="AR634" s="207"/>
      <c r="AS634" s="207"/>
      <c r="AT634" s="207"/>
      <c r="AU634" s="207"/>
      <c r="AV634" s="207"/>
      <c r="AW634" s="207"/>
      <c r="AX634" s="207"/>
      <c r="AY634" s="207"/>
      <c r="AZ634" s="207"/>
      <c r="BA634" s="207"/>
    </row>
    <row r="635" ht="18.75" hidden="1" customHeight="1">
      <c r="A635" s="207"/>
      <c r="B635" s="207"/>
      <c r="C635" s="207"/>
      <c r="D635" s="207"/>
      <c r="E635" s="207"/>
      <c r="F635" s="207"/>
      <c r="G635" s="207"/>
      <c r="H635" s="207"/>
      <c r="I635" s="207"/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  <c r="AA635" s="207"/>
      <c r="AB635" s="207"/>
      <c r="AC635" s="207"/>
      <c r="AD635" s="207"/>
      <c r="AE635" s="207"/>
      <c r="AF635" s="207"/>
      <c r="AG635" s="207"/>
      <c r="AH635" s="207"/>
      <c r="AI635" s="207"/>
      <c r="AJ635" s="207"/>
      <c r="AK635" s="207"/>
      <c r="AL635" s="207"/>
      <c r="AM635" s="207"/>
      <c r="AN635" s="207"/>
      <c r="AO635" s="207"/>
      <c r="AP635" s="207"/>
      <c r="AQ635" s="207"/>
      <c r="AR635" s="207"/>
      <c r="AS635" s="207"/>
      <c r="AT635" s="207"/>
      <c r="AU635" s="207"/>
      <c r="AV635" s="207"/>
      <c r="AW635" s="207"/>
      <c r="AX635" s="207"/>
      <c r="AY635" s="207"/>
      <c r="AZ635" s="207"/>
      <c r="BA635" s="207"/>
    </row>
    <row r="636" ht="18.75" hidden="1" customHeight="1">
      <c r="A636" s="207"/>
      <c r="B636" s="207"/>
      <c r="C636" s="207"/>
      <c r="D636" s="207"/>
      <c r="E636" s="207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  <c r="AA636" s="207"/>
      <c r="AB636" s="207"/>
      <c r="AC636" s="207"/>
      <c r="AD636" s="207"/>
      <c r="AE636" s="207"/>
      <c r="AF636" s="207"/>
      <c r="AG636" s="207"/>
      <c r="AH636" s="207"/>
      <c r="AI636" s="207"/>
      <c r="AJ636" s="207"/>
      <c r="AK636" s="207"/>
      <c r="AL636" s="207"/>
      <c r="AM636" s="207"/>
      <c r="AN636" s="207"/>
      <c r="AO636" s="207"/>
      <c r="AP636" s="207"/>
      <c r="AQ636" s="207"/>
      <c r="AR636" s="207"/>
      <c r="AS636" s="207"/>
      <c r="AT636" s="207"/>
      <c r="AU636" s="207"/>
      <c r="AV636" s="207"/>
      <c r="AW636" s="207"/>
      <c r="AX636" s="207"/>
      <c r="AY636" s="207"/>
      <c r="AZ636" s="207"/>
      <c r="BA636" s="207"/>
    </row>
    <row r="637" ht="18.75" hidden="1" customHeight="1">
      <c r="A637" s="207"/>
      <c r="B637" s="207"/>
      <c r="C637" s="207"/>
      <c r="D637" s="207"/>
      <c r="E637" s="207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  <c r="AA637" s="207"/>
      <c r="AB637" s="207"/>
      <c r="AC637" s="207"/>
      <c r="AD637" s="207"/>
      <c r="AE637" s="207"/>
      <c r="AF637" s="207"/>
      <c r="AG637" s="207"/>
      <c r="AH637" s="207"/>
      <c r="AI637" s="207"/>
      <c r="AJ637" s="207"/>
      <c r="AK637" s="207"/>
      <c r="AL637" s="207"/>
      <c r="AM637" s="207"/>
      <c r="AN637" s="207"/>
      <c r="AO637" s="207"/>
      <c r="AP637" s="207"/>
      <c r="AQ637" s="207"/>
      <c r="AR637" s="207"/>
      <c r="AS637" s="207"/>
      <c r="AT637" s="207"/>
      <c r="AU637" s="207"/>
      <c r="AV637" s="207"/>
      <c r="AW637" s="207"/>
      <c r="AX637" s="207"/>
      <c r="AY637" s="207"/>
      <c r="AZ637" s="207"/>
      <c r="BA637" s="207"/>
    </row>
    <row r="638" ht="18.75" hidden="1" customHeight="1">
      <c r="A638" s="207"/>
      <c r="B638" s="207"/>
      <c r="C638" s="207"/>
      <c r="D638" s="207"/>
      <c r="E638" s="207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  <c r="AA638" s="207"/>
      <c r="AB638" s="207"/>
      <c r="AC638" s="207"/>
      <c r="AD638" s="207"/>
      <c r="AE638" s="207"/>
      <c r="AF638" s="207"/>
      <c r="AG638" s="207"/>
      <c r="AH638" s="207"/>
      <c r="AI638" s="207"/>
      <c r="AJ638" s="207"/>
      <c r="AK638" s="207"/>
      <c r="AL638" s="207"/>
      <c r="AM638" s="207"/>
      <c r="AN638" s="207"/>
      <c r="AO638" s="207"/>
      <c r="AP638" s="207"/>
      <c r="AQ638" s="207"/>
      <c r="AR638" s="207"/>
      <c r="AS638" s="207"/>
      <c r="AT638" s="207"/>
      <c r="AU638" s="207"/>
      <c r="AV638" s="207"/>
      <c r="AW638" s="207"/>
      <c r="AX638" s="207"/>
      <c r="AY638" s="207"/>
      <c r="AZ638" s="207"/>
      <c r="BA638" s="207"/>
    </row>
    <row r="639" ht="18.75" hidden="1" customHeight="1">
      <c r="A639" s="207"/>
      <c r="B639" s="207"/>
      <c r="C639" s="207"/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  <c r="AA639" s="207"/>
      <c r="AB639" s="207"/>
      <c r="AC639" s="207"/>
      <c r="AD639" s="207"/>
      <c r="AE639" s="207"/>
      <c r="AF639" s="207"/>
      <c r="AG639" s="207"/>
      <c r="AH639" s="207"/>
      <c r="AI639" s="207"/>
      <c r="AJ639" s="207"/>
      <c r="AK639" s="207"/>
      <c r="AL639" s="207"/>
      <c r="AM639" s="207"/>
      <c r="AN639" s="207"/>
      <c r="AO639" s="207"/>
      <c r="AP639" s="207"/>
      <c r="AQ639" s="207"/>
      <c r="AR639" s="207"/>
      <c r="AS639" s="207"/>
      <c r="AT639" s="207"/>
      <c r="AU639" s="207"/>
      <c r="AV639" s="207"/>
      <c r="AW639" s="207"/>
      <c r="AX639" s="207"/>
      <c r="AY639" s="207"/>
      <c r="AZ639" s="207"/>
      <c r="BA639" s="207"/>
    </row>
    <row r="640" ht="18.75" hidden="1" customHeight="1">
      <c r="A640" s="207"/>
      <c r="B640" s="207"/>
      <c r="C640" s="207"/>
      <c r="D640" s="207"/>
      <c r="E640" s="207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  <c r="AA640" s="207"/>
      <c r="AB640" s="207"/>
      <c r="AC640" s="207"/>
      <c r="AD640" s="207"/>
      <c r="AE640" s="207"/>
      <c r="AF640" s="207"/>
      <c r="AG640" s="207"/>
      <c r="AH640" s="207"/>
      <c r="AI640" s="207"/>
      <c r="AJ640" s="207"/>
      <c r="AK640" s="207"/>
      <c r="AL640" s="207"/>
      <c r="AM640" s="207"/>
      <c r="AN640" s="207"/>
      <c r="AO640" s="207"/>
      <c r="AP640" s="207"/>
      <c r="AQ640" s="207"/>
      <c r="AR640" s="207"/>
      <c r="AS640" s="207"/>
      <c r="AT640" s="207"/>
      <c r="AU640" s="207"/>
      <c r="AV640" s="207"/>
      <c r="AW640" s="207"/>
      <c r="AX640" s="207"/>
      <c r="AY640" s="207"/>
      <c r="AZ640" s="207"/>
      <c r="BA640" s="207"/>
    </row>
    <row r="641" ht="18.75" hidden="1" customHeight="1">
      <c r="A641" s="207"/>
      <c r="B641" s="207"/>
      <c r="C641" s="207"/>
      <c r="D641" s="207"/>
      <c r="E641" s="207"/>
      <c r="F641" s="207"/>
      <c r="G641" s="207"/>
      <c r="H641" s="207"/>
      <c r="I641" s="207"/>
      <c r="J641" s="207"/>
      <c r="K641" s="207"/>
      <c r="L641" s="207"/>
      <c r="M641" s="207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  <c r="AA641" s="207"/>
      <c r="AB641" s="207"/>
      <c r="AC641" s="207"/>
      <c r="AD641" s="207"/>
      <c r="AE641" s="207"/>
      <c r="AF641" s="207"/>
      <c r="AG641" s="207"/>
      <c r="AH641" s="207"/>
      <c r="AI641" s="207"/>
      <c r="AJ641" s="207"/>
      <c r="AK641" s="207"/>
      <c r="AL641" s="207"/>
      <c r="AM641" s="207"/>
      <c r="AN641" s="207"/>
      <c r="AO641" s="207"/>
      <c r="AP641" s="207"/>
      <c r="AQ641" s="207"/>
      <c r="AR641" s="207"/>
      <c r="AS641" s="207"/>
      <c r="AT641" s="207"/>
      <c r="AU641" s="207"/>
      <c r="AV641" s="207"/>
      <c r="AW641" s="207"/>
      <c r="AX641" s="207"/>
      <c r="AY641" s="207"/>
      <c r="AZ641" s="207"/>
      <c r="BA641" s="207"/>
    </row>
    <row r="642" ht="18.75" hidden="1" customHeight="1">
      <c r="A642" s="207"/>
      <c r="B642" s="207"/>
      <c r="C642" s="207"/>
      <c r="D642" s="207"/>
      <c r="E642" s="207"/>
      <c r="F642" s="207"/>
      <c r="G642" s="207"/>
      <c r="H642" s="207"/>
      <c r="I642" s="207"/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  <c r="AA642" s="207"/>
      <c r="AB642" s="207"/>
      <c r="AC642" s="207"/>
      <c r="AD642" s="207"/>
      <c r="AE642" s="207"/>
      <c r="AF642" s="207"/>
      <c r="AG642" s="207"/>
      <c r="AH642" s="207"/>
      <c r="AI642" s="207"/>
      <c r="AJ642" s="207"/>
      <c r="AK642" s="207"/>
      <c r="AL642" s="207"/>
      <c r="AM642" s="207"/>
      <c r="AN642" s="207"/>
      <c r="AO642" s="207"/>
      <c r="AP642" s="207"/>
      <c r="AQ642" s="207"/>
      <c r="AR642" s="207"/>
      <c r="AS642" s="207"/>
      <c r="AT642" s="207"/>
      <c r="AU642" s="207"/>
      <c r="AV642" s="207"/>
      <c r="AW642" s="207"/>
      <c r="AX642" s="207"/>
      <c r="AY642" s="207"/>
      <c r="AZ642" s="207"/>
      <c r="BA642" s="207"/>
    </row>
    <row r="643" ht="18.75" hidden="1" customHeight="1">
      <c r="A643" s="207"/>
      <c r="B643" s="207"/>
      <c r="C643" s="207"/>
      <c r="D643" s="207"/>
      <c r="E643" s="207"/>
      <c r="F643" s="207"/>
      <c r="G643" s="207"/>
      <c r="H643" s="207"/>
      <c r="I643" s="207"/>
      <c r="J643" s="207"/>
      <c r="K643" s="207"/>
      <c r="L643" s="207"/>
      <c r="M643" s="207"/>
      <c r="N643" s="207"/>
      <c r="O643" s="207"/>
      <c r="P643" s="207"/>
      <c r="Q643" s="207"/>
      <c r="R643" s="207"/>
      <c r="S643" s="207"/>
      <c r="T643" s="207"/>
      <c r="U643" s="207"/>
      <c r="V643" s="207"/>
      <c r="W643" s="207"/>
      <c r="X643" s="207"/>
      <c r="Y643" s="207"/>
      <c r="Z643" s="207"/>
      <c r="AA643" s="207"/>
      <c r="AB643" s="207"/>
      <c r="AC643" s="207"/>
      <c r="AD643" s="207"/>
      <c r="AE643" s="207"/>
      <c r="AF643" s="207"/>
      <c r="AG643" s="207"/>
      <c r="AH643" s="207"/>
      <c r="AI643" s="207"/>
      <c r="AJ643" s="207"/>
      <c r="AK643" s="207"/>
      <c r="AL643" s="207"/>
      <c r="AM643" s="207"/>
      <c r="AN643" s="207"/>
      <c r="AO643" s="207"/>
      <c r="AP643" s="207"/>
      <c r="AQ643" s="207"/>
      <c r="AR643" s="207"/>
      <c r="AS643" s="207"/>
      <c r="AT643" s="207"/>
      <c r="AU643" s="207"/>
      <c r="AV643" s="207"/>
      <c r="AW643" s="207"/>
      <c r="AX643" s="207"/>
      <c r="AY643" s="207"/>
      <c r="AZ643" s="207"/>
      <c r="BA643" s="207"/>
    </row>
    <row r="644" ht="18.75" hidden="1" customHeight="1">
      <c r="A644" s="207"/>
      <c r="B644" s="207"/>
      <c r="C644" s="207"/>
      <c r="D644" s="207"/>
      <c r="E644" s="207"/>
      <c r="F644" s="207"/>
      <c r="G644" s="207"/>
      <c r="H644" s="207"/>
      <c r="I644" s="207"/>
      <c r="J644" s="207"/>
      <c r="K644" s="207"/>
      <c r="L644" s="207"/>
      <c r="M644" s="207"/>
      <c r="N644" s="207"/>
      <c r="O644" s="207"/>
      <c r="P644" s="207"/>
      <c r="Q644" s="207"/>
      <c r="R644" s="207"/>
      <c r="S644" s="207"/>
      <c r="T644" s="207"/>
      <c r="U644" s="207"/>
      <c r="V644" s="207"/>
      <c r="W644" s="207"/>
      <c r="X644" s="207"/>
      <c r="Y644" s="207"/>
      <c r="Z644" s="207"/>
      <c r="AA644" s="207"/>
      <c r="AB644" s="207"/>
      <c r="AC644" s="207"/>
      <c r="AD644" s="207"/>
      <c r="AE644" s="207"/>
      <c r="AF644" s="207"/>
      <c r="AG644" s="207"/>
      <c r="AH644" s="207"/>
      <c r="AI644" s="207"/>
      <c r="AJ644" s="207"/>
      <c r="AK644" s="207"/>
      <c r="AL644" s="207"/>
      <c r="AM644" s="207"/>
      <c r="AN644" s="207"/>
      <c r="AO644" s="207"/>
      <c r="AP644" s="207"/>
      <c r="AQ644" s="207"/>
      <c r="AR644" s="207"/>
      <c r="AS644" s="207"/>
      <c r="AT644" s="207"/>
      <c r="AU644" s="207"/>
      <c r="AV644" s="207"/>
      <c r="AW644" s="207"/>
      <c r="AX644" s="207"/>
      <c r="AY644" s="207"/>
      <c r="AZ644" s="207"/>
      <c r="BA644" s="207"/>
    </row>
    <row r="645" ht="18.75" hidden="1" customHeight="1">
      <c r="A645" s="207"/>
      <c r="B645" s="207"/>
      <c r="C645" s="207"/>
      <c r="D645" s="207"/>
      <c r="E645" s="207"/>
      <c r="F645" s="207"/>
      <c r="G645" s="207"/>
      <c r="H645" s="207"/>
      <c r="I645" s="207"/>
      <c r="J645" s="207"/>
      <c r="K645" s="207"/>
      <c r="L645" s="207"/>
      <c r="M645" s="207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  <c r="AA645" s="207"/>
      <c r="AB645" s="207"/>
      <c r="AC645" s="207"/>
      <c r="AD645" s="207"/>
      <c r="AE645" s="207"/>
      <c r="AF645" s="207"/>
      <c r="AG645" s="207"/>
      <c r="AH645" s="207"/>
      <c r="AI645" s="207"/>
      <c r="AJ645" s="207"/>
      <c r="AK645" s="207"/>
      <c r="AL645" s="207"/>
      <c r="AM645" s="207"/>
      <c r="AN645" s="207"/>
      <c r="AO645" s="207"/>
      <c r="AP645" s="207"/>
      <c r="AQ645" s="207"/>
      <c r="AR645" s="207"/>
      <c r="AS645" s="207"/>
      <c r="AT645" s="207"/>
      <c r="AU645" s="207"/>
      <c r="AV645" s="207"/>
      <c r="AW645" s="207"/>
      <c r="AX645" s="207"/>
      <c r="AY645" s="207"/>
      <c r="AZ645" s="207"/>
      <c r="BA645" s="207"/>
    </row>
    <row r="646" ht="18.75" hidden="1" customHeight="1">
      <c r="A646" s="207"/>
      <c r="B646" s="207"/>
      <c r="C646" s="207"/>
      <c r="D646" s="207"/>
      <c r="E646" s="207"/>
      <c r="F646" s="207"/>
      <c r="G646" s="207"/>
      <c r="H646" s="207"/>
      <c r="I646" s="207"/>
      <c r="J646" s="207"/>
      <c r="K646" s="207"/>
      <c r="L646" s="207"/>
      <c r="M646" s="207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  <c r="AA646" s="207"/>
      <c r="AB646" s="207"/>
      <c r="AC646" s="207"/>
      <c r="AD646" s="207"/>
      <c r="AE646" s="207"/>
      <c r="AF646" s="207"/>
      <c r="AG646" s="207"/>
      <c r="AH646" s="207"/>
      <c r="AI646" s="207"/>
      <c r="AJ646" s="207"/>
      <c r="AK646" s="207"/>
      <c r="AL646" s="207"/>
      <c r="AM646" s="207"/>
      <c r="AN646" s="207"/>
      <c r="AO646" s="207"/>
      <c r="AP646" s="207"/>
      <c r="AQ646" s="207"/>
      <c r="AR646" s="207"/>
      <c r="AS646" s="207"/>
      <c r="AT646" s="207"/>
      <c r="AU646" s="207"/>
      <c r="AV646" s="207"/>
      <c r="AW646" s="207"/>
      <c r="AX646" s="207"/>
      <c r="AY646" s="207"/>
      <c r="AZ646" s="207"/>
      <c r="BA646" s="207"/>
    </row>
    <row r="647" ht="18.75" hidden="1" customHeight="1">
      <c r="A647" s="207"/>
      <c r="B647" s="207"/>
      <c r="C647" s="207"/>
      <c r="D647" s="207"/>
      <c r="E647" s="207"/>
      <c r="F647" s="207"/>
      <c r="G647" s="207"/>
      <c r="H647" s="207"/>
      <c r="I647" s="207"/>
      <c r="J647" s="207"/>
      <c r="K647" s="207"/>
      <c r="L647" s="207"/>
      <c r="M647" s="207"/>
      <c r="N647" s="207"/>
      <c r="O647" s="207"/>
      <c r="P647" s="207"/>
      <c r="Q647" s="207"/>
      <c r="R647" s="207"/>
      <c r="S647" s="207"/>
      <c r="T647" s="207"/>
      <c r="U647" s="207"/>
      <c r="V647" s="207"/>
      <c r="W647" s="207"/>
      <c r="X647" s="207"/>
      <c r="Y647" s="207"/>
      <c r="Z647" s="207"/>
      <c r="AA647" s="207"/>
      <c r="AB647" s="207"/>
      <c r="AC647" s="207"/>
      <c r="AD647" s="207"/>
      <c r="AE647" s="207"/>
      <c r="AF647" s="207"/>
      <c r="AG647" s="207"/>
      <c r="AH647" s="207"/>
      <c r="AI647" s="207"/>
      <c r="AJ647" s="207"/>
      <c r="AK647" s="207"/>
      <c r="AL647" s="207"/>
      <c r="AM647" s="207"/>
      <c r="AN647" s="207"/>
      <c r="AO647" s="207"/>
      <c r="AP647" s="207"/>
      <c r="AQ647" s="207"/>
      <c r="AR647" s="207"/>
      <c r="AS647" s="207"/>
      <c r="AT647" s="207"/>
      <c r="AU647" s="207"/>
      <c r="AV647" s="207"/>
      <c r="AW647" s="207"/>
      <c r="AX647" s="207"/>
      <c r="AY647" s="207"/>
      <c r="AZ647" s="207"/>
      <c r="BA647" s="207"/>
    </row>
    <row r="648" ht="18.75" hidden="1" customHeight="1">
      <c r="A648" s="207"/>
      <c r="B648" s="207"/>
      <c r="C648" s="207"/>
      <c r="D648" s="207"/>
      <c r="E648" s="207"/>
      <c r="F648" s="207"/>
      <c r="G648" s="207"/>
      <c r="H648" s="207"/>
      <c r="I648" s="207"/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207"/>
      <c r="Y648" s="207"/>
      <c r="Z648" s="207"/>
      <c r="AA648" s="207"/>
      <c r="AB648" s="207"/>
      <c r="AC648" s="207"/>
      <c r="AD648" s="207"/>
      <c r="AE648" s="207"/>
      <c r="AF648" s="207"/>
      <c r="AG648" s="207"/>
      <c r="AH648" s="207"/>
      <c r="AI648" s="207"/>
      <c r="AJ648" s="207"/>
      <c r="AK648" s="207"/>
      <c r="AL648" s="207"/>
      <c r="AM648" s="207"/>
      <c r="AN648" s="207"/>
      <c r="AO648" s="207"/>
      <c r="AP648" s="207"/>
      <c r="AQ648" s="207"/>
      <c r="AR648" s="207"/>
      <c r="AS648" s="207"/>
      <c r="AT648" s="207"/>
      <c r="AU648" s="207"/>
      <c r="AV648" s="207"/>
      <c r="AW648" s="207"/>
      <c r="AX648" s="207"/>
      <c r="AY648" s="207"/>
      <c r="AZ648" s="207"/>
      <c r="BA648" s="207"/>
    </row>
    <row r="649" ht="18.75" hidden="1" customHeight="1">
      <c r="A649" s="207"/>
      <c r="B649" s="207"/>
      <c r="C649" s="207"/>
      <c r="D649" s="207"/>
      <c r="E649" s="207"/>
      <c r="F649" s="207"/>
      <c r="G649" s="207"/>
      <c r="H649" s="207"/>
      <c r="I649" s="207"/>
      <c r="J649" s="207"/>
      <c r="K649" s="207"/>
      <c r="L649" s="207"/>
      <c r="M649" s="207"/>
      <c r="N649" s="207"/>
      <c r="O649" s="207"/>
      <c r="P649" s="207"/>
      <c r="Q649" s="207"/>
      <c r="R649" s="207"/>
      <c r="S649" s="207"/>
      <c r="T649" s="207"/>
      <c r="U649" s="207"/>
      <c r="V649" s="207"/>
      <c r="W649" s="207"/>
      <c r="X649" s="207"/>
      <c r="Y649" s="207"/>
      <c r="Z649" s="207"/>
      <c r="AA649" s="207"/>
      <c r="AB649" s="207"/>
      <c r="AC649" s="207"/>
      <c r="AD649" s="207"/>
      <c r="AE649" s="207"/>
      <c r="AF649" s="207"/>
      <c r="AG649" s="207"/>
      <c r="AH649" s="207"/>
      <c r="AI649" s="207"/>
      <c r="AJ649" s="207"/>
      <c r="AK649" s="207"/>
      <c r="AL649" s="207"/>
      <c r="AM649" s="207"/>
      <c r="AN649" s="207"/>
      <c r="AO649" s="207"/>
      <c r="AP649" s="207"/>
      <c r="AQ649" s="207"/>
      <c r="AR649" s="207"/>
      <c r="AS649" s="207"/>
      <c r="AT649" s="207"/>
      <c r="AU649" s="207"/>
      <c r="AV649" s="207"/>
      <c r="AW649" s="207"/>
      <c r="AX649" s="207"/>
      <c r="AY649" s="207"/>
      <c r="AZ649" s="207"/>
      <c r="BA649" s="207"/>
    </row>
    <row r="650" ht="18.75" hidden="1" customHeight="1">
      <c r="A650" s="207"/>
      <c r="B650" s="207"/>
      <c r="C650" s="207"/>
      <c r="D650" s="207"/>
      <c r="E650" s="207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  <c r="AA650" s="207"/>
      <c r="AB650" s="207"/>
      <c r="AC650" s="207"/>
      <c r="AD650" s="207"/>
      <c r="AE650" s="207"/>
      <c r="AF650" s="207"/>
      <c r="AG650" s="207"/>
      <c r="AH650" s="207"/>
      <c r="AI650" s="207"/>
      <c r="AJ650" s="207"/>
      <c r="AK650" s="207"/>
      <c r="AL650" s="207"/>
      <c r="AM650" s="207"/>
      <c r="AN650" s="207"/>
      <c r="AO650" s="207"/>
      <c r="AP650" s="207"/>
      <c r="AQ650" s="207"/>
      <c r="AR650" s="207"/>
      <c r="AS650" s="207"/>
      <c r="AT650" s="207"/>
      <c r="AU650" s="207"/>
      <c r="AV650" s="207"/>
      <c r="AW650" s="207"/>
      <c r="AX650" s="207"/>
      <c r="AY650" s="207"/>
      <c r="AZ650" s="207"/>
      <c r="BA650" s="207"/>
    </row>
    <row r="651" ht="18.75" hidden="1" customHeight="1">
      <c r="A651" s="207"/>
      <c r="B651" s="207"/>
      <c r="C651" s="207"/>
      <c r="D651" s="207"/>
      <c r="E651" s="207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  <c r="AA651" s="207"/>
      <c r="AB651" s="207"/>
      <c r="AC651" s="207"/>
      <c r="AD651" s="207"/>
      <c r="AE651" s="207"/>
      <c r="AF651" s="207"/>
      <c r="AG651" s="207"/>
      <c r="AH651" s="207"/>
      <c r="AI651" s="207"/>
      <c r="AJ651" s="207"/>
      <c r="AK651" s="207"/>
      <c r="AL651" s="207"/>
      <c r="AM651" s="207"/>
      <c r="AN651" s="207"/>
      <c r="AO651" s="207"/>
      <c r="AP651" s="207"/>
      <c r="AQ651" s="207"/>
      <c r="AR651" s="207"/>
      <c r="AS651" s="207"/>
      <c r="AT651" s="207"/>
      <c r="AU651" s="207"/>
      <c r="AV651" s="207"/>
      <c r="AW651" s="207"/>
      <c r="AX651" s="207"/>
      <c r="AY651" s="207"/>
      <c r="AZ651" s="207"/>
      <c r="BA651" s="207"/>
    </row>
    <row r="652" ht="18.75" hidden="1" customHeight="1">
      <c r="A652" s="207"/>
      <c r="B652" s="207"/>
      <c r="C652" s="207"/>
      <c r="D652" s="207"/>
      <c r="E652" s="207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  <c r="AA652" s="207"/>
      <c r="AB652" s="207"/>
      <c r="AC652" s="207"/>
      <c r="AD652" s="207"/>
      <c r="AE652" s="207"/>
      <c r="AF652" s="207"/>
      <c r="AG652" s="207"/>
      <c r="AH652" s="207"/>
      <c r="AI652" s="207"/>
      <c r="AJ652" s="207"/>
      <c r="AK652" s="207"/>
      <c r="AL652" s="207"/>
      <c r="AM652" s="207"/>
      <c r="AN652" s="207"/>
      <c r="AO652" s="207"/>
      <c r="AP652" s="207"/>
      <c r="AQ652" s="207"/>
      <c r="AR652" s="207"/>
      <c r="AS652" s="207"/>
      <c r="AT652" s="207"/>
      <c r="AU652" s="207"/>
      <c r="AV652" s="207"/>
      <c r="AW652" s="207"/>
      <c r="AX652" s="207"/>
      <c r="AY652" s="207"/>
      <c r="AZ652" s="207"/>
      <c r="BA652" s="207"/>
    </row>
    <row r="653" ht="18.75" hidden="1" customHeight="1">
      <c r="A653" s="207"/>
      <c r="B653" s="207"/>
      <c r="C653" s="207"/>
      <c r="D653" s="207"/>
      <c r="E653" s="207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  <c r="AA653" s="207"/>
      <c r="AB653" s="207"/>
      <c r="AC653" s="207"/>
      <c r="AD653" s="207"/>
      <c r="AE653" s="207"/>
      <c r="AF653" s="207"/>
      <c r="AG653" s="207"/>
      <c r="AH653" s="207"/>
      <c r="AI653" s="207"/>
      <c r="AJ653" s="207"/>
      <c r="AK653" s="207"/>
      <c r="AL653" s="207"/>
      <c r="AM653" s="207"/>
      <c r="AN653" s="207"/>
      <c r="AO653" s="207"/>
      <c r="AP653" s="207"/>
      <c r="AQ653" s="207"/>
      <c r="AR653" s="207"/>
      <c r="AS653" s="207"/>
      <c r="AT653" s="207"/>
      <c r="AU653" s="207"/>
      <c r="AV653" s="207"/>
      <c r="AW653" s="207"/>
      <c r="AX653" s="207"/>
      <c r="AY653" s="207"/>
      <c r="AZ653" s="207"/>
      <c r="BA653" s="207"/>
    </row>
    <row r="654" ht="18.75" hidden="1" customHeight="1">
      <c r="A654" s="207"/>
      <c r="B654" s="207"/>
      <c r="C654" s="207"/>
      <c r="D654" s="207"/>
      <c r="E654" s="207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  <c r="AA654" s="207"/>
      <c r="AB654" s="207"/>
      <c r="AC654" s="207"/>
      <c r="AD654" s="207"/>
      <c r="AE654" s="207"/>
      <c r="AF654" s="207"/>
      <c r="AG654" s="207"/>
      <c r="AH654" s="207"/>
      <c r="AI654" s="207"/>
      <c r="AJ654" s="207"/>
      <c r="AK654" s="207"/>
      <c r="AL654" s="207"/>
      <c r="AM654" s="207"/>
      <c r="AN654" s="207"/>
      <c r="AO654" s="207"/>
      <c r="AP654" s="207"/>
      <c r="AQ654" s="207"/>
      <c r="AR654" s="207"/>
      <c r="AS654" s="207"/>
      <c r="AT654" s="207"/>
      <c r="AU654" s="207"/>
      <c r="AV654" s="207"/>
      <c r="AW654" s="207"/>
      <c r="AX654" s="207"/>
      <c r="AY654" s="207"/>
      <c r="AZ654" s="207"/>
      <c r="BA654" s="207"/>
    </row>
    <row r="655" ht="18.75" hidden="1" customHeight="1">
      <c r="A655" s="207"/>
      <c r="B655" s="207"/>
      <c r="C655" s="207"/>
      <c r="D655" s="207"/>
      <c r="E655" s="207"/>
      <c r="F655" s="207"/>
      <c r="G655" s="207"/>
      <c r="H655" s="207"/>
      <c r="I655" s="207"/>
      <c r="J655" s="207"/>
      <c r="K655" s="207"/>
      <c r="L655" s="207"/>
      <c r="M655" s="207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  <c r="AA655" s="207"/>
      <c r="AB655" s="207"/>
      <c r="AC655" s="207"/>
      <c r="AD655" s="207"/>
      <c r="AE655" s="207"/>
      <c r="AF655" s="207"/>
      <c r="AG655" s="207"/>
      <c r="AH655" s="207"/>
      <c r="AI655" s="207"/>
      <c r="AJ655" s="207"/>
      <c r="AK655" s="207"/>
      <c r="AL655" s="207"/>
      <c r="AM655" s="207"/>
      <c r="AN655" s="207"/>
      <c r="AO655" s="207"/>
      <c r="AP655" s="207"/>
      <c r="AQ655" s="207"/>
      <c r="AR655" s="207"/>
      <c r="AS655" s="207"/>
      <c r="AT655" s="207"/>
      <c r="AU655" s="207"/>
      <c r="AV655" s="207"/>
      <c r="AW655" s="207"/>
      <c r="AX655" s="207"/>
      <c r="AY655" s="207"/>
      <c r="AZ655" s="207"/>
      <c r="BA655" s="207"/>
    </row>
    <row r="656" ht="18.75" hidden="1" customHeight="1">
      <c r="A656" s="207"/>
      <c r="B656" s="207"/>
      <c r="C656" s="207"/>
      <c r="D656" s="207"/>
      <c r="E656" s="207"/>
      <c r="F656" s="207"/>
      <c r="G656" s="207"/>
      <c r="H656" s="207"/>
      <c r="I656" s="207"/>
      <c r="J656" s="207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  <c r="AA656" s="207"/>
      <c r="AB656" s="207"/>
      <c r="AC656" s="207"/>
      <c r="AD656" s="207"/>
      <c r="AE656" s="207"/>
      <c r="AF656" s="207"/>
      <c r="AG656" s="207"/>
      <c r="AH656" s="207"/>
      <c r="AI656" s="207"/>
      <c r="AJ656" s="207"/>
      <c r="AK656" s="207"/>
      <c r="AL656" s="207"/>
      <c r="AM656" s="207"/>
      <c r="AN656" s="207"/>
      <c r="AO656" s="207"/>
      <c r="AP656" s="207"/>
      <c r="AQ656" s="207"/>
      <c r="AR656" s="207"/>
      <c r="AS656" s="207"/>
      <c r="AT656" s="207"/>
      <c r="AU656" s="207"/>
      <c r="AV656" s="207"/>
      <c r="AW656" s="207"/>
      <c r="AX656" s="207"/>
      <c r="AY656" s="207"/>
      <c r="AZ656" s="207"/>
      <c r="BA656" s="207"/>
    </row>
    <row r="657" ht="18.75" hidden="1" customHeight="1">
      <c r="A657" s="207"/>
      <c r="B657" s="207"/>
      <c r="C657" s="207"/>
      <c r="D657" s="207"/>
      <c r="E657" s="207"/>
      <c r="F657" s="207"/>
      <c r="G657" s="207"/>
      <c r="H657" s="207"/>
      <c r="I657" s="207"/>
      <c r="J657" s="207"/>
      <c r="K657" s="207"/>
      <c r="L657" s="207"/>
      <c r="M657" s="207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207"/>
      <c r="Z657" s="207"/>
      <c r="AA657" s="207"/>
      <c r="AB657" s="207"/>
      <c r="AC657" s="207"/>
      <c r="AD657" s="207"/>
      <c r="AE657" s="207"/>
      <c r="AF657" s="207"/>
      <c r="AG657" s="207"/>
      <c r="AH657" s="207"/>
      <c r="AI657" s="207"/>
      <c r="AJ657" s="207"/>
      <c r="AK657" s="207"/>
      <c r="AL657" s="207"/>
      <c r="AM657" s="207"/>
      <c r="AN657" s="207"/>
      <c r="AO657" s="207"/>
      <c r="AP657" s="207"/>
      <c r="AQ657" s="207"/>
      <c r="AR657" s="207"/>
      <c r="AS657" s="207"/>
      <c r="AT657" s="207"/>
      <c r="AU657" s="207"/>
      <c r="AV657" s="207"/>
      <c r="AW657" s="207"/>
      <c r="AX657" s="207"/>
      <c r="AY657" s="207"/>
      <c r="AZ657" s="207"/>
      <c r="BA657" s="207"/>
    </row>
    <row r="658" ht="18.75" hidden="1" customHeight="1">
      <c r="A658" s="207"/>
      <c r="B658" s="207"/>
      <c r="C658" s="207"/>
      <c r="D658" s="207"/>
      <c r="E658" s="207"/>
      <c r="F658" s="207"/>
      <c r="G658" s="207"/>
      <c r="H658" s="207"/>
      <c r="I658" s="207"/>
      <c r="J658" s="207"/>
      <c r="K658" s="207"/>
      <c r="L658" s="207"/>
      <c r="M658" s="207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207"/>
      <c r="Z658" s="207"/>
      <c r="AA658" s="207"/>
      <c r="AB658" s="207"/>
      <c r="AC658" s="207"/>
      <c r="AD658" s="207"/>
      <c r="AE658" s="207"/>
      <c r="AF658" s="207"/>
      <c r="AG658" s="207"/>
      <c r="AH658" s="207"/>
      <c r="AI658" s="207"/>
      <c r="AJ658" s="207"/>
      <c r="AK658" s="207"/>
      <c r="AL658" s="207"/>
      <c r="AM658" s="207"/>
      <c r="AN658" s="207"/>
      <c r="AO658" s="207"/>
      <c r="AP658" s="207"/>
      <c r="AQ658" s="207"/>
      <c r="AR658" s="207"/>
      <c r="AS658" s="207"/>
      <c r="AT658" s="207"/>
      <c r="AU658" s="207"/>
      <c r="AV658" s="207"/>
      <c r="AW658" s="207"/>
      <c r="AX658" s="207"/>
      <c r="AY658" s="207"/>
      <c r="AZ658" s="207"/>
      <c r="BA658" s="207"/>
    </row>
    <row r="659" ht="18.75" hidden="1" customHeight="1">
      <c r="A659" s="207"/>
      <c r="B659" s="207"/>
      <c r="C659" s="207"/>
      <c r="D659" s="207"/>
      <c r="E659" s="207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  <c r="AA659" s="207"/>
      <c r="AB659" s="207"/>
      <c r="AC659" s="207"/>
      <c r="AD659" s="207"/>
      <c r="AE659" s="207"/>
      <c r="AF659" s="207"/>
      <c r="AG659" s="207"/>
      <c r="AH659" s="207"/>
      <c r="AI659" s="207"/>
      <c r="AJ659" s="207"/>
      <c r="AK659" s="207"/>
      <c r="AL659" s="207"/>
      <c r="AM659" s="207"/>
      <c r="AN659" s="207"/>
      <c r="AO659" s="207"/>
      <c r="AP659" s="207"/>
      <c r="AQ659" s="207"/>
      <c r="AR659" s="207"/>
      <c r="AS659" s="207"/>
      <c r="AT659" s="207"/>
      <c r="AU659" s="207"/>
      <c r="AV659" s="207"/>
      <c r="AW659" s="207"/>
      <c r="AX659" s="207"/>
      <c r="AY659" s="207"/>
      <c r="AZ659" s="207"/>
      <c r="BA659" s="207"/>
    </row>
    <row r="660" ht="18.75" hidden="1" customHeight="1">
      <c r="A660" s="207"/>
      <c r="B660" s="207"/>
      <c r="C660" s="207"/>
      <c r="D660" s="207"/>
      <c r="E660" s="207"/>
      <c r="F660" s="207"/>
      <c r="G660" s="207"/>
      <c r="H660" s="207"/>
      <c r="I660" s="207"/>
      <c r="J660" s="207"/>
      <c r="K660" s="207"/>
      <c r="L660" s="207"/>
      <c r="M660" s="207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  <c r="AA660" s="207"/>
      <c r="AB660" s="207"/>
      <c r="AC660" s="207"/>
      <c r="AD660" s="207"/>
      <c r="AE660" s="207"/>
      <c r="AF660" s="207"/>
      <c r="AG660" s="207"/>
      <c r="AH660" s="207"/>
      <c r="AI660" s="207"/>
      <c r="AJ660" s="207"/>
      <c r="AK660" s="207"/>
      <c r="AL660" s="207"/>
      <c r="AM660" s="207"/>
      <c r="AN660" s="207"/>
      <c r="AO660" s="207"/>
      <c r="AP660" s="207"/>
      <c r="AQ660" s="207"/>
      <c r="AR660" s="207"/>
      <c r="AS660" s="207"/>
      <c r="AT660" s="207"/>
      <c r="AU660" s="207"/>
      <c r="AV660" s="207"/>
      <c r="AW660" s="207"/>
      <c r="AX660" s="207"/>
      <c r="AY660" s="207"/>
      <c r="AZ660" s="207"/>
      <c r="BA660" s="207"/>
    </row>
    <row r="661" ht="18.75" hidden="1" customHeight="1">
      <c r="A661" s="207"/>
      <c r="B661" s="207"/>
      <c r="C661" s="207"/>
      <c r="D661" s="207"/>
      <c r="E661" s="207"/>
      <c r="F661" s="207"/>
      <c r="G661" s="207"/>
      <c r="H661" s="207"/>
      <c r="I661" s="207"/>
      <c r="J661" s="207"/>
      <c r="K661" s="207"/>
      <c r="L661" s="207"/>
      <c r="M661" s="207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/>
      <c r="Y661" s="207"/>
      <c r="Z661" s="207"/>
      <c r="AA661" s="207"/>
      <c r="AB661" s="207"/>
      <c r="AC661" s="207"/>
      <c r="AD661" s="207"/>
      <c r="AE661" s="207"/>
      <c r="AF661" s="207"/>
      <c r="AG661" s="207"/>
      <c r="AH661" s="207"/>
      <c r="AI661" s="207"/>
      <c r="AJ661" s="207"/>
      <c r="AK661" s="207"/>
      <c r="AL661" s="207"/>
      <c r="AM661" s="207"/>
      <c r="AN661" s="207"/>
      <c r="AO661" s="207"/>
      <c r="AP661" s="207"/>
      <c r="AQ661" s="207"/>
      <c r="AR661" s="207"/>
      <c r="AS661" s="207"/>
      <c r="AT661" s="207"/>
      <c r="AU661" s="207"/>
      <c r="AV661" s="207"/>
      <c r="AW661" s="207"/>
      <c r="AX661" s="207"/>
      <c r="AY661" s="207"/>
      <c r="AZ661" s="207"/>
      <c r="BA661" s="207"/>
    </row>
    <row r="662" ht="18.75" hidden="1" customHeight="1">
      <c r="A662" s="207"/>
      <c r="B662" s="207"/>
      <c r="C662" s="207"/>
      <c r="D662" s="207"/>
      <c r="E662" s="207"/>
      <c r="F662" s="207"/>
      <c r="G662" s="207"/>
      <c r="H662" s="207"/>
      <c r="I662" s="207"/>
      <c r="J662" s="207"/>
      <c r="K662" s="207"/>
      <c r="L662" s="207"/>
      <c r="M662" s="207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/>
      <c r="Y662" s="207"/>
      <c r="Z662" s="207"/>
      <c r="AA662" s="207"/>
      <c r="AB662" s="207"/>
      <c r="AC662" s="207"/>
      <c r="AD662" s="207"/>
      <c r="AE662" s="207"/>
      <c r="AF662" s="207"/>
      <c r="AG662" s="207"/>
      <c r="AH662" s="207"/>
      <c r="AI662" s="207"/>
      <c r="AJ662" s="207"/>
      <c r="AK662" s="207"/>
      <c r="AL662" s="207"/>
      <c r="AM662" s="207"/>
      <c r="AN662" s="207"/>
      <c r="AO662" s="207"/>
      <c r="AP662" s="207"/>
      <c r="AQ662" s="207"/>
      <c r="AR662" s="207"/>
      <c r="AS662" s="207"/>
      <c r="AT662" s="207"/>
      <c r="AU662" s="207"/>
      <c r="AV662" s="207"/>
      <c r="AW662" s="207"/>
      <c r="AX662" s="207"/>
      <c r="AY662" s="207"/>
      <c r="AZ662" s="207"/>
      <c r="BA662" s="207"/>
    </row>
    <row r="663" ht="18.75" hidden="1" customHeight="1">
      <c r="A663" s="207"/>
      <c r="B663" s="207"/>
      <c r="C663" s="207"/>
      <c r="D663" s="207"/>
      <c r="E663" s="207"/>
      <c r="F663" s="207"/>
      <c r="G663" s="207"/>
      <c r="H663" s="207"/>
      <c r="I663" s="207"/>
      <c r="J663" s="207"/>
      <c r="K663" s="207"/>
      <c r="L663" s="207"/>
      <c r="M663" s="207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  <c r="AA663" s="207"/>
      <c r="AB663" s="207"/>
      <c r="AC663" s="207"/>
      <c r="AD663" s="207"/>
      <c r="AE663" s="207"/>
      <c r="AF663" s="207"/>
      <c r="AG663" s="207"/>
      <c r="AH663" s="207"/>
      <c r="AI663" s="207"/>
      <c r="AJ663" s="207"/>
      <c r="AK663" s="207"/>
      <c r="AL663" s="207"/>
      <c r="AM663" s="207"/>
      <c r="AN663" s="207"/>
      <c r="AO663" s="207"/>
      <c r="AP663" s="207"/>
      <c r="AQ663" s="207"/>
      <c r="AR663" s="207"/>
      <c r="AS663" s="207"/>
      <c r="AT663" s="207"/>
      <c r="AU663" s="207"/>
      <c r="AV663" s="207"/>
      <c r="AW663" s="207"/>
      <c r="AX663" s="207"/>
      <c r="AY663" s="207"/>
      <c r="AZ663" s="207"/>
      <c r="BA663" s="207"/>
    </row>
    <row r="664" ht="18.75" hidden="1" customHeight="1">
      <c r="A664" s="207"/>
      <c r="B664" s="207"/>
      <c r="C664" s="207"/>
      <c r="D664" s="207"/>
      <c r="E664" s="207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  <c r="AA664" s="207"/>
      <c r="AB664" s="207"/>
      <c r="AC664" s="207"/>
      <c r="AD664" s="207"/>
      <c r="AE664" s="207"/>
      <c r="AF664" s="207"/>
      <c r="AG664" s="207"/>
      <c r="AH664" s="207"/>
      <c r="AI664" s="207"/>
      <c r="AJ664" s="207"/>
      <c r="AK664" s="207"/>
      <c r="AL664" s="207"/>
      <c r="AM664" s="207"/>
      <c r="AN664" s="207"/>
      <c r="AO664" s="207"/>
      <c r="AP664" s="207"/>
      <c r="AQ664" s="207"/>
      <c r="AR664" s="207"/>
      <c r="AS664" s="207"/>
      <c r="AT664" s="207"/>
      <c r="AU664" s="207"/>
      <c r="AV664" s="207"/>
      <c r="AW664" s="207"/>
      <c r="AX664" s="207"/>
      <c r="AY664" s="207"/>
      <c r="AZ664" s="207"/>
      <c r="BA664" s="207"/>
    </row>
    <row r="665" ht="18.75" hidden="1" customHeight="1">
      <c r="A665" s="207"/>
      <c r="B665" s="207"/>
      <c r="C665" s="207"/>
      <c r="D665" s="207"/>
      <c r="E665" s="207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  <c r="AA665" s="207"/>
      <c r="AB665" s="207"/>
      <c r="AC665" s="207"/>
      <c r="AD665" s="207"/>
      <c r="AE665" s="207"/>
      <c r="AF665" s="207"/>
      <c r="AG665" s="207"/>
      <c r="AH665" s="207"/>
      <c r="AI665" s="207"/>
      <c r="AJ665" s="207"/>
      <c r="AK665" s="207"/>
      <c r="AL665" s="207"/>
      <c r="AM665" s="207"/>
      <c r="AN665" s="207"/>
      <c r="AO665" s="207"/>
      <c r="AP665" s="207"/>
      <c r="AQ665" s="207"/>
      <c r="AR665" s="207"/>
      <c r="AS665" s="207"/>
      <c r="AT665" s="207"/>
      <c r="AU665" s="207"/>
      <c r="AV665" s="207"/>
      <c r="AW665" s="207"/>
      <c r="AX665" s="207"/>
      <c r="AY665" s="207"/>
      <c r="AZ665" s="207"/>
      <c r="BA665" s="207"/>
    </row>
    <row r="666" ht="18.75" hidden="1" customHeight="1">
      <c r="A666" s="207"/>
      <c r="B666" s="207"/>
      <c r="C666" s="207"/>
      <c r="D666" s="207"/>
      <c r="E666" s="207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  <c r="AA666" s="207"/>
      <c r="AB666" s="207"/>
      <c r="AC666" s="207"/>
      <c r="AD666" s="207"/>
      <c r="AE666" s="207"/>
      <c r="AF666" s="207"/>
      <c r="AG666" s="207"/>
      <c r="AH666" s="207"/>
      <c r="AI666" s="207"/>
      <c r="AJ666" s="207"/>
      <c r="AK666" s="207"/>
      <c r="AL666" s="207"/>
      <c r="AM666" s="207"/>
      <c r="AN666" s="207"/>
      <c r="AO666" s="207"/>
      <c r="AP666" s="207"/>
      <c r="AQ666" s="207"/>
      <c r="AR666" s="207"/>
      <c r="AS666" s="207"/>
      <c r="AT666" s="207"/>
      <c r="AU666" s="207"/>
      <c r="AV666" s="207"/>
      <c r="AW666" s="207"/>
      <c r="AX666" s="207"/>
      <c r="AY666" s="207"/>
      <c r="AZ666" s="207"/>
      <c r="BA666" s="207"/>
    </row>
    <row r="667" ht="18.75" hidden="1" customHeight="1">
      <c r="A667" s="207"/>
      <c r="B667" s="207"/>
      <c r="C667" s="207"/>
      <c r="D667" s="207"/>
      <c r="E667" s="207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  <c r="AA667" s="207"/>
      <c r="AB667" s="207"/>
      <c r="AC667" s="207"/>
      <c r="AD667" s="207"/>
      <c r="AE667" s="207"/>
      <c r="AF667" s="207"/>
      <c r="AG667" s="207"/>
      <c r="AH667" s="207"/>
      <c r="AI667" s="207"/>
      <c r="AJ667" s="207"/>
      <c r="AK667" s="207"/>
      <c r="AL667" s="207"/>
      <c r="AM667" s="207"/>
      <c r="AN667" s="207"/>
      <c r="AO667" s="207"/>
      <c r="AP667" s="207"/>
      <c r="AQ667" s="207"/>
      <c r="AR667" s="207"/>
      <c r="AS667" s="207"/>
      <c r="AT667" s="207"/>
      <c r="AU667" s="207"/>
      <c r="AV667" s="207"/>
      <c r="AW667" s="207"/>
      <c r="AX667" s="207"/>
      <c r="AY667" s="207"/>
      <c r="AZ667" s="207"/>
      <c r="BA667" s="207"/>
    </row>
    <row r="668" ht="18.75" hidden="1" customHeight="1">
      <c r="A668" s="207"/>
      <c r="B668" s="207"/>
      <c r="C668" s="207"/>
      <c r="D668" s="207"/>
      <c r="E668" s="207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  <c r="AA668" s="207"/>
      <c r="AB668" s="207"/>
      <c r="AC668" s="207"/>
      <c r="AD668" s="207"/>
      <c r="AE668" s="207"/>
      <c r="AF668" s="207"/>
      <c r="AG668" s="207"/>
      <c r="AH668" s="207"/>
      <c r="AI668" s="207"/>
      <c r="AJ668" s="207"/>
      <c r="AK668" s="207"/>
      <c r="AL668" s="207"/>
      <c r="AM668" s="207"/>
      <c r="AN668" s="207"/>
      <c r="AO668" s="207"/>
      <c r="AP668" s="207"/>
      <c r="AQ668" s="207"/>
      <c r="AR668" s="207"/>
      <c r="AS668" s="207"/>
      <c r="AT668" s="207"/>
      <c r="AU668" s="207"/>
      <c r="AV668" s="207"/>
      <c r="AW668" s="207"/>
      <c r="AX668" s="207"/>
      <c r="AY668" s="207"/>
      <c r="AZ668" s="207"/>
      <c r="BA668" s="207"/>
    </row>
    <row r="669" ht="18.75" hidden="1" customHeight="1">
      <c r="A669" s="207"/>
      <c r="B669" s="207"/>
      <c r="C669" s="207"/>
      <c r="D669" s="207"/>
      <c r="E669" s="207"/>
      <c r="F669" s="207"/>
      <c r="G669" s="207"/>
      <c r="H669" s="207"/>
      <c r="I669" s="207"/>
      <c r="J669" s="207"/>
      <c r="K669" s="207"/>
      <c r="L669" s="207"/>
      <c r="M669" s="207"/>
      <c r="N669" s="207"/>
      <c r="O669" s="207"/>
      <c r="P669" s="207"/>
      <c r="Q669" s="207"/>
      <c r="R669" s="207"/>
      <c r="S669" s="207"/>
      <c r="T669" s="207"/>
      <c r="U669" s="207"/>
      <c r="V669" s="207"/>
      <c r="W669" s="207"/>
      <c r="X669" s="207"/>
      <c r="Y669" s="207"/>
      <c r="Z669" s="207"/>
      <c r="AA669" s="207"/>
      <c r="AB669" s="207"/>
      <c r="AC669" s="207"/>
      <c r="AD669" s="207"/>
      <c r="AE669" s="207"/>
      <c r="AF669" s="207"/>
      <c r="AG669" s="207"/>
      <c r="AH669" s="207"/>
      <c r="AI669" s="207"/>
      <c r="AJ669" s="207"/>
      <c r="AK669" s="207"/>
      <c r="AL669" s="207"/>
      <c r="AM669" s="207"/>
      <c r="AN669" s="207"/>
      <c r="AO669" s="207"/>
      <c r="AP669" s="207"/>
      <c r="AQ669" s="207"/>
      <c r="AR669" s="207"/>
      <c r="AS669" s="207"/>
      <c r="AT669" s="207"/>
      <c r="AU669" s="207"/>
      <c r="AV669" s="207"/>
      <c r="AW669" s="207"/>
      <c r="AX669" s="207"/>
      <c r="AY669" s="207"/>
      <c r="AZ669" s="207"/>
      <c r="BA669" s="207"/>
    </row>
    <row r="670" ht="18.75" hidden="1" customHeight="1">
      <c r="A670" s="207"/>
      <c r="B670" s="207"/>
      <c r="C670" s="207"/>
      <c r="D670" s="207"/>
      <c r="E670" s="207"/>
      <c r="F670" s="207"/>
      <c r="G670" s="207"/>
      <c r="H670" s="207"/>
      <c r="I670" s="207"/>
      <c r="J670" s="207"/>
      <c r="K670" s="207"/>
      <c r="L670" s="207"/>
      <c r="M670" s="207"/>
      <c r="N670" s="207"/>
      <c r="O670" s="207"/>
      <c r="P670" s="207"/>
      <c r="Q670" s="207"/>
      <c r="R670" s="207"/>
      <c r="S670" s="207"/>
      <c r="T670" s="207"/>
      <c r="U670" s="207"/>
      <c r="V670" s="207"/>
      <c r="W670" s="207"/>
      <c r="X670" s="207"/>
      <c r="Y670" s="207"/>
      <c r="Z670" s="207"/>
      <c r="AA670" s="207"/>
      <c r="AB670" s="207"/>
      <c r="AC670" s="207"/>
      <c r="AD670" s="207"/>
      <c r="AE670" s="207"/>
      <c r="AF670" s="207"/>
      <c r="AG670" s="207"/>
      <c r="AH670" s="207"/>
      <c r="AI670" s="207"/>
      <c r="AJ670" s="207"/>
      <c r="AK670" s="207"/>
      <c r="AL670" s="207"/>
      <c r="AM670" s="207"/>
      <c r="AN670" s="207"/>
      <c r="AO670" s="207"/>
      <c r="AP670" s="207"/>
      <c r="AQ670" s="207"/>
      <c r="AR670" s="207"/>
      <c r="AS670" s="207"/>
      <c r="AT670" s="207"/>
      <c r="AU670" s="207"/>
      <c r="AV670" s="207"/>
      <c r="AW670" s="207"/>
      <c r="AX670" s="207"/>
      <c r="AY670" s="207"/>
      <c r="AZ670" s="207"/>
      <c r="BA670" s="207"/>
    </row>
    <row r="671" ht="18.75" hidden="1" customHeight="1">
      <c r="A671" s="207"/>
      <c r="B671" s="207"/>
      <c r="C671" s="207"/>
      <c r="D671" s="207"/>
      <c r="E671" s="207"/>
      <c r="F671" s="207"/>
      <c r="G671" s="207"/>
      <c r="H671" s="207"/>
      <c r="I671" s="207"/>
      <c r="J671" s="207"/>
      <c r="K671" s="207"/>
      <c r="L671" s="207"/>
      <c r="M671" s="207"/>
      <c r="N671" s="207"/>
      <c r="O671" s="207"/>
      <c r="P671" s="207"/>
      <c r="Q671" s="207"/>
      <c r="R671" s="207"/>
      <c r="S671" s="207"/>
      <c r="T671" s="207"/>
      <c r="U671" s="207"/>
      <c r="V671" s="207"/>
      <c r="W671" s="207"/>
      <c r="X671" s="207"/>
      <c r="Y671" s="207"/>
      <c r="Z671" s="207"/>
      <c r="AA671" s="207"/>
      <c r="AB671" s="207"/>
      <c r="AC671" s="207"/>
      <c r="AD671" s="207"/>
      <c r="AE671" s="207"/>
      <c r="AF671" s="207"/>
      <c r="AG671" s="207"/>
      <c r="AH671" s="207"/>
      <c r="AI671" s="207"/>
      <c r="AJ671" s="207"/>
      <c r="AK671" s="207"/>
      <c r="AL671" s="207"/>
      <c r="AM671" s="207"/>
      <c r="AN671" s="207"/>
      <c r="AO671" s="207"/>
      <c r="AP671" s="207"/>
      <c r="AQ671" s="207"/>
      <c r="AR671" s="207"/>
      <c r="AS671" s="207"/>
      <c r="AT671" s="207"/>
      <c r="AU671" s="207"/>
      <c r="AV671" s="207"/>
      <c r="AW671" s="207"/>
      <c r="AX671" s="207"/>
      <c r="AY671" s="207"/>
      <c r="AZ671" s="207"/>
      <c r="BA671" s="207"/>
    </row>
    <row r="672" ht="18.75" hidden="1" customHeight="1">
      <c r="A672" s="207"/>
      <c r="B672" s="207"/>
      <c r="C672" s="207"/>
      <c r="D672" s="207"/>
      <c r="E672" s="207"/>
      <c r="F672" s="207"/>
      <c r="G672" s="207"/>
      <c r="H672" s="207"/>
      <c r="I672" s="207"/>
      <c r="J672" s="207"/>
      <c r="K672" s="207"/>
      <c r="L672" s="207"/>
      <c r="M672" s="207"/>
      <c r="N672" s="207"/>
      <c r="O672" s="207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  <c r="AA672" s="207"/>
      <c r="AB672" s="207"/>
      <c r="AC672" s="207"/>
      <c r="AD672" s="207"/>
      <c r="AE672" s="207"/>
      <c r="AF672" s="207"/>
      <c r="AG672" s="207"/>
      <c r="AH672" s="207"/>
      <c r="AI672" s="207"/>
      <c r="AJ672" s="207"/>
      <c r="AK672" s="207"/>
      <c r="AL672" s="207"/>
      <c r="AM672" s="207"/>
      <c r="AN672" s="207"/>
      <c r="AO672" s="207"/>
      <c r="AP672" s="207"/>
      <c r="AQ672" s="207"/>
      <c r="AR672" s="207"/>
      <c r="AS672" s="207"/>
      <c r="AT672" s="207"/>
      <c r="AU672" s="207"/>
      <c r="AV672" s="207"/>
      <c r="AW672" s="207"/>
      <c r="AX672" s="207"/>
      <c r="AY672" s="207"/>
      <c r="AZ672" s="207"/>
      <c r="BA672" s="207"/>
    </row>
    <row r="673" ht="18.75" hidden="1" customHeight="1">
      <c r="A673" s="207"/>
      <c r="B673" s="207"/>
      <c r="C673" s="207"/>
      <c r="D673" s="207"/>
      <c r="E673" s="207"/>
      <c r="F673" s="207"/>
      <c r="G673" s="207"/>
      <c r="H673" s="207"/>
      <c r="I673" s="207"/>
      <c r="J673" s="207"/>
      <c r="K673" s="207"/>
      <c r="L673" s="207"/>
      <c r="M673" s="207"/>
      <c r="N673" s="207"/>
      <c r="O673" s="207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  <c r="AA673" s="207"/>
      <c r="AB673" s="207"/>
      <c r="AC673" s="207"/>
      <c r="AD673" s="207"/>
      <c r="AE673" s="207"/>
      <c r="AF673" s="207"/>
      <c r="AG673" s="207"/>
      <c r="AH673" s="207"/>
      <c r="AI673" s="207"/>
      <c r="AJ673" s="207"/>
      <c r="AK673" s="207"/>
      <c r="AL673" s="207"/>
      <c r="AM673" s="207"/>
      <c r="AN673" s="207"/>
      <c r="AO673" s="207"/>
      <c r="AP673" s="207"/>
      <c r="AQ673" s="207"/>
      <c r="AR673" s="207"/>
      <c r="AS673" s="207"/>
      <c r="AT673" s="207"/>
      <c r="AU673" s="207"/>
      <c r="AV673" s="207"/>
      <c r="AW673" s="207"/>
      <c r="AX673" s="207"/>
      <c r="AY673" s="207"/>
      <c r="AZ673" s="207"/>
      <c r="BA673" s="207"/>
    </row>
    <row r="674" ht="18.75" hidden="1" customHeight="1">
      <c r="A674" s="207"/>
      <c r="B674" s="207"/>
      <c r="C674" s="207"/>
      <c r="D674" s="207"/>
      <c r="E674" s="207"/>
      <c r="F674" s="207"/>
      <c r="G674" s="207"/>
      <c r="H674" s="207"/>
      <c r="I674" s="207"/>
      <c r="J674" s="207"/>
      <c r="K674" s="207"/>
      <c r="L674" s="207"/>
      <c r="M674" s="207"/>
      <c r="N674" s="207"/>
      <c r="O674" s="207"/>
      <c r="P674" s="207"/>
      <c r="Q674" s="207"/>
      <c r="R674" s="207"/>
      <c r="S674" s="207"/>
      <c r="T674" s="207"/>
      <c r="U674" s="207"/>
      <c r="V674" s="207"/>
      <c r="W674" s="207"/>
      <c r="X674" s="207"/>
      <c r="Y674" s="207"/>
      <c r="Z674" s="207"/>
      <c r="AA674" s="207"/>
      <c r="AB674" s="207"/>
      <c r="AC674" s="207"/>
      <c r="AD674" s="207"/>
      <c r="AE674" s="207"/>
      <c r="AF674" s="207"/>
      <c r="AG674" s="207"/>
      <c r="AH674" s="207"/>
      <c r="AI674" s="207"/>
      <c r="AJ674" s="207"/>
      <c r="AK674" s="207"/>
      <c r="AL674" s="207"/>
      <c r="AM674" s="207"/>
      <c r="AN674" s="207"/>
      <c r="AO674" s="207"/>
      <c r="AP674" s="207"/>
      <c r="AQ674" s="207"/>
      <c r="AR674" s="207"/>
      <c r="AS674" s="207"/>
      <c r="AT674" s="207"/>
      <c r="AU674" s="207"/>
      <c r="AV674" s="207"/>
      <c r="AW674" s="207"/>
      <c r="AX674" s="207"/>
      <c r="AY674" s="207"/>
      <c r="AZ674" s="207"/>
      <c r="BA674" s="207"/>
    </row>
    <row r="675" ht="18.75" hidden="1" customHeight="1">
      <c r="A675" s="207"/>
      <c r="B675" s="207"/>
      <c r="C675" s="207"/>
      <c r="D675" s="207"/>
      <c r="E675" s="207"/>
      <c r="F675" s="207"/>
      <c r="G675" s="207"/>
      <c r="H675" s="207"/>
      <c r="I675" s="207"/>
      <c r="J675" s="207"/>
      <c r="K675" s="207"/>
      <c r="L675" s="207"/>
      <c r="M675" s="207"/>
      <c r="N675" s="207"/>
      <c r="O675" s="207"/>
      <c r="P675" s="207"/>
      <c r="Q675" s="207"/>
      <c r="R675" s="207"/>
      <c r="S675" s="207"/>
      <c r="T675" s="207"/>
      <c r="U675" s="207"/>
      <c r="V675" s="207"/>
      <c r="W675" s="207"/>
      <c r="X675" s="207"/>
      <c r="Y675" s="207"/>
      <c r="Z675" s="207"/>
      <c r="AA675" s="207"/>
      <c r="AB675" s="207"/>
      <c r="AC675" s="207"/>
      <c r="AD675" s="207"/>
      <c r="AE675" s="207"/>
      <c r="AF675" s="207"/>
      <c r="AG675" s="207"/>
      <c r="AH675" s="207"/>
      <c r="AI675" s="207"/>
      <c r="AJ675" s="207"/>
      <c r="AK675" s="207"/>
      <c r="AL675" s="207"/>
      <c r="AM675" s="207"/>
      <c r="AN675" s="207"/>
      <c r="AO675" s="207"/>
      <c r="AP675" s="207"/>
      <c r="AQ675" s="207"/>
      <c r="AR675" s="207"/>
      <c r="AS675" s="207"/>
      <c r="AT675" s="207"/>
      <c r="AU675" s="207"/>
      <c r="AV675" s="207"/>
      <c r="AW675" s="207"/>
      <c r="AX675" s="207"/>
      <c r="AY675" s="207"/>
      <c r="AZ675" s="207"/>
      <c r="BA675" s="207"/>
    </row>
    <row r="676" ht="18.75" hidden="1" customHeight="1">
      <c r="A676" s="207"/>
      <c r="B676" s="207"/>
      <c r="C676" s="207"/>
      <c r="D676" s="207"/>
      <c r="E676" s="207"/>
      <c r="F676" s="207"/>
      <c r="G676" s="207"/>
      <c r="H676" s="207"/>
      <c r="I676" s="207"/>
      <c r="J676" s="207"/>
      <c r="K676" s="207"/>
      <c r="L676" s="207"/>
      <c r="M676" s="207"/>
      <c r="N676" s="207"/>
      <c r="O676" s="207"/>
      <c r="P676" s="207"/>
      <c r="Q676" s="207"/>
      <c r="R676" s="207"/>
      <c r="S676" s="207"/>
      <c r="T676" s="207"/>
      <c r="U676" s="207"/>
      <c r="V676" s="207"/>
      <c r="W676" s="207"/>
      <c r="X676" s="207"/>
      <c r="Y676" s="207"/>
      <c r="Z676" s="207"/>
      <c r="AA676" s="207"/>
      <c r="AB676" s="207"/>
      <c r="AC676" s="207"/>
      <c r="AD676" s="207"/>
      <c r="AE676" s="207"/>
      <c r="AF676" s="207"/>
      <c r="AG676" s="207"/>
      <c r="AH676" s="207"/>
      <c r="AI676" s="207"/>
      <c r="AJ676" s="207"/>
      <c r="AK676" s="207"/>
      <c r="AL676" s="207"/>
      <c r="AM676" s="207"/>
      <c r="AN676" s="207"/>
      <c r="AO676" s="207"/>
      <c r="AP676" s="207"/>
      <c r="AQ676" s="207"/>
      <c r="AR676" s="207"/>
      <c r="AS676" s="207"/>
      <c r="AT676" s="207"/>
      <c r="AU676" s="207"/>
      <c r="AV676" s="207"/>
      <c r="AW676" s="207"/>
      <c r="AX676" s="207"/>
      <c r="AY676" s="207"/>
      <c r="AZ676" s="207"/>
      <c r="BA676" s="207"/>
    </row>
    <row r="677" ht="18.75" hidden="1" customHeight="1">
      <c r="A677" s="207"/>
      <c r="B677" s="207"/>
      <c r="C677" s="207"/>
      <c r="D677" s="207"/>
      <c r="E677" s="207"/>
      <c r="F677" s="207"/>
      <c r="G677" s="207"/>
      <c r="H677" s="207"/>
      <c r="I677" s="207"/>
      <c r="J677" s="207"/>
      <c r="K677" s="207"/>
      <c r="L677" s="207"/>
      <c r="M677" s="207"/>
      <c r="N677" s="207"/>
      <c r="O677" s="207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  <c r="AA677" s="207"/>
      <c r="AB677" s="207"/>
      <c r="AC677" s="207"/>
      <c r="AD677" s="207"/>
      <c r="AE677" s="207"/>
      <c r="AF677" s="207"/>
      <c r="AG677" s="207"/>
      <c r="AH677" s="207"/>
      <c r="AI677" s="207"/>
      <c r="AJ677" s="207"/>
      <c r="AK677" s="207"/>
      <c r="AL677" s="207"/>
      <c r="AM677" s="207"/>
      <c r="AN677" s="207"/>
      <c r="AO677" s="207"/>
      <c r="AP677" s="207"/>
      <c r="AQ677" s="207"/>
      <c r="AR677" s="207"/>
      <c r="AS677" s="207"/>
      <c r="AT677" s="207"/>
      <c r="AU677" s="207"/>
      <c r="AV677" s="207"/>
      <c r="AW677" s="207"/>
      <c r="AX677" s="207"/>
      <c r="AY677" s="207"/>
      <c r="AZ677" s="207"/>
      <c r="BA677" s="207"/>
    </row>
    <row r="678" ht="18.75" hidden="1" customHeight="1">
      <c r="A678" s="207"/>
      <c r="B678" s="207"/>
      <c r="C678" s="207"/>
      <c r="D678" s="207"/>
      <c r="E678" s="207"/>
      <c r="F678" s="207"/>
      <c r="G678" s="207"/>
      <c r="H678" s="207"/>
      <c r="I678" s="207"/>
      <c r="J678" s="207"/>
      <c r="K678" s="207"/>
      <c r="L678" s="207"/>
      <c r="M678" s="207"/>
      <c r="N678" s="207"/>
      <c r="O678" s="207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  <c r="AA678" s="207"/>
      <c r="AB678" s="207"/>
      <c r="AC678" s="207"/>
      <c r="AD678" s="207"/>
      <c r="AE678" s="207"/>
      <c r="AF678" s="207"/>
      <c r="AG678" s="207"/>
      <c r="AH678" s="207"/>
      <c r="AI678" s="207"/>
      <c r="AJ678" s="207"/>
      <c r="AK678" s="207"/>
      <c r="AL678" s="207"/>
      <c r="AM678" s="207"/>
      <c r="AN678" s="207"/>
      <c r="AO678" s="207"/>
      <c r="AP678" s="207"/>
      <c r="AQ678" s="207"/>
      <c r="AR678" s="207"/>
      <c r="AS678" s="207"/>
      <c r="AT678" s="207"/>
      <c r="AU678" s="207"/>
      <c r="AV678" s="207"/>
      <c r="AW678" s="207"/>
      <c r="AX678" s="207"/>
      <c r="AY678" s="207"/>
      <c r="AZ678" s="207"/>
      <c r="BA678" s="207"/>
    </row>
    <row r="679" ht="18.75" hidden="1" customHeight="1">
      <c r="A679" s="207"/>
      <c r="B679" s="207"/>
      <c r="C679" s="207"/>
      <c r="D679" s="207"/>
      <c r="E679" s="207"/>
      <c r="F679" s="207"/>
      <c r="G679" s="207"/>
      <c r="H679" s="207"/>
      <c r="I679" s="207"/>
      <c r="J679" s="207"/>
      <c r="K679" s="207"/>
      <c r="L679" s="207"/>
      <c r="M679" s="207"/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  <c r="AA679" s="207"/>
      <c r="AB679" s="207"/>
      <c r="AC679" s="207"/>
      <c r="AD679" s="207"/>
      <c r="AE679" s="207"/>
      <c r="AF679" s="207"/>
      <c r="AG679" s="207"/>
      <c r="AH679" s="207"/>
      <c r="AI679" s="207"/>
      <c r="AJ679" s="207"/>
      <c r="AK679" s="207"/>
      <c r="AL679" s="207"/>
      <c r="AM679" s="207"/>
      <c r="AN679" s="207"/>
      <c r="AO679" s="207"/>
      <c r="AP679" s="207"/>
      <c r="AQ679" s="207"/>
      <c r="AR679" s="207"/>
      <c r="AS679" s="207"/>
      <c r="AT679" s="207"/>
      <c r="AU679" s="207"/>
      <c r="AV679" s="207"/>
      <c r="AW679" s="207"/>
      <c r="AX679" s="207"/>
      <c r="AY679" s="207"/>
      <c r="AZ679" s="207"/>
      <c r="BA679" s="207"/>
    </row>
    <row r="680" ht="18.75" hidden="1" customHeight="1">
      <c r="A680" s="207"/>
      <c r="B680" s="207"/>
      <c r="C680" s="207"/>
      <c r="D680" s="207"/>
      <c r="E680" s="207"/>
      <c r="F680" s="207"/>
      <c r="G680" s="207"/>
      <c r="H680" s="207"/>
      <c r="I680" s="207"/>
      <c r="J680" s="207"/>
      <c r="K680" s="207"/>
      <c r="L680" s="207"/>
      <c r="M680" s="207"/>
      <c r="N680" s="207"/>
      <c r="O680" s="20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  <c r="AA680" s="207"/>
      <c r="AB680" s="207"/>
      <c r="AC680" s="207"/>
      <c r="AD680" s="207"/>
      <c r="AE680" s="207"/>
      <c r="AF680" s="207"/>
      <c r="AG680" s="207"/>
      <c r="AH680" s="207"/>
      <c r="AI680" s="207"/>
      <c r="AJ680" s="207"/>
      <c r="AK680" s="207"/>
      <c r="AL680" s="207"/>
      <c r="AM680" s="207"/>
      <c r="AN680" s="207"/>
      <c r="AO680" s="207"/>
      <c r="AP680" s="207"/>
      <c r="AQ680" s="207"/>
      <c r="AR680" s="207"/>
      <c r="AS680" s="207"/>
      <c r="AT680" s="207"/>
      <c r="AU680" s="207"/>
      <c r="AV680" s="207"/>
      <c r="AW680" s="207"/>
      <c r="AX680" s="207"/>
      <c r="AY680" s="207"/>
      <c r="AZ680" s="207"/>
      <c r="BA680" s="207"/>
    </row>
    <row r="681" ht="18.75" hidden="1" customHeight="1">
      <c r="A681" s="207"/>
      <c r="B681" s="207"/>
      <c r="C681" s="207"/>
      <c r="D681" s="207"/>
      <c r="E681" s="207"/>
      <c r="F681" s="207"/>
      <c r="G681" s="207"/>
      <c r="H681" s="207"/>
      <c r="I681" s="207"/>
      <c r="J681" s="207"/>
      <c r="K681" s="207"/>
      <c r="L681" s="207"/>
      <c r="M681" s="207"/>
      <c r="N681" s="207"/>
      <c r="O681" s="207"/>
      <c r="P681" s="207"/>
      <c r="Q681" s="207"/>
      <c r="R681" s="207"/>
      <c r="S681" s="207"/>
      <c r="T681" s="207"/>
      <c r="U681" s="207"/>
      <c r="V681" s="207"/>
      <c r="W681" s="207"/>
      <c r="X681" s="207"/>
      <c r="Y681" s="207"/>
      <c r="Z681" s="207"/>
      <c r="AA681" s="207"/>
      <c r="AB681" s="207"/>
      <c r="AC681" s="207"/>
      <c r="AD681" s="207"/>
      <c r="AE681" s="207"/>
      <c r="AF681" s="207"/>
      <c r="AG681" s="207"/>
      <c r="AH681" s="207"/>
      <c r="AI681" s="207"/>
      <c r="AJ681" s="207"/>
      <c r="AK681" s="207"/>
      <c r="AL681" s="207"/>
      <c r="AM681" s="207"/>
      <c r="AN681" s="207"/>
      <c r="AO681" s="207"/>
      <c r="AP681" s="207"/>
      <c r="AQ681" s="207"/>
      <c r="AR681" s="207"/>
      <c r="AS681" s="207"/>
      <c r="AT681" s="207"/>
      <c r="AU681" s="207"/>
      <c r="AV681" s="207"/>
      <c r="AW681" s="207"/>
      <c r="AX681" s="207"/>
      <c r="AY681" s="207"/>
      <c r="AZ681" s="207"/>
      <c r="BA681" s="207"/>
    </row>
    <row r="682" ht="18.75" hidden="1" customHeight="1">
      <c r="A682" s="207"/>
      <c r="B682" s="207"/>
      <c r="C682" s="207"/>
      <c r="D682" s="207"/>
      <c r="E682" s="207"/>
      <c r="F682" s="207"/>
      <c r="G682" s="207"/>
      <c r="H682" s="207"/>
      <c r="I682" s="207"/>
      <c r="J682" s="207"/>
      <c r="K682" s="207"/>
      <c r="L682" s="207"/>
      <c r="M682" s="207"/>
      <c r="N682" s="207"/>
      <c r="O682" s="207"/>
      <c r="P682" s="207"/>
      <c r="Q682" s="207"/>
      <c r="R682" s="207"/>
      <c r="S682" s="207"/>
      <c r="T682" s="207"/>
      <c r="U682" s="207"/>
      <c r="V682" s="207"/>
      <c r="W682" s="207"/>
      <c r="X682" s="207"/>
      <c r="Y682" s="207"/>
      <c r="Z682" s="207"/>
      <c r="AA682" s="207"/>
      <c r="AB682" s="207"/>
      <c r="AC682" s="207"/>
      <c r="AD682" s="207"/>
      <c r="AE682" s="207"/>
      <c r="AF682" s="207"/>
      <c r="AG682" s="207"/>
      <c r="AH682" s="207"/>
      <c r="AI682" s="207"/>
      <c r="AJ682" s="207"/>
      <c r="AK682" s="207"/>
      <c r="AL682" s="207"/>
      <c r="AM682" s="207"/>
      <c r="AN682" s="207"/>
      <c r="AO682" s="207"/>
      <c r="AP682" s="207"/>
      <c r="AQ682" s="207"/>
      <c r="AR682" s="207"/>
      <c r="AS682" s="207"/>
      <c r="AT682" s="207"/>
      <c r="AU682" s="207"/>
      <c r="AV682" s="207"/>
      <c r="AW682" s="207"/>
      <c r="AX682" s="207"/>
      <c r="AY682" s="207"/>
      <c r="AZ682" s="207"/>
      <c r="BA682" s="207"/>
    </row>
    <row r="683" ht="18.75" hidden="1" customHeight="1">
      <c r="A683" s="207"/>
      <c r="B683" s="207"/>
      <c r="C683" s="207"/>
      <c r="D683" s="207"/>
      <c r="E683" s="207"/>
      <c r="F683" s="207"/>
      <c r="G683" s="207"/>
      <c r="H683" s="207"/>
      <c r="I683" s="207"/>
      <c r="J683" s="207"/>
      <c r="K683" s="207"/>
      <c r="L683" s="207"/>
      <c r="M683" s="207"/>
      <c r="N683" s="207"/>
      <c r="O683" s="207"/>
      <c r="P683" s="207"/>
      <c r="Q683" s="207"/>
      <c r="R683" s="207"/>
      <c r="S683" s="207"/>
      <c r="T683" s="207"/>
      <c r="U683" s="207"/>
      <c r="V683" s="207"/>
      <c r="W683" s="207"/>
      <c r="X683" s="207"/>
      <c r="Y683" s="207"/>
      <c r="Z683" s="207"/>
      <c r="AA683" s="207"/>
      <c r="AB683" s="207"/>
      <c r="AC683" s="207"/>
      <c r="AD683" s="207"/>
      <c r="AE683" s="207"/>
      <c r="AF683" s="207"/>
      <c r="AG683" s="207"/>
      <c r="AH683" s="207"/>
      <c r="AI683" s="207"/>
      <c r="AJ683" s="207"/>
      <c r="AK683" s="207"/>
      <c r="AL683" s="207"/>
      <c r="AM683" s="207"/>
      <c r="AN683" s="207"/>
      <c r="AO683" s="207"/>
      <c r="AP683" s="207"/>
      <c r="AQ683" s="207"/>
      <c r="AR683" s="207"/>
      <c r="AS683" s="207"/>
      <c r="AT683" s="207"/>
      <c r="AU683" s="207"/>
      <c r="AV683" s="207"/>
      <c r="AW683" s="207"/>
      <c r="AX683" s="207"/>
      <c r="AY683" s="207"/>
      <c r="AZ683" s="207"/>
      <c r="BA683" s="207"/>
    </row>
    <row r="684" ht="18.75" hidden="1" customHeight="1">
      <c r="A684" s="207"/>
      <c r="B684" s="207"/>
      <c r="C684" s="207"/>
      <c r="D684" s="207"/>
      <c r="E684" s="207"/>
      <c r="F684" s="207"/>
      <c r="G684" s="207"/>
      <c r="H684" s="207"/>
      <c r="I684" s="207"/>
      <c r="J684" s="207"/>
      <c r="K684" s="207"/>
      <c r="L684" s="207"/>
      <c r="M684" s="207"/>
      <c r="N684" s="207"/>
      <c r="O684" s="207"/>
      <c r="P684" s="207"/>
      <c r="Q684" s="207"/>
      <c r="R684" s="207"/>
      <c r="S684" s="207"/>
      <c r="T684" s="207"/>
      <c r="U684" s="207"/>
      <c r="V684" s="207"/>
      <c r="W684" s="207"/>
      <c r="X684" s="207"/>
      <c r="Y684" s="207"/>
      <c r="Z684" s="207"/>
      <c r="AA684" s="207"/>
      <c r="AB684" s="207"/>
      <c r="AC684" s="207"/>
      <c r="AD684" s="207"/>
      <c r="AE684" s="207"/>
      <c r="AF684" s="207"/>
      <c r="AG684" s="207"/>
      <c r="AH684" s="207"/>
      <c r="AI684" s="207"/>
      <c r="AJ684" s="207"/>
      <c r="AK684" s="207"/>
      <c r="AL684" s="207"/>
      <c r="AM684" s="207"/>
      <c r="AN684" s="207"/>
      <c r="AO684" s="207"/>
      <c r="AP684" s="207"/>
      <c r="AQ684" s="207"/>
      <c r="AR684" s="207"/>
      <c r="AS684" s="207"/>
      <c r="AT684" s="207"/>
      <c r="AU684" s="207"/>
      <c r="AV684" s="207"/>
      <c r="AW684" s="207"/>
      <c r="AX684" s="207"/>
      <c r="AY684" s="207"/>
      <c r="AZ684" s="207"/>
      <c r="BA684" s="207"/>
    </row>
    <row r="685" ht="18.75" hidden="1" customHeight="1">
      <c r="A685" s="207"/>
      <c r="B685" s="207"/>
      <c r="C685" s="207"/>
      <c r="D685" s="207"/>
      <c r="E685" s="207"/>
      <c r="F685" s="207"/>
      <c r="G685" s="207"/>
      <c r="H685" s="207"/>
      <c r="I685" s="207"/>
      <c r="J685" s="207"/>
      <c r="K685" s="207"/>
      <c r="L685" s="207"/>
      <c r="M685" s="207"/>
      <c r="N685" s="207"/>
      <c r="O685" s="207"/>
      <c r="P685" s="207"/>
      <c r="Q685" s="207"/>
      <c r="R685" s="207"/>
      <c r="S685" s="207"/>
      <c r="T685" s="207"/>
      <c r="U685" s="207"/>
      <c r="V685" s="207"/>
      <c r="W685" s="207"/>
      <c r="X685" s="207"/>
      <c r="Y685" s="207"/>
      <c r="Z685" s="207"/>
      <c r="AA685" s="207"/>
      <c r="AB685" s="207"/>
      <c r="AC685" s="207"/>
      <c r="AD685" s="207"/>
      <c r="AE685" s="207"/>
      <c r="AF685" s="207"/>
      <c r="AG685" s="207"/>
      <c r="AH685" s="207"/>
      <c r="AI685" s="207"/>
      <c r="AJ685" s="207"/>
      <c r="AK685" s="207"/>
      <c r="AL685" s="207"/>
      <c r="AM685" s="207"/>
      <c r="AN685" s="207"/>
      <c r="AO685" s="207"/>
      <c r="AP685" s="207"/>
      <c r="AQ685" s="207"/>
      <c r="AR685" s="207"/>
      <c r="AS685" s="207"/>
      <c r="AT685" s="207"/>
      <c r="AU685" s="207"/>
      <c r="AV685" s="207"/>
      <c r="AW685" s="207"/>
      <c r="AX685" s="207"/>
      <c r="AY685" s="207"/>
      <c r="AZ685" s="207"/>
      <c r="BA685" s="207"/>
    </row>
    <row r="686" ht="18.75" hidden="1" customHeight="1">
      <c r="A686" s="207"/>
      <c r="B686" s="207"/>
      <c r="C686" s="207"/>
      <c r="D686" s="207"/>
      <c r="E686" s="207"/>
      <c r="F686" s="207"/>
      <c r="G686" s="207"/>
      <c r="H686" s="207"/>
      <c r="I686" s="207"/>
      <c r="J686" s="207"/>
      <c r="K686" s="207"/>
      <c r="L686" s="207"/>
      <c r="M686" s="207"/>
      <c r="N686" s="207"/>
      <c r="O686" s="207"/>
      <c r="P686" s="207"/>
      <c r="Q686" s="207"/>
      <c r="R686" s="207"/>
      <c r="S686" s="207"/>
      <c r="T686" s="207"/>
      <c r="U686" s="207"/>
      <c r="V686" s="207"/>
      <c r="W686" s="207"/>
      <c r="X686" s="207"/>
      <c r="Y686" s="207"/>
      <c r="Z686" s="207"/>
      <c r="AA686" s="207"/>
      <c r="AB686" s="207"/>
      <c r="AC686" s="207"/>
      <c r="AD686" s="207"/>
      <c r="AE686" s="207"/>
      <c r="AF686" s="207"/>
      <c r="AG686" s="207"/>
      <c r="AH686" s="207"/>
      <c r="AI686" s="207"/>
      <c r="AJ686" s="207"/>
      <c r="AK686" s="207"/>
      <c r="AL686" s="207"/>
      <c r="AM686" s="207"/>
      <c r="AN686" s="207"/>
      <c r="AO686" s="207"/>
      <c r="AP686" s="207"/>
      <c r="AQ686" s="207"/>
      <c r="AR686" s="207"/>
      <c r="AS686" s="207"/>
      <c r="AT686" s="207"/>
      <c r="AU686" s="207"/>
      <c r="AV686" s="207"/>
      <c r="AW686" s="207"/>
      <c r="AX686" s="207"/>
      <c r="AY686" s="207"/>
      <c r="AZ686" s="207"/>
      <c r="BA686" s="207"/>
    </row>
    <row r="687" ht="18.75" hidden="1" customHeight="1">
      <c r="A687" s="207"/>
      <c r="B687" s="207"/>
      <c r="C687" s="207"/>
      <c r="D687" s="207"/>
      <c r="E687" s="207"/>
      <c r="F687" s="207"/>
      <c r="G687" s="207"/>
      <c r="H687" s="207"/>
      <c r="I687" s="207"/>
      <c r="J687" s="207"/>
      <c r="K687" s="207"/>
      <c r="L687" s="207"/>
      <c r="M687" s="207"/>
      <c r="N687" s="207"/>
      <c r="O687" s="207"/>
      <c r="P687" s="207"/>
      <c r="Q687" s="207"/>
      <c r="R687" s="207"/>
      <c r="S687" s="207"/>
      <c r="T687" s="207"/>
      <c r="U687" s="207"/>
      <c r="V687" s="207"/>
      <c r="W687" s="207"/>
      <c r="X687" s="207"/>
      <c r="Y687" s="207"/>
      <c r="Z687" s="207"/>
      <c r="AA687" s="207"/>
      <c r="AB687" s="207"/>
      <c r="AC687" s="207"/>
      <c r="AD687" s="207"/>
      <c r="AE687" s="207"/>
      <c r="AF687" s="207"/>
      <c r="AG687" s="207"/>
      <c r="AH687" s="207"/>
      <c r="AI687" s="207"/>
      <c r="AJ687" s="207"/>
      <c r="AK687" s="207"/>
      <c r="AL687" s="207"/>
      <c r="AM687" s="207"/>
      <c r="AN687" s="207"/>
      <c r="AO687" s="207"/>
      <c r="AP687" s="207"/>
      <c r="AQ687" s="207"/>
      <c r="AR687" s="207"/>
      <c r="AS687" s="207"/>
      <c r="AT687" s="207"/>
      <c r="AU687" s="207"/>
      <c r="AV687" s="207"/>
      <c r="AW687" s="207"/>
      <c r="AX687" s="207"/>
      <c r="AY687" s="207"/>
      <c r="AZ687" s="207"/>
      <c r="BA687" s="207"/>
    </row>
    <row r="688" ht="18.75" hidden="1" customHeight="1">
      <c r="A688" s="207"/>
      <c r="B688" s="207"/>
      <c r="C688" s="207"/>
      <c r="D688" s="207"/>
      <c r="E688" s="207"/>
      <c r="F688" s="207"/>
      <c r="G688" s="207"/>
      <c r="H688" s="207"/>
      <c r="I688" s="207"/>
      <c r="J688" s="207"/>
      <c r="K688" s="207"/>
      <c r="L688" s="207"/>
      <c r="M688" s="207"/>
      <c r="N688" s="207"/>
      <c r="O688" s="207"/>
      <c r="P688" s="207"/>
      <c r="Q688" s="207"/>
      <c r="R688" s="207"/>
      <c r="S688" s="207"/>
      <c r="T688" s="207"/>
      <c r="U688" s="207"/>
      <c r="V688" s="207"/>
      <c r="W688" s="207"/>
      <c r="X688" s="207"/>
      <c r="Y688" s="207"/>
      <c r="Z688" s="207"/>
      <c r="AA688" s="207"/>
      <c r="AB688" s="207"/>
      <c r="AC688" s="207"/>
      <c r="AD688" s="207"/>
      <c r="AE688" s="207"/>
      <c r="AF688" s="207"/>
      <c r="AG688" s="207"/>
      <c r="AH688" s="207"/>
      <c r="AI688" s="207"/>
      <c r="AJ688" s="207"/>
      <c r="AK688" s="207"/>
      <c r="AL688" s="207"/>
      <c r="AM688" s="207"/>
      <c r="AN688" s="207"/>
      <c r="AO688" s="207"/>
      <c r="AP688" s="207"/>
      <c r="AQ688" s="207"/>
      <c r="AR688" s="207"/>
      <c r="AS688" s="207"/>
      <c r="AT688" s="207"/>
      <c r="AU688" s="207"/>
      <c r="AV688" s="207"/>
      <c r="AW688" s="207"/>
      <c r="AX688" s="207"/>
      <c r="AY688" s="207"/>
      <c r="AZ688" s="207"/>
      <c r="BA688" s="207"/>
    </row>
    <row r="689" ht="18.75" hidden="1" customHeight="1">
      <c r="A689" s="207"/>
      <c r="B689" s="207"/>
      <c r="C689" s="207"/>
      <c r="D689" s="207"/>
      <c r="E689" s="207"/>
      <c r="F689" s="207"/>
      <c r="G689" s="207"/>
      <c r="H689" s="207"/>
      <c r="I689" s="207"/>
      <c r="J689" s="207"/>
      <c r="K689" s="207"/>
      <c r="L689" s="207"/>
      <c r="M689" s="207"/>
      <c r="N689" s="207"/>
      <c r="O689" s="207"/>
      <c r="P689" s="207"/>
      <c r="Q689" s="207"/>
      <c r="R689" s="207"/>
      <c r="S689" s="207"/>
      <c r="T689" s="207"/>
      <c r="U689" s="207"/>
      <c r="V689" s="207"/>
      <c r="W689" s="207"/>
      <c r="X689" s="207"/>
      <c r="Y689" s="207"/>
      <c r="Z689" s="207"/>
      <c r="AA689" s="207"/>
      <c r="AB689" s="207"/>
      <c r="AC689" s="207"/>
      <c r="AD689" s="207"/>
      <c r="AE689" s="207"/>
      <c r="AF689" s="207"/>
      <c r="AG689" s="207"/>
      <c r="AH689" s="207"/>
      <c r="AI689" s="207"/>
      <c r="AJ689" s="207"/>
      <c r="AK689" s="207"/>
      <c r="AL689" s="207"/>
      <c r="AM689" s="207"/>
      <c r="AN689" s="207"/>
      <c r="AO689" s="207"/>
      <c r="AP689" s="207"/>
      <c r="AQ689" s="207"/>
      <c r="AR689" s="207"/>
      <c r="AS689" s="207"/>
      <c r="AT689" s="207"/>
      <c r="AU689" s="207"/>
      <c r="AV689" s="207"/>
      <c r="AW689" s="207"/>
      <c r="AX689" s="207"/>
      <c r="AY689" s="207"/>
      <c r="AZ689" s="207"/>
      <c r="BA689" s="207"/>
    </row>
    <row r="690" ht="18.75" hidden="1" customHeight="1">
      <c r="A690" s="207"/>
      <c r="B690" s="207"/>
      <c r="C690" s="207"/>
      <c r="D690" s="207"/>
      <c r="E690" s="207"/>
      <c r="F690" s="207"/>
      <c r="G690" s="207"/>
      <c r="H690" s="207"/>
      <c r="I690" s="207"/>
      <c r="J690" s="207"/>
      <c r="K690" s="207"/>
      <c r="L690" s="207"/>
      <c r="M690" s="207"/>
      <c r="N690" s="207"/>
      <c r="O690" s="207"/>
      <c r="P690" s="207"/>
      <c r="Q690" s="207"/>
      <c r="R690" s="207"/>
      <c r="S690" s="207"/>
      <c r="T690" s="207"/>
      <c r="U690" s="207"/>
      <c r="V690" s="207"/>
      <c r="W690" s="207"/>
      <c r="X690" s="207"/>
      <c r="Y690" s="207"/>
      <c r="Z690" s="207"/>
      <c r="AA690" s="207"/>
      <c r="AB690" s="207"/>
      <c r="AC690" s="207"/>
      <c r="AD690" s="207"/>
      <c r="AE690" s="207"/>
      <c r="AF690" s="207"/>
      <c r="AG690" s="207"/>
      <c r="AH690" s="207"/>
      <c r="AI690" s="207"/>
      <c r="AJ690" s="207"/>
      <c r="AK690" s="207"/>
      <c r="AL690" s="207"/>
      <c r="AM690" s="207"/>
      <c r="AN690" s="207"/>
      <c r="AO690" s="207"/>
      <c r="AP690" s="207"/>
      <c r="AQ690" s="207"/>
      <c r="AR690" s="207"/>
      <c r="AS690" s="207"/>
      <c r="AT690" s="207"/>
      <c r="AU690" s="207"/>
      <c r="AV690" s="207"/>
      <c r="AW690" s="207"/>
      <c r="AX690" s="207"/>
      <c r="AY690" s="207"/>
      <c r="AZ690" s="207"/>
      <c r="BA690" s="207"/>
    </row>
    <row r="691" ht="18.75" hidden="1" customHeight="1">
      <c r="A691" s="207"/>
      <c r="B691" s="207"/>
      <c r="C691" s="207"/>
      <c r="D691" s="207"/>
      <c r="E691" s="207"/>
      <c r="F691" s="207"/>
      <c r="G691" s="207"/>
      <c r="H691" s="207"/>
      <c r="I691" s="207"/>
      <c r="J691" s="207"/>
      <c r="K691" s="207"/>
      <c r="L691" s="207"/>
      <c r="M691" s="207"/>
      <c r="N691" s="207"/>
      <c r="O691" s="207"/>
      <c r="P691" s="207"/>
      <c r="Q691" s="207"/>
      <c r="R691" s="207"/>
      <c r="S691" s="207"/>
      <c r="T691" s="207"/>
      <c r="U691" s="207"/>
      <c r="V691" s="207"/>
      <c r="W691" s="207"/>
      <c r="X691" s="207"/>
      <c r="Y691" s="207"/>
      <c r="Z691" s="207"/>
      <c r="AA691" s="207"/>
      <c r="AB691" s="207"/>
      <c r="AC691" s="207"/>
      <c r="AD691" s="207"/>
      <c r="AE691" s="207"/>
      <c r="AF691" s="207"/>
      <c r="AG691" s="207"/>
      <c r="AH691" s="207"/>
      <c r="AI691" s="207"/>
      <c r="AJ691" s="207"/>
      <c r="AK691" s="207"/>
      <c r="AL691" s="207"/>
      <c r="AM691" s="207"/>
      <c r="AN691" s="207"/>
      <c r="AO691" s="207"/>
      <c r="AP691" s="207"/>
      <c r="AQ691" s="207"/>
      <c r="AR691" s="207"/>
      <c r="AS691" s="207"/>
      <c r="AT691" s="207"/>
      <c r="AU691" s="207"/>
      <c r="AV691" s="207"/>
      <c r="AW691" s="207"/>
      <c r="AX691" s="207"/>
      <c r="AY691" s="207"/>
      <c r="AZ691" s="207"/>
      <c r="BA691" s="207"/>
    </row>
    <row r="692" ht="18.75" hidden="1" customHeight="1">
      <c r="A692" s="207"/>
      <c r="B692" s="207"/>
      <c r="C692" s="207"/>
      <c r="D692" s="207"/>
      <c r="E692" s="207"/>
      <c r="F692" s="207"/>
      <c r="G692" s="207"/>
      <c r="H692" s="207"/>
      <c r="I692" s="207"/>
      <c r="J692" s="207"/>
      <c r="K692" s="207"/>
      <c r="L692" s="207"/>
      <c r="M692" s="207"/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  <c r="AA692" s="207"/>
      <c r="AB692" s="207"/>
      <c r="AC692" s="207"/>
      <c r="AD692" s="207"/>
      <c r="AE692" s="207"/>
      <c r="AF692" s="207"/>
      <c r="AG692" s="207"/>
      <c r="AH692" s="207"/>
      <c r="AI692" s="207"/>
      <c r="AJ692" s="207"/>
      <c r="AK692" s="207"/>
      <c r="AL692" s="207"/>
      <c r="AM692" s="207"/>
      <c r="AN692" s="207"/>
      <c r="AO692" s="207"/>
      <c r="AP692" s="207"/>
      <c r="AQ692" s="207"/>
      <c r="AR692" s="207"/>
      <c r="AS692" s="207"/>
      <c r="AT692" s="207"/>
      <c r="AU692" s="207"/>
      <c r="AV692" s="207"/>
      <c r="AW692" s="207"/>
      <c r="AX692" s="207"/>
      <c r="AY692" s="207"/>
      <c r="AZ692" s="207"/>
      <c r="BA692" s="207"/>
    </row>
    <row r="693" ht="18.75" hidden="1" customHeight="1">
      <c r="A693" s="207"/>
      <c r="B693" s="207"/>
      <c r="C693" s="207"/>
      <c r="D693" s="207"/>
      <c r="E693" s="207"/>
      <c r="F693" s="207"/>
      <c r="G693" s="207"/>
      <c r="H693" s="207"/>
      <c r="I693" s="207"/>
      <c r="J693" s="207"/>
      <c r="K693" s="207"/>
      <c r="L693" s="207"/>
      <c r="M693" s="207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  <c r="AA693" s="207"/>
      <c r="AB693" s="207"/>
      <c r="AC693" s="207"/>
      <c r="AD693" s="207"/>
      <c r="AE693" s="207"/>
      <c r="AF693" s="207"/>
      <c r="AG693" s="207"/>
      <c r="AH693" s="207"/>
      <c r="AI693" s="207"/>
      <c r="AJ693" s="207"/>
      <c r="AK693" s="207"/>
      <c r="AL693" s="207"/>
      <c r="AM693" s="207"/>
      <c r="AN693" s="207"/>
      <c r="AO693" s="207"/>
      <c r="AP693" s="207"/>
      <c r="AQ693" s="207"/>
      <c r="AR693" s="207"/>
      <c r="AS693" s="207"/>
      <c r="AT693" s="207"/>
      <c r="AU693" s="207"/>
      <c r="AV693" s="207"/>
      <c r="AW693" s="207"/>
      <c r="AX693" s="207"/>
      <c r="AY693" s="207"/>
      <c r="AZ693" s="207"/>
      <c r="BA693" s="207"/>
    </row>
    <row r="694" ht="18.75" hidden="1" customHeight="1">
      <c r="A694" s="207"/>
      <c r="B694" s="207"/>
      <c r="C694" s="207"/>
      <c r="D694" s="207"/>
      <c r="E694" s="207"/>
      <c r="F694" s="207"/>
      <c r="G694" s="207"/>
      <c r="H694" s="207"/>
      <c r="I694" s="207"/>
      <c r="J694" s="207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  <c r="AA694" s="207"/>
      <c r="AB694" s="207"/>
      <c r="AC694" s="207"/>
      <c r="AD694" s="207"/>
      <c r="AE694" s="207"/>
      <c r="AF694" s="207"/>
      <c r="AG694" s="207"/>
      <c r="AH694" s="207"/>
      <c r="AI694" s="207"/>
      <c r="AJ694" s="207"/>
      <c r="AK694" s="207"/>
      <c r="AL694" s="207"/>
      <c r="AM694" s="207"/>
      <c r="AN694" s="207"/>
      <c r="AO694" s="207"/>
      <c r="AP694" s="207"/>
      <c r="AQ694" s="207"/>
      <c r="AR694" s="207"/>
      <c r="AS694" s="207"/>
      <c r="AT694" s="207"/>
      <c r="AU694" s="207"/>
      <c r="AV694" s="207"/>
      <c r="AW694" s="207"/>
      <c r="AX694" s="207"/>
      <c r="AY694" s="207"/>
      <c r="AZ694" s="207"/>
      <c r="BA694" s="207"/>
    </row>
    <row r="695" ht="18.75" hidden="1" customHeight="1">
      <c r="A695" s="207"/>
      <c r="B695" s="207"/>
      <c r="C695" s="207"/>
      <c r="D695" s="207"/>
      <c r="E695" s="207"/>
      <c r="F695" s="207"/>
      <c r="G695" s="207"/>
      <c r="H695" s="207"/>
      <c r="I695" s="207"/>
      <c r="J695" s="207"/>
      <c r="K695" s="207"/>
      <c r="L695" s="207"/>
      <c r="M695" s="207"/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  <c r="AA695" s="207"/>
      <c r="AB695" s="207"/>
      <c r="AC695" s="207"/>
      <c r="AD695" s="207"/>
      <c r="AE695" s="207"/>
      <c r="AF695" s="207"/>
      <c r="AG695" s="207"/>
      <c r="AH695" s="207"/>
      <c r="AI695" s="207"/>
      <c r="AJ695" s="207"/>
      <c r="AK695" s="207"/>
      <c r="AL695" s="207"/>
      <c r="AM695" s="207"/>
      <c r="AN695" s="207"/>
      <c r="AO695" s="207"/>
      <c r="AP695" s="207"/>
      <c r="AQ695" s="207"/>
      <c r="AR695" s="207"/>
      <c r="AS695" s="207"/>
      <c r="AT695" s="207"/>
      <c r="AU695" s="207"/>
      <c r="AV695" s="207"/>
      <c r="AW695" s="207"/>
      <c r="AX695" s="207"/>
      <c r="AY695" s="207"/>
      <c r="AZ695" s="207"/>
      <c r="BA695" s="207"/>
    </row>
    <row r="696" ht="18.75" hidden="1" customHeight="1">
      <c r="A696" s="207"/>
      <c r="B696" s="207"/>
      <c r="C696" s="207"/>
      <c r="D696" s="207"/>
      <c r="E696" s="207"/>
      <c r="F696" s="207"/>
      <c r="G696" s="207"/>
      <c r="H696" s="207"/>
      <c r="I696" s="207"/>
      <c r="J696" s="207"/>
      <c r="K696" s="207"/>
      <c r="L696" s="207"/>
      <c r="M696" s="207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  <c r="AA696" s="207"/>
      <c r="AB696" s="207"/>
      <c r="AC696" s="207"/>
      <c r="AD696" s="207"/>
      <c r="AE696" s="207"/>
      <c r="AF696" s="207"/>
      <c r="AG696" s="207"/>
      <c r="AH696" s="207"/>
      <c r="AI696" s="207"/>
      <c r="AJ696" s="207"/>
      <c r="AK696" s="207"/>
      <c r="AL696" s="207"/>
      <c r="AM696" s="207"/>
      <c r="AN696" s="207"/>
      <c r="AO696" s="207"/>
      <c r="AP696" s="207"/>
      <c r="AQ696" s="207"/>
      <c r="AR696" s="207"/>
      <c r="AS696" s="207"/>
      <c r="AT696" s="207"/>
      <c r="AU696" s="207"/>
      <c r="AV696" s="207"/>
      <c r="AW696" s="207"/>
      <c r="AX696" s="207"/>
      <c r="AY696" s="207"/>
      <c r="AZ696" s="207"/>
      <c r="BA696" s="207"/>
    </row>
    <row r="697" ht="18.75" hidden="1" customHeight="1">
      <c r="A697" s="207"/>
      <c r="B697" s="207"/>
      <c r="C697" s="207"/>
      <c r="D697" s="207"/>
      <c r="E697" s="207"/>
      <c r="F697" s="207"/>
      <c r="G697" s="207"/>
      <c r="H697" s="207"/>
      <c r="I697" s="207"/>
      <c r="J697" s="207"/>
      <c r="K697" s="207"/>
      <c r="L697" s="207"/>
      <c r="M697" s="207"/>
      <c r="N697" s="207"/>
      <c r="O697" s="207"/>
      <c r="P697" s="207"/>
      <c r="Q697" s="207"/>
      <c r="R697" s="207"/>
      <c r="S697" s="207"/>
      <c r="T697" s="207"/>
      <c r="U697" s="207"/>
      <c r="V697" s="207"/>
      <c r="W697" s="207"/>
      <c r="X697" s="207"/>
      <c r="Y697" s="207"/>
      <c r="Z697" s="207"/>
      <c r="AA697" s="207"/>
      <c r="AB697" s="207"/>
      <c r="AC697" s="207"/>
      <c r="AD697" s="207"/>
      <c r="AE697" s="207"/>
      <c r="AF697" s="207"/>
      <c r="AG697" s="207"/>
      <c r="AH697" s="207"/>
      <c r="AI697" s="207"/>
      <c r="AJ697" s="207"/>
      <c r="AK697" s="207"/>
      <c r="AL697" s="207"/>
      <c r="AM697" s="207"/>
      <c r="AN697" s="207"/>
      <c r="AO697" s="207"/>
      <c r="AP697" s="207"/>
      <c r="AQ697" s="207"/>
      <c r="AR697" s="207"/>
      <c r="AS697" s="207"/>
      <c r="AT697" s="207"/>
      <c r="AU697" s="207"/>
      <c r="AV697" s="207"/>
      <c r="AW697" s="207"/>
      <c r="AX697" s="207"/>
      <c r="AY697" s="207"/>
      <c r="AZ697" s="207"/>
      <c r="BA697" s="207"/>
    </row>
    <row r="698" ht="18.75" hidden="1" customHeight="1">
      <c r="A698" s="207"/>
      <c r="B698" s="207"/>
      <c r="C698" s="207"/>
      <c r="D698" s="207"/>
      <c r="E698" s="207"/>
      <c r="F698" s="207"/>
      <c r="G698" s="207"/>
      <c r="H698" s="207"/>
      <c r="I698" s="207"/>
      <c r="J698" s="207"/>
      <c r="K698" s="207"/>
      <c r="L698" s="207"/>
      <c r="M698" s="207"/>
      <c r="N698" s="207"/>
      <c r="O698" s="207"/>
      <c r="P698" s="207"/>
      <c r="Q698" s="207"/>
      <c r="R698" s="207"/>
      <c r="S698" s="207"/>
      <c r="T698" s="207"/>
      <c r="U698" s="207"/>
      <c r="V698" s="207"/>
      <c r="W698" s="207"/>
      <c r="X698" s="207"/>
      <c r="Y698" s="207"/>
      <c r="Z698" s="207"/>
      <c r="AA698" s="207"/>
      <c r="AB698" s="207"/>
      <c r="AC698" s="207"/>
      <c r="AD698" s="207"/>
      <c r="AE698" s="207"/>
      <c r="AF698" s="207"/>
      <c r="AG698" s="207"/>
      <c r="AH698" s="207"/>
      <c r="AI698" s="207"/>
      <c r="AJ698" s="207"/>
      <c r="AK698" s="207"/>
      <c r="AL698" s="207"/>
      <c r="AM698" s="207"/>
      <c r="AN698" s="207"/>
      <c r="AO698" s="207"/>
      <c r="AP698" s="207"/>
      <c r="AQ698" s="207"/>
      <c r="AR698" s="207"/>
      <c r="AS698" s="207"/>
      <c r="AT698" s="207"/>
      <c r="AU698" s="207"/>
      <c r="AV698" s="207"/>
      <c r="AW698" s="207"/>
      <c r="AX698" s="207"/>
      <c r="AY698" s="207"/>
      <c r="AZ698" s="207"/>
      <c r="BA698" s="207"/>
    </row>
    <row r="699" ht="18.75" hidden="1" customHeight="1">
      <c r="A699" s="207"/>
      <c r="B699" s="207"/>
      <c r="C699" s="207"/>
      <c r="D699" s="207"/>
      <c r="E699" s="207"/>
      <c r="F699" s="207"/>
      <c r="G699" s="207"/>
      <c r="H699" s="207"/>
      <c r="I699" s="207"/>
      <c r="J699" s="207"/>
      <c r="K699" s="207"/>
      <c r="L699" s="207"/>
      <c r="M699" s="207"/>
      <c r="N699" s="207"/>
      <c r="O699" s="207"/>
      <c r="P699" s="207"/>
      <c r="Q699" s="207"/>
      <c r="R699" s="207"/>
      <c r="S699" s="207"/>
      <c r="T699" s="207"/>
      <c r="U699" s="207"/>
      <c r="V699" s="207"/>
      <c r="W699" s="207"/>
      <c r="X699" s="207"/>
      <c r="Y699" s="207"/>
      <c r="Z699" s="207"/>
      <c r="AA699" s="207"/>
      <c r="AB699" s="207"/>
      <c r="AC699" s="207"/>
      <c r="AD699" s="207"/>
      <c r="AE699" s="207"/>
      <c r="AF699" s="207"/>
      <c r="AG699" s="207"/>
      <c r="AH699" s="207"/>
      <c r="AI699" s="207"/>
      <c r="AJ699" s="207"/>
      <c r="AK699" s="207"/>
      <c r="AL699" s="207"/>
      <c r="AM699" s="207"/>
      <c r="AN699" s="207"/>
      <c r="AO699" s="207"/>
      <c r="AP699" s="207"/>
      <c r="AQ699" s="207"/>
      <c r="AR699" s="207"/>
      <c r="AS699" s="207"/>
      <c r="AT699" s="207"/>
      <c r="AU699" s="207"/>
      <c r="AV699" s="207"/>
      <c r="AW699" s="207"/>
      <c r="AX699" s="207"/>
      <c r="AY699" s="207"/>
      <c r="AZ699" s="207"/>
      <c r="BA699" s="207"/>
    </row>
    <row r="700" ht="18.75" hidden="1" customHeight="1">
      <c r="A700" s="207"/>
      <c r="B700" s="207"/>
      <c r="C700" s="207"/>
      <c r="D700" s="207"/>
      <c r="E700" s="207"/>
      <c r="F700" s="207"/>
      <c r="G700" s="207"/>
      <c r="H700" s="207"/>
      <c r="I700" s="207"/>
      <c r="J700" s="207"/>
      <c r="K700" s="207"/>
      <c r="L700" s="207"/>
      <c r="M700" s="207"/>
      <c r="N700" s="207"/>
      <c r="O700" s="207"/>
      <c r="P700" s="207"/>
      <c r="Q700" s="207"/>
      <c r="R700" s="207"/>
      <c r="S700" s="207"/>
      <c r="T700" s="207"/>
      <c r="U700" s="207"/>
      <c r="V700" s="207"/>
      <c r="W700" s="207"/>
      <c r="X700" s="207"/>
      <c r="Y700" s="207"/>
      <c r="Z700" s="207"/>
      <c r="AA700" s="207"/>
      <c r="AB700" s="207"/>
      <c r="AC700" s="207"/>
      <c r="AD700" s="207"/>
      <c r="AE700" s="207"/>
      <c r="AF700" s="207"/>
      <c r="AG700" s="207"/>
      <c r="AH700" s="207"/>
      <c r="AI700" s="207"/>
      <c r="AJ700" s="207"/>
      <c r="AK700" s="207"/>
      <c r="AL700" s="207"/>
      <c r="AM700" s="207"/>
      <c r="AN700" s="207"/>
      <c r="AO700" s="207"/>
      <c r="AP700" s="207"/>
      <c r="AQ700" s="207"/>
      <c r="AR700" s="207"/>
      <c r="AS700" s="207"/>
      <c r="AT700" s="207"/>
      <c r="AU700" s="207"/>
      <c r="AV700" s="207"/>
      <c r="AW700" s="207"/>
      <c r="AX700" s="207"/>
      <c r="AY700" s="207"/>
      <c r="AZ700" s="207"/>
      <c r="BA700" s="207"/>
    </row>
    <row r="701" ht="18.75" hidden="1" customHeight="1">
      <c r="A701" s="207"/>
      <c r="B701" s="207"/>
      <c r="C701" s="207"/>
      <c r="D701" s="207"/>
      <c r="E701" s="207"/>
      <c r="F701" s="207"/>
      <c r="G701" s="207"/>
      <c r="H701" s="207"/>
      <c r="I701" s="207"/>
      <c r="J701" s="207"/>
      <c r="K701" s="207"/>
      <c r="L701" s="207"/>
      <c r="M701" s="207"/>
      <c r="N701" s="207"/>
      <c r="O701" s="207"/>
      <c r="P701" s="207"/>
      <c r="Q701" s="207"/>
      <c r="R701" s="207"/>
      <c r="S701" s="207"/>
      <c r="T701" s="207"/>
      <c r="U701" s="207"/>
      <c r="V701" s="207"/>
      <c r="W701" s="207"/>
      <c r="X701" s="207"/>
      <c r="Y701" s="207"/>
      <c r="Z701" s="207"/>
      <c r="AA701" s="207"/>
      <c r="AB701" s="207"/>
      <c r="AC701" s="207"/>
      <c r="AD701" s="207"/>
      <c r="AE701" s="207"/>
      <c r="AF701" s="207"/>
      <c r="AG701" s="207"/>
      <c r="AH701" s="207"/>
      <c r="AI701" s="207"/>
      <c r="AJ701" s="207"/>
      <c r="AK701" s="207"/>
      <c r="AL701" s="207"/>
      <c r="AM701" s="207"/>
      <c r="AN701" s="207"/>
      <c r="AO701" s="207"/>
      <c r="AP701" s="207"/>
      <c r="AQ701" s="207"/>
      <c r="AR701" s="207"/>
      <c r="AS701" s="207"/>
      <c r="AT701" s="207"/>
      <c r="AU701" s="207"/>
      <c r="AV701" s="207"/>
      <c r="AW701" s="207"/>
      <c r="AX701" s="207"/>
      <c r="AY701" s="207"/>
      <c r="AZ701" s="207"/>
      <c r="BA701" s="207"/>
    </row>
    <row r="702" ht="18.75" hidden="1" customHeight="1">
      <c r="A702" s="207"/>
      <c r="B702" s="207"/>
      <c r="C702" s="207"/>
      <c r="D702" s="207"/>
      <c r="E702" s="207"/>
      <c r="F702" s="207"/>
      <c r="G702" s="207"/>
      <c r="H702" s="207"/>
      <c r="I702" s="207"/>
      <c r="J702" s="207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  <c r="AA702" s="207"/>
      <c r="AB702" s="207"/>
      <c r="AC702" s="207"/>
      <c r="AD702" s="207"/>
      <c r="AE702" s="207"/>
      <c r="AF702" s="207"/>
      <c r="AG702" s="207"/>
      <c r="AH702" s="207"/>
      <c r="AI702" s="207"/>
      <c r="AJ702" s="207"/>
      <c r="AK702" s="207"/>
      <c r="AL702" s="207"/>
      <c r="AM702" s="207"/>
      <c r="AN702" s="207"/>
      <c r="AO702" s="207"/>
      <c r="AP702" s="207"/>
      <c r="AQ702" s="207"/>
      <c r="AR702" s="207"/>
      <c r="AS702" s="207"/>
      <c r="AT702" s="207"/>
      <c r="AU702" s="207"/>
      <c r="AV702" s="207"/>
      <c r="AW702" s="207"/>
      <c r="AX702" s="207"/>
      <c r="AY702" s="207"/>
      <c r="AZ702" s="207"/>
      <c r="BA702" s="207"/>
    </row>
    <row r="703" ht="18.75" hidden="1" customHeight="1">
      <c r="A703" s="207"/>
      <c r="B703" s="207"/>
      <c r="C703" s="207"/>
      <c r="D703" s="207"/>
      <c r="E703" s="207"/>
      <c r="F703" s="207"/>
      <c r="G703" s="207"/>
      <c r="H703" s="207"/>
      <c r="I703" s="207"/>
      <c r="J703" s="207"/>
      <c r="K703" s="207"/>
      <c r="L703" s="207"/>
      <c r="M703" s="207"/>
      <c r="N703" s="207"/>
      <c r="O703" s="207"/>
      <c r="P703" s="207"/>
      <c r="Q703" s="207"/>
      <c r="R703" s="207"/>
      <c r="S703" s="207"/>
      <c r="T703" s="207"/>
      <c r="U703" s="207"/>
      <c r="V703" s="207"/>
      <c r="W703" s="207"/>
      <c r="X703" s="207"/>
      <c r="Y703" s="207"/>
      <c r="Z703" s="207"/>
      <c r="AA703" s="207"/>
      <c r="AB703" s="207"/>
      <c r="AC703" s="207"/>
      <c r="AD703" s="207"/>
      <c r="AE703" s="207"/>
      <c r="AF703" s="207"/>
      <c r="AG703" s="207"/>
      <c r="AH703" s="207"/>
      <c r="AI703" s="207"/>
      <c r="AJ703" s="207"/>
      <c r="AK703" s="207"/>
      <c r="AL703" s="207"/>
      <c r="AM703" s="207"/>
      <c r="AN703" s="207"/>
      <c r="AO703" s="207"/>
      <c r="AP703" s="207"/>
      <c r="AQ703" s="207"/>
      <c r="AR703" s="207"/>
      <c r="AS703" s="207"/>
      <c r="AT703" s="207"/>
      <c r="AU703" s="207"/>
      <c r="AV703" s="207"/>
      <c r="AW703" s="207"/>
      <c r="AX703" s="207"/>
      <c r="AY703" s="207"/>
      <c r="AZ703" s="207"/>
      <c r="BA703" s="207"/>
    </row>
    <row r="704" ht="18.75" hidden="1" customHeight="1">
      <c r="A704" s="207"/>
      <c r="B704" s="207"/>
      <c r="C704" s="207"/>
      <c r="D704" s="207"/>
      <c r="E704" s="207"/>
      <c r="F704" s="207"/>
      <c r="G704" s="207"/>
      <c r="H704" s="207"/>
      <c r="I704" s="207"/>
      <c r="J704" s="207"/>
      <c r="K704" s="207"/>
      <c r="L704" s="207"/>
      <c r="M704" s="207"/>
      <c r="N704" s="207"/>
      <c r="O704" s="207"/>
      <c r="P704" s="207"/>
      <c r="Q704" s="207"/>
      <c r="R704" s="207"/>
      <c r="S704" s="207"/>
      <c r="T704" s="207"/>
      <c r="U704" s="207"/>
      <c r="V704" s="207"/>
      <c r="W704" s="207"/>
      <c r="X704" s="207"/>
      <c r="Y704" s="207"/>
      <c r="Z704" s="207"/>
      <c r="AA704" s="207"/>
      <c r="AB704" s="207"/>
      <c r="AC704" s="207"/>
      <c r="AD704" s="207"/>
      <c r="AE704" s="207"/>
      <c r="AF704" s="207"/>
      <c r="AG704" s="207"/>
      <c r="AH704" s="207"/>
      <c r="AI704" s="207"/>
      <c r="AJ704" s="207"/>
      <c r="AK704" s="207"/>
      <c r="AL704" s="207"/>
      <c r="AM704" s="207"/>
      <c r="AN704" s="207"/>
      <c r="AO704" s="207"/>
      <c r="AP704" s="207"/>
      <c r="AQ704" s="207"/>
      <c r="AR704" s="207"/>
      <c r="AS704" s="207"/>
      <c r="AT704" s="207"/>
      <c r="AU704" s="207"/>
      <c r="AV704" s="207"/>
      <c r="AW704" s="207"/>
      <c r="AX704" s="207"/>
      <c r="AY704" s="207"/>
      <c r="AZ704" s="207"/>
      <c r="BA704" s="207"/>
    </row>
    <row r="705" ht="18.75" hidden="1" customHeight="1">
      <c r="A705" s="207"/>
      <c r="B705" s="207"/>
      <c r="C705" s="207"/>
      <c r="D705" s="207"/>
      <c r="E705" s="207"/>
      <c r="F705" s="207"/>
      <c r="G705" s="207"/>
      <c r="H705" s="207"/>
      <c r="I705" s="207"/>
      <c r="J705" s="207"/>
      <c r="K705" s="207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  <c r="AA705" s="207"/>
      <c r="AB705" s="207"/>
      <c r="AC705" s="207"/>
      <c r="AD705" s="207"/>
      <c r="AE705" s="207"/>
      <c r="AF705" s="207"/>
      <c r="AG705" s="207"/>
      <c r="AH705" s="207"/>
      <c r="AI705" s="207"/>
      <c r="AJ705" s="207"/>
      <c r="AK705" s="207"/>
      <c r="AL705" s="207"/>
      <c r="AM705" s="207"/>
      <c r="AN705" s="207"/>
      <c r="AO705" s="207"/>
      <c r="AP705" s="207"/>
      <c r="AQ705" s="207"/>
      <c r="AR705" s="207"/>
      <c r="AS705" s="207"/>
      <c r="AT705" s="207"/>
      <c r="AU705" s="207"/>
      <c r="AV705" s="207"/>
      <c r="AW705" s="207"/>
      <c r="AX705" s="207"/>
      <c r="AY705" s="207"/>
      <c r="AZ705" s="207"/>
      <c r="BA705" s="207"/>
    </row>
    <row r="706" ht="18.75" hidden="1" customHeight="1">
      <c r="A706" s="207"/>
      <c r="B706" s="207"/>
      <c r="C706" s="207"/>
      <c r="D706" s="207"/>
      <c r="E706" s="207"/>
      <c r="F706" s="207"/>
      <c r="G706" s="207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  <c r="AA706" s="207"/>
      <c r="AB706" s="207"/>
      <c r="AC706" s="207"/>
      <c r="AD706" s="207"/>
      <c r="AE706" s="207"/>
      <c r="AF706" s="207"/>
      <c r="AG706" s="207"/>
      <c r="AH706" s="207"/>
      <c r="AI706" s="207"/>
      <c r="AJ706" s="207"/>
      <c r="AK706" s="207"/>
      <c r="AL706" s="207"/>
      <c r="AM706" s="207"/>
      <c r="AN706" s="207"/>
      <c r="AO706" s="207"/>
      <c r="AP706" s="207"/>
      <c r="AQ706" s="207"/>
      <c r="AR706" s="207"/>
      <c r="AS706" s="207"/>
      <c r="AT706" s="207"/>
      <c r="AU706" s="207"/>
      <c r="AV706" s="207"/>
      <c r="AW706" s="207"/>
      <c r="AX706" s="207"/>
      <c r="AY706" s="207"/>
      <c r="AZ706" s="207"/>
      <c r="BA706" s="207"/>
    </row>
    <row r="707" ht="18.75" hidden="1" customHeight="1">
      <c r="A707" s="207"/>
      <c r="B707" s="207"/>
      <c r="C707" s="207"/>
      <c r="D707" s="207"/>
      <c r="E707" s="207"/>
      <c r="F707" s="207"/>
      <c r="G707" s="207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  <c r="AA707" s="207"/>
      <c r="AB707" s="207"/>
      <c r="AC707" s="207"/>
      <c r="AD707" s="207"/>
      <c r="AE707" s="207"/>
      <c r="AF707" s="207"/>
      <c r="AG707" s="207"/>
      <c r="AH707" s="207"/>
      <c r="AI707" s="207"/>
      <c r="AJ707" s="207"/>
      <c r="AK707" s="207"/>
      <c r="AL707" s="207"/>
      <c r="AM707" s="207"/>
      <c r="AN707" s="207"/>
      <c r="AO707" s="207"/>
      <c r="AP707" s="207"/>
      <c r="AQ707" s="207"/>
      <c r="AR707" s="207"/>
      <c r="AS707" s="207"/>
      <c r="AT707" s="207"/>
      <c r="AU707" s="207"/>
      <c r="AV707" s="207"/>
      <c r="AW707" s="207"/>
      <c r="AX707" s="207"/>
      <c r="AY707" s="207"/>
      <c r="AZ707" s="207"/>
      <c r="BA707" s="207"/>
    </row>
    <row r="708" ht="18.75" hidden="1" customHeight="1">
      <c r="A708" s="207"/>
      <c r="B708" s="207"/>
      <c r="C708" s="207"/>
      <c r="D708" s="207"/>
      <c r="E708" s="207"/>
      <c r="F708" s="207"/>
      <c r="G708" s="207"/>
      <c r="H708" s="207"/>
      <c r="I708" s="207"/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  <c r="AA708" s="207"/>
      <c r="AB708" s="207"/>
      <c r="AC708" s="207"/>
      <c r="AD708" s="207"/>
      <c r="AE708" s="207"/>
      <c r="AF708" s="207"/>
      <c r="AG708" s="207"/>
      <c r="AH708" s="207"/>
      <c r="AI708" s="207"/>
      <c r="AJ708" s="207"/>
      <c r="AK708" s="207"/>
      <c r="AL708" s="207"/>
      <c r="AM708" s="207"/>
      <c r="AN708" s="207"/>
      <c r="AO708" s="207"/>
      <c r="AP708" s="207"/>
      <c r="AQ708" s="207"/>
      <c r="AR708" s="207"/>
      <c r="AS708" s="207"/>
      <c r="AT708" s="207"/>
      <c r="AU708" s="207"/>
      <c r="AV708" s="207"/>
      <c r="AW708" s="207"/>
      <c r="AX708" s="207"/>
      <c r="AY708" s="207"/>
      <c r="AZ708" s="207"/>
      <c r="BA708" s="207"/>
    </row>
    <row r="709" ht="18.75" hidden="1" customHeight="1">
      <c r="A709" s="207"/>
      <c r="B709" s="207"/>
      <c r="C709" s="207"/>
      <c r="D709" s="207"/>
      <c r="E709" s="207"/>
      <c r="F709" s="207"/>
      <c r="G709" s="207"/>
      <c r="H709" s="207"/>
      <c r="I709" s="207"/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  <c r="AA709" s="207"/>
      <c r="AB709" s="207"/>
      <c r="AC709" s="207"/>
      <c r="AD709" s="207"/>
      <c r="AE709" s="207"/>
      <c r="AF709" s="207"/>
      <c r="AG709" s="207"/>
      <c r="AH709" s="207"/>
      <c r="AI709" s="207"/>
      <c r="AJ709" s="207"/>
      <c r="AK709" s="207"/>
      <c r="AL709" s="207"/>
      <c r="AM709" s="207"/>
      <c r="AN709" s="207"/>
      <c r="AO709" s="207"/>
      <c r="AP709" s="207"/>
      <c r="AQ709" s="207"/>
      <c r="AR709" s="207"/>
      <c r="AS709" s="207"/>
      <c r="AT709" s="207"/>
      <c r="AU709" s="207"/>
      <c r="AV709" s="207"/>
      <c r="AW709" s="207"/>
      <c r="AX709" s="207"/>
      <c r="AY709" s="207"/>
      <c r="AZ709" s="207"/>
      <c r="BA709" s="207"/>
    </row>
    <row r="710" ht="18.75" hidden="1" customHeight="1">
      <c r="A710" s="207"/>
      <c r="B710" s="207"/>
      <c r="C710" s="207"/>
      <c r="D710" s="207"/>
      <c r="E710" s="207"/>
      <c r="F710" s="207"/>
      <c r="G710" s="207"/>
      <c r="H710" s="207"/>
      <c r="I710" s="207"/>
      <c r="J710" s="207"/>
      <c r="K710" s="207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  <c r="AA710" s="207"/>
      <c r="AB710" s="207"/>
      <c r="AC710" s="207"/>
      <c r="AD710" s="207"/>
      <c r="AE710" s="207"/>
      <c r="AF710" s="207"/>
      <c r="AG710" s="207"/>
      <c r="AH710" s="207"/>
      <c r="AI710" s="207"/>
      <c r="AJ710" s="207"/>
      <c r="AK710" s="207"/>
      <c r="AL710" s="207"/>
      <c r="AM710" s="207"/>
      <c r="AN710" s="207"/>
      <c r="AO710" s="207"/>
      <c r="AP710" s="207"/>
      <c r="AQ710" s="207"/>
      <c r="AR710" s="207"/>
      <c r="AS710" s="207"/>
      <c r="AT710" s="207"/>
      <c r="AU710" s="207"/>
      <c r="AV710" s="207"/>
      <c r="AW710" s="207"/>
      <c r="AX710" s="207"/>
      <c r="AY710" s="207"/>
      <c r="AZ710" s="207"/>
      <c r="BA710" s="207"/>
    </row>
    <row r="711" ht="18.75" hidden="1" customHeight="1">
      <c r="A711" s="207"/>
      <c r="B711" s="207"/>
      <c r="C711" s="207"/>
      <c r="D711" s="207"/>
      <c r="E711" s="207"/>
      <c r="F711" s="207"/>
      <c r="G711" s="207"/>
      <c r="H711" s="207"/>
      <c r="I711" s="207"/>
      <c r="J711" s="207"/>
      <c r="K711" s="207"/>
      <c r="L711" s="207"/>
      <c r="M711" s="207"/>
      <c r="N711" s="207"/>
      <c r="O711" s="207"/>
      <c r="P711" s="207"/>
      <c r="Q711" s="207"/>
      <c r="R711" s="207"/>
      <c r="S711" s="207"/>
      <c r="T711" s="207"/>
      <c r="U711" s="207"/>
      <c r="V711" s="207"/>
      <c r="W711" s="207"/>
      <c r="X711" s="207"/>
      <c r="Y711" s="207"/>
      <c r="Z711" s="207"/>
      <c r="AA711" s="207"/>
      <c r="AB711" s="207"/>
      <c r="AC711" s="207"/>
      <c r="AD711" s="207"/>
      <c r="AE711" s="207"/>
      <c r="AF711" s="207"/>
      <c r="AG711" s="207"/>
      <c r="AH711" s="207"/>
      <c r="AI711" s="207"/>
      <c r="AJ711" s="207"/>
      <c r="AK711" s="207"/>
      <c r="AL711" s="207"/>
      <c r="AM711" s="207"/>
      <c r="AN711" s="207"/>
      <c r="AO711" s="207"/>
      <c r="AP711" s="207"/>
      <c r="AQ711" s="207"/>
      <c r="AR711" s="207"/>
      <c r="AS711" s="207"/>
      <c r="AT711" s="207"/>
      <c r="AU711" s="207"/>
      <c r="AV711" s="207"/>
      <c r="AW711" s="207"/>
      <c r="AX711" s="207"/>
      <c r="AY711" s="207"/>
      <c r="AZ711" s="207"/>
      <c r="BA711" s="207"/>
    </row>
    <row r="712" ht="18.75" hidden="1" customHeight="1">
      <c r="A712" s="207"/>
      <c r="B712" s="207"/>
      <c r="C712" s="207"/>
      <c r="D712" s="207"/>
      <c r="E712" s="207"/>
      <c r="F712" s="207"/>
      <c r="G712" s="207"/>
      <c r="H712" s="207"/>
      <c r="I712" s="207"/>
      <c r="J712" s="207"/>
      <c r="K712" s="207"/>
      <c r="L712" s="207"/>
      <c r="M712" s="207"/>
      <c r="N712" s="207"/>
      <c r="O712" s="207"/>
      <c r="P712" s="207"/>
      <c r="Q712" s="207"/>
      <c r="R712" s="207"/>
      <c r="S712" s="207"/>
      <c r="T712" s="207"/>
      <c r="U712" s="207"/>
      <c r="V712" s="207"/>
      <c r="W712" s="207"/>
      <c r="X712" s="207"/>
      <c r="Y712" s="207"/>
      <c r="Z712" s="207"/>
      <c r="AA712" s="207"/>
      <c r="AB712" s="207"/>
      <c r="AC712" s="207"/>
      <c r="AD712" s="207"/>
      <c r="AE712" s="207"/>
      <c r="AF712" s="207"/>
      <c r="AG712" s="207"/>
      <c r="AH712" s="207"/>
      <c r="AI712" s="207"/>
      <c r="AJ712" s="207"/>
      <c r="AK712" s="207"/>
      <c r="AL712" s="207"/>
      <c r="AM712" s="207"/>
      <c r="AN712" s="207"/>
      <c r="AO712" s="207"/>
      <c r="AP712" s="207"/>
      <c r="AQ712" s="207"/>
      <c r="AR712" s="207"/>
      <c r="AS712" s="207"/>
      <c r="AT712" s="207"/>
      <c r="AU712" s="207"/>
      <c r="AV712" s="207"/>
      <c r="AW712" s="207"/>
      <c r="AX712" s="207"/>
      <c r="AY712" s="207"/>
      <c r="AZ712" s="207"/>
      <c r="BA712" s="207"/>
    </row>
    <row r="713" ht="18.75" hidden="1" customHeight="1">
      <c r="A713" s="207"/>
      <c r="B713" s="207"/>
      <c r="C713" s="207"/>
      <c r="D713" s="207"/>
      <c r="E713" s="207"/>
      <c r="F713" s="207"/>
      <c r="G713" s="207"/>
      <c r="H713" s="207"/>
      <c r="I713" s="207"/>
      <c r="J713" s="207"/>
      <c r="K713" s="207"/>
      <c r="L713" s="207"/>
      <c r="M713" s="207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207"/>
      <c r="Y713" s="207"/>
      <c r="Z713" s="207"/>
      <c r="AA713" s="207"/>
      <c r="AB713" s="207"/>
      <c r="AC713" s="207"/>
      <c r="AD713" s="207"/>
      <c r="AE713" s="207"/>
      <c r="AF713" s="207"/>
      <c r="AG713" s="207"/>
      <c r="AH713" s="207"/>
      <c r="AI713" s="207"/>
      <c r="AJ713" s="207"/>
      <c r="AK713" s="207"/>
      <c r="AL713" s="207"/>
      <c r="AM713" s="207"/>
      <c r="AN713" s="207"/>
      <c r="AO713" s="207"/>
      <c r="AP713" s="207"/>
      <c r="AQ713" s="207"/>
      <c r="AR713" s="207"/>
      <c r="AS713" s="207"/>
      <c r="AT713" s="207"/>
      <c r="AU713" s="207"/>
      <c r="AV713" s="207"/>
      <c r="AW713" s="207"/>
      <c r="AX713" s="207"/>
      <c r="AY713" s="207"/>
      <c r="AZ713" s="207"/>
      <c r="BA713" s="207"/>
    </row>
    <row r="714" ht="18.75" hidden="1" customHeight="1">
      <c r="A714" s="207"/>
      <c r="B714" s="207"/>
      <c r="C714" s="207"/>
      <c r="D714" s="207"/>
      <c r="E714" s="207"/>
      <c r="F714" s="207"/>
      <c r="G714" s="207"/>
      <c r="H714" s="207"/>
      <c r="I714" s="207"/>
      <c r="J714" s="207"/>
      <c r="K714" s="207"/>
      <c r="L714" s="207"/>
      <c r="M714" s="207"/>
      <c r="N714" s="207"/>
      <c r="O714" s="207"/>
      <c r="P714" s="207"/>
      <c r="Q714" s="207"/>
      <c r="R714" s="207"/>
      <c r="S714" s="207"/>
      <c r="T714" s="207"/>
      <c r="U714" s="207"/>
      <c r="V714" s="207"/>
      <c r="W714" s="207"/>
      <c r="X714" s="207"/>
      <c r="Y714" s="207"/>
      <c r="Z714" s="207"/>
      <c r="AA714" s="207"/>
      <c r="AB714" s="207"/>
      <c r="AC714" s="207"/>
      <c r="AD714" s="207"/>
      <c r="AE714" s="207"/>
      <c r="AF714" s="207"/>
      <c r="AG714" s="207"/>
      <c r="AH714" s="207"/>
      <c r="AI714" s="207"/>
      <c r="AJ714" s="207"/>
      <c r="AK714" s="207"/>
      <c r="AL714" s="207"/>
      <c r="AM714" s="207"/>
      <c r="AN714" s="207"/>
      <c r="AO714" s="207"/>
      <c r="AP714" s="207"/>
      <c r="AQ714" s="207"/>
      <c r="AR714" s="207"/>
      <c r="AS714" s="207"/>
      <c r="AT714" s="207"/>
      <c r="AU714" s="207"/>
      <c r="AV714" s="207"/>
      <c r="AW714" s="207"/>
      <c r="AX714" s="207"/>
      <c r="AY714" s="207"/>
      <c r="AZ714" s="207"/>
      <c r="BA714" s="207"/>
    </row>
    <row r="715" ht="18.75" hidden="1" customHeight="1">
      <c r="A715" s="207"/>
      <c r="B715" s="207"/>
      <c r="C715" s="207"/>
      <c r="D715" s="207"/>
      <c r="E715" s="207"/>
      <c r="F715" s="207"/>
      <c r="G715" s="207"/>
      <c r="H715" s="207"/>
      <c r="I715" s="207"/>
      <c r="J715" s="207"/>
      <c r="K715" s="207"/>
      <c r="L715" s="207"/>
      <c r="M715" s="207"/>
      <c r="N715" s="207"/>
      <c r="O715" s="207"/>
      <c r="P715" s="207"/>
      <c r="Q715" s="207"/>
      <c r="R715" s="207"/>
      <c r="S715" s="207"/>
      <c r="T715" s="207"/>
      <c r="U715" s="207"/>
      <c r="V715" s="207"/>
      <c r="W715" s="207"/>
      <c r="X715" s="207"/>
      <c r="Y715" s="207"/>
      <c r="Z715" s="207"/>
      <c r="AA715" s="207"/>
      <c r="AB715" s="207"/>
      <c r="AC715" s="207"/>
      <c r="AD715" s="207"/>
      <c r="AE715" s="207"/>
      <c r="AF715" s="207"/>
      <c r="AG715" s="207"/>
      <c r="AH715" s="207"/>
      <c r="AI715" s="207"/>
      <c r="AJ715" s="207"/>
      <c r="AK715" s="207"/>
      <c r="AL715" s="207"/>
      <c r="AM715" s="207"/>
      <c r="AN715" s="207"/>
      <c r="AO715" s="207"/>
      <c r="AP715" s="207"/>
      <c r="AQ715" s="207"/>
      <c r="AR715" s="207"/>
      <c r="AS715" s="207"/>
      <c r="AT715" s="207"/>
      <c r="AU715" s="207"/>
      <c r="AV715" s="207"/>
      <c r="AW715" s="207"/>
      <c r="AX715" s="207"/>
      <c r="AY715" s="207"/>
      <c r="AZ715" s="207"/>
      <c r="BA715" s="207"/>
    </row>
    <row r="716" ht="18.75" hidden="1" customHeight="1">
      <c r="A716" s="207"/>
      <c r="B716" s="207"/>
      <c r="C716" s="207"/>
      <c r="D716" s="207"/>
      <c r="E716" s="207"/>
      <c r="F716" s="207"/>
      <c r="G716" s="207"/>
      <c r="H716" s="207"/>
      <c r="I716" s="207"/>
      <c r="J716" s="207"/>
      <c r="K716" s="207"/>
      <c r="L716" s="207"/>
      <c r="M716" s="207"/>
      <c r="N716" s="207"/>
      <c r="O716" s="207"/>
      <c r="P716" s="207"/>
      <c r="Q716" s="207"/>
      <c r="R716" s="207"/>
      <c r="S716" s="207"/>
      <c r="T716" s="207"/>
      <c r="U716" s="207"/>
      <c r="V716" s="207"/>
      <c r="W716" s="207"/>
      <c r="X716" s="207"/>
      <c r="Y716" s="207"/>
      <c r="Z716" s="207"/>
      <c r="AA716" s="207"/>
      <c r="AB716" s="207"/>
      <c r="AC716" s="207"/>
      <c r="AD716" s="207"/>
      <c r="AE716" s="207"/>
      <c r="AF716" s="207"/>
      <c r="AG716" s="207"/>
      <c r="AH716" s="207"/>
      <c r="AI716" s="207"/>
      <c r="AJ716" s="207"/>
      <c r="AK716" s="207"/>
      <c r="AL716" s="207"/>
      <c r="AM716" s="207"/>
      <c r="AN716" s="207"/>
      <c r="AO716" s="207"/>
      <c r="AP716" s="207"/>
      <c r="AQ716" s="207"/>
      <c r="AR716" s="207"/>
      <c r="AS716" s="207"/>
      <c r="AT716" s="207"/>
      <c r="AU716" s="207"/>
      <c r="AV716" s="207"/>
      <c r="AW716" s="207"/>
      <c r="AX716" s="207"/>
      <c r="AY716" s="207"/>
      <c r="AZ716" s="207"/>
      <c r="BA716" s="207"/>
    </row>
    <row r="717" ht="18.75" hidden="1" customHeight="1">
      <c r="A717" s="207"/>
      <c r="B717" s="207"/>
      <c r="C717" s="207"/>
      <c r="D717" s="207"/>
      <c r="E717" s="207"/>
      <c r="F717" s="207"/>
      <c r="G717" s="207"/>
      <c r="H717" s="207"/>
      <c r="I717" s="207"/>
      <c r="J717" s="207"/>
      <c r="K717" s="207"/>
      <c r="L717" s="207"/>
      <c r="M717" s="207"/>
      <c r="N717" s="207"/>
      <c r="O717" s="207"/>
      <c r="P717" s="207"/>
      <c r="Q717" s="207"/>
      <c r="R717" s="207"/>
      <c r="S717" s="207"/>
      <c r="T717" s="207"/>
      <c r="U717" s="207"/>
      <c r="V717" s="207"/>
      <c r="W717" s="207"/>
      <c r="X717" s="207"/>
      <c r="Y717" s="207"/>
      <c r="Z717" s="207"/>
      <c r="AA717" s="207"/>
      <c r="AB717" s="207"/>
      <c r="AC717" s="207"/>
      <c r="AD717" s="207"/>
      <c r="AE717" s="207"/>
      <c r="AF717" s="207"/>
      <c r="AG717" s="207"/>
      <c r="AH717" s="207"/>
      <c r="AI717" s="207"/>
      <c r="AJ717" s="207"/>
      <c r="AK717" s="207"/>
      <c r="AL717" s="207"/>
      <c r="AM717" s="207"/>
      <c r="AN717" s="207"/>
      <c r="AO717" s="207"/>
      <c r="AP717" s="207"/>
      <c r="AQ717" s="207"/>
      <c r="AR717" s="207"/>
      <c r="AS717" s="207"/>
      <c r="AT717" s="207"/>
      <c r="AU717" s="207"/>
      <c r="AV717" s="207"/>
      <c r="AW717" s="207"/>
      <c r="AX717" s="207"/>
      <c r="AY717" s="207"/>
      <c r="AZ717" s="207"/>
      <c r="BA717" s="207"/>
    </row>
    <row r="718" ht="18.75" hidden="1" customHeight="1">
      <c r="A718" s="207"/>
      <c r="B718" s="207"/>
      <c r="C718" s="207"/>
      <c r="D718" s="207"/>
      <c r="E718" s="207"/>
      <c r="F718" s="207"/>
      <c r="G718" s="207"/>
      <c r="H718" s="207"/>
      <c r="I718" s="207"/>
      <c r="J718" s="207"/>
      <c r="K718" s="207"/>
      <c r="L718" s="207"/>
      <c r="M718" s="207"/>
      <c r="N718" s="207"/>
      <c r="O718" s="207"/>
      <c r="P718" s="207"/>
      <c r="Q718" s="207"/>
      <c r="R718" s="207"/>
      <c r="S718" s="207"/>
      <c r="T718" s="207"/>
      <c r="U718" s="207"/>
      <c r="V718" s="207"/>
      <c r="W718" s="207"/>
      <c r="X718" s="207"/>
      <c r="Y718" s="207"/>
      <c r="Z718" s="207"/>
      <c r="AA718" s="207"/>
      <c r="AB718" s="207"/>
      <c r="AC718" s="207"/>
      <c r="AD718" s="207"/>
      <c r="AE718" s="207"/>
      <c r="AF718" s="207"/>
      <c r="AG718" s="207"/>
      <c r="AH718" s="207"/>
      <c r="AI718" s="207"/>
      <c r="AJ718" s="207"/>
      <c r="AK718" s="207"/>
      <c r="AL718" s="207"/>
      <c r="AM718" s="207"/>
      <c r="AN718" s="207"/>
      <c r="AO718" s="207"/>
      <c r="AP718" s="207"/>
      <c r="AQ718" s="207"/>
      <c r="AR718" s="207"/>
      <c r="AS718" s="207"/>
      <c r="AT718" s="207"/>
      <c r="AU718" s="207"/>
      <c r="AV718" s="207"/>
      <c r="AW718" s="207"/>
      <c r="AX718" s="207"/>
      <c r="AY718" s="207"/>
      <c r="AZ718" s="207"/>
      <c r="BA718" s="207"/>
    </row>
    <row r="719" ht="18.75" hidden="1" customHeight="1">
      <c r="A719" s="207"/>
      <c r="B719" s="207"/>
      <c r="C719" s="207"/>
      <c r="D719" s="207"/>
      <c r="E719" s="207"/>
      <c r="F719" s="207"/>
      <c r="G719" s="207"/>
      <c r="H719" s="207"/>
      <c r="I719" s="207"/>
      <c r="J719" s="207"/>
      <c r="K719" s="207"/>
      <c r="L719" s="207"/>
      <c r="M719" s="207"/>
      <c r="N719" s="207"/>
      <c r="O719" s="207"/>
      <c r="P719" s="207"/>
      <c r="Q719" s="207"/>
      <c r="R719" s="207"/>
      <c r="S719" s="207"/>
      <c r="T719" s="207"/>
      <c r="U719" s="207"/>
      <c r="V719" s="207"/>
      <c r="W719" s="207"/>
      <c r="X719" s="207"/>
      <c r="Y719" s="207"/>
      <c r="Z719" s="207"/>
      <c r="AA719" s="207"/>
      <c r="AB719" s="207"/>
      <c r="AC719" s="207"/>
      <c r="AD719" s="207"/>
      <c r="AE719" s="207"/>
      <c r="AF719" s="207"/>
      <c r="AG719" s="207"/>
      <c r="AH719" s="207"/>
      <c r="AI719" s="207"/>
      <c r="AJ719" s="207"/>
      <c r="AK719" s="207"/>
      <c r="AL719" s="207"/>
      <c r="AM719" s="207"/>
      <c r="AN719" s="207"/>
      <c r="AO719" s="207"/>
      <c r="AP719" s="207"/>
      <c r="AQ719" s="207"/>
      <c r="AR719" s="207"/>
      <c r="AS719" s="207"/>
      <c r="AT719" s="207"/>
      <c r="AU719" s="207"/>
      <c r="AV719" s="207"/>
      <c r="AW719" s="207"/>
      <c r="AX719" s="207"/>
      <c r="AY719" s="207"/>
      <c r="AZ719" s="207"/>
      <c r="BA719" s="207"/>
    </row>
    <row r="720" ht="18.75" hidden="1" customHeight="1">
      <c r="A720" s="207"/>
      <c r="B720" s="207"/>
      <c r="C720" s="207"/>
      <c r="D720" s="207"/>
      <c r="E720" s="207"/>
      <c r="F720" s="207"/>
      <c r="G720" s="207"/>
      <c r="H720" s="207"/>
      <c r="I720" s="207"/>
      <c r="J720" s="207"/>
      <c r="K720" s="207"/>
      <c r="L720" s="207"/>
      <c r="M720" s="207"/>
      <c r="N720" s="207"/>
      <c r="O720" s="207"/>
      <c r="P720" s="207"/>
      <c r="Q720" s="207"/>
      <c r="R720" s="207"/>
      <c r="S720" s="207"/>
      <c r="T720" s="207"/>
      <c r="U720" s="207"/>
      <c r="V720" s="207"/>
      <c r="W720" s="207"/>
      <c r="X720" s="207"/>
      <c r="Y720" s="207"/>
      <c r="Z720" s="207"/>
      <c r="AA720" s="207"/>
      <c r="AB720" s="207"/>
      <c r="AC720" s="207"/>
      <c r="AD720" s="207"/>
      <c r="AE720" s="207"/>
      <c r="AF720" s="207"/>
      <c r="AG720" s="207"/>
      <c r="AH720" s="207"/>
      <c r="AI720" s="207"/>
      <c r="AJ720" s="207"/>
      <c r="AK720" s="207"/>
      <c r="AL720" s="207"/>
      <c r="AM720" s="207"/>
      <c r="AN720" s="207"/>
      <c r="AO720" s="207"/>
      <c r="AP720" s="207"/>
      <c r="AQ720" s="207"/>
      <c r="AR720" s="207"/>
      <c r="AS720" s="207"/>
      <c r="AT720" s="207"/>
      <c r="AU720" s="207"/>
      <c r="AV720" s="207"/>
      <c r="AW720" s="207"/>
      <c r="AX720" s="207"/>
      <c r="AY720" s="207"/>
      <c r="AZ720" s="207"/>
      <c r="BA720" s="207"/>
    </row>
    <row r="721" ht="18.75" hidden="1" customHeight="1">
      <c r="A721" s="207"/>
      <c r="B721" s="207"/>
      <c r="C721" s="207"/>
      <c r="D721" s="207"/>
      <c r="E721" s="207"/>
      <c r="F721" s="207"/>
      <c r="G721" s="207"/>
      <c r="H721" s="207"/>
      <c r="I721" s="207"/>
      <c r="J721" s="207"/>
      <c r="K721" s="207"/>
      <c r="L721" s="207"/>
      <c r="M721" s="207"/>
      <c r="N721" s="207"/>
      <c r="O721" s="207"/>
      <c r="P721" s="207"/>
      <c r="Q721" s="207"/>
      <c r="R721" s="207"/>
      <c r="S721" s="207"/>
      <c r="T721" s="207"/>
      <c r="U721" s="207"/>
      <c r="V721" s="207"/>
      <c r="W721" s="207"/>
      <c r="X721" s="207"/>
      <c r="Y721" s="207"/>
      <c r="Z721" s="207"/>
      <c r="AA721" s="207"/>
      <c r="AB721" s="207"/>
      <c r="AC721" s="207"/>
      <c r="AD721" s="207"/>
      <c r="AE721" s="207"/>
      <c r="AF721" s="207"/>
      <c r="AG721" s="207"/>
      <c r="AH721" s="207"/>
      <c r="AI721" s="207"/>
      <c r="AJ721" s="207"/>
      <c r="AK721" s="207"/>
      <c r="AL721" s="207"/>
      <c r="AM721" s="207"/>
      <c r="AN721" s="207"/>
      <c r="AO721" s="207"/>
      <c r="AP721" s="207"/>
      <c r="AQ721" s="207"/>
      <c r="AR721" s="207"/>
      <c r="AS721" s="207"/>
      <c r="AT721" s="207"/>
      <c r="AU721" s="207"/>
      <c r="AV721" s="207"/>
      <c r="AW721" s="207"/>
      <c r="AX721" s="207"/>
      <c r="AY721" s="207"/>
      <c r="AZ721" s="207"/>
      <c r="BA721" s="207"/>
    </row>
    <row r="722" ht="18.75" hidden="1" customHeight="1">
      <c r="A722" s="207"/>
      <c r="B722" s="207"/>
      <c r="C722" s="207"/>
      <c r="D722" s="207"/>
      <c r="E722" s="207"/>
      <c r="F722" s="207"/>
      <c r="G722" s="207"/>
      <c r="H722" s="207"/>
      <c r="I722" s="207"/>
      <c r="J722" s="207"/>
      <c r="K722" s="207"/>
      <c r="L722" s="207"/>
      <c r="M722" s="207"/>
      <c r="N722" s="207"/>
      <c r="O722" s="207"/>
      <c r="P722" s="207"/>
      <c r="Q722" s="207"/>
      <c r="R722" s="207"/>
      <c r="S722" s="207"/>
      <c r="T722" s="207"/>
      <c r="U722" s="207"/>
      <c r="V722" s="207"/>
      <c r="W722" s="207"/>
      <c r="X722" s="207"/>
      <c r="Y722" s="207"/>
      <c r="Z722" s="207"/>
      <c r="AA722" s="207"/>
      <c r="AB722" s="207"/>
      <c r="AC722" s="207"/>
      <c r="AD722" s="207"/>
      <c r="AE722" s="207"/>
      <c r="AF722" s="207"/>
      <c r="AG722" s="207"/>
      <c r="AH722" s="207"/>
      <c r="AI722" s="207"/>
      <c r="AJ722" s="207"/>
      <c r="AK722" s="207"/>
      <c r="AL722" s="207"/>
      <c r="AM722" s="207"/>
      <c r="AN722" s="207"/>
      <c r="AO722" s="207"/>
      <c r="AP722" s="207"/>
      <c r="AQ722" s="207"/>
      <c r="AR722" s="207"/>
      <c r="AS722" s="207"/>
      <c r="AT722" s="207"/>
      <c r="AU722" s="207"/>
      <c r="AV722" s="207"/>
      <c r="AW722" s="207"/>
      <c r="AX722" s="207"/>
      <c r="AY722" s="207"/>
      <c r="AZ722" s="207"/>
      <c r="BA722" s="207"/>
    </row>
    <row r="723" ht="18.75" hidden="1" customHeight="1">
      <c r="A723" s="207"/>
      <c r="B723" s="207"/>
      <c r="C723" s="207"/>
      <c r="D723" s="207"/>
      <c r="E723" s="207"/>
      <c r="F723" s="207"/>
      <c r="G723" s="207"/>
      <c r="H723" s="207"/>
      <c r="I723" s="207"/>
      <c r="J723" s="207"/>
      <c r="K723" s="207"/>
      <c r="L723" s="207"/>
      <c r="M723" s="207"/>
      <c r="N723" s="207"/>
      <c r="O723" s="207"/>
      <c r="P723" s="207"/>
      <c r="Q723" s="207"/>
      <c r="R723" s="207"/>
      <c r="S723" s="207"/>
      <c r="T723" s="207"/>
      <c r="U723" s="207"/>
      <c r="V723" s="207"/>
      <c r="W723" s="207"/>
      <c r="X723" s="207"/>
      <c r="Y723" s="207"/>
      <c r="Z723" s="207"/>
      <c r="AA723" s="207"/>
      <c r="AB723" s="207"/>
      <c r="AC723" s="207"/>
      <c r="AD723" s="207"/>
      <c r="AE723" s="207"/>
      <c r="AF723" s="207"/>
      <c r="AG723" s="207"/>
      <c r="AH723" s="207"/>
      <c r="AI723" s="207"/>
      <c r="AJ723" s="207"/>
      <c r="AK723" s="207"/>
      <c r="AL723" s="207"/>
      <c r="AM723" s="207"/>
      <c r="AN723" s="207"/>
      <c r="AO723" s="207"/>
      <c r="AP723" s="207"/>
      <c r="AQ723" s="207"/>
      <c r="AR723" s="207"/>
      <c r="AS723" s="207"/>
      <c r="AT723" s="207"/>
      <c r="AU723" s="207"/>
      <c r="AV723" s="207"/>
      <c r="AW723" s="207"/>
      <c r="AX723" s="207"/>
      <c r="AY723" s="207"/>
      <c r="AZ723" s="207"/>
      <c r="BA723" s="207"/>
    </row>
    <row r="724" ht="18.75" hidden="1" customHeight="1">
      <c r="A724" s="207"/>
      <c r="B724" s="207"/>
      <c r="C724" s="207"/>
      <c r="D724" s="207"/>
      <c r="E724" s="207"/>
      <c r="F724" s="207"/>
      <c r="G724" s="207"/>
      <c r="H724" s="207"/>
      <c r="I724" s="207"/>
      <c r="J724" s="207"/>
      <c r="K724" s="207"/>
      <c r="L724" s="207"/>
      <c r="M724" s="207"/>
      <c r="N724" s="207"/>
      <c r="O724" s="207"/>
      <c r="P724" s="207"/>
      <c r="Q724" s="207"/>
      <c r="R724" s="207"/>
      <c r="S724" s="207"/>
      <c r="T724" s="207"/>
      <c r="U724" s="207"/>
      <c r="V724" s="207"/>
      <c r="W724" s="207"/>
      <c r="X724" s="207"/>
      <c r="Y724" s="207"/>
      <c r="Z724" s="207"/>
      <c r="AA724" s="207"/>
      <c r="AB724" s="207"/>
      <c r="AC724" s="207"/>
      <c r="AD724" s="207"/>
      <c r="AE724" s="207"/>
      <c r="AF724" s="207"/>
      <c r="AG724" s="207"/>
      <c r="AH724" s="207"/>
      <c r="AI724" s="207"/>
      <c r="AJ724" s="207"/>
      <c r="AK724" s="207"/>
      <c r="AL724" s="207"/>
      <c r="AM724" s="207"/>
      <c r="AN724" s="207"/>
      <c r="AO724" s="207"/>
      <c r="AP724" s="207"/>
      <c r="AQ724" s="207"/>
      <c r="AR724" s="207"/>
      <c r="AS724" s="207"/>
      <c r="AT724" s="207"/>
      <c r="AU724" s="207"/>
      <c r="AV724" s="207"/>
      <c r="AW724" s="207"/>
      <c r="AX724" s="207"/>
      <c r="AY724" s="207"/>
      <c r="AZ724" s="207"/>
      <c r="BA724" s="207"/>
    </row>
    <row r="725" ht="18.75" hidden="1" customHeight="1">
      <c r="A725" s="207"/>
      <c r="B725" s="207"/>
      <c r="C725" s="207"/>
      <c r="D725" s="207"/>
      <c r="E725" s="207"/>
      <c r="F725" s="207"/>
      <c r="G725" s="207"/>
      <c r="H725" s="207"/>
      <c r="I725" s="207"/>
      <c r="J725" s="207"/>
      <c r="K725" s="207"/>
      <c r="L725" s="207"/>
      <c r="M725" s="207"/>
      <c r="N725" s="207"/>
      <c r="O725" s="207"/>
      <c r="P725" s="207"/>
      <c r="Q725" s="207"/>
      <c r="R725" s="207"/>
      <c r="S725" s="207"/>
      <c r="T725" s="207"/>
      <c r="U725" s="207"/>
      <c r="V725" s="207"/>
      <c r="W725" s="207"/>
      <c r="X725" s="207"/>
      <c r="Y725" s="207"/>
      <c r="Z725" s="207"/>
      <c r="AA725" s="207"/>
      <c r="AB725" s="207"/>
      <c r="AC725" s="207"/>
      <c r="AD725" s="207"/>
      <c r="AE725" s="207"/>
      <c r="AF725" s="207"/>
      <c r="AG725" s="207"/>
      <c r="AH725" s="207"/>
      <c r="AI725" s="207"/>
      <c r="AJ725" s="207"/>
      <c r="AK725" s="207"/>
      <c r="AL725" s="207"/>
      <c r="AM725" s="207"/>
      <c r="AN725" s="207"/>
      <c r="AO725" s="207"/>
      <c r="AP725" s="207"/>
      <c r="AQ725" s="207"/>
      <c r="AR725" s="207"/>
      <c r="AS725" s="207"/>
      <c r="AT725" s="207"/>
      <c r="AU725" s="207"/>
      <c r="AV725" s="207"/>
      <c r="AW725" s="207"/>
      <c r="AX725" s="207"/>
      <c r="AY725" s="207"/>
      <c r="AZ725" s="207"/>
      <c r="BA725" s="207"/>
    </row>
    <row r="726" ht="18.75" hidden="1" customHeight="1">
      <c r="A726" s="207"/>
      <c r="B726" s="207"/>
      <c r="C726" s="207"/>
      <c r="D726" s="207"/>
      <c r="E726" s="207"/>
      <c r="F726" s="207"/>
      <c r="G726" s="207"/>
      <c r="H726" s="207"/>
      <c r="I726" s="207"/>
      <c r="J726" s="207"/>
      <c r="K726" s="207"/>
      <c r="L726" s="207"/>
      <c r="M726" s="207"/>
      <c r="N726" s="207"/>
      <c r="O726" s="207"/>
      <c r="P726" s="207"/>
      <c r="Q726" s="207"/>
      <c r="R726" s="207"/>
      <c r="S726" s="207"/>
      <c r="T726" s="207"/>
      <c r="U726" s="207"/>
      <c r="V726" s="207"/>
      <c r="W726" s="207"/>
      <c r="X726" s="207"/>
      <c r="Y726" s="207"/>
      <c r="Z726" s="207"/>
      <c r="AA726" s="207"/>
      <c r="AB726" s="207"/>
      <c r="AC726" s="207"/>
      <c r="AD726" s="207"/>
      <c r="AE726" s="207"/>
      <c r="AF726" s="207"/>
      <c r="AG726" s="207"/>
      <c r="AH726" s="207"/>
      <c r="AI726" s="207"/>
      <c r="AJ726" s="207"/>
      <c r="AK726" s="207"/>
      <c r="AL726" s="207"/>
      <c r="AM726" s="207"/>
      <c r="AN726" s="207"/>
      <c r="AO726" s="207"/>
      <c r="AP726" s="207"/>
      <c r="AQ726" s="207"/>
      <c r="AR726" s="207"/>
      <c r="AS726" s="207"/>
      <c r="AT726" s="207"/>
      <c r="AU726" s="207"/>
      <c r="AV726" s="207"/>
      <c r="AW726" s="207"/>
      <c r="AX726" s="207"/>
      <c r="AY726" s="207"/>
      <c r="AZ726" s="207"/>
      <c r="BA726" s="207"/>
    </row>
    <row r="727" ht="18.75" hidden="1" customHeight="1">
      <c r="A727" s="207"/>
      <c r="B727" s="207"/>
      <c r="C727" s="207"/>
      <c r="D727" s="207"/>
      <c r="E727" s="207"/>
      <c r="F727" s="207"/>
      <c r="G727" s="207"/>
      <c r="H727" s="207"/>
      <c r="I727" s="207"/>
      <c r="J727" s="207"/>
      <c r="K727" s="207"/>
      <c r="L727" s="207"/>
      <c r="M727" s="207"/>
      <c r="N727" s="207"/>
      <c r="O727" s="207"/>
      <c r="P727" s="207"/>
      <c r="Q727" s="207"/>
      <c r="R727" s="207"/>
      <c r="S727" s="207"/>
      <c r="T727" s="207"/>
      <c r="U727" s="207"/>
      <c r="V727" s="207"/>
      <c r="W727" s="207"/>
      <c r="X727" s="207"/>
      <c r="Y727" s="207"/>
      <c r="Z727" s="207"/>
      <c r="AA727" s="207"/>
      <c r="AB727" s="207"/>
      <c r="AC727" s="207"/>
      <c r="AD727" s="207"/>
      <c r="AE727" s="207"/>
      <c r="AF727" s="207"/>
      <c r="AG727" s="207"/>
      <c r="AH727" s="207"/>
      <c r="AI727" s="207"/>
      <c r="AJ727" s="207"/>
      <c r="AK727" s="207"/>
      <c r="AL727" s="207"/>
      <c r="AM727" s="207"/>
      <c r="AN727" s="207"/>
      <c r="AO727" s="207"/>
      <c r="AP727" s="207"/>
      <c r="AQ727" s="207"/>
      <c r="AR727" s="207"/>
      <c r="AS727" s="207"/>
      <c r="AT727" s="207"/>
      <c r="AU727" s="207"/>
      <c r="AV727" s="207"/>
      <c r="AW727" s="207"/>
      <c r="AX727" s="207"/>
      <c r="AY727" s="207"/>
      <c r="AZ727" s="207"/>
      <c r="BA727" s="207"/>
    </row>
    <row r="728" ht="18.75" hidden="1" customHeight="1">
      <c r="A728" s="207"/>
      <c r="B728" s="207"/>
      <c r="C728" s="207"/>
      <c r="D728" s="207"/>
      <c r="E728" s="207"/>
      <c r="F728" s="207"/>
      <c r="G728" s="207"/>
      <c r="H728" s="207"/>
      <c r="I728" s="207"/>
      <c r="J728" s="207"/>
      <c r="K728" s="207"/>
      <c r="L728" s="207"/>
      <c r="M728" s="207"/>
      <c r="N728" s="207"/>
      <c r="O728" s="207"/>
      <c r="P728" s="207"/>
      <c r="Q728" s="207"/>
      <c r="R728" s="207"/>
      <c r="S728" s="207"/>
      <c r="T728" s="207"/>
      <c r="U728" s="207"/>
      <c r="V728" s="207"/>
      <c r="W728" s="207"/>
      <c r="X728" s="207"/>
      <c r="Y728" s="207"/>
      <c r="Z728" s="207"/>
      <c r="AA728" s="207"/>
      <c r="AB728" s="207"/>
      <c r="AC728" s="207"/>
      <c r="AD728" s="207"/>
      <c r="AE728" s="207"/>
      <c r="AF728" s="207"/>
      <c r="AG728" s="207"/>
      <c r="AH728" s="207"/>
      <c r="AI728" s="207"/>
      <c r="AJ728" s="207"/>
      <c r="AK728" s="207"/>
      <c r="AL728" s="207"/>
      <c r="AM728" s="207"/>
      <c r="AN728" s="207"/>
      <c r="AO728" s="207"/>
      <c r="AP728" s="207"/>
      <c r="AQ728" s="207"/>
      <c r="AR728" s="207"/>
      <c r="AS728" s="207"/>
      <c r="AT728" s="207"/>
      <c r="AU728" s="207"/>
      <c r="AV728" s="207"/>
      <c r="AW728" s="207"/>
      <c r="AX728" s="207"/>
      <c r="AY728" s="207"/>
      <c r="AZ728" s="207"/>
      <c r="BA728" s="207"/>
    </row>
    <row r="729" ht="18.75" hidden="1" customHeight="1">
      <c r="A729" s="207"/>
      <c r="B729" s="207"/>
      <c r="C729" s="207"/>
      <c r="D729" s="207"/>
      <c r="E729" s="207"/>
      <c r="F729" s="207"/>
      <c r="G729" s="207"/>
      <c r="H729" s="207"/>
      <c r="I729" s="207"/>
      <c r="J729" s="207"/>
      <c r="K729" s="207"/>
      <c r="L729" s="207"/>
      <c r="M729" s="207"/>
      <c r="N729" s="207"/>
      <c r="O729" s="207"/>
      <c r="P729" s="207"/>
      <c r="Q729" s="207"/>
      <c r="R729" s="207"/>
      <c r="S729" s="207"/>
      <c r="T729" s="207"/>
      <c r="U729" s="207"/>
      <c r="V729" s="207"/>
      <c r="W729" s="207"/>
      <c r="X729" s="207"/>
      <c r="Y729" s="207"/>
      <c r="Z729" s="207"/>
      <c r="AA729" s="207"/>
      <c r="AB729" s="207"/>
      <c r="AC729" s="207"/>
      <c r="AD729" s="207"/>
      <c r="AE729" s="207"/>
      <c r="AF729" s="207"/>
      <c r="AG729" s="207"/>
      <c r="AH729" s="207"/>
      <c r="AI729" s="207"/>
      <c r="AJ729" s="207"/>
      <c r="AK729" s="207"/>
      <c r="AL729" s="207"/>
      <c r="AM729" s="207"/>
      <c r="AN729" s="207"/>
      <c r="AO729" s="207"/>
      <c r="AP729" s="207"/>
      <c r="AQ729" s="207"/>
      <c r="AR729" s="207"/>
      <c r="AS729" s="207"/>
      <c r="AT729" s="207"/>
      <c r="AU729" s="207"/>
      <c r="AV729" s="207"/>
      <c r="AW729" s="207"/>
      <c r="AX729" s="207"/>
      <c r="AY729" s="207"/>
      <c r="AZ729" s="207"/>
      <c r="BA729" s="207"/>
    </row>
    <row r="730" ht="18.75" hidden="1" customHeight="1">
      <c r="A730" s="207"/>
      <c r="B730" s="207"/>
      <c r="C730" s="207"/>
      <c r="D730" s="207"/>
      <c r="E730" s="207"/>
      <c r="F730" s="207"/>
      <c r="G730" s="207"/>
      <c r="H730" s="207"/>
      <c r="I730" s="207"/>
      <c r="J730" s="207"/>
      <c r="K730" s="207"/>
      <c r="L730" s="207"/>
      <c r="M730" s="207"/>
      <c r="N730" s="207"/>
      <c r="O730" s="207"/>
      <c r="P730" s="207"/>
      <c r="Q730" s="207"/>
      <c r="R730" s="207"/>
      <c r="S730" s="207"/>
      <c r="T730" s="207"/>
      <c r="U730" s="207"/>
      <c r="V730" s="207"/>
      <c r="W730" s="207"/>
      <c r="X730" s="207"/>
      <c r="Y730" s="207"/>
      <c r="Z730" s="207"/>
      <c r="AA730" s="207"/>
      <c r="AB730" s="207"/>
      <c r="AC730" s="207"/>
      <c r="AD730" s="207"/>
      <c r="AE730" s="207"/>
      <c r="AF730" s="207"/>
      <c r="AG730" s="207"/>
      <c r="AH730" s="207"/>
      <c r="AI730" s="207"/>
      <c r="AJ730" s="207"/>
      <c r="AK730" s="207"/>
      <c r="AL730" s="207"/>
      <c r="AM730" s="207"/>
      <c r="AN730" s="207"/>
      <c r="AO730" s="207"/>
      <c r="AP730" s="207"/>
      <c r="AQ730" s="207"/>
      <c r="AR730" s="207"/>
      <c r="AS730" s="207"/>
      <c r="AT730" s="207"/>
      <c r="AU730" s="207"/>
      <c r="AV730" s="207"/>
      <c r="AW730" s="207"/>
      <c r="AX730" s="207"/>
      <c r="AY730" s="207"/>
      <c r="AZ730" s="207"/>
      <c r="BA730" s="207"/>
    </row>
    <row r="731" ht="18.75" hidden="1" customHeight="1">
      <c r="A731" s="207"/>
      <c r="B731" s="207"/>
      <c r="C731" s="207"/>
      <c r="D731" s="207"/>
      <c r="E731" s="207"/>
      <c r="F731" s="207"/>
      <c r="G731" s="207"/>
      <c r="H731" s="207"/>
      <c r="I731" s="207"/>
      <c r="J731" s="207"/>
      <c r="K731" s="207"/>
      <c r="L731" s="207"/>
      <c r="M731" s="207"/>
      <c r="N731" s="207"/>
      <c r="O731" s="207"/>
      <c r="P731" s="207"/>
      <c r="Q731" s="207"/>
      <c r="R731" s="207"/>
      <c r="S731" s="207"/>
      <c r="T731" s="207"/>
      <c r="U731" s="207"/>
      <c r="V731" s="207"/>
      <c r="W731" s="207"/>
      <c r="X731" s="207"/>
      <c r="Y731" s="207"/>
      <c r="Z731" s="207"/>
      <c r="AA731" s="207"/>
      <c r="AB731" s="207"/>
      <c r="AC731" s="207"/>
      <c r="AD731" s="207"/>
      <c r="AE731" s="207"/>
      <c r="AF731" s="207"/>
      <c r="AG731" s="207"/>
      <c r="AH731" s="207"/>
      <c r="AI731" s="207"/>
      <c r="AJ731" s="207"/>
      <c r="AK731" s="207"/>
      <c r="AL731" s="207"/>
      <c r="AM731" s="207"/>
      <c r="AN731" s="207"/>
      <c r="AO731" s="207"/>
      <c r="AP731" s="207"/>
      <c r="AQ731" s="207"/>
      <c r="AR731" s="207"/>
      <c r="AS731" s="207"/>
      <c r="AT731" s="207"/>
      <c r="AU731" s="207"/>
      <c r="AV731" s="207"/>
      <c r="AW731" s="207"/>
      <c r="AX731" s="207"/>
      <c r="AY731" s="207"/>
      <c r="AZ731" s="207"/>
      <c r="BA731" s="207"/>
    </row>
    <row r="732" ht="18.75" hidden="1" customHeight="1">
      <c r="A732" s="207"/>
      <c r="B732" s="207"/>
      <c r="C732" s="207"/>
      <c r="D732" s="207"/>
      <c r="E732" s="207"/>
      <c r="F732" s="207"/>
      <c r="G732" s="207"/>
      <c r="H732" s="207"/>
      <c r="I732" s="207"/>
      <c r="J732" s="207"/>
      <c r="K732" s="207"/>
      <c r="L732" s="207"/>
      <c r="M732" s="207"/>
      <c r="N732" s="207"/>
      <c r="O732" s="207"/>
      <c r="P732" s="207"/>
      <c r="Q732" s="207"/>
      <c r="R732" s="207"/>
      <c r="S732" s="207"/>
      <c r="T732" s="207"/>
      <c r="U732" s="207"/>
      <c r="V732" s="207"/>
      <c r="W732" s="207"/>
      <c r="X732" s="207"/>
      <c r="Y732" s="207"/>
      <c r="Z732" s="207"/>
      <c r="AA732" s="207"/>
      <c r="AB732" s="207"/>
      <c r="AC732" s="207"/>
      <c r="AD732" s="207"/>
      <c r="AE732" s="207"/>
      <c r="AF732" s="207"/>
      <c r="AG732" s="207"/>
      <c r="AH732" s="207"/>
      <c r="AI732" s="207"/>
      <c r="AJ732" s="207"/>
      <c r="AK732" s="207"/>
      <c r="AL732" s="207"/>
      <c r="AM732" s="207"/>
      <c r="AN732" s="207"/>
      <c r="AO732" s="207"/>
      <c r="AP732" s="207"/>
      <c r="AQ732" s="207"/>
      <c r="AR732" s="207"/>
      <c r="AS732" s="207"/>
      <c r="AT732" s="207"/>
      <c r="AU732" s="207"/>
      <c r="AV732" s="207"/>
      <c r="AW732" s="207"/>
      <c r="AX732" s="207"/>
      <c r="AY732" s="207"/>
      <c r="AZ732" s="207"/>
      <c r="BA732" s="207"/>
    </row>
    <row r="733" ht="18.75" hidden="1" customHeight="1">
      <c r="A733" s="207"/>
      <c r="B733" s="207"/>
      <c r="C733" s="207"/>
      <c r="D733" s="207"/>
      <c r="E733" s="207"/>
      <c r="F733" s="207"/>
      <c r="G733" s="207"/>
      <c r="H733" s="207"/>
      <c r="I733" s="207"/>
      <c r="J733" s="207"/>
      <c r="K733" s="207"/>
      <c r="L733" s="207"/>
      <c r="M733" s="207"/>
      <c r="N733" s="207"/>
      <c r="O733" s="207"/>
      <c r="P733" s="207"/>
      <c r="Q733" s="207"/>
      <c r="R733" s="207"/>
      <c r="S733" s="207"/>
      <c r="T733" s="207"/>
      <c r="U733" s="207"/>
      <c r="V733" s="207"/>
      <c r="W733" s="207"/>
      <c r="X733" s="207"/>
      <c r="Y733" s="207"/>
      <c r="Z733" s="207"/>
      <c r="AA733" s="207"/>
      <c r="AB733" s="207"/>
      <c r="AC733" s="207"/>
      <c r="AD733" s="207"/>
      <c r="AE733" s="207"/>
      <c r="AF733" s="207"/>
      <c r="AG733" s="207"/>
      <c r="AH733" s="207"/>
      <c r="AI733" s="207"/>
      <c r="AJ733" s="207"/>
      <c r="AK733" s="207"/>
      <c r="AL733" s="207"/>
      <c r="AM733" s="207"/>
      <c r="AN733" s="207"/>
      <c r="AO733" s="207"/>
      <c r="AP733" s="207"/>
      <c r="AQ733" s="207"/>
      <c r="AR733" s="207"/>
      <c r="AS733" s="207"/>
      <c r="AT733" s="207"/>
      <c r="AU733" s="207"/>
      <c r="AV733" s="207"/>
      <c r="AW733" s="207"/>
      <c r="AX733" s="207"/>
      <c r="AY733" s="207"/>
      <c r="AZ733" s="207"/>
      <c r="BA733" s="207"/>
    </row>
    <row r="734" ht="18.75" hidden="1" customHeight="1">
      <c r="A734" s="207"/>
      <c r="B734" s="207"/>
      <c r="C734" s="207"/>
      <c r="D734" s="207"/>
      <c r="E734" s="207"/>
      <c r="F734" s="207"/>
      <c r="G734" s="207"/>
      <c r="H734" s="207"/>
      <c r="I734" s="207"/>
      <c r="J734" s="207"/>
      <c r="K734" s="207"/>
      <c r="L734" s="207"/>
      <c r="M734" s="207"/>
      <c r="N734" s="207"/>
      <c r="O734" s="207"/>
      <c r="P734" s="207"/>
      <c r="Q734" s="207"/>
      <c r="R734" s="207"/>
      <c r="S734" s="207"/>
      <c r="T734" s="207"/>
      <c r="U734" s="207"/>
      <c r="V734" s="207"/>
      <c r="W734" s="207"/>
      <c r="X734" s="207"/>
      <c r="Y734" s="207"/>
      <c r="Z734" s="207"/>
      <c r="AA734" s="207"/>
      <c r="AB734" s="207"/>
      <c r="AC734" s="207"/>
      <c r="AD734" s="207"/>
      <c r="AE734" s="207"/>
      <c r="AF734" s="207"/>
      <c r="AG734" s="207"/>
      <c r="AH734" s="207"/>
      <c r="AI734" s="207"/>
      <c r="AJ734" s="207"/>
      <c r="AK734" s="207"/>
      <c r="AL734" s="207"/>
      <c r="AM734" s="207"/>
      <c r="AN734" s="207"/>
      <c r="AO734" s="207"/>
      <c r="AP734" s="207"/>
      <c r="AQ734" s="207"/>
      <c r="AR734" s="207"/>
      <c r="AS734" s="207"/>
      <c r="AT734" s="207"/>
      <c r="AU734" s="207"/>
      <c r="AV734" s="207"/>
      <c r="AW734" s="207"/>
      <c r="AX734" s="207"/>
      <c r="AY734" s="207"/>
      <c r="AZ734" s="207"/>
      <c r="BA734" s="207"/>
    </row>
    <row r="735" ht="18.75" hidden="1" customHeight="1">
      <c r="A735" s="207"/>
      <c r="B735" s="207"/>
      <c r="C735" s="207"/>
      <c r="D735" s="207"/>
      <c r="E735" s="207"/>
      <c r="F735" s="207"/>
      <c r="G735" s="207"/>
      <c r="H735" s="207"/>
      <c r="I735" s="207"/>
      <c r="J735" s="207"/>
      <c r="K735" s="207"/>
      <c r="L735" s="207"/>
      <c r="M735" s="207"/>
      <c r="N735" s="207"/>
      <c r="O735" s="207"/>
      <c r="P735" s="207"/>
      <c r="Q735" s="207"/>
      <c r="R735" s="207"/>
      <c r="S735" s="207"/>
      <c r="T735" s="207"/>
      <c r="U735" s="207"/>
      <c r="V735" s="207"/>
      <c r="W735" s="207"/>
      <c r="X735" s="207"/>
      <c r="Y735" s="207"/>
      <c r="Z735" s="207"/>
      <c r="AA735" s="207"/>
      <c r="AB735" s="207"/>
      <c r="AC735" s="207"/>
      <c r="AD735" s="207"/>
      <c r="AE735" s="207"/>
      <c r="AF735" s="207"/>
      <c r="AG735" s="207"/>
      <c r="AH735" s="207"/>
      <c r="AI735" s="207"/>
      <c r="AJ735" s="207"/>
      <c r="AK735" s="207"/>
      <c r="AL735" s="207"/>
      <c r="AM735" s="207"/>
      <c r="AN735" s="207"/>
      <c r="AO735" s="207"/>
      <c r="AP735" s="207"/>
      <c r="AQ735" s="207"/>
      <c r="AR735" s="207"/>
      <c r="AS735" s="207"/>
      <c r="AT735" s="207"/>
      <c r="AU735" s="207"/>
      <c r="AV735" s="207"/>
      <c r="AW735" s="207"/>
      <c r="AX735" s="207"/>
      <c r="AY735" s="207"/>
      <c r="AZ735" s="207"/>
      <c r="BA735" s="207"/>
    </row>
    <row r="736" ht="18.75" hidden="1" customHeight="1">
      <c r="A736" s="207"/>
      <c r="B736" s="207"/>
      <c r="C736" s="207"/>
      <c r="D736" s="207"/>
      <c r="E736" s="207"/>
      <c r="F736" s="207"/>
      <c r="G736" s="207"/>
      <c r="H736" s="207"/>
      <c r="I736" s="207"/>
      <c r="J736" s="207"/>
      <c r="K736" s="207"/>
      <c r="L736" s="207"/>
      <c r="M736" s="207"/>
      <c r="N736" s="207"/>
      <c r="O736" s="207"/>
      <c r="P736" s="207"/>
      <c r="Q736" s="207"/>
      <c r="R736" s="207"/>
      <c r="S736" s="207"/>
      <c r="T736" s="207"/>
      <c r="U736" s="207"/>
      <c r="V736" s="207"/>
      <c r="W736" s="207"/>
      <c r="X736" s="207"/>
      <c r="Y736" s="207"/>
      <c r="Z736" s="207"/>
      <c r="AA736" s="207"/>
      <c r="AB736" s="207"/>
      <c r="AC736" s="207"/>
      <c r="AD736" s="207"/>
      <c r="AE736" s="207"/>
      <c r="AF736" s="207"/>
      <c r="AG736" s="207"/>
      <c r="AH736" s="207"/>
      <c r="AI736" s="207"/>
      <c r="AJ736" s="207"/>
      <c r="AK736" s="207"/>
      <c r="AL736" s="207"/>
      <c r="AM736" s="207"/>
      <c r="AN736" s="207"/>
      <c r="AO736" s="207"/>
      <c r="AP736" s="207"/>
      <c r="AQ736" s="207"/>
      <c r="AR736" s="207"/>
      <c r="AS736" s="207"/>
      <c r="AT736" s="207"/>
      <c r="AU736" s="207"/>
      <c r="AV736" s="207"/>
      <c r="AW736" s="207"/>
      <c r="AX736" s="207"/>
      <c r="AY736" s="207"/>
      <c r="AZ736" s="207"/>
      <c r="BA736" s="207"/>
    </row>
    <row r="737" ht="18.75" hidden="1" customHeight="1">
      <c r="A737" s="207"/>
      <c r="B737" s="207"/>
      <c r="C737" s="207"/>
      <c r="D737" s="207"/>
      <c r="E737" s="207"/>
      <c r="F737" s="207"/>
      <c r="G737" s="207"/>
      <c r="H737" s="207"/>
      <c r="I737" s="207"/>
      <c r="J737" s="207"/>
      <c r="K737" s="207"/>
      <c r="L737" s="207"/>
      <c r="M737" s="207"/>
      <c r="N737" s="207"/>
      <c r="O737" s="207"/>
      <c r="P737" s="207"/>
      <c r="Q737" s="207"/>
      <c r="R737" s="207"/>
      <c r="S737" s="207"/>
      <c r="T737" s="207"/>
      <c r="U737" s="207"/>
      <c r="V737" s="207"/>
      <c r="W737" s="207"/>
      <c r="X737" s="207"/>
      <c r="Y737" s="207"/>
      <c r="Z737" s="207"/>
      <c r="AA737" s="207"/>
      <c r="AB737" s="207"/>
      <c r="AC737" s="207"/>
      <c r="AD737" s="207"/>
      <c r="AE737" s="207"/>
      <c r="AF737" s="207"/>
      <c r="AG737" s="207"/>
      <c r="AH737" s="207"/>
      <c r="AI737" s="207"/>
      <c r="AJ737" s="207"/>
      <c r="AK737" s="207"/>
      <c r="AL737" s="207"/>
      <c r="AM737" s="207"/>
      <c r="AN737" s="207"/>
      <c r="AO737" s="207"/>
      <c r="AP737" s="207"/>
      <c r="AQ737" s="207"/>
      <c r="AR737" s="207"/>
      <c r="AS737" s="207"/>
      <c r="AT737" s="207"/>
      <c r="AU737" s="207"/>
      <c r="AV737" s="207"/>
      <c r="AW737" s="207"/>
      <c r="AX737" s="207"/>
      <c r="AY737" s="207"/>
      <c r="AZ737" s="207"/>
      <c r="BA737" s="207"/>
    </row>
    <row r="738" ht="18.75" hidden="1" customHeight="1">
      <c r="A738" s="207"/>
      <c r="B738" s="207"/>
      <c r="C738" s="207"/>
      <c r="D738" s="207"/>
      <c r="E738" s="207"/>
      <c r="F738" s="207"/>
      <c r="G738" s="207"/>
      <c r="H738" s="207"/>
      <c r="I738" s="207"/>
      <c r="J738" s="207"/>
      <c r="K738" s="207"/>
      <c r="L738" s="207"/>
      <c r="M738" s="207"/>
      <c r="N738" s="207"/>
      <c r="O738" s="207"/>
      <c r="P738" s="207"/>
      <c r="Q738" s="207"/>
      <c r="R738" s="207"/>
      <c r="S738" s="207"/>
      <c r="T738" s="207"/>
      <c r="U738" s="207"/>
      <c r="V738" s="207"/>
      <c r="W738" s="207"/>
      <c r="X738" s="207"/>
      <c r="Y738" s="207"/>
      <c r="Z738" s="207"/>
      <c r="AA738" s="207"/>
      <c r="AB738" s="207"/>
      <c r="AC738" s="207"/>
      <c r="AD738" s="207"/>
      <c r="AE738" s="207"/>
      <c r="AF738" s="207"/>
      <c r="AG738" s="207"/>
      <c r="AH738" s="207"/>
      <c r="AI738" s="207"/>
      <c r="AJ738" s="207"/>
      <c r="AK738" s="207"/>
      <c r="AL738" s="207"/>
      <c r="AM738" s="207"/>
      <c r="AN738" s="207"/>
      <c r="AO738" s="207"/>
      <c r="AP738" s="207"/>
      <c r="AQ738" s="207"/>
      <c r="AR738" s="207"/>
      <c r="AS738" s="207"/>
      <c r="AT738" s="207"/>
      <c r="AU738" s="207"/>
      <c r="AV738" s="207"/>
      <c r="AW738" s="207"/>
      <c r="AX738" s="207"/>
      <c r="AY738" s="207"/>
      <c r="AZ738" s="207"/>
      <c r="BA738" s="207"/>
    </row>
    <row r="739" ht="18.75" hidden="1" customHeight="1">
      <c r="A739" s="207"/>
      <c r="B739" s="207"/>
      <c r="C739" s="207"/>
      <c r="D739" s="207"/>
      <c r="E739" s="207"/>
      <c r="F739" s="207"/>
      <c r="G739" s="207"/>
      <c r="H739" s="207"/>
      <c r="I739" s="207"/>
      <c r="J739" s="207"/>
      <c r="K739" s="207"/>
      <c r="L739" s="207"/>
      <c r="M739" s="207"/>
      <c r="N739" s="207"/>
      <c r="O739" s="207"/>
      <c r="P739" s="207"/>
      <c r="Q739" s="207"/>
      <c r="R739" s="207"/>
      <c r="S739" s="207"/>
      <c r="T739" s="207"/>
      <c r="U739" s="207"/>
      <c r="V739" s="207"/>
      <c r="W739" s="207"/>
      <c r="X739" s="207"/>
      <c r="Y739" s="207"/>
      <c r="Z739" s="207"/>
      <c r="AA739" s="207"/>
      <c r="AB739" s="207"/>
      <c r="AC739" s="207"/>
      <c r="AD739" s="207"/>
      <c r="AE739" s="207"/>
      <c r="AF739" s="207"/>
      <c r="AG739" s="207"/>
      <c r="AH739" s="207"/>
      <c r="AI739" s="207"/>
      <c r="AJ739" s="207"/>
      <c r="AK739" s="207"/>
      <c r="AL739" s="207"/>
      <c r="AM739" s="207"/>
      <c r="AN739" s="207"/>
      <c r="AO739" s="207"/>
      <c r="AP739" s="207"/>
      <c r="AQ739" s="207"/>
      <c r="AR739" s="207"/>
      <c r="AS739" s="207"/>
      <c r="AT739" s="207"/>
      <c r="AU739" s="207"/>
      <c r="AV739" s="207"/>
      <c r="AW739" s="207"/>
      <c r="AX739" s="207"/>
      <c r="AY739" s="207"/>
      <c r="AZ739" s="207"/>
      <c r="BA739" s="207"/>
    </row>
    <row r="740" ht="18.75" hidden="1" customHeight="1">
      <c r="A740" s="207"/>
      <c r="B740" s="207"/>
      <c r="C740" s="207"/>
      <c r="D740" s="207"/>
      <c r="E740" s="207"/>
      <c r="F740" s="207"/>
      <c r="G740" s="207"/>
      <c r="H740" s="207"/>
      <c r="I740" s="207"/>
      <c r="J740" s="207"/>
      <c r="K740" s="207"/>
      <c r="L740" s="207"/>
      <c r="M740" s="207"/>
      <c r="N740" s="207"/>
      <c r="O740" s="207"/>
      <c r="P740" s="207"/>
      <c r="Q740" s="207"/>
      <c r="R740" s="207"/>
      <c r="S740" s="207"/>
      <c r="T740" s="207"/>
      <c r="U740" s="207"/>
      <c r="V740" s="207"/>
      <c r="W740" s="207"/>
      <c r="X740" s="207"/>
      <c r="Y740" s="207"/>
      <c r="Z740" s="207"/>
      <c r="AA740" s="207"/>
      <c r="AB740" s="207"/>
      <c r="AC740" s="207"/>
      <c r="AD740" s="207"/>
      <c r="AE740" s="207"/>
      <c r="AF740" s="207"/>
      <c r="AG740" s="207"/>
      <c r="AH740" s="207"/>
      <c r="AI740" s="207"/>
      <c r="AJ740" s="207"/>
      <c r="AK740" s="207"/>
      <c r="AL740" s="207"/>
      <c r="AM740" s="207"/>
      <c r="AN740" s="207"/>
      <c r="AO740" s="207"/>
      <c r="AP740" s="207"/>
      <c r="AQ740" s="207"/>
      <c r="AR740" s="207"/>
      <c r="AS740" s="207"/>
      <c r="AT740" s="207"/>
      <c r="AU740" s="207"/>
      <c r="AV740" s="207"/>
      <c r="AW740" s="207"/>
      <c r="AX740" s="207"/>
      <c r="AY740" s="207"/>
      <c r="AZ740" s="207"/>
      <c r="BA740" s="207"/>
    </row>
    <row r="741" ht="18.75" hidden="1" customHeight="1">
      <c r="A741" s="207"/>
      <c r="B741" s="207"/>
      <c r="C741" s="207"/>
      <c r="D741" s="207"/>
      <c r="E741" s="207"/>
      <c r="F741" s="207"/>
      <c r="G741" s="207"/>
      <c r="H741" s="207"/>
      <c r="I741" s="207"/>
      <c r="J741" s="207"/>
      <c r="K741" s="207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  <c r="AA741" s="207"/>
      <c r="AB741" s="207"/>
      <c r="AC741" s="207"/>
      <c r="AD741" s="207"/>
      <c r="AE741" s="207"/>
      <c r="AF741" s="207"/>
      <c r="AG741" s="207"/>
      <c r="AH741" s="207"/>
      <c r="AI741" s="207"/>
      <c r="AJ741" s="207"/>
      <c r="AK741" s="207"/>
      <c r="AL741" s="207"/>
      <c r="AM741" s="207"/>
      <c r="AN741" s="207"/>
      <c r="AO741" s="207"/>
      <c r="AP741" s="207"/>
      <c r="AQ741" s="207"/>
      <c r="AR741" s="207"/>
      <c r="AS741" s="207"/>
      <c r="AT741" s="207"/>
      <c r="AU741" s="207"/>
      <c r="AV741" s="207"/>
      <c r="AW741" s="207"/>
      <c r="AX741" s="207"/>
      <c r="AY741" s="207"/>
      <c r="AZ741" s="207"/>
      <c r="BA741" s="207"/>
    </row>
    <row r="742" ht="18.75" hidden="1" customHeight="1">
      <c r="A742" s="207"/>
      <c r="B742" s="207"/>
      <c r="C742" s="207"/>
      <c r="D742" s="207"/>
      <c r="E742" s="207"/>
      <c r="F742" s="207"/>
      <c r="G742" s="207"/>
      <c r="H742" s="207"/>
      <c r="I742" s="207"/>
      <c r="J742" s="207"/>
      <c r="K742" s="207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  <c r="AA742" s="207"/>
      <c r="AB742" s="207"/>
      <c r="AC742" s="207"/>
      <c r="AD742" s="207"/>
      <c r="AE742" s="207"/>
      <c r="AF742" s="207"/>
      <c r="AG742" s="207"/>
      <c r="AH742" s="207"/>
      <c r="AI742" s="207"/>
      <c r="AJ742" s="207"/>
      <c r="AK742" s="207"/>
      <c r="AL742" s="207"/>
      <c r="AM742" s="207"/>
      <c r="AN742" s="207"/>
      <c r="AO742" s="207"/>
      <c r="AP742" s="207"/>
      <c r="AQ742" s="207"/>
      <c r="AR742" s="207"/>
      <c r="AS742" s="207"/>
      <c r="AT742" s="207"/>
      <c r="AU742" s="207"/>
      <c r="AV742" s="207"/>
      <c r="AW742" s="207"/>
      <c r="AX742" s="207"/>
      <c r="AY742" s="207"/>
      <c r="AZ742" s="207"/>
      <c r="BA742" s="207"/>
    </row>
    <row r="743" ht="18.75" hidden="1" customHeight="1">
      <c r="A743" s="207"/>
      <c r="B743" s="207"/>
      <c r="C743" s="207"/>
      <c r="D743" s="207"/>
      <c r="E743" s="207"/>
      <c r="F743" s="207"/>
      <c r="G743" s="207"/>
      <c r="H743" s="207"/>
      <c r="I743" s="207"/>
      <c r="J743" s="207"/>
      <c r="K743" s="207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  <c r="AA743" s="207"/>
      <c r="AB743" s="207"/>
      <c r="AC743" s="207"/>
      <c r="AD743" s="207"/>
      <c r="AE743" s="207"/>
      <c r="AF743" s="207"/>
      <c r="AG743" s="207"/>
      <c r="AH743" s="207"/>
      <c r="AI743" s="207"/>
      <c r="AJ743" s="207"/>
      <c r="AK743" s="207"/>
      <c r="AL743" s="207"/>
      <c r="AM743" s="207"/>
      <c r="AN743" s="207"/>
      <c r="AO743" s="207"/>
      <c r="AP743" s="207"/>
      <c r="AQ743" s="207"/>
      <c r="AR743" s="207"/>
      <c r="AS743" s="207"/>
      <c r="AT743" s="207"/>
      <c r="AU743" s="207"/>
      <c r="AV743" s="207"/>
      <c r="AW743" s="207"/>
      <c r="AX743" s="207"/>
      <c r="AY743" s="207"/>
      <c r="AZ743" s="207"/>
      <c r="BA743" s="207"/>
    </row>
    <row r="744" ht="18.75" hidden="1" customHeight="1">
      <c r="A744" s="207"/>
      <c r="B744" s="207"/>
      <c r="C744" s="207"/>
      <c r="D744" s="207"/>
      <c r="E744" s="207"/>
      <c r="F744" s="207"/>
      <c r="G744" s="207"/>
      <c r="H744" s="207"/>
      <c r="I744" s="207"/>
      <c r="J744" s="207"/>
      <c r="K744" s="207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  <c r="AA744" s="207"/>
      <c r="AB744" s="207"/>
      <c r="AC744" s="207"/>
      <c r="AD744" s="207"/>
      <c r="AE744" s="207"/>
      <c r="AF744" s="207"/>
      <c r="AG744" s="207"/>
      <c r="AH744" s="207"/>
      <c r="AI744" s="207"/>
      <c r="AJ744" s="207"/>
      <c r="AK744" s="207"/>
      <c r="AL744" s="207"/>
      <c r="AM744" s="207"/>
      <c r="AN744" s="207"/>
      <c r="AO744" s="207"/>
      <c r="AP744" s="207"/>
      <c r="AQ744" s="207"/>
      <c r="AR744" s="207"/>
      <c r="AS744" s="207"/>
      <c r="AT744" s="207"/>
      <c r="AU744" s="207"/>
      <c r="AV744" s="207"/>
      <c r="AW744" s="207"/>
      <c r="AX744" s="207"/>
      <c r="AY744" s="207"/>
      <c r="AZ744" s="207"/>
      <c r="BA744" s="207"/>
    </row>
    <row r="745" ht="18.75" hidden="1" customHeight="1">
      <c r="A745" s="207"/>
      <c r="B745" s="207"/>
      <c r="C745" s="207"/>
      <c r="D745" s="207"/>
      <c r="E745" s="207"/>
      <c r="F745" s="207"/>
      <c r="G745" s="207"/>
      <c r="H745" s="207"/>
      <c r="I745" s="207"/>
      <c r="J745" s="207"/>
      <c r="K745" s="207"/>
      <c r="L745" s="207"/>
      <c r="M745" s="207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  <c r="AA745" s="207"/>
      <c r="AB745" s="207"/>
      <c r="AC745" s="207"/>
      <c r="AD745" s="207"/>
      <c r="AE745" s="207"/>
      <c r="AF745" s="207"/>
      <c r="AG745" s="207"/>
      <c r="AH745" s="207"/>
      <c r="AI745" s="207"/>
      <c r="AJ745" s="207"/>
      <c r="AK745" s="207"/>
      <c r="AL745" s="207"/>
      <c r="AM745" s="207"/>
      <c r="AN745" s="207"/>
      <c r="AO745" s="207"/>
      <c r="AP745" s="207"/>
      <c r="AQ745" s="207"/>
      <c r="AR745" s="207"/>
      <c r="AS745" s="207"/>
      <c r="AT745" s="207"/>
      <c r="AU745" s="207"/>
      <c r="AV745" s="207"/>
      <c r="AW745" s="207"/>
      <c r="AX745" s="207"/>
      <c r="AY745" s="207"/>
      <c r="AZ745" s="207"/>
      <c r="BA745" s="207"/>
    </row>
    <row r="746" ht="18.75" hidden="1" customHeight="1">
      <c r="A746" s="207"/>
      <c r="B746" s="207"/>
      <c r="C746" s="207"/>
      <c r="D746" s="207"/>
      <c r="E746" s="207"/>
      <c r="F746" s="207"/>
      <c r="G746" s="207"/>
      <c r="H746" s="207"/>
      <c r="I746" s="207"/>
      <c r="J746" s="207"/>
      <c r="K746" s="207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  <c r="AA746" s="207"/>
      <c r="AB746" s="207"/>
      <c r="AC746" s="207"/>
      <c r="AD746" s="207"/>
      <c r="AE746" s="207"/>
      <c r="AF746" s="207"/>
      <c r="AG746" s="207"/>
      <c r="AH746" s="207"/>
      <c r="AI746" s="207"/>
      <c r="AJ746" s="207"/>
      <c r="AK746" s="207"/>
      <c r="AL746" s="207"/>
      <c r="AM746" s="207"/>
      <c r="AN746" s="207"/>
      <c r="AO746" s="207"/>
      <c r="AP746" s="207"/>
      <c r="AQ746" s="207"/>
      <c r="AR746" s="207"/>
      <c r="AS746" s="207"/>
      <c r="AT746" s="207"/>
      <c r="AU746" s="207"/>
      <c r="AV746" s="207"/>
      <c r="AW746" s="207"/>
      <c r="AX746" s="207"/>
      <c r="AY746" s="207"/>
      <c r="AZ746" s="207"/>
      <c r="BA746" s="207"/>
    </row>
    <row r="747" ht="18.75" hidden="1" customHeight="1">
      <c r="A747" s="207"/>
      <c r="B747" s="207"/>
      <c r="C747" s="207"/>
      <c r="D747" s="207"/>
      <c r="E747" s="207"/>
      <c r="F747" s="207"/>
      <c r="G747" s="207"/>
      <c r="H747" s="207"/>
      <c r="I747" s="207"/>
      <c r="J747" s="207"/>
      <c r="K747" s="207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  <c r="AA747" s="207"/>
      <c r="AB747" s="207"/>
      <c r="AC747" s="207"/>
      <c r="AD747" s="207"/>
      <c r="AE747" s="207"/>
      <c r="AF747" s="207"/>
      <c r="AG747" s="207"/>
      <c r="AH747" s="207"/>
      <c r="AI747" s="207"/>
      <c r="AJ747" s="207"/>
      <c r="AK747" s="207"/>
      <c r="AL747" s="207"/>
      <c r="AM747" s="207"/>
      <c r="AN747" s="207"/>
      <c r="AO747" s="207"/>
      <c r="AP747" s="207"/>
      <c r="AQ747" s="207"/>
      <c r="AR747" s="207"/>
      <c r="AS747" s="207"/>
      <c r="AT747" s="207"/>
      <c r="AU747" s="207"/>
      <c r="AV747" s="207"/>
      <c r="AW747" s="207"/>
      <c r="AX747" s="207"/>
      <c r="AY747" s="207"/>
      <c r="AZ747" s="207"/>
      <c r="BA747" s="207"/>
    </row>
    <row r="748" ht="18.75" hidden="1" customHeight="1">
      <c r="A748" s="207"/>
      <c r="B748" s="207"/>
      <c r="C748" s="207"/>
      <c r="D748" s="207"/>
      <c r="E748" s="207"/>
      <c r="F748" s="207"/>
      <c r="G748" s="207"/>
      <c r="H748" s="207"/>
      <c r="I748" s="207"/>
      <c r="J748" s="207"/>
      <c r="K748" s="207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  <c r="AA748" s="207"/>
      <c r="AB748" s="207"/>
      <c r="AC748" s="207"/>
      <c r="AD748" s="207"/>
      <c r="AE748" s="207"/>
      <c r="AF748" s="207"/>
      <c r="AG748" s="207"/>
      <c r="AH748" s="207"/>
      <c r="AI748" s="207"/>
      <c r="AJ748" s="207"/>
      <c r="AK748" s="207"/>
      <c r="AL748" s="207"/>
      <c r="AM748" s="207"/>
      <c r="AN748" s="207"/>
      <c r="AO748" s="207"/>
      <c r="AP748" s="207"/>
      <c r="AQ748" s="207"/>
      <c r="AR748" s="207"/>
      <c r="AS748" s="207"/>
      <c r="AT748" s="207"/>
      <c r="AU748" s="207"/>
      <c r="AV748" s="207"/>
      <c r="AW748" s="207"/>
      <c r="AX748" s="207"/>
      <c r="AY748" s="207"/>
      <c r="AZ748" s="207"/>
      <c r="BA748" s="207"/>
    </row>
    <row r="749" ht="18.75" hidden="1" customHeight="1">
      <c r="A749" s="207"/>
      <c r="B749" s="207"/>
      <c r="C749" s="207"/>
      <c r="D749" s="207"/>
      <c r="E749" s="207"/>
      <c r="F749" s="207"/>
      <c r="G749" s="207"/>
      <c r="H749" s="207"/>
      <c r="I749" s="207"/>
      <c r="J749" s="207"/>
      <c r="K749" s="207"/>
      <c r="L749" s="207"/>
      <c r="M749" s="207"/>
      <c r="N749" s="207"/>
      <c r="O749" s="207"/>
      <c r="P749" s="207"/>
      <c r="Q749" s="207"/>
      <c r="R749" s="207"/>
      <c r="S749" s="207"/>
      <c r="T749" s="207"/>
      <c r="U749" s="207"/>
      <c r="V749" s="207"/>
      <c r="W749" s="207"/>
      <c r="X749" s="207"/>
      <c r="Y749" s="207"/>
      <c r="Z749" s="207"/>
      <c r="AA749" s="207"/>
      <c r="AB749" s="207"/>
      <c r="AC749" s="207"/>
      <c r="AD749" s="207"/>
      <c r="AE749" s="207"/>
      <c r="AF749" s="207"/>
      <c r="AG749" s="207"/>
      <c r="AH749" s="207"/>
      <c r="AI749" s="207"/>
      <c r="AJ749" s="207"/>
      <c r="AK749" s="207"/>
      <c r="AL749" s="207"/>
      <c r="AM749" s="207"/>
      <c r="AN749" s="207"/>
      <c r="AO749" s="207"/>
      <c r="AP749" s="207"/>
      <c r="AQ749" s="207"/>
      <c r="AR749" s="207"/>
      <c r="AS749" s="207"/>
      <c r="AT749" s="207"/>
      <c r="AU749" s="207"/>
      <c r="AV749" s="207"/>
      <c r="AW749" s="207"/>
      <c r="AX749" s="207"/>
      <c r="AY749" s="207"/>
      <c r="AZ749" s="207"/>
      <c r="BA749" s="207"/>
    </row>
    <row r="750" ht="18.75" hidden="1" customHeight="1">
      <c r="A750" s="207"/>
      <c r="B750" s="207"/>
      <c r="C750" s="207"/>
      <c r="D750" s="207"/>
      <c r="E750" s="207"/>
      <c r="F750" s="207"/>
      <c r="G750" s="207"/>
      <c r="H750" s="207"/>
      <c r="I750" s="207"/>
      <c r="J750" s="207"/>
      <c r="K750" s="207"/>
      <c r="L750" s="207"/>
      <c r="M750" s="207"/>
      <c r="N750" s="207"/>
      <c r="O750" s="207"/>
      <c r="P750" s="207"/>
      <c r="Q750" s="207"/>
      <c r="R750" s="207"/>
      <c r="S750" s="207"/>
      <c r="T750" s="207"/>
      <c r="U750" s="207"/>
      <c r="V750" s="207"/>
      <c r="W750" s="207"/>
      <c r="X750" s="207"/>
      <c r="Y750" s="207"/>
      <c r="Z750" s="207"/>
      <c r="AA750" s="207"/>
      <c r="AB750" s="207"/>
      <c r="AC750" s="207"/>
      <c r="AD750" s="207"/>
      <c r="AE750" s="207"/>
      <c r="AF750" s="207"/>
      <c r="AG750" s="207"/>
      <c r="AH750" s="207"/>
      <c r="AI750" s="207"/>
      <c r="AJ750" s="207"/>
      <c r="AK750" s="207"/>
      <c r="AL750" s="207"/>
      <c r="AM750" s="207"/>
      <c r="AN750" s="207"/>
      <c r="AO750" s="207"/>
      <c r="AP750" s="207"/>
      <c r="AQ750" s="207"/>
      <c r="AR750" s="207"/>
      <c r="AS750" s="207"/>
      <c r="AT750" s="207"/>
      <c r="AU750" s="207"/>
      <c r="AV750" s="207"/>
      <c r="AW750" s="207"/>
      <c r="AX750" s="207"/>
      <c r="AY750" s="207"/>
      <c r="AZ750" s="207"/>
      <c r="BA750" s="207"/>
    </row>
    <row r="751" ht="18.75" hidden="1" customHeight="1">
      <c r="A751" s="207"/>
      <c r="B751" s="207"/>
      <c r="C751" s="207"/>
      <c r="D751" s="207"/>
      <c r="E751" s="207"/>
      <c r="F751" s="207"/>
      <c r="G751" s="207"/>
      <c r="H751" s="207"/>
      <c r="I751" s="207"/>
      <c r="J751" s="207"/>
      <c r="K751" s="207"/>
      <c r="L751" s="207"/>
      <c r="M751" s="207"/>
      <c r="N751" s="207"/>
      <c r="O751" s="207"/>
      <c r="P751" s="207"/>
      <c r="Q751" s="207"/>
      <c r="R751" s="207"/>
      <c r="S751" s="207"/>
      <c r="T751" s="207"/>
      <c r="U751" s="207"/>
      <c r="V751" s="207"/>
      <c r="W751" s="207"/>
      <c r="X751" s="207"/>
      <c r="Y751" s="207"/>
      <c r="Z751" s="207"/>
      <c r="AA751" s="207"/>
      <c r="AB751" s="207"/>
      <c r="AC751" s="207"/>
      <c r="AD751" s="207"/>
      <c r="AE751" s="207"/>
      <c r="AF751" s="207"/>
      <c r="AG751" s="207"/>
      <c r="AH751" s="207"/>
      <c r="AI751" s="207"/>
      <c r="AJ751" s="207"/>
      <c r="AK751" s="207"/>
      <c r="AL751" s="207"/>
      <c r="AM751" s="207"/>
      <c r="AN751" s="207"/>
      <c r="AO751" s="207"/>
      <c r="AP751" s="207"/>
      <c r="AQ751" s="207"/>
      <c r="AR751" s="207"/>
      <c r="AS751" s="207"/>
      <c r="AT751" s="207"/>
      <c r="AU751" s="207"/>
      <c r="AV751" s="207"/>
      <c r="AW751" s="207"/>
      <c r="AX751" s="207"/>
      <c r="AY751" s="207"/>
      <c r="AZ751" s="207"/>
      <c r="BA751" s="207"/>
    </row>
    <row r="752" ht="18.75" hidden="1" customHeight="1">
      <c r="A752" s="207"/>
      <c r="B752" s="207"/>
      <c r="C752" s="207"/>
      <c r="D752" s="207"/>
      <c r="E752" s="207"/>
      <c r="F752" s="207"/>
      <c r="G752" s="207"/>
      <c r="H752" s="207"/>
      <c r="I752" s="207"/>
      <c r="J752" s="207"/>
      <c r="K752" s="207"/>
      <c r="L752" s="207"/>
      <c r="M752" s="207"/>
      <c r="N752" s="207"/>
      <c r="O752" s="207"/>
      <c r="P752" s="207"/>
      <c r="Q752" s="207"/>
      <c r="R752" s="207"/>
      <c r="S752" s="207"/>
      <c r="T752" s="207"/>
      <c r="U752" s="207"/>
      <c r="V752" s="207"/>
      <c r="W752" s="207"/>
      <c r="X752" s="207"/>
      <c r="Y752" s="207"/>
      <c r="Z752" s="207"/>
      <c r="AA752" s="207"/>
      <c r="AB752" s="207"/>
      <c r="AC752" s="207"/>
      <c r="AD752" s="207"/>
      <c r="AE752" s="207"/>
      <c r="AF752" s="207"/>
      <c r="AG752" s="207"/>
      <c r="AH752" s="207"/>
      <c r="AI752" s="207"/>
      <c r="AJ752" s="207"/>
      <c r="AK752" s="207"/>
      <c r="AL752" s="207"/>
      <c r="AM752" s="207"/>
      <c r="AN752" s="207"/>
      <c r="AO752" s="207"/>
      <c r="AP752" s="207"/>
      <c r="AQ752" s="207"/>
      <c r="AR752" s="207"/>
      <c r="AS752" s="207"/>
      <c r="AT752" s="207"/>
      <c r="AU752" s="207"/>
      <c r="AV752" s="207"/>
      <c r="AW752" s="207"/>
      <c r="AX752" s="207"/>
      <c r="AY752" s="207"/>
      <c r="AZ752" s="207"/>
      <c r="BA752" s="207"/>
    </row>
    <row r="753" ht="18.75" hidden="1" customHeight="1">
      <c r="A753" s="207"/>
      <c r="B753" s="207"/>
      <c r="C753" s="207"/>
      <c r="D753" s="207"/>
      <c r="E753" s="207"/>
      <c r="F753" s="207"/>
      <c r="G753" s="207"/>
      <c r="H753" s="207"/>
      <c r="I753" s="207"/>
      <c r="J753" s="207"/>
      <c r="K753" s="207"/>
      <c r="L753" s="207"/>
      <c r="M753" s="207"/>
      <c r="N753" s="207"/>
      <c r="O753" s="207"/>
      <c r="P753" s="207"/>
      <c r="Q753" s="207"/>
      <c r="R753" s="207"/>
      <c r="S753" s="207"/>
      <c r="T753" s="207"/>
      <c r="U753" s="207"/>
      <c r="V753" s="207"/>
      <c r="W753" s="207"/>
      <c r="X753" s="207"/>
      <c r="Y753" s="207"/>
      <c r="Z753" s="207"/>
      <c r="AA753" s="207"/>
      <c r="AB753" s="207"/>
      <c r="AC753" s="207"/>
      <c r="AD753" s="207"/>
      <c r="AE753" s="207"/>
      <c r="AF753" s="207"/>
      <c r="AG753" s="207"/>
      <c r="AH753" s="207"/>
      <c r="AI753" s="207"/>
      <c r="AJ753" s="207"/>
      <c r="AK753" s="207"/>
      <c r="AL753" s="207"/>
      <c r="AM753" s="207"/>
      <c r="AN753" s="207"/>
      <c r="AO753" s="207"/>
      <c r="AP753" s="207"/>
      <c r="AQ753" s="207"/>
      <c r="AR753" s="207"/>
      <c r="AS753" s="207"/>
      <c r="AT753" s="207"/>
      <c r="AU753" s="207"/>
      <c r="AV753" s="207"/>
      <c r="AW753" s="207"/>
      <c r="AX753" s="207"/>
      <c r="AY753" s="207"/>
      <c r="AZ753" s="207"/>
      <c r="BA753" s="207"/>
    </row>
    <row r="754" ht="18.75" hidden="1" customHeight="1">
      <c r="A754" s="207"/>
      <c r="B754" s="207"/>
      <c r="C754" s="207"/>
      <c r="D754" s="207"/>
      <c r="E754" s="207"/>
      <c r="F754" s="207"/>
      <c r="G754" s="207"/>
      <c r="H754" s="207"/>
      <c r="I754" s="207"/>
      <c r="J754" s="207"/>
      <c r="K754" s="207"/>
      <c r="L754" s="207"/>
      <c r="M754" s="207"/>
      <c r="N754" s="207"/>
      <c r="O754" s="207"/>
      <c r="P754" s="207"/>
      <c r="Q754" s="207"/>
      <c r="R754" s="207"/>
      <c r="S754" s="207"/>
      <c r="T754" s="207"/>
      <c r="U754" s="207"/>
      <c r="V754" s="207"/>
      <c r="W754" s="207"/>
      <c r="X754" s="207"/>
      <c r="Y754" s="207"/>
      <c r="Z754" s="207"/>
      <c r="AA754" s="207"/>
      <c r="AB754" s="207"/>
      <c r="AC754" s="207"/>
      <c r="AD754" s="207"/>
      <c r="AE754" s="207"/>
      <c r="AF754" s="207"/>
      <c r="AG754" s="207"/>
      <c r="AH754" s="207"/>
      <c r="AI754" s="207"/>
      <c r="AJ754" s="207"/>
      <c r="AK754" s="207"/>
      <c r="AL754" s="207"/>
      <c r="AM754" s="207"/>
      <c r="AN754" s="207"/>
      <c r="AO754" s="207"/>
      <c r="AP754" s="207"/>
      <c r="AQ754" s="207"/>
      <c r="AR754" s="207"/>
      <c r="AS754" s="207"/>
      <c r="AT754" s="207"/>
      <c r="AU754" s="207"/>
      <c r="AV754" s="207"/>
      <c r="AW754" s="207"/>
      <c r="AX754" s="207"/>
      <c r="AY754" s="207"/>
      <c r="AZ754" s="207"/>
      <c r="BA754" s="207"/>
    </row>
    <row r="755" ht="18.75" hidden="1" customHeight="1">
      <c r="A755" s="207"/>
      <c r="B755" s="207"/>
      <c r="C755" s="207"/>
      <c r="D755" s="207"/>
      <c r="E755" s="207"/>
      <c r="F755" s="207"/>
      <c r="G755" s="207"/>
      <c r="H755" s="207"/>
      <c r="I755" s="207"/>
      <c r="J755" s="207"/>
      <c r="K755" s="207"/>
      <c r="L755" s="207"/>
      <c r="M755" s="207"/>
      <c r="N755" s="207"/>
      <c r="O755" s="207"/>
      <c r="P755" s="207"/>
      <c r="Q755" s="207"/>
      <c r="R755" s="207"/>
      <c r="S755" s="207"/>
      <c r="T755" s="207"/>
      <c r="U755" s="207"/>
      <c r="V755" s="207"/>
      <c r="W755" s="207"/>
      <c r="X755" s="207"/>
      <c r="Y755" s="207"/>
      <c r="Z755" s="207"/>
      <c r="AA755" s="207"/>
      <c r="AB755" s="207"/>
      <c r="AC755" s="207"/>
      <c r="AD755" s="207"/>
      <c r="AE755" s="207"/>
      <c r="AF755" s="207"/>
      <c r="AG755" s="207"/>
      <c r="AH755" s="207"/>
      <c r="AI755" s="207"/>
      <c r="AJ755" s="207"/>
      <c r="AK755" s="207"/>
      <c r="AL755" s="207"/>
      <c r="AM755" s="207"/>
      <c r="AN755" s="207"/>
      <c r="AO755" s="207"/>
      <c r="AP755" s="207"/>
      <c r="AQ755" s="207"/>
      <c r="AR755" s="207"/>
      <c r="AS755" s="207"/>
      <c r="AT755" s="207"/>
      <c r="AU755" s="207"/>
      <c r="AV755" s="207"/>
      <c r="AW755" s="207"/>
      <c r="AX755" s="207"/>
      <c r="AY755" s="207"/>
      <c r="AZ755" s="207"/>
      <c r="BA755" s="207"/>
    </row>
    <row r="756" ht="18.75" hidden="1" customHeight="1">
      <c r="A756" s="207"/>
      <c r="B756" s="207"/>
      <c r="C756" s="207"/>
      <c r="D756" s="207"/>
      <c r="E756" s="207"/>
      <c r="F756" s="207"/>
      <c r="G756" s="207"/>
      <c r="H756" s="207"/>
      <c r="I756" s="207"/>
      <c r="J756" s="207"/>
      <c r="K756" s="207"/>
      <c r="L756" s="207"/>
      <c r="M756" s="207"/>
      <c r="N756" s="207"/>
      <c r="O756" s="207"/>
      <c r="P756" s="207"/>
      <c r="Q756" s="207"/>
      <c r="R756" s="207"/>
      <c r="S756" s="207"/>
      <c r="T756" s="207"/>
      <c r="U756" s="207"/>
      <c r="V756" s="207"/>
      <c r="W756" s="207"/>
      <c r="X756" s="207"/>
      <c r="Y756" s="207"/>
      <c r="Z756" s="207"/>
      <c r="AA756" s="207"/>
      <c r="AB756" s="207"/>
      <c r="AC756" s="207"/>
      <c r="AD756" s="207"/>
      <c r="AE756" s="207"/>
      <c r="AF756" s="207"/>
      <c r="AG756" s="207"/>
      <c r="AH756" s="207"/>
      <c r="AI756" s="207"/>
      <c r="AJ756" s="207"/>
      <c r="AK756" s="207"/>
      <c r="AL756" s="207"/>
      <c r="AM756" s="207"/>
      <c r="AN756" s="207"/>
      <c r="AO756" s="207"/>
      <c r="AP756" s="207"/>
      <c r="AQ756" s="207"/>
      <c r="AR756" s="207"/>
      <c r="AS756" s="207"/>
      <c r="AT756" s="207"/>
      <c r="AU756" s="207"/>
      <c r="AV756" s="207"/>
      <c r="AW756" s="207"/>
      <c r="AX756" s="207"/>
      <c r="AY756" s="207"/>
      <c r="AZ756" s="207"/>
      <c r="BA756" s="207"/>
    </row>
    <row r="757" ht="18.75" hidden="1" customHeight="1">
      <c r="A757" s="207"/>
      <c r="B757" s="207"/>
      <c r="C757" s="207"/>
      <c r="D757" s="207"/>
      <c r="E757" s="207"/>
      <c r="F757" s="207"/>
      <c r="G757" s="207"/>
      <c r="H757" s="207"/>
      <c r="I757" s="207"/>
      <c r="J757" s="207"/>
      <c r="K757" s="207"/>
      <c r="L757" s="207"/>
      <c r="M757" s="207"/>
      <c r="N757" s="207"/>
      <c r="O757" s="207"/>
      <c r="P757" s="207"/>
      <c r="Q757" s="207"/>
      <c r="R757" s="207"/>
      <c r="S757" s="207"/>
      <c r="T757" s="207"/>
      <c r="U757" s="207"/>
      <c r="V757" s="207"/>
      <c r="W757" s="207"/>
      <c r="X757" s="207"/>
      <c r="Y757" s="207"/>
      <c r="Z757" s="207"/>
      <c r="AA757" s="207"/>
      <c r="AB757" s="207"/>
      <c r="AC757" s="207"/>
      <c r="AD757" s="207"/>
      <c r="AE757" s="207"/>
      <c r="AF757" s="207"/>
      <c r="AG757" s="207"/>
      <c r="AH757" s="207"/>
      <c r="AI757" s="207"/>
      <c r="AJ757" s="207"/>
      <c r="AK757" s="207"/>
      <c r="AL757" s="207"/>
      <c r="AM757" s="207"/>
      <c r="AN757" s="207"/>
      <c r="AO757" s="207"/>
      <c r="AP757" s="207"/>
      <c r="AQ757" s="207"/>
      <c r="AR757" s="207"/>
      <c r="AS757" s="207"/>
      <c r="AT757" s="207"/>
      <c r="AU757" s="207"/>
      <c r="AV757" s="207"/>
      <c r="AW757" s="207"/>
      <c r="AX757" s="207"/>
      <c r="AY757" s="207"/>
      <c r="AZ757" s="207"/>
      <c r="BA757" s="207"/>
    </row>
    <row r="758" ht="18.75" hidden="1" customHeight="1">
      <c r="A758" s="207"/>
      <c r="B758" s="207"/>
      <c r="C758" s="207"/>
      <c r="D758" s="207"/>
      <c r="E758" s="207"/>
      <c r="F758" s="207"/>
      <c r="G758" s="207"/>
      <c r="H758" s="207"/>
      <c r="I758" s="207"/>
      <c r="J758" s="207"/>
      <c r="K758" s="207"/>
      <c r="L758" s="207"/>
      <c r="M758" s="207"/>
      <c r="N758" s="207"/>
      <c r="O758" s="207"/>
      <c r="P758" s="207"/>
      <c r="Q758" s="207"/>
      <c r="R758" s="207"/>
      <c r="S758" s="207"/>
      <c r="T758" s="207"/>
      <c r="U758" s="207"/>
      <c r="V758" s="207"/>
      <c r="W758" s="207"/>
      <c r="X758" s="207"/>
      <c r="Y758" s="207"/>
      <c r="Z758" s="207"/>
      <c r="AA758" s="207"/>
      <c r="AB758" s="207"/>
      <c r="AC758" s="207"/>
      <c r="AD758" s="207"/>
      <c r="AE758" s="207"/>
      <c r="AF758" s="207"/>
      <c r="AG758" s="207"/>
      <c r="AH758" s="207"/>
      <c r="AI758" s="207"/>
      <c r="AJ758" s="207"/>
      <c r="AK758" s="207"/>
      <c r="AL758" s="207"/>
      <c r="AM758" s="207"/>
      <c r="AN758" s="207"/>
      <c r="AO758" s="207"/>
      <c r="AP758" s="207"/>
      <c r="AQ758" s="207"/>
      <c r="AR758" s="207"/>
      <c r="AS758" s="207"/>
      <c r="AT758" s="207"/>
      <c r="AU758" s="207"/>
      <c r="AV758" s="207"/>
      <c r="AW758" s="207"/>
      <c r="AX758" s="207"/>
      <c r="AY758" s="207"/>
      <c r="AZ758" s="207"/>
      <c r="BA758" s="207"/>
    </row>
    <row r="759" ht="18.75" hidden="1" customHeight="1">
      <c r="A759" s="207"/>
      <c r="B759" s="207"/>
      <c r="C759" s="207"/>
      <c r="D759" s="207"/>
      <c r="E759" s="207"/>
      <c r="F759" s="207"/>
      <c r="G759" s="207"/>
      <c r="H759" s="207"/>
      <c r="I759" s="207"/>
      <c r="J759" s="207"/>
      <c r="K759" s="207"/>
      <c r="L759" s="207"/>
      <c r="M759" s="207"/>
      <c r="N759" s="207"/>
      <c r="O759" s="207"/>
      <c r="P759" s="207"/>
      <c r="Q759" s="207"/>
      <c r="R759" s="207"/>
      <c r="S759" s="207"/>
      <c r="T759" s="207"/>
      <c r="U759" s="207"/>
      <c r="V759" s="207"/>
      <c r="W759" s="207"/>
      <c r="X759" s="207"/>
      <c r="Y759" s="207"/>
      <c r="Z759" s="207"/>
      <c r="AA759" s="207"/>
      <c r="AB759" s="207"/>
      <c r="AC759" s="207"/>
      <c r="AD759" s="207"/>
      <c r="AE759" s="207"/>
      <c r="AF759" s="207"/>
      <c r="AG759" s="207"/>
      <c r="AH759" s="207"/>
      <c r="AI759" s="207"/>
      <c r="AJ759" s="207"/>
      <c r="AK759" s="207"/>
      <c r="AL759" s="207"/>
      <c r="AM759" s="207"/>
      <c r="AN759" s="207"/>
      <c r="AO759" s="207"/>
      <c r="AP759" s="207"/>
      <c r="AQ759" s="207"/>
      <c r="AR759" s="207"/>
      <c r="AS759" s="207"/>
      <c r="AT759" s="207"/>
      <c r="AU759" s="207"/>
      <c r="AV759" s="207"/>
      <c r="AW759" s="207"/>
      <c r="AX759" s="207"/>
      <c r="AY759" s="207"/>
      <c r="AZ759" s="207"/>
      <c r="BA759" s="207"/>
    </row>
    <row r="760" ht="18.75" hidden="1" customHeight="1">
      <c r="A760" s="207"/>
      <c r="B760" s="207"/>
      <c r="C760" s="207"/>
      <c r="D760" s="207"/>
      <c r="E760" s="207"/>
      <c r="F760" s="207"/>
      <c r="G760" s="207"/>
      <c r="H760" s="207"/>
      <c r="I760" s="207"/>
      <c r="J760" s="207"/>
      <c r="K760" s="207"/>
      <c r="L760" s="207"/>
      <c r="M760" s="207"/>
      <c r="N760" s="207"/>
      <c r="O760" s="207"/>
      <c r="P760" s="207"/>
      <c r="Q760" s="207"/>
      <c r="R760" s="207"/>
      <c r="S760" s="207"/>
      <c r="T760" s="207"/>
      <c r="U760" s="207"/>
      <c r="V760" s="207"/>
      <c r="W760" s="207"/>
      <c r="X760" s="207"/>
      <c r="Y760" s="207"/>
      <c r="Z760" s="207"/>
      <c r="AA760" s="207"/>
      <c r="AB760" s="207"/>
      <c r="AC760" s="207"/>
      <c r="AD760" s="207"/>
      <c r="AE760" s="207"/>
      <c r="AF760" s="207"/>
      <c r="AG760" s="207"/>
      <c r="AH760" s="207"/>
      <c r="AI760" s="207"/>
      <c r="AJ760" s="207"/>
      <c r="AK760" s="207"/>
      <c r="AL760" s="207"/>
      <c r="AM760" s="207"/>
      <c r="AN760" s="207"/>
      <c r="AO760" s="207"/>
      <c r="AP760" s="207"/>
      <c r="AQ760" s="207"/>
      <c r="AR760" s="207"/>
      <c r="AS760" s="207"/>
      <c r="AT760" s="207"/>
      <c r="AU760" s="207"/>
      <c r="AV760" s="207"/>
      <c r="AW760" s="207"/>
      <c r="AX760" s="207"/>
      <c r="AY760" s="207"/>
      <c r="AZ760" s="207"/>
      <c r="BA760" s="207"/>
    </row>
    <row r="761" ht="18.75" hidden="1" customHeight="1">
      <c r="A761" s="207"/>
      <c r="B761" s="207"/>
      <c r="C761" s="207"/>
      <c r="D761" s="207"/>
      <c r="E761" s="207"/>
      <c r="F761" s="207"/>
      <c r="G761" s="207"/>
      <c r="H761" s="207"/>
      <c r="I761" s="207"/>
      <c r="J761" s="207"/>
      <c r="K761" s="207"/>
      <c r="L761" s="207"/>
      <c r="M761" s="207"/>
      <c r="N761" s="207"/>
      <c r="O761" s="207"/>
      <c r="P761" s="207"/>
      <c r="Q761" s="207"/>
      <c r="R761" s="207"/>
      <c r="S761" s="207"/>
      <c r="T761" s="207"/>
      <c r="U761" s="207"/>
      <c r="V761" s="207"/>
      <c r="W761" s="207"/>
      <c r="X761" s="207"/>
      <c r="Y761" s="207"/>
      <c r="Z761" s="207"/>
      <c r="AA761" s="207"/>
      <c r="AB761" s="207"/>
      <c r="AC761" s="207"/>
      <c r="AD761" s="207"/>
      <c r="AE761" s="207"/>
      <c r="AF761" s="207"/>
      <c r="AG761" s="207"/>
      <c r="AH761" s="207"/>
      <c r="AI761" s="207"/>
      <c r="AJ761" s="207"/>
      <c r="AK761" s="207"/>
      <c r="AL761" s="207"/>
      <c r="AM761" s="207"/>
      <c r="AN761" s="207"/>
      <c r="AO761" s="207"/>
      <c r="AP761" s="207"/>
      <c r="AQ761" s="207"/>
      <c r="AR761" s="207"/>
      <c r="AS761" s="207"/>
      <c r="AT761" s="207"/>
      <c r="AU761" s="207"/>
      <c r="AV761" s="207"/>
      <c r="AW761" s="207"/>
      <c r="AX761" s="207"/>
      <c r="AY761" s="207"/>
      <c r="AZ761" s="207"/>
      <c r="BA761" s="207"/>
    </row>
    <row r="762" ht="18.75" hidden="1" customHeight="1">
      <c r="A762" s="207"/>
      <c r="B762" s="207"/>
      <c r="C762" s="207"/>
      <c r="D762" s="207"/>
      <c r="E762" s="207"/>
      <c r="F762" s="207"/>
      <c r="G762" s="207"/>
      <c r="H762" s="207"/>
      <c r="I762" s="207"/>
      <c r="J762" s="207"/>
      <c r="K762" s="207"/>
      <c r="L762" s="207"/>
      <c r="M762" s="207"/>
      <c r="N762" s="207"/>
      <c r="O762" s="207"/>
      <c r="P762" s="207"/>
      <c r="Q762" s="207"/>
      <c r="R762" s="207"/>
      <c r="S762" s="207"/>
      <c r="T762" s="207"/>
      <c r="U762" s="207"/>
      <c r="V762" s="207"/>
      <c r="W762" s="207"/>
      <c r="X762" s="207"/>
      <c r="Y762" s="207"/>
      <c r="Z762" s="207"/>
      <c r="AA762" s="207"/>
      <c r="AB762" s="207"/>
      <c r="AC762" s="207"/>
      <c r="AD762" s="207"/>
      <c r="AE762" s="207"/>
      <c r="AF762" s="207"/>
      <c r="AG762" s="207"/>
      <c r="AH762" s="207"/>
      <c r="AI762" s="207"/>
      <c r="AJ762" s="207"/>
      <c r="AK762" s="207"/>
      <c r="AL762" s="207"/>
      <c r="AM762" s="207"/>
      <c r="AN762" s="207"/>
      <c r="AO762" s="207"/>
      <c r="AP762" s="207"/>
      <c r="AQ762" s="207"/>
      <c r="AR762" s="207"/>
      <c r="AS762" s="207"/>
      <c r="AT762" s="207"/>
      <c r="AU762" s="207"/>
      <c r="AV762" s="207"/>
      <c r="AW762" s="207"/>
      <c r="AX762" s="207"/>
      <c r="AY762" s="207"/>
      <c r="AZ762" s="207"/>
      <c r="BA762" s="207"/>
    </row>
    <row r="763" ht="18.75" hidden="1" customHeight="1">
      <c r="A763" s="207"/>
      <c r="B763" s="207"/>
      <c r="C763" s="207"/>
      <c r="D763" s="207"/>
      <c r="E763" s="207"/>
      <c r="F763" s="207"/>
      <c r="G763" s="207"/>
      <c r="H763" s="207"/>
      <c r="I763" s="207"/>
      <c r="J763" s="207"/>
      <c r="K763" s="207"/>
      <c r="L763" s="207"/>
      <c r="M763" s="207"/>
      <c r="N763" s="207"/>
      <c r="O763" s="207"/>
      <c r="P763" s="207"/>
      <c r="Q763" s="207"/>
      <c r="R763" s="207"/>
      <c r="S763" s="207"/>
      <c r="T763" s="207"/>
      <c r="U763" s="207"/>
      <c r="V763" s="207"/>
      <c r="W763" s="207"/>
      <c r="X763" s="207"/>
      <c r="Y763" s="207"/>
      <c r="Z763" s="207"/>
      <c r="AA763" s="207"/>
      <c r="AB763" s="207"/>
      <c r="AC763" s="207"/>
      <c r="AD763" s="207"/>
      <c r="AE763" s="207"/>
      <c r="AF763" s="207"/>
      <c r="AG763" s="207"/>
      <c r="AH763" s="207"/>
      <c r="AI763" s="207"/>
      <c r="AJ763" s="207"/>
      <c r="AK763" s="207"/>
      <c r="AL763" s="207"/>
      <c r="AM763" s="207"/>
      <c r="AN763" s="207"/>
      <c r="AO763" s="207"/>
      <c r="AP763" s="207"/>
      <c r="AQ763" s="207"/>
      <c r="AR763" s="207"/>
      <c r="AS763" s="207"/>
      <c r="AT763" s="207"/>
      <c r="AU763" s="207"/>
      <c r="AV763" s="207"/>
      <c r="AW763" s="207"/>
      <c r="AX763" s="207"/>
      <c r="AY763" s="207"/>
      <c r="AZ763" s="207"/>
      <c r="BA763" s="207"/>
    </row>
    <row r="764" ht="18.75" hidden="1" customHeight="1">
      <c r="A764" s="207"/>
      <c r="B764" s="207"/>
      <c r="C764" s="207"/>
      <c r="D764" s="207"/>
      <c r="E764" s="207"/>
      <c r="F764" s="207"/>
      <c r="G764" s="207"/>
      <c r="H764" s="207"/>
      <c r="I764" s="207"/>
      <c r="J764" s="207"/>
      <c r="K764" s="207"/>
      <c r="L764" s="207"/>
      <c r="M764" s="207"/>
      <c r="N764" s="207"/>
      <c r="O764" s="207"/>
      <c r="P764" s="207"/>
      <c r="Q764" s="207"/>
      <c r="R764" s="207"/>
      <c r="S764" s="207"/>
      <c r="T764" s="207"/>
      <c r="U764" s="207"/>
      <c r="V764" s="207"/>
      <c r="W764" s="207"/>
      <c r="X764" s="207"/>
      <c r="Y764" s="207"/>
      <c r="Z764" s="207"/>
      <c r="AA764" s="207"/>
      <c r="AB764" s="207"/>
      <c r="AC764" s="207"/>
      <c r="AD764" s="207"/>
      <c r="AE764" s="207"/>
      <c r="AF764" s="207"/>
      <c r="AG764" s="207"/>
      <c r="AH764" s="207"/>
      <c r="AI764" s="207"/>
      <c r="AJ764" s="207"/>
      <c r="AK764" s="207"/>
      <c r="AL764" s="207"/>
      <c r="AM764" s="207"/>
      <c r="AN764" s="207"/>
      <c r="AO764" s="207"/>
      <c r="AP764" s="207"/>
      <c r="AQ764" s="207"/>
      <c r="AR764" s="207"/>
      <c r="AS764" s="207"/>
      <c r="AT764" s="207"/>
      <c r="AU764" s="207"/>
      <c r="AV764" s="207"/>
      <c r="AW764" s="207"/>
      <c r="AX764" s="207"/>
      <c r="AY764" s="207"/>
      <c r="AZ764" s="207"/>
      <c r="BA764" s="207"/>
    </row>
    <row r="765" ht="18.75" hidden="1" customHeight="1">
      <c r="A765" s="207"/>
      <c r="B765" s="207"/>
      <c r="C765" s="207"/>
      <c r="D765" s="207"/>
      <c r="E765" s="207"/>
      <c r="F765" s="207"/>
      <c r="G765" s="207"/>
      <c r="H765" s="207"/>
      <c r="I765" s="207"/>
      <c r="J765" s="207"/>
      <c r="K765" s="207"/>
      <c r="L765" s="207"/>
      <c r="M765" s="207"/>
      <c r="N765" s="207"/>
      <c r="O765" s="207"/>
      <c r="P765" s="207"/>
      <c r="Q765" s="207"/>
      <c r="R765" s="207"/>
      <c r="S765" s="207"/>
      <c r="T765" s="207"/>
      <c r="U765" s="207"/>
      <c r="V765" s="207"/>
      <c r="W765" s="207"/>
      <c r="X765" s="207"/>
      <c r="Y765" s="207"/>
      <c r="Z765" s="207"/>
      <c r="AA765" s="207"/>
      <c r="AB765" s="207"/>
      <c r="AC765" s="207"/>
      <c r="AD765" s="207"/>
      <c r="AE765" s="207"/>
      <c r="AF765" s="207"/>
      <c r="AG765" s="207"/>
      <c r="AH765" s="207"/>
      <c r="AI765" s="207"/>
      <c r="AJ765" s="207"/>
      <c r="AK765" s="207"/>
      <c r="AL765" s="207"/>
      <c r="AM765" s="207"/>
      <c r="AN765" s="207"/>
      <c r="AO765" s="207"/>
      <c r="AP765" s="207"/>
      <c r="AQ765" s="207"/>
      <c r="AR765" s="207"/>
      <c r="AS765" s="207"/>
      <c r="AT765" s="207"/>
      <c r="AU765" s="207"/>
      <c r="AV765" s="207"/>
      <c r="AW765" s="207"/>
      <c r="AX765" s="207"/>
      <c r="AY765" s="207"/>
      <c r="AZ765" s="207"/>
      <c r="BA765" s="207"/>
    </row>
    <row r="766" ht="18.75" hidden="1" customHeight="1">
      <c r="A766" s="207"/>
      <c r="B766" s="207"/>
      <c r="C766" s="207"/>
      <c r="D766" s="207"/>
      <c r="E766" s="207"/>
      <c r="F766" s="207"/>
      <c r="G766" s="207"/>
      <c r="H766" s="207"/>
      <c r="I766" s="207"/>
      <c r="J766" s="207"/>
      <c r="K766" s="207"/>
      <c r="L766" s="207"/>
      <c r="M766" s="207"/>
      <c r="N766" s="207"/>
      <c r="O766" s="207"/>
      <c r="P766" s="207"/>
      <c r="Q766" s="207"/>
      <c r="R766" s="207"/>
      <c r="S766" s="207"/>
      <c r="T766" s="207"/>
      <c r="U766" s="207"/>
      <c r="V766" s="207"/>
      <c r="W766" s="207"/>
      <c r="X766" s="207"/>
      <c r="Y766" s="207"/>
      <c r="Z766" s="207"/>
      <c r="AA766" s="207"/>
      <c r="AB766" s="207"/>
      <c r="AC766" s="207"/>
      <c r="AD766" s="207"/>
      <c r="AE766" s="207"/>
      <c r="AF766" s="207"/>
      <c r="AG766" s="207"/>
      <c r="AH766" s="207"/>
      <c r="AI766" s="207"/>
      <c r="AJ766" s="207"/>
      <c r="AK766" s="207"/>
      <c r="AL766" s="207"/>
      <c r="AM766" s="207"/>
      <c r="AN766" s="207"/>
      <c r="AO766" s="207"/>
      <c r="AP766" s="207"/>
      <c r="AQ766" s="207"/>
      <c r="AR766" s="207"/>
      <c r="AS766" s="207"/>
      <c r="AT766" s="207"/>
      <c r="AU766" s="207"/>
      <c r="AV766" s="207"/>
      <c r="AW766" s="207"/>
      <c r="AX766" s="207"/>
      <c r="AY766" s="207"/>
      <c r="AZ766" s="207"/>
      <c r="BA766" s="207"/>
    </row>
    <row r="767" ht="18.75" hidden="1" customHeight="1">
      <c r="A767" s="207"/>
      <c r="B767" s="207"/>
      <c r="C767" s="207"/>
      <c r="D767" s="207"/>
      <c r="E767" s="207"/>
      <c r="F767" s="207"/>
      <c r="G767" s="207"/>
      <c r="H767" s="207"/>
      <c r="I767" s="207"/>
      <c r="J767" s="207"/>
      <c r="K767" s="207"/>
      <c r="L767" s="207"/>
      <c r="M767" s="207"/>
      <c r="N767" s="207"/>
      <c r="O767" s="207"/>
      <c r="P767" s="207"/>
      <c r="Q767" s="207"/>
      <c r="R767" s="207"/>
      <c r="S767" s="207"/>
      <c r="T767" s="207"/>
      <c r="U767" s="207"/>
      <c r="V767" s="207"/>
      <c r="W767" s="207"/>
      <c r="X767" s="207"/>
      <c r="Y767" s="207"/>
      <c r="Z767" s="207"/>
      <c r="AA767" s="207"/>
      <c r="AB767" s="207"/>
      <c r="AC767" s="207"/>
      <c r="AD767" s="207"/>
      <c r="AE767" s="207"/>
      <c r="AF767" s="207"/>
      <c r="AG767" s="207"/>
      <c r="AH767" s="207"/>
      <c r="AI767" s="207"/>
      <c r="AJ767" s="207"/>
      <c r="AK767" s="207"/>
      <c r="AL767" s="207"/>
      <c r="AM767" s="207"/>
      <c r="AN767" s="207"/>
      <c r="AO767" s="207"/>
      <c r="AP767" s="207"/>
      <c r="AQ767" s="207"/>
      <c r="AR767" s="207"/>
      <c r="AS767" s="207"/>
      <c r="AT767" s="207"/>
      <c r="AU767" s="207"/>
      <c r="AV767" s="207"/>
      <c r="AW767" s="207"/>
      <c r="AX767" s="207"/>
      <c r="AY767" s="207"/>
      <c r="AZ767" s="207"/>
      <c r="BA767" s="207"/>
    </row>
    <row r="768" ht="18.75" hidden="1" customHeight="1">
      <c r="A768" s="207"/>
      <c r="B768" s="207"/>
      <c r="C768" s="207"/>
      <c r="D768" s="207"/>
      <c r="E768" s="207"/>
      <c r="F768" s="207"/>
      <c r="G768" s="207"/>
      <c r="H768" s="207"/>
      <c r="I768" s="207"/>
      <c r="J768" s="207"/>
      <c r="K768" s="207"/>
      <c r="L768" s="207"/>
      <c r="M768" s="207"/>
      <c r="N768" s="207"/>
      <c r="O768" s="207"/>
      <c r="P768" s="207"/>
      <c r="Q768" s="207"/>
      <c r="R768" s="207"/>
      <c r="S768" s="207"/>
      <c r="T768" s="207"/>
      <c r="U768" s="207"/>
      <c r="V768" s="207"/>
      <c r="W768" s="207"/>
      <c r="X768" s="207"/>
      <c r="Y768" s="207"/>
      <c r="Z768" s="207"/>
      <c r="AA768" s="207"/>
      <c r="AB768" s="207"/>
      <c r="AC768" s="207"/>
      <c r="AD768" s="207"/>
      <c r="AE768" s="207"/>
      <c r="AF768" s="207"/>
      <c r="AG768" s="207"/>
      <c r="AH768" s="207"/>
      <c r="AI768" s="207"/>
      <c r="AJ768" s="207"/>
      <c r="AK768" s="207"/>
      <c r="AL768" s="207"/>
      <c r="AM768" s="207"/>
      <c r="AN768" s="207"/>
      <c r="AO768" s="207"/>
      <c r="AP768" s="207"/>
      <c r="AQ768" s="207"/>
      <c r="AR768" s="207"/>
      <c r="AS768" s="207"/>
      <c r="AT768" s="207"/>
      <c r="AU768" s="207"/>
      <c r="AV768" s="207"/>
      <c r="AW768" s="207"/>
      <c r="AX768" s="207"/>
      <c r="AY768" s="207"/>
      <c r="AZ768" s="207"/>
      <c r="BA768" s="207"/>
    </row>
    <row r="769" ht="18.75" hidden="1" customHeight="1">
      <c r="A769" s="207"/>
      <c r="B769" s="207"/>
      <c r="C769" s="207"/>
      <c r="D769" s="207"/>
      <c r="E769" s="207"/>
      <c r="F769" s="207"/>
      <c r="G769" s="207"/>
      <c r="H769" s="207"/>
      <c r="I769" s="207"/>
      <c r="J769" s="207"/>
      <c r="K769" s="207"/>
      <c r="L769" s="207"/>
      <c r="M769" s="207"/>
      <c r="N769" s="207"/>
      <c r="O769" s="207"/>
      <c r="P769" s="207"/>
      <c r="Q769" s="207"/>
      <c r="R769" s="207"/>
      <c r="S769" s="207"/>
      <c r="T769" s="207"/>
      <c r="U769" s="207"/>
      <c r="V769" s="207"/>
      <c r="W769" s="207"/>
      <c r="X769" s="207"/>
      <c r="Y769" s="207"/>
      <c r="Z769" s="207"/>
      <c r="AA769" s="207"/>
      <c r="AB769" s="207"/>
      <c r="AC769" s="207"/>
      <c r="AD769" s="207"/>
      <c r="AE769" s="207"/>
      <c r="AF769" s="207"/>
      <c r="AG769" s="207"/>
      <c r="AH769" s="207"/>
      <c r="AI769" s="207"/>
      <c r="AJ769" s="207"/>
      <c r="AK769" s="207"/>
      <c r="AL769" s="207"/>
      <c r="AM769" s="207"/>
      <c r="AN769" s="207"/>
      <c r="AO769" s="207"/>
      <c r="AP769" s="207"/>
      <c r="AQ769" s="207"/>
      <c r="AR769" s="207"/>
      <c r="AS769" s="207"/>
      <c r="AT769" s="207"/>
      <c r="AU769" s="207"/>
      <c r="AV769" s="207"/>
      <c r="AW769" s="207"/>
      <c r="AX769" s="207"/>
      <c r="AY769" s="207"/>
      <c r="AZ769" s="207"/>
      <c r="BA769" s="207"/>
    </row>
    <row r="770" ht="18.75" hidden="1" customHeight="1">
      <c r="A770" s="207"/>
      <c r="B770" s="207"/>
      <c r="C770" s="207"/>
      <c r="D770" s="207"/>
      <c r="E770" s="207"/>
      <c r="F770" s="207"/>
      <c r="G770" s="207"/>
      <c r="H770" s="207"/>
      <c r="I770" s="207"/>
      <c r="J770" s="207"/>
      <c r="K770" s="207"/>
      <c r="L770" s="207"/>
      <c r="M770" s="207"/>
      <c r="N770" s="207"/>
      <c r="O770" s="207"/>
      <c r="P770" s="207"/>
      <c r="Q770" s="207"/>
      <c r="R770" s="207"/>
      <c r="S770" s="207"/>
      <c r="T770" s="207"/>
      <c r="U770" s="207"/>
      <c r="V770" s="207"/>
      <c r="W770" s="207"/>
      <c r="X770" s="207"/>
      <c r="Y770" s="207"/>
      <c r="Z770" s="207"/>
      <c r="AA770" s="207"/>
      <c r="AB770" s="207"/>
      <c r="AC770" s="207"/>
      <c r="AD770" s="207"/>
      <c r="AE770" s="207"/>
      <c r="AF770" s="207"/>
      <c r="AG770" s="207"/>
      <c r="AH770" s="207"/>
      <c r="AI770" s="207"/>
      <c r="AJ770" s="207"/>
      <c r="AK770" s="207"/>
      <c r="AL770" s="207"/>
      <c r="AM770" s="207"/>
      <c r="AN770" s="207"/>
      <c r="AO770" s="207"/>
      <c r="AP770" s="207"/>
      <c r="AQ770" s="207"/>
      <c r="AR770" s="207"/>
      <c r="AS770" s="207"/>
      <c r="AT770" s="207"/>
      <c r="AU770" s="207"/>
      <c r="AV770" s="207"/>
      <c r="AW770" s="207"/>
      <c r="AX770" s="207"/>
      <c r="AY770" s="207"/>
      <c r="AZ770" s="207"/>
      <c r="BA770" s="207"/>
    </row>
    <row r="771" ht="18.75" hidden="1" customHeight="1">
      <c r="A771" s="207"/>
      <c r="B771" s="207"/>
      <c r="C771" s="207"/>
      <c r="D771" s="207"/>
      <c r="E771" s="207"/>
      <c r="F771" s="207"/>
      <c r="G771" s="207"/>
      <c r="H771" s="207"/>
      <c r="I771" s="207"/>
      <c r="J771" s="207"/>
      <c r="K771" s="207"/>
      <c r="L771" s="207"/>
      <c r="M771" s="207"/>
      <c r="N771" s="207"/>
      <c r="O771" s="207"/>
      <c r="P771" s="207"/>
      <c r="Q771" s="207"/>
      <c r="R771" s="207"/>
      <c r="S771" s="207"/>
      <c r="T771" s="207"/>
      <c r="U771" s="207"/>
      <c r="V771" s="207"/>
      <c r="W771" s="207"/>
      <c r="X771" s="207"/>
      <c r="Y771" s="207"/>
      <c r="Z771" s="207"/>
      <c r="AA771" s="207"/>
      <c r="AB771" s="207"/>
      <c r="AC771" s="207"/>
      <c r="AD771" s="207"/>
      <c r="AE771" s="207"/>
      <c r="AF771" s="207"/>
      <c r="AG771" s="207"/>
      <c r="AH771" s="207"/>
      <c r="AI771" s="207"/>
      <c r="AJ771" s="207"/>
      <c r="AK771" s="207"/>
      <c r="AL771" s="207"/>
      <c r="AM771" s="207"/>
      <c r="AN771" s="207"/>
      <c r="AO771" s="207"/>
      <c r="AP771" s="207"/>
      <c r="AQ771" s="207"/>
      <c r="AR771" s="207"/>
      <c r="AS771" s="207"/>
      <c r="AT771" s="207"/>
      <c r="AU771" s="207"/>
      <c r="AV771" s="207"/>
      <c r="AW771" s="207"/>
      <c r="AX771" s="207"/>
      <c r="AY771" s="207"/>
      <c r="AZ771" s="207"/>
      <c r="BA771" s="207"/>
    </row>
    <row r="772" ht="18.75" hidden="1" customHeight="1">
      <c r="A772" s="207"/>
      <c r="B772" s="207"/>
      <c r="C772" s="207"/>
      <c r="D772" s="207"/>
      <c r="E772" s="207"/>
      <c r="F772" s="207"/>
      <c r="G772" s="207"/>
      <c r="H772" s="207"/>
      <c r="I772" s="207"/>
      <c r="J772" s="207"/>
      <c r="K772" s="207"/>
      <c r="L772" s="207"/>
      <c r="M772" s="207"/>
      <c r="N772" s="207"/>
      <c r="O772" s="207"/>
      <c r="P772" s="207"/>
      <c r="Q772" s="207"/>
      <c r="R772" s="207"/>
      <c r="S772" s="207"/>
      <c r="T772" s="207"/>
      <c r="U772" s="207"/>
      <c r="V772" s="207"/>
      <c r="W772" s="207"/>
      <c r="X772" s="207"/>
      <c r="Y772" s="207"/>
      <c r="Z772" s="207"/>
      <c r="AA772" s="207"/>
      <c r="AB772" s="207"/>
      <c r="AC772" s="207"/>
      <c r="AD772" s="207"/>
      <c r="AE772" s="207"/>
      <c r="AF772" s="207"/>
      <c r="AG772" s="207"/>
      <c r="AH772" s="207"/>
      <c r="AI772" s="207"/>
      <c r="AJ772" s="207"/>
      <c r="AK772" s="207"/>
      <c r="AL772" s="207"/>
      <c r="AM772" s="207"/>
      <c r="AN772" s="207"/>
      <c r="AO772" s="207"/>
      <c r="AP772" s="207"/>
      <c r="AQ772" s="207"/>
      <c r="AR772" s="207"/>
      <c r="AS772" s="207"/>
      <c r="AT772" s="207"/>
      <c r="AU772" s="207"/>
      <c r="AV772" s="207"/>
      <c r="AW772" s="207"/>
      <c r="AX772" s="207"/>
      <c r="AY772" s="207"/>
      <c r="AZ772" s="207"/>
      <c r="BA772" s="207"/>
    </row>
    <row r="773" ht="18.75" hidden="1" customHeight="1">
      <c r="A773" s="207"/>
      <c r="B773" s="207"/>
      <c r="C773" s="207"/>
      <c r="D773" s="207"/>
      <c r="E773" s="207"/>
      <c r="F773" s="207"/>
      <c r="G773" s="207"/>
      <c r="H773" s="207"/>
      <c r="I773" s="207"/>
      <c r="J773" s="207"/>
      <c r="K773" s="207"/>
      <c r="L773" s="207"/>
      <c r="M773" s="207"/>
      <c r="N773" s="207"/>
      <c r="O773" s="207"/>
      <c r="P773" s="207"/>
      <c r="Q773" s="207"/>
      <c r="R773" s="207"/>
      <c r="S773" s="207"/>
      <c r="T773" s="207"/>
      <c r="U773" s="207"/>
      <c r="V773" s="207"/>
      <c r="W773" s="207"/>
      <c r="X773" s="207"/>
      <c r="Y773" s="207"/>
      <c r="Z773" s="207"/>
      <c r="AA773" s="207"/>
      <c r="AB773" s="207"/>
      <c r="AC773" s="207"/>
      <c r="AD773" s="207"/>
      <c r="AE773" s="207"/>
      <c r="AF773" s="207"/>
      <c r="AG773" s="207"/>
      <c r="AH773" s="207"/>
      <c r="AI773" s="207"/>
      <c r="AJ773" s="207"/>
      <c r="AK773" s="207"/>
      <c r="AL773" s="207"/>
      <c r="AM773" s="207"/>
      <c r="AN773" s="207"/>
      <c r="AO773" s="207"/>
      <c r="AP773" s="207"/>
      <c r="AQ773" s="207"/>
      <c r="AR773" s="207"/>
      <c r="AS773" s="207"/>
      <c r="AT773" s="207"/>
      <c r="AU773" s="207"/>
      <c r="AV773" s="207"/>
      <c r="AW773" s="207"/>
      <c r="AX773" s="207"/>
      <c r="AY773" s="207"/>
      <c r="AZ773" s="207"/>
      <c r="BA773" s="207"/>
    </row>
    <row r="774" ht="18.75" hidden="1" customHeight="1">
      <c r="A774" s="207"/>
      <c r="B774" s="207"/>
      <c r="C774" s="207"/>
      <c r="D774" s="207"/>
      <c r="E774" s="207"/>
      <c r="F774" s="207"/>
      <c r="G774" s="207"/>
      <c r="H774" s="207"/>
      <c r="I774" s="207"/>
      <c r="J774" s="207"/>
      <c r="K774" s="207"/>
      <c r="L774" s="207"/>
      <c r="M774" s="207"/>
      <c r="N774" s="207"/>
      <c r="O774" s="207"/>
      <c r="P774" s="207"/>
      <c r="Q774" s="207"/>
      <c r="R774" s="207"/>
      <c r="S774" s="207"/>
      <c r="T774" s="207"/>
      <c r="U774" s="207"/>
      <c r="V774" s="207"/>
      <c r="W774" s="207"/>
      <c r="X774" s="207"/>
      <c r="Y774" s="207"/>
      <c r="Z774" s="207"/>
      <c r="AA774" s="207"/>
      <c r="AB774" s="207"/>
      <c r="AC774" s="207"/>
      <c r="AD774" s="207"/>
      <c r="AE774" s="207"/>
      <c r="AF774" s="207"/>
      <c r="AG774" s="207"/>
      <c r="AH774" s="207"/>
      <c r="AI774" s="207"/>
      <c r="AJ774" s="207"/>
      <c r="AK774" s="207"/>
      <c r="AL774" s="207"/>
      <c r="AM774" s="207"/>
      <c r="AN774" s="207"/>
      <c r="AO774" s="207"/>
      <c r="AP774" s="207"/>
      <c r="AQ774" s="207"/>
      <c r="AR774" s="207"/>
      <c r="AS774" s="207"/>
      <c r="AT774" s="207"/>
      <c r="AU774" s="207"/>
      <c r="AV774" s="207"/>
      <c r="AW774" s="207"/>
      <c r="AX774" s="207"/>
      <c r="AY774" s="207"/>
      <c r="AZ774" s="207"/>
      <c r="BA774" s="207"/>
    </row>
    <row r="775" ht="18.75" hidden="1" customHeight="1">
      <c r="A775" s="207"/>
      <c r="B775" s="207"/>
      <c r="C775" s="207"/>
      <c r="D775" s="207"/>
      <c r="E775" s="207"/>
      <c r="F775" s="207"/>
      <c r="G775" s="207"/>
      <c r="H775" s="207"/>
      <c r="I775" s="207"/>
      <c r="J775" s="207"/>
      <c r="K775" s="207"/>
      <c r="L775" s="207"/>
      <c r="M775" s="207"/>
      <c r="N775" s="207"/>
      <c r="O775" s="207"/>
      <c r="P775" s="207"/>
      <c r="Q775" s="207"/>
      <c r="R775" s="207"/>
      <c r="S775" s="207"/>
      <c r="T775" s="207"/>
      <c r="U775" s="207"/>
      <c r="V775" s="207"/>
      <c r="W775" s="207"/>
      <c r="X775" s="207"/>
      <c r="Y775" s="207"/>
      <c r="Z775" s="207"/>
      <c r="AA775" s="207"/>
      <c r="AB775" s="207"/>
      <c r="AC775" s="207"/>
      <c r="AD775" s="207"/>
      <c r="AE775" s="207"/>
      <c r="AF775" s="207"/>
      <c r="AG775" s="207"/>
      <c r="AH775" s="207"/>
      <c r="AI775" s="207"/>
      <c r="AJ775" s="207"/>
      <c r="AK775" s="207"/>
      <c r="AL775" s="207"/>
      <c r="AM775" s="207"/>
      <c r="AN775" s="207"/>
      <c r="AO775" s="207"/>
      <c r="AP775" s="207"/>
      <c r="AQ775" s="207"/>
      <c r="AR775" s="207"/>
      <c r="AS775" s="207"/>
      <c r="AT775" s="207"/>
      <c r="AU775" s="207"/>
      <c r="AV775" s="207"/>
      <c r="AW775" s="207"/>
      <c r="AX775" s="207"/>
      <c r="AY775" s="207"/>
      <c r="AZ775" s="207"/>
      <c r="BA775" s="207"/>
    </row>
    <row r="776" ht="18.75" hidden="1" customHeight="1">
      <c r="A776" s="207"/>
      <c r="B776" s="207"/>
      <c r="C776" s="207"/>
      <c r="D776" s="207"/>
      <c r="E776" s="207"/>
      <c r="F776" s="207"/>
      <c r="G776" s="207"/>
      <c r="H776" s="207"/>
      <c r="I776" s="207"/>
      <c r="J776" s="207"/>
      <c r="K776" s="207"/>
      <c r="L776" s="207"/>
      <c r="M776" s="207"/>
      <c r="N776" s="207"/>
      <c r="O776" s="207"/>
      <c r="P776" s="207"/>
      <c r="Q776" s="207"/>
      <c r="R776" s="207"/>
      <c r="S776" s="207"/>
      <c r="T776" s="207"/>
      <c r="U776" s="207"/>
      <c r="V776" s="207"/>
      <c r="W776" s="207"/>
      <c r="X776" s="207"/>
      <c r="Y776" s="207"/>
      <c r="Z776" s="207"/>
      <c r="AA776" s="207"/>
      <c r="AB776" s="207"/>
      <c r="AC776" s="207"/>
      <c r="AD776" s="207"/>
      <c r="AE776" s="207"/>
      <c r="AF776" s="207"/>
      <c r="AG776" s="207"/>
      <c r="AH776" s="207"/>
      <c r="AI776" s="207"/>
      <c r="AJ776" s="207"/>
      <c r="AK776" s="207"/>
      <c r="AL776" s="207"/>
      <c r="AM776" s="207"/>
      <c r="AN776" s="207"/>
      <c r="AO776" s="207"/>
      <c r="AP776" s="207"/>
      <c r="AQ776" s="207"/>
      <c r="AR776" s="207"/>
      <c r="AS776" s="207"/>
      <c r="AT776" s="207"/>
      <c r="AU776" s="207"/>
      <c r="AV776" s="207"/>
      <c r="AW776" s="207"/>
      <c r="AX776" s="207"/>
      <c r="AY776" s="207"/>
      <c r="AZ776" s="207"/>
      <c r="BA776" s="207"/>
    </row>
    <row r="777" ht="18.75" hidden="1" customHeight="1">
      <c r="A777" s="207"/>
      <c r="B777" s="207"/>
      <c r="C777" s="207"/>
      <c r="D777" s="207"/>
      <c r="E777" s="207"/>
      <c r="F777" s="207"/>
      <c r="G777" s="207"/>
      <c r="H777" s="207"/>
      <c r="I777" s="207"/>
      <c r="J777" s="207"/>
      <c r="K777" s="207"/>
      <c r="L777" s="207"/>
      <c r="M777" s="207"/>
      <c r="N777" s="207"/>
      <c r="O777" s="207"/>
      <c r="P777" s="207"/>
      <c r="Q777" s="207"/>
      <c r="R777" s="207"/>
      <c r="S777" s="207"/>
      <c r="T777" s="207"/>
      <c r="U777" s="207"/>
      <c r="V777" s="207"/>
      <c r="W777" s="207"/>
      <c r="X777" s="207"/>
      <c r="Y777" s="207"/>
      <c r="Z777" s="207"/>
      <c r="AA777" s="207"/>
      <c r="AB777" s="207"/>
      <c r="AC777" s="207"/>
      <c r="AD777" s="207"/>
      <c r="AE777" s="207"/>
      <c r="AF777" s="207"/>
      <c r="AG777" s="207"/>
      <c r="AH777" s="207"/>
      <c r="AI777" s="207"/>
      <c r="AJ777" s="207"/>
      <c r="AK777" s="207"/>
      <c r="AL777" s="207"/>
      <c r="AM777" s="207"/>
      <c r="AN777" s="207"/>
      <c r="AO777" s="207"/>
      <c r="AP777" s="207"/>
      <c r="AQ777" s="207"/>
      <c r="AR777" s="207"/>
      <c r="AS777" s="207"/>
      <c r="AT777" s="207"/>
      <c r="AU777" s="207"/>
      <c r="AV777" s="207"/>
      <c r="AW777" s="207"/>
      <c r="AX777" s="207"/>
      <c r="AY777" s="207"/>
      <c r="AZ777" s="207"/>
      <c r="BA777" s="207"/>
    </row>
    <row r="778" ht="18.75" hidden="1" customHeight="1">
      <c r="A778" s="207"/>
      <c r="B778" s="207"/>
      <c r="C778" s="207"/>
      <c r="D778" s="207"/>
      <c r="E778" s="207"/>
      <c r="F778" s="207"/>
      <c r="G778" s="207"/>
      <c r="H778" s="207"/>
      <c r="I778" s="207"/>
      <c r="J778" s="207"/>
      <c r="K778" s="207"/>
      <c r="L778" s="207"/>
      <c r="M778" s="207"/>
      <c r="N778" s="207"/>
      <c r="O778" s="207"/>
      <c r="P778" s="207"/>
      <c r="Q778" s="207"/>
      <c r="R778" s="207"/>
      <c r="S778" s="207"/>
      <c r="T778" s="207"/>
      <c r="U778" s="207"/>
      <c r="V778" s="207"/>
      <c r="W778" s="207"/>
      <c r="X778" s="207"/>
      <c r="Y778" s="207"/>
      <c r="Z778" s="207"/>
      <c r="AA778" s="207"/>
      <c r="AB778" s="207"/>
      <c r="AC778" s="207"/>
      <c r="AD778" s="207"/>
      <c r="AE778" s="207"/>
      <c r="AF778" s="207"/>
      <c r="AG778" s="207"/>
      <c r="AH778" s="207"/>
      <c r="AI778" s="207"/>
      <c r="AJ778" s="207"/>
      <c r="AK778" s="207"/>
      <c r="AL778" s="207"/>
      <c r="AM778" s="207"/>
      <c r="AN778" s="207"/>
      <c r="AO778" s="207"/>
      <c r="AP778" s="207"/>
      <c r="AQ778" s="207"/>
      <c r="AR778" s="207"/>
      <c r="AS778" s="207"/>
      <c r="AT778" s="207"/>
      <c r="AU778" s="207"/>
      <c r="AV778" s="207"/>
      <c r="AW778" s="207"/>
      <c r="AX778" s="207"/>
      <c r="AY778" s="207"/>
      <c r="AZ778" s="207"/>
      <c r="BA778" s="207"/>
    </row>
    <row r="779" ht="18.75" hidden="1" customHeight="1">
      <c r="A779" s="207"/>
      <c r="B779" s="207"/>
      <c r="C779" s="207"/>
      <c r="D779" s="207"/>
      <c r="E779" s="207"/>
      <c r="F779" s="207"/>
      <c r="G779" s="207"/>
      <c r="H779" s="207"/>
      <c r="I779" s="207"/>
      <c r="J779" s="207"/>
      <c r="K779" s="207"/>
      <c r="L779" s="207"/>
      <c r="M779" s="207"/>
      <c r="N779" s="207"/>
      <c r="O779" s="207"/>
      <c r="P779" s="207"/>
      <c r="Q779" s="207"/>
      <c r="R779" s="207"/>
      <c r="S779" s="207"/>
      <c r="T779" s="207"/>
      <c r="U779" s="207"/>
      <c r="V779" s="207"/>
      <c r="W779" s="207"/>
      <c r="X779" s="207"/>
      <c r="Y779" s="207"/>
      <c r="Z779" s="207"/>
      <c r="AA779" s="207"/>
      <c r="AB779" s="207"/>
      <c r="AC779" s="207"/>
      <c r="AD779" s="207"/>
      <c r="AE779" s="207"/>
      <c r="AF779" s="207"/>
      <c r="AG779" s="207"/>
      <c r="AH779" s="207"/>
      <c r="AI779" s="207"/>
      <c r="AJ779" s="207"/>
      <c r="AK779" s="207"/>
      <c r="AL779" s="207"/>
      <c r="AM779" s="207"/>
      <c r="AN779" s="207"/>
      <c r="AO779" s="207"/>
      <c r="AP779" s="207"/>
      <c r="AQ779" s="207"/>
      <c r="AR779" s="207"/>
      <c r="AS779" s="207"/>
      <c r="AT779" s="207"/>
      <c r="AU779" s="207"/>
      <c r="AV779" s="207"/>
      <c r="AW779" s="207"/>
      <c r="AX779" s="207"/>
      <c r="AY779" s="207"/>
      <c r="AZ779" s="207"/>
      <c r="BA779" s="207"/>
    </row>
    <row r="780" ht="18.75" hidden="1" customHeight="1">
      <c r="A780" s="207"/>
      <c r="B780" s="207"/>
      <c r="C780" s="207"/>
      <c r="D780" s="207"/>
      <c r="E780" s="207"/>
      <c r="F780" s="207"/>
      <c r="G780" s="207"/>
      <c r="H780" s="207"/>
      <c r="I780" s="207"/>
      <c r="J780" s="207"/>
      <c r="K780" s="207"/>
      <c r="L780" s="207"/>
      <c r="M780" s="207"/>
      <c r="N780" s="207"/>
      <c r="O780" s="207"/>
      <c r="P780" s="207"/>
      <c r="Q780" s="207"/>
      <c r="R780" s="207"/>
      <c r="S780" s="207"/>
      <c r="T780" s="207"/>
      <c r="U780" s="207"/>
      <c r="V780" s="207"/>
      <c r="W780" s="207"/>
      <c r="X780" s="207"/>
      <c r="Y780" s="207"/>
      <c r="Z780" s="207"/>
      <c r="AA780" s="207"/>
      <c r="AB780" s="207"/>
      <c r="AC780" s="207"/>
      <c r="AD780" s="207"/>
      <c r="AE780" s="207"/>
      <c r="AF780" s="207"/>
      <c r="AG780" s="207"/>
      <c r="AH780" s="207"/>
      <c r="AI780" s="207"/>
      <c r="AJ780" s="207"/>
      <c r="AK780" s="207"/>
      <c r="AL780" s="207"/>
      <c r="AM780" s="207"/>
      <c r="AN780" s="207"/>
      <c r="AO780" s="207"/>
      <c r="AP780" s="207"/>
      <c r="AQ780" s="207"/>
      <c r="AR780" s="207"/>
      <c r="AS780" s="207"/>
      <c r="AT780" s="207"/>
      <c r="AU780" s="207"/>
      <c r="AV780" s="207"/>
      <c r="AW780" s="207"/>
      <c r="AX780" s="207"/>
      <c r="AY780" s="207"/>
      <c r="AZ780" s="207"/>
      <c r="BA780" s="207"/>
    </row>
    <row r="781" ht="18.75" hidden="1" customHeight="1">
      <c r="A781" s="207"/>
      <c r="B781" s="207"/>
      <c r="C781" s="207"/>
      <c r="D781" s="207"/>
      <c r="E781" s="207"/>
      <c r="F781" s="207"/>
      <c r="G781" s="207"/>
      <c r="H781" s="207"/>
      <c r="I781" s="207"/>
      <c r="J781" s="207"/>
      <c r="K781" s="207"/>
      <c r="L781" s="207"/>
      <c r="M781" s="207"/>
      <c r="N781" s="207"/>
      <c r="O781" s="207"/>
      <c r="P781" s="207"/>
      <c r="Q781" s="207"/>
      <c r="R781" s="207"/>
      <c r="S781" s="207"/>
      <c r="T781" s="207"/>
      <c r="U781" s="207"/>
      <c r="V781" s="207"/>
      <c r="W781" s="207"/>
      <c r="X781" s="207"/>
      <c r="Y781" s="207"/>
      <c r="Z781" s="207"/>
      <c r="AA781" s="207"/>
      <c r="AB781" s="207"/>
      <c r="AC781" s="207"/>
      <c r="AD781" s="207"/>
      <c r="AE781" s="207"/>
      <c r="AF781" s="207"/>
      <c r="AG781" s="207"/>
      <c r="AH781" s="207"/>
      <c r="AI781" s="207"/>
      <c r="AJ781" s="207"/>
      <c r="AK781" s="207"/>
      <c r="AL781" s="207"/>
      <c r="AM781" s="207"/>
      <c r="AN781" s="207"/>
      <c r="AO781" s="207"/>
      <c r="AP781" s="207"/>
      <c r="AQ781" s="207"/>
      <c r="AR781" s="207"/>
      <c r="AS781" s="207"/>
      <c r="AT781" s="207"/>
      <c r="AU781" s="207"/>
      <c r="AV781" s="207"/>
      <c r="AW781" s="207"/>
      <c r="AX781" s="207"/>
      <c r="AY781" s="207"/>
      <c r="AZ781" s="207"/>
      <c r="BA781" s="207"/>
    </row>
    <row r="782" ht="18.75" hidden="1" customHeight="1">
      <c r="A782" s="207"/>
      <c r="B782" s="207"/>
      <c r="C782" s="207"/>
      <c r="D782" s="207"/>
      <c r="E782" s="207"/>
      <c r="F782" s="207"/>
      <c r="G782" s="207"/>
      <c r="H782" s="207"/>
      <c r="I782" s="207"/>
      <c r="J782" s="207"/>
      <c r="K782" s="207"/>
      <c r="L782" s="207"/>
      <c r="M782" s="207"/>
      <c r="N782" s="207"/>
      <c r="O782" s="207"/>
      <c r="P782" s="207"/>
      <c r="Q782" s="207"/>
      <c r="R782" s="207"/>
      <c r="S782" s="207"/>
      <c r="T782" s="207"/>
      <c r="U782" s="207"/>
      <c r="V782" s="207"/>
      <c r="W782" s="207"/>
      <c r="X782" s="207"/>
      <c r="Y782" s="207"/>
      <c r="Z782" s="207"/>
      <c r="AA782" s="207"/>
      <c r="AB782" s="207"/>
      <c r="AC782" s="207"/>
      <c r="AD782" s="207"/>
      <c r="AE782" s="207"/>
      <c r="AF782" s="207"/>
      <c r="AG782" s="207"/>
      <c r="AH782" s="207"/>
      <c r="AI782" s="207"/>
      <c r="AJ782" s="207"/>
      <c r="AK782" s="207"/>
      <c r="AL782" s="207"/>
      <c r="AM782" s="207"/>
      <c r="AN782" s="207"/>
      <c r="AO782" s="207"/>
      <c r="AP782" s="207"/>
      <c r="AQ782" s="207"/>
      <c r="AR782" s="207"/>
      <c r="AS782" s="207"/>
      <c r="AT782" s="207"/>
      <c r="AU782" s="207"/>
      <c r="AV782" s="207"/>
      <c r="AW782" s="207"/>
      <c r="AX782" s="207"/>
      <c r="AY782" s="207"/>
      <c r="AZ782" s="207"/>
      <c r="BA782" s="207"/>
    </row>
    <row r="783" ht="18.75" hidden="1" customHeight="1">
      <c r="A783" s="207"/>
      <c r="B783" s="207"/>
      <c r="C783" s="207"/>
      <c r="D783" s="207"/>
      <c r="E783" s="207"/>
      <c r="F783" s="207"/>
      <c r="G783" s="207"/>
      <c r="H783" s="207"/>
      <c r="I783" s="207"/>
      <c r="J783" s="207"/>
      <c r="K783" s="207"/>
      <c r="L783" s="207"/>
      <c r="M783" s="207"/>
      <c r="N783" s="207"/>
      <c r="O783" s="207"/>
      <c r="P783" s="207"/>
      <c r="Q783" s="207"/>
      <c r="R783" s="207"/>
      <c r="S783" s="207"/>
      <c r="T783" s="207"/>
      <c r="U783" s="207"/>
      <c r="V783" s="207"/>
      <c r="W783" s="207"/>
      <c r="X783" s="207"/>
      <c r="Y783" s="207"/>
      <c r="Z783" s="207"/>
      <c r="AA783" s="207"/>
      <c r="AB783" s="207"/>
      <c r="AC783" s="207"/>
      <c r="AD783" s="207"/>
      <c r="AE783" s="207"/>
      <c r="AF783" s="207"/>
      <c r="AG783" s="207"/>
      <c r="AH783" s="207"/>
      <c r="AI783" s="207"/>
      <c r="AJ783" s="207"/>
      <c r="AK783" s="207"/>
      <c r="AL783" s="207"/>
      <c r="AM783" s="207"/>
      <c r="AN783" s="207"/>
      <c r="AO783" s="207"/>
      <c r="AP783" s="207"/>
      <c r="AQ783" s="207"/>
      <c r="AR783" s="207"/>
      <c r="AS783" s="207"/>
      <c r="AT783" s="207"/>
      <c r="AU783" s="207"/>
      <c r="AV783" s="207"/>
      <c r="AW783" s="207"/>
      <c r="AX783" s="207"/>
      <c r="AY783" s="207"/>
      <c r="AZ783" s="207"/>
      <c r="BA783" s="207"/>
    </row>
    <row r="784" ht="18.75" hidden="1" customHeight="1">
      <c r="A784" s="207"/>
      <c r="B784" s="207"/>
      <c r="C784" s="207"/>
      <c r="D784" s="207"/>
      <c r="E784" s="207"/>
      <c r="F784" s="207"/>
      <c r="G784" s="207"/>
      <c r="H784" s="207"/>
      <c r="I784" s="207"/>
      <c r="J784" s="207"/>
      <c r="K784" s="207"/>
      <c r="L784" s="207"/>
      <c r="M784" s="207"/>
      <c r="N784" s="207"/>
      <c r="O784" s="207"/>
      <c r="P784" s="207"/>
      <c r="Q784" s="207"/>
      <c r="R784" s="207"/>
      <c r="S784" s="207"/>
      <c r="T784" s="207"/>
      <c r="U784" s="207"/>
      <c r="V784" s="207"/>
      <c r="W784" s="207"/>
      <c r="X784" s="207"/>
      <c r="Y784" s="207"/>
      <c r="Z784" s="207"/>
      <c r="AA784" s="207"/>
      <c r="AB784" s="207"/>
      <c r="AC784" s="207"/>
      <c r="AD784" s="207"/>
      <c r="AE784" s="207"/>
      <c r="AF784" s="207"/>
      <c r="AG784" s="207"/>
      <c r="AH784" s="207"/>
      <c r="AI784" s="207"/>
      <c r="AJ784" s="207"/>
      <c r="AK784" s="207"/>
      <c r="AL784" s="207"/>
      <c r="AM784" s="207"/>
      <c r="AN784" s="207"/>
      <c r="AO784" s="207"/>
      <c r="AP784" s="207"/>
      <c r="AQ784" s="207"/>
      <c r="AR784" s="207"/>
      <c r="AS784" s="207"/>
      <c r="AT784" s="207"/>
      <c r="AU784" s="207"/>
      <c r="AV784" s="207"/>
      <c r="AW784" s="207"/>
      <c r="AX784" s="207"/>
      <c r="AY784" s="207"/>
      <c r="AZ784" s="207"/>
      <c r="BA784" s="207"/>
    </row>
    <row r="785" ht="18.75" hidden="1" customHeight="1">
      <c r="A785" s="207"/>
      <c r="B785" s="207"/>
      <c r="C785" s="207"/>
      <c r="D785" s="207"/>
      <c r="E785" s="207"/>
      <c r="F785" s="207"/>
      <c r="G785" s="207"/>
      <c r="H785" s="207"/>
      <c r="I785" s="207"/>
      <c r="J785" s="207"/>
      <c r="K785" s="207"/>
      <c r="L785" s="207"/>
      <c r="M785" s="207"/>
      <c r="N785" s="207"/>
      <c r="O785" s="207"/>
      <c r="P785" s="207"/>
      <c r="Q785" s="207"/>
      <c r="R785" s="207"/>
      <c r="S785" s="207"/>
      <c r="T785" s="207"/>
      <c r="U785" s="207"/>
      <c r="V785" s="207"/>
      <c r="W785" s="207"/>
      <c r="X785" s="207"/>
      <c r="Y785" s="207"/>
      <c r="Z785" s="207"/>
      <c r="AA785" s="207"/>
      <c r="AB785" s="207"/>
      <c r="AC785" s="207"/>
      <c r="AD785" s="207"/>
      <c r="AE785" s="207"/>
      <c r="AF785" s="207"/>
      <c r="AG785" s="207"/>
      <c r="AH785" s="207"/>
      <c r="AI785" s="207"/>
      <c r="AJ785" s="207"/>
      <c r="AK785" s="207"/>
      <c r="AL785" s="207"/>
      <c r="AM785" s="207"/>
      <c r="AN785" s="207"/>
      <c r="AO785" s="207"/>
      <c r="AP785" s="207"/>
      <c r="AQ785" s="207"/>
      <c r="AR785" s="207"/>
      <c r="AS785" s="207"/>
      <c r="AT785" s="207"/>
      <c r="AU785" s="207"/>
      <c r="AV785" s="207"/>
      <c r="AW785" s="207"/>
      <c r="AX785" s="207"/>
      <c r="AY785" s="207"/>
      <c r="AZ785" s="207"/>
      <c r="BA785" s="207"/>
    </row>
    <row r="786" ht="18.75" hidden="1" customHeight="1">
      <c r="A786" s="207"/>
      <c r="B786" s="207"/>
      <c r="C786" s="207"/>
      <c r="D786" s="207"/>
      <c r="E786" s="207"/>
      <c r="F786" s="207"/>
      <c r="G786" s="207"/>
      <c r="H786" s="207"/>
      <c r="I786" s="207"/>
      <c r="J786" s="207"/>
      <c r="K786" s="207"/>
      <c r="L786" s="207"/>
      <c r="M786" s="207"/>
      <c r="N786" s="207"/>
      <c r="O786" s="207"/>
      <c r="P786" s="207"/>
      <c r="Q786" s="207"/>
      <c r="R786" s="207"/>
      <c r="S786" s="207"/>
      <c r="T786" s="207"/>
      <c r="U786" s="207"/>
      <c r="V786" s="207"/>
      <c r="W786" s="207"/>
      <c r="X786" s="207"/>
      <c r="Y786" s="207"/>
      <c r="Z786" s="207"/>
      <c r="AA786" s="207"/>
      <c r="AB786" s="207"/>
      <c r="AC786" s="207"/>
      <c r="AD786" s="207"/>
      <c r="AE786" s="207"/>
      <c r="AF786" s="207"/>
      <c r="AG786" s="207"/>
      <c r="AH786" s="207"/>
      <c r="AI786" s="207"/>
      <c r="AJ786" s="207"/>
      <c r="AK786" s="207"/>
      <c r="AL786" s="207"/>
      <c r="AM786" s="207"/>
      <c r="AN786" s="207"/>
      <c r="AO786" s="207"/>
      <c r="AP786" s="207"/>
      <c r="AQ786" s="207"/>
      <c r="AR786" s="207"/>
      <c r="AS786" s="207"/>
      <c r="AT786" s="207"/>
      <c r="AU786" s="207"/>
      <c r="AV786" s="207"/>
      <c r="AW786" s="207"/>
      <c r="AX786" s="207"/>
      <c r="AY786" s="207"/>
      <c r="AZ786" s="207"/>
      <c r="BA786" s="207"/>
    </row>
    <row r="787" ht="18.75" hidden="1" customHeight="1">
      <c r="A787" s="207"/>
      <c r="B787" s="207"/>
      <c r="C787" s="207"/>
      <c r="D787" s="207"/>
      <c r="E787" s="207"/>
      <c r="F787" s="207"/>
      <c r="G787" s="207"/>
      <c r="H787" s="207"/>
      <c r="I787" s="207"/>
      <c r="J787" s="207"/>
      <c r="K787" s="207"/>
      <c r="L787" s="207"/>
      <c r="M787" s="207"/>
      <c r="N787" s="207"/>
      <c r="O787" s="207"/>
      <c r="P787" s="207"/>
      <c r="Q787" s="207"/>
      <c r="R787" s="207"/>
      <c r="S787" s="207"/>
      <c r="T787" s="207"/>
      <c r="U787" s="207"/>
      <c r="V787" s="207"/>
      <c r="W787" s="207"/>
      <c r="X787" s="207"/>
      <c r="Y787" s="207"/>
      <c r="Z787" s="207"/>
      <c r="AA787" s="207"/>
      <c r="AB787" s="207"/>
      <c r="AC787" s="207"/>
      <c r="AD787" s="207"/>
      <c r="AE787" s="207"/>
      <c r="AF787" s="207"/>
      <c r="AG787" s="207"/>
      <c r="AH787" s="207"/>
      <c r="AI787" s="207"/>
      <c r="AJ787" s="207"/>
      <c r="AK787" s="207"/>
      <c r="AL787" s="207"/>
      <c r="AM787" s="207"/>
      <c r="AN787" s="207"/>
      <c r="AO787" s="207"/>
      <c r="AP787" s="207"/>
      <c r="AQ787" s="207"/>
      <c r="AR787" s="207"/>
      <c r="AS787" s="207"/>
      <c r="AT787" s="207"/>
      <c r="AU787" s="207"/>
      <c r="AV787" s="207"/>
      <c r="AW787" s="207"/>
      <c r="AX787" s="207"/>
      <c r="AY787" s="207"/>
      <c r="AZ787" s="207"/>
      <c r="BA787" s="207"/>
    </row>
    <row r="788" ht="18.75" hidden="1" customHeight="1">
      <c r="A788" s="207"/>
      <c r="B788" s="207"/>
      <c r="C788" s="207"/>
      <c r="D788" s="207"/>
      <c r="E788" s="207"/>
      <c r="F788" s="207"/>
      <c r="G788" s="207"/>
      <c r="H788" s="207"/>
      <c r="I788" s="207"/>
      <c r="J788" s="207"/>
      <c r="K788" s="207"/>
      <c r="L788" s="207"/>
      <c r="M788" s="207"/>
      <c r="N788" s="207"/>
      <c r="O788" s="207"/>
      <c r="P788" s="207"/>
      <c r="Q788" s="207"/>
      <c r="R788" s="207"/>
      <c r="S788" s="207"/>
      <c r="T788" s="207"/>
      <c r="U788" s="207"/>
      <c r="V788" s="207"/>
      <c r="W788" s="207"/>
      <c r="X788" s="207"/>
      <c r="Y788" s="207"/>
      <c r="Z788" s="207"/>
      <c r="AA788" s="207"/>
      <c r="AB788" s="207"/>
      <c r="AC788" s="207"/>
      <c r="AD788" s="207"/>
      <c r="AE788" s="207"/>
      <c r="AF788" s="207"/>
      <c r="AG788" s="207"/>
      <c r="AH788" s="207"/>
      <c r="AI788" s="207"/>
      <c r="AJ788" s="207"/>
      <c r="AK788" s="207"/>
      <c r="AL788" s="207"/>
      <c r="AM788" s="207"/>
      <c r="AN788" s="207"/>
      <c r="AO788" s="207"/>
      <c r="AP788" s="207"/>
      <c r="AQ788" s="207"/>
      <c r="AR788" s="207"/>
      <c r="AS788" s="207"/>
      <c r="AT788" s="207"/>
      <c r="AU788" s="207"/>
      <c r="AV788" s="207"/>
      <c r="AW788" s="207"/>
      <c r="AX788" s="207"/>
      <c r="AY788" s="207"/>
      <c r="AZ788" s="207"/>
      <c r="BA788" s="207"/>
    </row>
    <row r="789" ht="18.75" hidden="1" customHeight="1">
      <c r="A789" s="207"/>
      <c r="B789" s="207"/>
      <c r="C789" s="207"/>
      <c r="D789" s="207"/>
      <c r="E789" s="207"/>
      <c r="F789" s="207"/>
      <c r="G789" s="207"/>
      <c r="H789" s="207"/>
      <c r="I789" s="207"/>
      <c r="J789" s="207"/>
      <c r="K789" s="207"/>
      <c r="L789" s="207"/>
      <c r="M789" s="207"/>
      <c r="N789" s="207"/>
      <c r="O789" s="207"/>
      <c r="P789" s="207"/>
      <c r="Q789" s="207"/>
      <c r="R789" s="207"/>
      <c r="S789" s="207"/>
      <c r="T789" s="207"/>
      <c r="U789" s="207"/>
      <c r="V789" s="207"/>
      <c r="W789" s="207"/>
      <c r="X789" s="207"/>
      <c r="Y789" s="207"/>
      <c r="Z789" s="207"/>
      <c r="AA789" s="207"/>
      <c r="AB789" s="207"/>
      <c r="AC789" s="207"/>
      <c r="AD789" s="207"/>
      <c r="AE789" s="207"/>
      <c r="AF789" s="207"/>
      <c r="AG789" s="207"/>
      <c r="AH789" s="207"/>
      <c r="AI789" s="207"/>
      <c r="AJ789" s="207"/>
      <c r="AK789" s="207"/>
      <c r="AL789" s="207"/>
      <c r="AM789" s="207"/>
      <c r="AN789" s="207"/>
      <c r="AO789" s="207"/>
      <c r="AP789" s="207"/>
      <c r="AQ789" s="207"/>
      <c r="AR789" s="207"/>
      <c r="AS789" s="207"/>
      <c r="AT789" s="207"/>
      <c r="AU789" s="207"/>
      <c r="AV789" s="207"/>
      <c r="AW789" s="207"/>
      <c r="AX789" s="207"/>
      <c r="AY789" s="207"/>
      <c r="AZ789" s="207"/>
      <c r="BA789" s="207"/>
    </row>
    <row r="790" ht="18.75" hidden="1" customHeight="1">
      <c r="A790" s="207"/>
      <c r="B790" s="207"/>
      <c r="C790" s="207"/>
      <c r="D790" s="207"/>
      <c r="E790" s="207"/>
      <c r="F790" s="207"/>
      <c r="G790" s="207"/>
      <c r="H790" s="207"/>
      <c r="I790" s="207"/>
      <c r="J790" s="207"/>
      <c r="K790" s="207"/>
      <c r="L790" s="207"/>
      <c r="M790" s="207"/>
      <c r="N790" s="207"/>
      <c r="O790" s="207"/>
      <c r="P790" s="207"/>
      <c r="Q790" s="207"/>
      <c r="R790" s="207"/>
      <c r="S790" s="207"/>
      <c r="T790" s="207"/>
      <c r="U790" s="207"/>
      <c r="V790" s="207"/>
      <c r="W790" s="207"/>
      <c r="X790" s="207"/>
      <c r="Y790" s="207"/>
      <c r="Z790" s="207"/>
      <c r="AA790" s="207"/>
      <c r="AB790" s="207"/>
      <c r="AC790" s="207"/>
      <c r="AD790" s="207"/>
      <c r="AE790" s="207"/>
      <c r="AF790" s="207"/>
      <c r="AG790" s="207"/>
      <c r="AH790" s="207"/>
      <c r="AI790" s="207"/>
      <c r="AJ790" s="207"/>
      <c r="AK790" s="207"/>
      <c r="AL790" s="207"/>
      <c r="AM790" s="207"/>
      <c r="AN790" s="207"/>
      <c r="AO790" s="207"/>
      <c r="AP790" s="207"/>
      <c r="AQ790" s="207"/>
      <c r="AR790" s="207"/>
      <c r="AS790" s="207"/>
      <c r="AT790" s="207"/>
      <c r="AU790" s="207"/>
      <c r="AV790" s="207"/>
      <c r="AW790" s="207"/>
      <c r="AX790" s="207"/>
      <c r="AY790" s="207"/>
      <c r="AZ790" s="207"/>
      <c r="BA790" s="207"/>
    </row>
    <row r="791" ht="18.75" hidden="1" customHeight="1">
      <c r="A791" s="207"/>
      <c r="B791" s="207"/>
      <c r="C791" s="207"/>
      <c r="D791" s="207"/>
      <c r="E791" s="207"/>
      <c r="F791" s="207"/>
      <c r="G791" s="207"/>
      <c r="H791" s="207"/>
      <c r="I791" s="207"/>
      <c r="J791" s="207"/>
      <c r="K791" s="207"/>
      <c r="L791" s="207"/>
      <c r="M791" s="207"/>
      <c r="N791" s="207"/>
      <c r="O791" s="207"/>
      <c r="P791" s="207"/>
      <c r="Q791" s="207"/>
      <c r="R791" s="207"/>
      <c r="S791" s="207"/>
      <c r="T791" s="207"/>
      <c r="U791" s="207"/>
      <c r="V791" s="207"/>
      <c r="W791" s="207"/>
      <c r="X791" s="207"/>
      <c r="Y791" s="207"/>
      <c r="Z791" s="207"/>
      <c r="AA791" s="207"/>
      <c r="AB791" s="207"/>
      <c r="AC791" s="207"/>
      <c r="AD791" s="207"/>
      <c r="AE791" s="207"/>
      <c r="AF791" s="207"/>
      <c r="AG791" s="207"/>
      <c r="AH791" s="207"/>
      <c r="AI791" s="207"/>
      <c r="AJ791" s="207"/>
      <c r="AK791" s="207"/>
      <c r="AL791" s="207"/>
      <c r="AM791" s="207"/>
      <c r="AN791" s="207"/>
      <c r="AO791" s="207"/>
      <c r="AP791" s="207"/>
      <c r="AQ791" s="207"/>
      <c r="AR791" s="207"/>
      <c r="AS791" s="207"/>
      <c r="AT791" s="207"/>
      <c r="AU791" s="207"/>
      <c r="AV791" s="207"/>
      <c r="AW791" s="207"/>
      <c r="AX791" s="207"/>
      <c r="AY791" s="207"/>
      <c r="AZ791" s="207"/>
      <c r="BA791" s="207"/>
    </row>
    <row r="792" ht="18.75" hidden="1" customHeight="1">
      <c r="A792" s="207"/>
      <c r="B792" s="207"/>
      <c r="C792" s="207"/>
      <c r="D792" s="207"/>
      <c r="E792" s="207"/>
      <c r="F792" s="207"/>
      <c r="G792" s="207"/>
      <c r="H792" s="207"/>
      <c r="I792" s="207"/>
      <c r="J792" s="207"/>
      <c r="K792" s="207"/>
      <c r="L792" s="207"/>
      <c r="M792" s="207"/>
      <c r="N792" s="207"/>
      <c r="O792" s="207"/>
      <c r="P792" s="207"/>
      <c r="Q792" s="207"/>
      <c r="R792" s="207"/>
      <c r="S792" s="207"/>
      <c r="T792" s="207"/>
      <c r="U792" s="207"/>
      <c r="V792" s="207"/>
      <c r="W792" s="207"/>
      <c r="X792" s="207"/>
      <c r="Y792" s="207"/>
      <c r="Z792" s="207"/>
      <c r="AA792" s="207"/>
      <c r="AB792" s="207"/>
      <c r="AC792" s="207"/>
      <c r="AD792" s="207"/>
      <c r="AE792" s="207"/>
      <c r="AF792" s="207"/>
      <c r="AG792" s="207"/>
      <c r="AH792" s="207"/>
      <c r="AI792" s="207"/>
      <c r="AJ792" s="207"/>
      <c r="AK792" s="207"/>
      <c r="AL792" s="207"/>
      <c r="AM792" s="207"/>
      <c r="AN792" s="207"/>
      <c r="AO792" s="207"/>
      <c r="AP792" s="207"/>
      <c r="AQ792" s="207"/>
      <c r="AR792" s="207"/>
      <c r="AS792" s="207"/>
      <c r="AT792" s="207"/>
      <c r="AU792" s="207"/>
      <c r="AV792" s="207"/>
      <c r="AW792" s="207"/>
      <c r="AX792" s="207"/>
      <c r="AY792" s="207"/>
      <c r="AZ792" s="207"/>
      <c r="BA792" s="207"/>
    </row>
    <row r="793" ht="18.75" hidden="1" customHeight="1">
      <c r="A793" s="207"/>
      <c r="B793" s="207"/>
      <c r="C793" s="207"/>
      <c r="D793" s="207"/>
      <c r="E793" s="207"/>
      <c r="F793" s="207"/>
      <c r="G793" s="207"/>
      <c r="H793" s="207"/>
      <c r="I793" s="207"/>
      <c r="J793" s="207"/>
      <c r="K793" s="207"/>
      <c r="L793" s="207"/>
      <c r="M793" s="207"/>
      <c r="N793" s="207"/>
      <c r="O793" s="207"/>
      <c r="P793" s="207"/>
      <c r="Q793" s="207"/>
      <c r="R793" s="207"/>
      <c r="S793" s="207"/>
      <c r="T793" s="207"/>
      <c r="U793" s="207"/>
      <c r="V793" s="207"/>
      <c r="W793" s="207"/>
      <c r="X793" s="207"/>
      <c r="Y793" s="207"/>
      <c r="Z793" s="207"/>
      <c r="AA793" s="207"/>
      <c r="AB793" s="207"/>
      <c r="AC793" s="207"/>
      <c r="AD793" s="207"/>
      <c r="AE793" s="207"/>
      <c r="AF793" s="207"/>
      <c r="AG793" s="207"/>
      <c r="AH793" s="207"/>
      <c r="AI793" s="207"/>
      <c r="AJ793" s="207"/>
      <c r="AK793" s="207"/>
      <c r="AL793" s="207"/>
      <c r="AM793" s="207"/>
      <c r="AN793" s="207"/>
      <c r="AO793" s="207"/>
      <c r="AP793" s="207"/>
      <c r="AQ793" s="207"/>
      <c r="AR793" s="207"/>
      <c r="AS793" s="207"/>
      <c r="AT793" s="207"/>
      <c r="AU793" s="207"/>
      <c r="AV793" s="207"/>
      <c r="AW793" s="207"/>
      <c r="AX793" s="207"/>
      <c r="AY793" s="207"/>
      <c r="AZ793" s="207"/>
      <c r="BA793" s="207"/>
    </row>
    <row r="794" ht="18.75" hidden="1" customHeight="1">
      <c r="A794" s="207"/>
      <c r="B794" s="207"/>
      <c r="C794" s="207"/>
      <c r="D794" s="207"/>
      <c r="E794" s="207"/>
      <c r="F794" s="207"/>
      <c r="G794" s="207"/>
      <c r="H794" s="207"/>
      <c r="I794" s="207"/>
      <c r="J794" s="207"/>
      <c r="K794" s="207"/>
      <c r="L794" s="207"/>
      <c r="M794" s="207"/>
      <c r="N794" s="207"/>
      <c r="O794" s="207"/>
      <c r="P794" s="207"/>
      <c r="Q794" s="207"/>
      <c r="R794" s="207"/>
      <c r="S794" s="207"/>
      <c r="T794" s="207"/>
      <c r="U794" s="207"/>
      <c r="V794" s="207"/>
      <c r="W794" s="207"/>
      <c r="X794" s="207"/>
      <c r="Y794" s="207"/>
      <c r="Z794" s="207"/>
      <c r="AA794" s="207"/>
      <c r="AB794" s="207"/>
      <c r="AC794" s="207"/>
      <c r="AD794" s="207"/>
      <c r="AE794" s="207"/>
      <c r="AF794" s="207"/>
      <c r="AG794" s="207"/>
      <c r="AH794" s="207"/>
      <c r="AI794" s="207"/>
      <c r="AJ794" s="207"/>
      <c r="AK794" s="207"/>
      <c r="AL794" s="207"/>
      <c r="AM794" s="207"/>
      <c r="AN794" s="207"/>
      <c r="AO794" s="207"/>
      <c r="AP794" s="207"/>
      <c r="AQ794" s="207"/>
      <c r="AR794" s="207"/>
      <c r="AS794" s="207"/>
      <c r="AT794" s="207"/>
      <c r="AU794" s="207"/>
      <c r="AV794" s="207"/>
      <c r="AW794" s="207"/>
      <c r="AX794" s="207"/>
      <c r="AY794" s="207"/>
      <c r="AZ794" s="207"/>
      <c r="BA794" s="207"/>
    </row>
    <row r="795" ht="18.75" hidden="1" customHeight="1">
      <c r="A795" s="207"/>
      <c r="B795" s="207"/>
      <c r="C795" s="207"/>
      <c r="D795" s="207"/>
      <c r="E795" s="207"/>
      <c r="F795" s="207"/>
      <c r="G795" s="207"/>
      <c r="H795" s="207"/>
      <c r="I795" s="207"/>
      <c r="J795" s="207"/>
      <c r="K795" s="207"/>
      <c r="L795" s="207"/>
      <c r="M795" s="207"/>
      <c r="N795" s="207"/>
      <c r="O795" s="207"/>
      <c r="P795" s="207"/>
      <c r="Q795" s="207"/>
      <c r="R795" s="207"/>
      <c r="S795" s="207"/>
      <c r="T795" s="207"/>
      <c r="U795" s="207"/>
      <c r="V795" s="207"/>
      <c r="W795" s="207"/>
      <c r="X795" s="207"/>
      <c r="Y795" s="207"/>
      <c r="Z795" s="207"/>
      <c r="AA795" s="207"/>
      <c r="AB795" s="207"/>
      <c r="AC795" s="207"/>
      <c r="AD795" s="207"/>
      <c r="AE795" s="207"/>
      <c r="AF795" s="207"/>
      <c r="AG795" s="207"/>
      <c r="AH795" s="207"/>
      <c r="AI795" s="207"/>
      <c r="AJ795" s="207"/>
      <c r="AK795" s="207"/>
      <c r="AL795" s="207"/>
      <c r="AM795" s="207"/>
      <c r="AN795" s="207"/>
      <c r="AO795" s="207"/>
      <c r="AP795" s="207"/>
      <c r="AQ795" s="207"/>
      <c r="AR795" s="207"/>
      <c r="AS795" s="207"/>
      <c r="AT795" s="207"/>
      <c r="AU795" s="207"/>
      <c r="AV795" s="207"/>
      <c r="AW795" s="207"/>
      <c r="AX795" s="207"/>
      <c r="AY795" s="207"/>
      <c r="AZ795" s="207"/>
      <c r="BA795" s="207"/>
    </row>
    <row r="796" ht="18.75" hidden="1" customHeight="1">
      <c r="A796" s="207"/>
      <c r="B796" s="207"/>
      <c r="C796" s="207"/>
      <c r="D796" s="207"/>
      <c r="E796" s="207"/>
      <c r="F796" s="207"/>
      <c r="G796" s="207"/>
      <c r="H796" s="207"/>
      <c r="I796" s="207"/>
      <c r="J796" s="207"/>
      <c r="K796" s="207"/>
      <c r="L796" s="207"/>
      <c r="M796" s="207"/>
      <c r="N796" s="207"/>
      <c r="O796" s="207"/>
      <c r="P796" s="207"/>
      <c r="Q796" s="207"/>
      <c r="R796" s="207"/>
      <c r="S796" s="207"/>
      <c r="T796" s="207"/>
      <c r="U796" s="207"/>
      <c r="V796" s="207"/>
      <c r="W796" s="207"/>
      <c r="X796" s="207"/>
      <c r="Y796" s="207"/>
      <c r="Z796" s="207"/>
      <c r="AA796" s="207"/>
      <c r="AB796" s="207"/>
      <c r="AC796" s="207"/>
      <c r="AD796" s="207"/>
      <c r="AE796" s="207"/>
      <c r="AF796" s="207"/>
      <c r="AG796" s="207"/>
      <c r="AH796" s="207"/>
      <c r="AI796" s="207"/>
      <c r="AJ796" s="207"/>
      <c r="AK796" s="207"/>
      <c r="AL796" s="207"/>
      <c r="AM796" s="207"/>
      <c r="AN796" s="207"/>
      <c r="AO796" s="207"/>
      <c r="AP796" s="207"/>
      <c r="AQ796" s="207"/>
      <c r="AR796" s="207"/>
      <c r="AS796" s="207"/>
      <c r="AT796" s="207"/>
      <c r="AU796" s="207"/>
      <c r="AV796" s="207"/>
      <c r="AW796" s="207"/>
      <c r="AX796" s="207"/>
      <c r="AY796" s="207"/>
      <c r="AZ796" s="207"/>
      <c r="BA796" s="207"/>
    </row>
    <row r="797" ht="18.75" hidden="1" customHeight="1">
      <c r="A797" s="207"/>
      <c r="B797" s="207"/>
      <c r="C797" s="207"/>
      <c r="D797" s="207"/>
      <c r="E797" s="207"/>
      <c r="F797" s="207"/>
      <c r="G797" s="207"/>
      <c r="H797" s="207"/>
      <c r="I797" s="207"/>
      <c r="J797" s="207"/>
      <c r="K797" s="207"/>
      <c r="L797" s="207"/>
      <c r="M797" s="207"/>
      <c r="N797" s="207"/>
      <c r="O797" s="207"/>
      <c r="P797" s="207"/>
      <c r="Q797" s="207"/>
      <c r="R797" s="207"/>
      <c r="S797" s="207"/>
      <c r="T797" s="207"/>
      <c r="U797" s="207"/>
      <c r="V797" s="207"/>
      <c r="W797" s="207"/>
      <c r="X797" s="207"/>
      <c r="Y797" s="207"/>
      <c r="Z797" s="207"/>
      <c r="AA797" s="207"/>
      <c r="AB797" s="207"/>
      <c r="AC797" s="207"/>
      <c r="AD797" s="207"/>
      <c r="AE797" s="207"/>
      <c r="AF797" s="207"/>
      <c r="AG797" s="207"/>
      <c r="AH797" s="207"/>
      <c r="AI797" s="207"/>
      <c r="AJ797" s="207"/>
      <c r="AK797" s="207"/>
      <c r="AL797" s="207"/>
      <c r="AM797" s="207"/>
      <c r="AN797" s="207"/>
      <c r="AO797" s="207"/>
      <c r="AP797" s="207"/>
      <c r="AQ797" s="207"/>
      <c r="AR797" s="207"/>
      <c r="AS797" s="207"/>
      <c r="AT797" s="207"/>
      <c r="AU797" s="207"/>
      <c r="AV797" s="207"/>
      <c r="AW797" s="207"/>
      <c r="AX797" s="207"/>
      <c r="AY797" s="207"/>
      <c r="AZ797" s="207"/>
      <c r="BA797" s="207"/>
    </row>
    <row r="798" ht="18.75" hidden="1" customHeight="1">
      <c r="A798" s="207"/>
      <c r="B798" s="207"/>
      <c r="C798" s="207"/>
      <c r="D798" s="207"/>
      <c r="E798" s="207"/>
      <c r="F798" s="207"/>
      <c r="G798" s="207"/>
      <c r="H798" s="207"/>
      <c r="I798" s="207"/>
      <c r="J798" s="207"/>
      <c r="K798" s="207"/>
      <c r="L798" s="207"/>
      <c r="M798" s="207"/>
      <c r="N798" s="207"/>
      <c r="O798" s="207"/>
      <c r="P798" s="207"/>
      <c r="Q798" s="207"/>
      <c r="R798" s="207"/>
      <c r="S798" s="207"/>
      <c r="T798" s="207"/>
      <c r="U798" s="207"/>
      <c r="V798" s="207"/>
      <c r="W798" s="207"/>
      <c r="X798" s="207"/>
      <c r="Y798" s="207"/>
      <c r="Z798" s="207"/>
      <c r="AA798" s="207"/>
      <c r="AB798" s="207"/>
      <c r="AC798" s="207"/>
      <c r="AD798" s="207"/>
      <c r="AE798" s="207"/>
      <c r="AF798" s="207"/>
      <c r="AG798" s="207"/>
      <c r="AH798" s="207"/>
      <c r="AI798" s="207"/>
      <c r="AJ798" s="207"/>
      <c r="AK798" s="207"/>
      <c r="AL798" s="207"/>
      <c r="AM798" s="207"/>
      <c r="AN798" s="207"/>
      <c r="AO798" s="207"/>
      <c r="AP798" s="207"/>
      <c r="AQ798" s="207"/>
      <c r="AR798" s="207"/>
      <c r="AS798" s="207"/>
      <c r="AT798" s="207"/>
      <c r="AU798" s="207"/>
      <c r="AV798" s="207"/>
      <c r="AW798" s="207"/>
      <c r="AX798" s="207"/>
      <c r="AY798" s="207"/>
      <c r="AZ798" s="207"/>
      <c r="BA798" s="207"/>
    </row>
    <row r="799" ht="18.75" hidden="1" customHeight="1">
      <c r="A799" s="207"/>
      <c r="B799" s="207"/>
      <c r="C799" s="207"/>
      <c r="D799" s="207"/>
      <c r="E799" s="207"/>
      <c r="F799" s="207"/>
      <c r="G799" s="207"/>
      <c r="H799" s="207"/>
      <c r="I799" s="207"/>
      <c r="J799" s="207"/>
      <c r="K799" s="207"/>
      <c r="L799" s="207"/>
      <c r="M799" s="207"/>
      <c r="N799" s="207"/>
      <c r="O799" s="207"/>
      <c r="P799" s="207"/>
      <c r="Q799" s="207"/>
      <c r="R799" s="207"/>
      <c r="S799" s="207"/>
      <c r="T799" s="207"/>
      <c r="U799" s="207"/>
      <c r="V799" s="207"/>
      <c r="W799" s="207"/>
      <c r="X799" s="207"/>
      <c r="Y799" s="207"/>
      <c r="Z799" s="207"/>
      <c r="AA799" s="207"/>
      <c r="AB799" s="207"/>
      <c r="AC799" s="207"/>
      <c r="AD799" s="207"/>
      <c r="AE799" s="207"/>
      <c r="AF799" s="207"/>
      <c r="AG799" s="207"/>
      <c r="AH799" s="207"/>
      <c r="AI799" s="207"/>
      <c r="AJ799" s="207"/>
      <c r="AK799" s="207"/>
      <c r="AL799" s="207"/>
      <c r="AM799" s="207"/>
      <c r="AN799" s="207"/>
      <c r="AO799" s="207"/>
      <c r="AP799" s="207"/>
      <c r="AQ799" s="207"/>
      <c r="AR799" s="207"/>
      <c r="AS799" s="207"/>
      <c r="AT799" s="207"/>
      <c r="AU799" s="207"/>
      <c r="AV799" s="207"/>
      <c r="AW799" s="207"/>
      <c r="AX799" s="207"/>
      <c r="AY799" s="207"/>
      <c r="AZ799" s="207"/>
      <c r="BA799" s="207"/>
    </row>
    <row r="800" ht="18.75" hidden="1" customHeight="1">
      <c r="A800" s="207"/>
      <c r="B800" s="207"/>
      <c r="C800" s="207"/>
      <c r="D800" s="207"/>
      <c r="E800" s="207"/>
      <c r="F800" s="207"/>
      <c r="G800" s="207"/>
      <c r="H800" s="207"/>
      <c r="I800" s="207"/>
      <c r="J800" s="207"/>
      <c r="K800" s="207"/>
      <c r="L800" s="207"/>
      <c r="M800" s="207"/>
      <c r="N800" s="207"/>
      <c r="O800" s="207"/>
      <c r="P800" s="207"/>
      <c r="Q800" s="207"/>
      <c r="R800" s="207"/>
      <c r="S800" s="207"/>
      <c r="T800" s="207"/>
      <c r="U800" s="207"/>
      <c r="V800" s="207"/>
      <c r="W800" s="207"/>
      <c r="X800" s="207"/>
      <c r="Y800" s="207"/>
      <c r="Z800" s="207"/>
      <c r="AA800" s="207"/>
      <c r="AB800" s="207"/>
      <c r="AC800" s="207"/>
      <c r="AD800" s="207"/>
      <c r="AE800" s="207"/>
      <c r="AF800" s="207"/>
      <c r="AG800" s="207"/>
      <c r="AH800" s="207"/>
      <c r="AI800" s="207"/>
      <c r="AJ800" s="207"/>
      <c r="AK800" s="207"/>
      <c r="AL800" s="207"/>
      <c r="AM800" s="207"/>
      <c r="AN800" s="207"/>
      <c r="AO800" s="207"/>
      <c r="AP800" s="207"/>
      <c r="AQ800" s="207"/>
      <c r="AR800" s="207"/>
      <c r="AS800" s="207"/>
      <c r="AT800" s="207"/>
      <c r="AU800" s="207"/>
      <c r="AV800" s="207"/>
      <c r="AW800" s="207"/>
      <c r="AX800" s="207"/>
      <c r="AY800" s="207"/>
      <c r="AZ800" s="207"/>
      <c r="BA800" s="207"/>
    </row>
    <row r="801" ht="18.75" hidden="1" customHeight="1">
      <c r="A801" s="207"/>
      <c r="B801" s="207"/>
      <c r="C801" s="207"/>
      <c r="D801" s="207"/>
      <c r="E801" s="207"/>
      <c r="F801" s="207"/>
      <c r="G801" s="207"/>
      <c r="H801" s="207"/>
      <c r="I801" s="207"/>
      <c r="J801" s="207"/>
      <c r="K801" s="207"/>
      <c r="L801" s="207"/>
      <c r="M801" s="207"/>
      <c r="N801" s="207"/>
      <c r="O801" s="207"/>
      <c r="P801" s="207"/>
      <c r="Q801" s="207"/>
      <c r="R801" s="207"/>
      <c r="S801" s="207"/>
      <c r="T801" s="207"/>
      <c r="U801" s="207"/>
      <c r="V801" s="207"/>
      <c r="W801" s="207"/>
      <c r="X801" s="207"/>
      <c r="Y801" s="207"/>
      <c r="Z801" s="207"/>
      <c r="AA801" s="207"/>
      <c r="AB801" s="207"/>
      <c r="AC801" s="207"/>
      <c r="AD801" s="207"/>
      <c r="AE801" s="207"/>
      <c r="AF801" s="207"/>
      <c r="AG801" s="207"/>
      <c r="AH801" s="207"/>
      <c r="AI801" s="207"/>
      <c r="AJ801" s="207"/>
      <c r="AK801" s="207"/>
      <c r="AL801" s="207"/>
      <c r="AM801" s="207"/>
      <c r="AN801" s="207"/>
      <c r="AO801" s="207"/>
      <c r="AP801" s="207"/>
      <c r="AQ801" s="207"/>
      <c r="AR801" s="207"/>
      <c r="AS801" s="207"/>
      <c r="AT801" s="207"/>
      <c r="AU801" s="207"/>
      <c r="AV801" s="207"/>
      <c r="AW801" s="207"/>
      <c r="AX801" s="207"/>
      <c r="AY801" s="207"/>
      <c r="AZ801" s="207"/>
      <c r="BA801" s="207"/>
    </row>
    <row r="802" ht="18.75" hidden="1" customHeight="1">
      <c r="A802" s="207"/>
      <c r="B802" s="207"/>
      <c r="C802" s="207"/>
      <c r="D802" s="207"/>
      <c r="E802" s="207"/>
      <c r="F802" s="207"/>
      <c r="G802" s="207"/>
      <c r="H802" s="207"/>
      <c r="I802" s="207"/>
      <c r="J802" s="207"/>
      <c r="K802" s="207"/>
      <c r="L802" s="207"/>
      <c r="M802" s="207"/>
      <c r="N802" s="207"/>
      <c r="O802" s="207"/>
      <c r="P802" s="207"/>
      <c r="Q802" s="207"/>
      <c r="R802" s="207"/>
      <c r="S802" s="207"/>
      <c r="T802" s="207"/>
      <c r="U802" s="207"/>
      <c r="V802" s="207"/>
      <c r="W802" s="207"/>
      <c r="X802" s="207"/>
      <c r="Y802" s="207"/>
      <c r="Z802" s="207"/>
      <c r="AA802" s="207"/>
      <c r="AB802" s="207"/>
      <c r="AC802" s="207"/>
      <c r="AD802" s="207"/>
      <c r="AE802" s="207"/>
      <c r="AF802" s="207"/>
      <c r="AG802" s="207"/>
      <c r="AH802" s="207"/>
      <c r="AI802" s="207"/>
      <c r="AJ802" s="207"/>
      <c r="AK802" s="207"/>
      <c r="AL802" s="207"/>
      <c r="AM802" s="207"/>
      <c r="AN802" s="207"/>
      <c r="AO802" s="207"/>
      <c r="AP802" s="207"/>
      <c r="AQ802" s="207"/>
      <c r="AR802" s="207"/>
      <c r="AS802" s="207"/>
      <c r="AT802" s="207"/>
      <c r="AU802" s="207"/>
      <c r="AV802" s="207"/>
      <c r="AW802" s="207"/>
      <c r="AX802" s="207"/>
      <c r="AY802" s="207"/>
      <c r="AZ802" s="207"/>
      <c r="BA802" s="207"/>
    </row>
    <row r="803" ht="18.75" hidden="1" customHeight="1">
      <c r="A803" s="207"/>
      <c r="B803" s="207"/>
      <c r="C803" s="207"/>
      <c r="D803" s="207"/>
      <c r="E803" s="207"/>
      <c r="F803" s="207"/>
      <c r="G803" s="207"/>
      <c r="H803" s="207"/>
      <c r="I803" s="207"/>
      <c r="J803" s="207"/>
      <c r="K803" s="207"/>
      <c r="L803" s="207"/>
      <c r="M803" s="207"/>
      <c r="N803" s="207"/>
      <c r="O803" s="207"/>
      <c r="P803" s="207"/>
      <c r="Q803" s="207"/>
      <c r="R803" s="207"/>
      <c r="S803" s="207"/>
      <c r="T803" s="207"/>
      <c r="U803" s="207"/>
      <c r="V803" s="207"/>
      <c r="W803" s="207"/>
      <c r="X803" s="207"/>
      <c r="Y803" s="207"/>
      <c r="Z803" s="207"/>
      <c r="AA803" s="207"/>
      <c r="AB803" s="207"/>
      <c r="AC803" s="207"/>
      <c r="AD803" s="207"/>
      <c r="AE803" s="207"/>
      <c r="AF803" s="207"/>
      <c r="AG803" s="207"/>
      <c r="AH803" s="207"/>
      <c r="AI803" s="207"/>
      <c r="AJ803" s="207"/>
      <c r="AK803" s="207"/>
      <c r="AL803" s="207"/>
      <c r="AM803" s="207"/>
      <c r="AN803" s="207"/>
      <c r="AO803" s="207"/>
      <c r="AP803" s="207"/>
      <c r="AQ803" s="207"/>
      <c r="AR803" s="207"/>
      <c r="AS803" s="207"/>
      <c r="AT803" s="207"/>
      <c r="AU803" s="207"/>
      <c r="AV803" s="207"/>
      <c r="AW803" s="207"/>
      <c r="AX803" s="207"/>
      <c r="AY803" s="207"/>
      <c r="AZ803" s="207"/>
      <c r="BA803" s="207"/>
    </row>
    <row r="804" ht="18.75" hidden="1" customHeight="1">
      <c r="A804" s="207"/>
      <c r="B804" s="207"/>
      <c r="C804" s="207"/>
      <c r="D804" s="207"/>
      <c r="E804" s="207"/>
      <c r="F804" s="207"/>
      <c r="G804" s="207"/>
      <c r="H804" s="207"/>
      <c r="I804" s="207"/>
      <c r="J804" s="207"/>
      <c r="K804" s="207"/>
      <c r="L804" s="207"/>
      <c r="M804" s="207"/>
      <c r="N804" s="207"/>
      <c r="O804" s="207"/>
      <c r="P804" s="207"/>
      <c r="Q804" s="207"/>
      <c r="R804" s="207"/>
      <c r="S804" s="207"/>
      <c r="T804" s="207"/>
      <c r="U804" s="207"/>
      <c r="V804" s="207"/>
      <c r="W804" s="207"/>
      <c r="X804" s="207"/>
      <c r="Y804" s="207"/>
      <c r="Z804" s="207"/>
      <c r="AA804" s="207"/>
      <c r="AB804" s="207"/>
      <c r="AC804" s="207"/>
      <c r="AD804" s="207"/>
      <c r="AE804" s="207"/>
      <c r="AF804" s="207"/>
      <c r="AG804" s="207"/>
      <c r="AH804" s="207"/>
      <c r="AI804" s="207"/>
      <c r="AJ804" s="207"/>
      <c r="AK804" s="207"/>
      <c r="AL804" s="207"/>
      <c r="AM804" s="207"/>
      <c r="AN804" s="207"/>
      <c r="AO804" s="207"/>
      <c r="AP804" s="207"/>
      <c r="AQ804" s="207"/>
      <c r="AR804" s="207"/>
      <c r="AS804" s="207"/>
      <c r="AT804" s="207"/>
      <c r="AU804" s="207"/>
      <c r="AV804" s="207"/>
      <c r="AW804" s="207"/>
      <c r="AX804" s="207"/>
      <c r="AY804" s="207"/>
      <c r="AZ804" s="207"/>
      <c r="BA804" s="207"/>
    </row>
    <row r="805" ht="18.75" hidden="1" customHeight="1">
      <c r="A805" s="207"/>
      <c r="B805" s="207"/>
      <c r="C805" s="207"/>
      <c r="D805" s="207"/>
      <c r="E805" s="207"/>
      <c r="F805" s="207"/>
      <c r="G805" s="207"/>
      <c r="H805" s="207"/>
      <c r="I805" s="207"/>
      <c r="J805" s="207"/>
      <c r="K805" s="207"/>
      <c r="L805" s="207"/>
      <c r="M805" s="207"/>
      <c r="N805" s="207"/>
      <c r="O805" s="207"/>
      <c r="P805" s="207"/>
      <c r="Q805" s="207"/>
      <c r="R805" s="207"/>
      <c r="S805" s="207"/>
      <c r="T805" s="207"/>
      <c r="U805" s="207"/>
      <c r="V805" s="207"/>
      <c r="W805" s="207"/>
      <c r="X805" s="207"/>
      <c r="Y805" s="207"/>
      <c r="Z805" s="207"/>
      <c r="AA805" s="207"/>
      <c r="AB805" s="207"/>
      <c r="AC805" s="207"/>
      <c r="AD805" s="207"/>
      <c r="AE805" s="207"/>
      <c r="AF805" s="207"/>
      <c r="AG805" s="207"/>
      <c r="AH805" s="207"/>
      <c r="AI805" s="207"/>
      <c r="AJ805" s="207"/>
      <c r="AK805" s="207"/>
      <c r="AL805" s="207"/>
      <c r="AM805" s="207"/>
      <c r="AN805" s="207"/>
      <c r="AO805" s="207"/>
      <c r="AP805" s="207"/>
      <c r="AQ805" s="207"/>
      <c r="AR805" s="207"/>
      <c r="AS805" s="207"/>
      <c r="AT805" s="207"/>
      <c r="AU805" s="207"/>
      <c r="AV805" s="207"/>
      <c r="AW805" s="207"/>
      <c r="AX805" s="207"/>
      <c r="AY805" s="207"/>
      <c r="AZ805" s="207"/>
      <c r="BA805" s="207"/>
    </row>
    <row r="806" ht="18.75" hidden="1" customHeight="1">
      <c r="A806" s="207"/>
      <c r="B806" s="207"/>
      <c r="C806" s="207"/>
      <c r="D806" s="207"/>
      <c r="E806" s="207"/>
      <c r="F806" s="207"/>
      <c r="G806" s="207"/>
      <c r="H806" s="207"/>
      <c r="I806" s="207"/>
      <c r="J806" s="207"/>
      <c r="K806" s="207"/>
      <c r="L806" s="207"/>
      <c r="M806" s="207"/>
      <c r="N806" s="207"/>
      <c r="O806" s="207"/>
      <c r="P806" s="207"/>
      <c r="Q806" s="207"/>
      <c r="R806" s="207"/>
      <c r="S806" s="207"/>
      <c r="T806" s="207"/>
      <c r="U806" s="207"/>
      <c r="V806" s="207"/>
      <c r="W806" s="207"/>
      <c r="X806" s="207"/>
      <c r="Y806" s="207"/>
      <c r="Z806" s="207"/>
      <c r="AA806" s="207"/>
      <c r="AB806" s="207"/>
      <c r="AC806" s="207"/>
      <c r="AD806" s="207"/>
      <c r="AE806" s="207"/>
      <c r="AF806" s="207"/>
      <c r="AG806" s="207"/>
      <c r="AH806" s="207"/>
      <c r="AI806" s="207"/>
      <c r="AJ806" s="207"/>
      <c r="AK806" s="207"/>
      <c r="AL806" s="207"/>
      <c r="AM806" s="207"/>
      <c r="AN806" s="207"/>
      <c r="AO806" s="207"/>
      <c r="AP806" s="207"/>
      <c r="AQ806" s="207"/>
      <c r="AR806" s="207"/>
      <c r="AS806" s="207"/>
      <c r="AT806" s="207"/>
      <c r="AU806" s="207"/>
      <c r="AV806" s="207"/>
      <c r="AW806" s="207"/>
      <c r="AX806" s="207"/>
      <c r="AY806" s="207"/>
      <c r="AZ806" s="207"/>
      <c r="BA806" s="207"/>
    </row>
    <row r="807" ht="18.75" hidden="1" customHeight="1">
      <c r="A807" s="207"/>
      <c r="B807" s="207"/>
      <c r="C807" s="207"/>
      <c r="D807" s="207"/>
      <c r="E807" s="207"/>
      <c r="F807" s="207"/>
      <c r="G807" s="207"/>
      <c r="H807" s="207"/>
      <c r="I807" s="207"/>
      <c r="J807" s="207"/>
      <c r="K807" s="207"/>
      <c r="L807" s="207"/>
      <c r="M807" s="207"/>
      <c r="N807" s="207"/>
      <c r="O807" s="207"/>
      <c r="P807" s="207"/>
      <c r="Q807" s="207"/>
      <c r="R807" s="207"/>
      <c r="S807" s="207"/>
      <c r="T807" s="207"/>
      <c r="U807" s="207"/>
      <c r="V807" s="207"/>
      <c r="W807" s="207"/>
      <c r="X807" s="207"/>
      <c r="Y807" s="207"/>
      <c r="Z807" s="207"/>
      <c r="AA807" s="207"/>
      <c r="AB807" s="207"/>
      <c r="AC807" s="207"/>
      <c r="AD807" s="207"/>
      <c r="AE807" s="207"/>
      <c r="AF807" s="207"/>
      <c r="AG807" s="207"/>
      <c r="AH807" s="207"/>
      <c r="AI807" s="207"/>
      <c r="AJ807" s="207"/>
      <c r="AK807" s="207"/>
      <c r="AL807" s="207"/>
      <c r="AM807" s="207"/>
      <c r="AN807" s="207"/>
      <c r="AO807" s="207"/>
      <c r="AP807" s="207"/>
      <c r="AQ807" s="207"/>
      <c r="AR807" s="207"/>
      <c r="AS807" s="207"/>
      <c r="AT807" s="207"/>
      <c r="AU807" s="207"/>
      <c r="AV807" s="207"/>
      <c r="AW807" s="207"/>
      <c r="AX807" s="207"/>
      <c r="AY807" s="207"/>
      <c r="AZ807" s="207"/>
      <c r="BA807" s="207"/>
    </row>
    <row r="808" ht="18.75" hidden="1" customHeight="1">
      <c r="A808" s="207"/>
      <c r="B808" s="207"/>
      <c r="C808" s="207"/>
      <c r="D808" s="207"/>
      <c r="E808" s="207"/>
      <c r="F808" s="207"/>
      <c r="G808" s="207"/>
      <c r="H808" s="207"/>
      <c r="I808" s="207"/>
      <c r="J808" s="207"/>
      <c r="K808" s="207"/>
      <c r="L808" s="207"/>
      <c r="M808" s="207"/>
      <c r="N808" s="207"/>
      <c r="O808" s="207"/>
      <c r="P808" s="207"/>
      <c r="Q808" s="207"/>
      <c r="R808" s="207"/>
      <c r="S808" s="207"/>
      <c r="T808" s="207"/>
      <c r="U808" s="207"/>
      <c r="V808" s="207"/>
      <c r="W808" s="207"/>
      <c r="X808" s="207"/>
      <c r="Y808" s="207"/>
      <c r="Z808" s="207"/>
      <c r="AA808" s="207"/>
      <c r="AB808" s="207"/>
      <c r="AC808" s="207"/>
      <c r="AD808" s="207"/>
      <c r="AE808" s="207"/>
      <c r="AF808" s="207"/>
      <c r="AG808" s="207"/>
      <c r="AH808" s="207"/>
      <c r="AI808" s="207"/>
      <c r="AJ808" s="207"/>
      <c r="AK808" s="207"/>
      <c r="AL808" s="207"/>
      <c r="AM808" s="207"/>
      <c r="AN808" s="207"/>
      <c r="AO808" s="207"/>
      <c r="AP808" s="207"/>
      <c r="AQ808" s="207"/>
      <c r="AR808" s="207"/>
      <c r="AS808" s="207"/>
      <c r="AT808" s="207"/>
      <c r="AU808" s="207"/>
      <c r="AV808" s="207"/>
      <c r="AW808" s="207"/>
      <c r="AX808" s="207"/>
      <c r="AY808" s="207"/>
      <c r="AZ808" s="207"/>
      <c r="BA808" s="207"/>
    </row>
    <row r="809" ht="18.75" hidden="1" customHeight="1">
      <c r="A809" s="207"/>
      <c r="B809" s="207"/>
      <c r="C809" s="207"/>
      <c r="D809" s="207"/>
      <c r="E809" s="207"/>
      <c r="F809" s="207"/>
      <c r="G809" s="207"/>
      <c r="H809" s="207"/>
      <c r="I809" s="207"/>
      <c r="J809" s="207"/>
      <c r="K809" s="207"/>
      <c r="L809" s="207"/>
      <c r="M809" s="207"/>
      <c r="N809" s="207"/>
      <c r="O809" s="207"/>
      <c r="P809" s="207"/>
      <c r="Q809" s="207"/>
      <c r="R809" s="207"/>
      <c r="S809" s="207"/>
      <c r="T809" s="207"/>
      <c r="U809" s="207"/>
      <c r="V809" s="207"/>
      <c r="W809" s="207"/>
      <c r="X809" s="207"/>
      <c r="Y809" s="207"/>
      <c r="Z809" s="207"/>
      <c r="AA809" s="207"/>
      <c r="AB809" s="207"/>
      <c r="AC809" s="207"/>
      <c r="AD809" s="207"/>
      <c r="AE809" s="207"/>
      <c r="AF809" s="207"/>
      <c r="AG809" s="207"/>
      <c r="AH809" s="207"/>
      <c r="AI809" s="207"/>
      <c r="AJ809" s="207"/>
      <c r="AK809" s="207"/>
      <c r="AL809" s="207"/>
      <c r="AM809" s="207"/>
      <c r="AN809" s="207"/>
      <c r="AO809" s="207"/>
      <c r="AP809" s="207"/>
      <c r="AQ809" s="207"/>
      <c r="AR809" s="207"/>
      <c r="AS809" s="207"/>
      <c r="AT809" s="207"/>
      <c r="AU809" s="207"/>
      <c r="AV809" s="207"/>
      <c r="AW809" s="207"/>
      <c r="AX809" s="207"/>
      <c r="AY809" s="207"/>
      <c r="AZ809" s="207"/>
      <c r="BA809" s="207"/>
    </row>
    <row r="810" ht="18.75" hidden="1" customHeight="1">
      <c r="A810" s="207"/>
      <c r="B810" s="207"/>
      <c r="C810" s="207"/>
      <c r="D810" s="207"/>
      <c r="E810" s="207"/>
      <c r="F810" s="207"/>
      <c r="G810" s="207"/>
      <c r="H810" s="207"/>
      <c r="I810" s="207"/>
      <c r="J810" s="207"/>
      <c r="K810" s="207"/>
      <c r="L810" s="207"/>
      <c r="M810" s="207"/>
      <c r="N810" s="207"/>
      <c r="O810" s="207"/>
      <c r="P810" s="207"/>
      <c r="Q810" s="207"/>
      <c r="R810" s="207"/>
      <c r="S810" s="207"/>
      <c r="T810" s="207"/>
      <c r="U810" s="207"/>
      <c r="V810" s="207"/>
      <c r="W810" s="207"/>
      <c r="X810" s="207"/>
      <c r="Y810" s="207"/>
      <c r="Z810" s="207"/>
      <c r="AA810" s="207"/>
      <c r="AB810" s="207"/>
      <c r="AC810" s="207"/>
      <c r="AD810" s="207"/>
      <c r="AE810" s="207"/>
      <c r="AF810" s="207"/>
      <c r="AG810" s="207"/>
      <c r="AH810" s="207"/>
      <c r="AI810" s="207"/>
      <c r="AJ810" s="207"/>
      <c r="AK810" s="207"/>
      <c r="AL810" s="207"/>
      <c r="AM810" s="207"/>
      <c r="AN810" s="207"/>
      <c r="AO810" s="207"/>
      <c r="AP810" s="207"/>
      <c r="AQ810" s="207"/>
      <c r="AR810" s="207"/>
      <c r="AS810" s="207"/>
      <c r="AT810" s="207"/>
      <c r="AU810" s="207"/>
      <c r="AV810" s="207"/>
      <c r="AW810" s="207"/>
      <c r="AX810" s="207"/>
      <c r="AY810" s="207"/>
      <c r="AZ810" s="207"/>
      <c r="BA810" s="207"/>
    </row>
    <row r="811" ht="18.75" hidden="1" customHeight="1">
      <c r="A811" s="207"/>
      <c r="B811" s="207"/>
      <c r="C811" s="207"/>
      <c r="D811" s="207"/>
      <c r="E811" s="207"/>
      <c r="F811" s="207"/>
      <c r="G811" s="207"/>
      <c r="H811" s="207"/>
      <c r="I811" s="207"/>
      <c r="J811" s="207"/>
      <c r="K811" s="207"/>
      <c r="L811" s="207"/>
      <c r="M811" s="207"/>
      <c r="N811" s="207"/>
      <c r="O811" s="207"/>
      <c r="P811" s="207"/>
      <c r="Q811" s="207"/>
      <c r="R811" s="207"/>
      <c r="S811" s="207"/>
      <c r="T811" s="207"/>
      <c r="U811" s="207"/>
      <c r="V811" s="207"/>
      <c r="W811" s="207"/>
      <c r="X811" s="207"/>
      <c r="Y811" s="207"/>
      <c r="Z811" s="207"/>
      <c r="AA811" s="207"/>
      <c r="AB811" s="207"/>
      <c r="AC811" s="207"/>
      <c r="AD811" s="207"/>
      <c r="AE811" s="207"/>
      <c r="AF811" s="207"/>
      <c r="AG811" s="207"/>
      <c r="AH811" s="207"/>
      <c r="AI811" s="207"/>
      <c r="AJ811" s="207"/>
      <c r="AK811" s="207"/>
      <c r="AL811" s="207"/>
      <c r="AM811" s="207"/>
      <c r="AN811" s="207"/>
      <c r="AO811" s="207"/>
      <c r="AP811" s="207"/>
      <c r="AQ811" s="207"/>
      <c r="AR811" s="207"/>
      <c r="AS811" s="207"/>
      <c r="AT811" s="207"/>
      <c r="AU811" s="207"/>
      <c r="AV811" s="207"/>
      <c r="AW811" s="207"/>
      <c r="AX811" s="207"/>
      <c r="AY811" s="207"/>
      <c r="AZ811" s="207"/>
      <c r="BA811" s="207"/>
    </row>
    <row r="812" ht="18.75" hidden="1" customHeight="1">
      <c r="A812" s="207"/>
      <c r="B812" s="207"/>
      <c r="C812" s="207"/>
      <c r="D812" s="207"/>
      <c r="E812" s="207"/>
      <c r="F812" s="207"/>
      <c r="G812" s="207"/>
      <c r="H812" s="207"/>
      <c r="I812" s="207"/>
      <c r="J812" s="207"/>
      <c r="K812" s="207"/>
      <c r="L812" s="207"/>
      <c r="M812" s="207"/>
      <c r="N812" s="207"/>
      <c r="O812" s="207"/>
      <c r="P812" s="207"/>
      <c r="Q812" s="207"/>
      <c r="R812" s="207"/>
      <c r="S812" s="207"/>
      <c r="T812" s="207"/>
      <c r="U812" s="207"/>
      <c r="V812" s="207"/>
      <c r="W812" s="207"/>
      <c r="X812" s="207"/>
      <c r="Y812" s="207"/>
      <c r="Z812" s="207"/>
      <c r="AA812" s="207"/>
      <c r="AB812" s="207"/>
      <c r="AC812" s="207"/>
      <c r="AD812" s="207"/>
      <c r="AE812" s="207"/>
      <c r="AF812" s="207"/>
      <c r="AG812" s="207"/>
      <c r="AH812" s="207"/>
      <c r="AI812" s="207"/>
      <c r="AJ812" s="207"/>
      <c r="AK812" s="207"/>
      <c r="AL812" s="207"/>
      <c r="AM812" s="207"/>
      <c r="AN812" s="207"/>
      <c r="AO812" s="207"/>
      <c r="AP812" s="207"/>
      <c r="AQ812" s="207"/>
      <c r="AR812" s="207"/>
      <c r="AS812" s="207"/>
      <c r="AT812" s="207"/>
      <c r="AU812" s="207"/>
      <c r="AV812" s="207"/>
      <c r="AW812" s="207"/>
      <c r="AX812" s="207"/>
      <c r="AY812" s="207"/>
      <c r="AZ812" s="207"/>
      <c r="BA812" s="207"/>
    </row>
    <row r="813" ht="18.75" hidden="1" customHeight="1">
      <c r="A813" s="207"/>
      <c r="B813" s="207"/>
      <c r="C813" s="207"/>
      <c r="D813" s="207"/>
      <c r="E813" s="207"/>
      <c r="F813" s="207"/>
      <c r="G813" s="207"/>
      <c r="H813" s="207"/>
      <c r="I813" s="207"/>
      <c r="J813" s="207"/>
      <c r="K813" s="207"/>
      <c r="L813" s="207"/>
      <c r="M813" s="207"/>
      <c r="N813" s="207"/>
      <c r="O813" s="207"/>
      <c r="P813" s="207"/>
      <c r="Q813" s="207"/>
      <c r="R813" s="207"/>
      <c r="S813" s="207"/>
      <c r="T813" s="207"/>
      <c r="U813" s="207"/>
      <c r="V813" s="207"/>
      <c r="W813" s="207"/>
      <c r="X813" s="207"/>
      <c r="Y813" s="207"/>
      <c r="Z813" s="207"/>
      <c r="AA813" s="207"/>
      <c r="AB813" s="207"/>
      <c r="AC813" s="207"/>
      <c r="AD813" s="207"/>
      <c r="AE813" s="207"/>
      <c r="AF813" s="207"/>
      <c r="AG813" s="207"/>
      <c r="AH813" s="207"/>
      <c r="AI813" s="207"/>
      <c r="AJ813" s="207"/>
      <c r="AK813" s="207"/>
      <c r="AL813" s="207"/>
      <c r="AM813" s="207"/>
      <c r="AN813" s="207"/>
      <c r="AO813" s="207"/>
      <c r="AP813" s="207"/>
      <c r="AQ813" s="207"/>
      <c r="AR813" s="207"/>
      <c r="AS813" s="207"/>
      <c r="AT813" s="207"/>
      <c r="AU813" s="207"/>
      <c r="AV813" s="207"/>
      <c r="AW813" s="207"/>
      <c r="AX813" s="207"/>
      <c r="AY813" s="207"/>
      <c r="AZ813" s="207"/>
      <c r="BA813" s="207"/>
    </row>
    <row r="814" ht="18.75" hidden="1" customHeight="1">
      <c r="A814" s="207"/>
      <c r="B814" s="207"/>
      <c r="C814" s="207"/>
      <c r="D814" s="207"/>
      <c r="E814" s="207"/>
      <c r="F814" s="207"/>
      <c r="G814" s="207"/>
      <c r="H814" s="207"/>
      <c r="I814" s="207"/>
      <c r="J814" s="207"/>
      <c r="K814" s="207"/>
      <c r="L814" s="207"/>
      <c r="M814" s="207"/>
      <c r="N814" s="207"/>
      <c r="O814" s="207"/>
      <c r="P814" s="207"/>
      <c r="Q814" s="207"/>
      <c r="R814" s="207"/>
      <c r="S814" s="207"/>
      <c r="T814" s="207"/>
      <c r="U814" s="207"/>
      <c r="V814" s="207"/>
      <c r="W814" s="207"/>
      <c r="X814" s="207"/>
      <c r="Y814" s="207"/>
      <c r="Z814" s="207"/>
      <c r="AA814" s="207"/>
      <c r="AB814" s="207"/>
      <c r="AC814" s="207"/>
      <c r="AD814" s="207"/>
      <c r="AE814" s="207"/>
      <c r="AF814" s="207"/>
      <c r="AG814" s="207"/>
      <c r="AH814" s="207"/>
      <c r="AI814" s="207"/>
      <c r="AJ814" s="207"/>
      <c r="AK814" s="207"/>
      <c r="AL814" s="207"/>
      <c r="AM814" s="207"/>
      <c r="AN814" s="207"/>
      <c r="AO814" s="207"/>
      <c r="AP814" s="207"/>
      <c r="AQ814" s="207"/>
      <c r="AR814" s="207"/>
      <c r="AS814" s="207"/>
      <c r="AT814" s="207"/>
      <c r="AU814" s="207"/>
      <c r="AV814" s="207"/>
      <c r="AW814" s="207"/>
      <c r="AX814" s="207"/>
      <c r="AY814" s="207"/>
      <c r="AZ814" s="207"/>
      <c r="BA814" s="207"/>
    </row>
    <row r="815" ht="18.75" hidden="1" customHeight="1">
      <c r="A815" s="207"/>
      <c r="B815" s="207"/>
      <c r="C815" s="207"/>
      <c r="D815" s="207"/>
      <c r="E815" s="207"/>
      <c r="F815" s="207"/>
      <c r="G815" s="207"/>
      <c r="H815" s="207"/>
      <c r="I815" s="207"/>
      <c r="J815" s="207"/>
      <c r="K815" s="207"/>
      <c r="L815" s="207"/>
      <c r="M815" s="207"/>
      <c r="N815" s="207"/>
      <c r="O815" s="207"/>
      <c r="P815" s="207"/>
      <c r="Q815" s="207"/>
      <c r="R815" s="207"/>
      <c r="S815" s="207"/>
      <c r="T815" s="207"/>
      <c r="U815" s="207"/>
      <c r="V815" s="207"/>
      <c r="W815" s="207"/>
      <c r="X815" s="207"/>
      <c r="Y815" s="207"/>
      <c r="Z815" s="207"/>
      <c r="AA815" s="207"/>
      <c r="AB815" s="207"/>
      <c r="AC815" s="207"/>
      <c r="AD815" s="207"/>
      <c r="AE815" s="207"/>
      <c r="AF815" s="207"/>
      <c r="AG815" s="207"/>
      <c r="AH815" s="207"/>
      <c r="AI815" s="207"/>
      <c r="AJ815" s="207"/>
      <c r="AK815" s="207"/>
      <c r="AL815" s="207"/>
      <c r="AM815" s="207"/>
      <c r="AN815" s="207"/>
      <c r="AO815" s="207"/>
      <c r="AP815" s="207"/>
      <c r="AQ815" s="207"/>
      <c r="AR815" s="207"/>
      <c r="AS815" s="207"/>
      <c r="AT815" s="207"/>
      <c r="AU815" s="207"/>
      <c r="AV815" s="207"/>
      <c r="AW815" s="207"/>
      <c r="AX815" s="207"/>
      <c r="AY815" s="207"/>
      <c r="AZ815" s="207"/>
      <c r="BA815" s="207"/>
    </row>
    <row r="816" ht="18.75" hidden="1" customHeight="1">
      <c r="A816" s="207"/>
      <c r="B816" s="207"/>
      <c r="C816" s="207"/>
      <c r="D816" s="207"/>
      <c r="E816" s="207"/>
      <c r="F816" s="207"/>
      <c r="G816" s="207"/>
      <c r="H816" s="207"/>
      <c r="I816" s="207"/>
      <c r="J816" s="207"/>
      <c r="K816" s="207"/>
      <c r="L816" s="207"/>
      <c r="M816" s="207"/>
      <c r="N816" s="207"/>
      <c r="O816" s="207"/>
      <c r="P816" s="207"/>
      <c r="Q816" s="207"/>
      <c r="R816" s="207"/>
      <c r="S816" s="207"/>
      <c r="T816" s="207"/>
      <c r="U816" s="207"/>
      <c r="V816" s="207"/>
      <c r="W816" s="207"/>
      <c r="X816" s="207"/>
      <c r="Y816" s="207"/>
      <c r="Z816" s="207"/>
      <c r="AA816" s="207"/>
      <c r="AB816" s="207"/>
      <c r="AC816" s="207"/>
      <c r="AD816" s="207"/>
      <c r="AE816" s="207"/>
      <c r="AF816" s="207"/>
      <c r="AG816" s="207"/>
      <c r="AH816" s="207"/>
      <c r="AI816" s="207"/>
      <c r="AJ816" s="207"/>
      <c r="AK816" s="207"/>
      <c r="AL816" s="207"/>
      <c r="AM816" s="207"/>
      <c r="AN816" s="207"/>
      <c r="AO816" s="207"/>
      <c r="AP816" s="207"/>
      <c r="AQ816" s="207"/>
      <c r="AR816" s="207"/>
      <c r="AS816" s="207"/>
      <c r="AT816" s="207"/>
      <c r="AU816" s="207"/>
      <c r="AV816" s="207"/>
      <c r="AW816" s="207"/>
      <c r="AX816" s="207"/>
      <c r="AY816" s="207"/>
      <c r="AZ816" s="207"/>
      <c r="BA816" s="207"/>
    </row>
    <row r="817" ht="18.75" hidden="1" customHeight="1">
      <c r="A817" s="207"/>
      <c r="B817" s="207"/>
      <c r="C817" s="207"/>
      <c r="D817" s="207"/>
      <c r="E817" s="207"/>
      <c r="F817" s="207"/>
      <c r="G817" s="207"/>
      <c r="H817" s="207"/>
      <c r="I817" s="207"/>
      <c r="J817" s="207"/>
      <c r="K817" s="207"/>
      <c r="L817" s="207"/>
      <c r="M817" s="207"/>
      <c r="N817" s="207"/>
      <c r="O817" s="207"/>
      <c r="P817" s="207"/>
      <c r="Q817" s="207"/>
      <c r="R817" s="207"/>
      <c r="S817" s="207"/>
      <c r="T817" s="207"/>
      <c r="U817" s="207"/>
      <c r="V817" s="207"/>
      <c r="W817" s="207"/>
      <c r="X817" s="207"/>
      <c r="Y817" s="207"/>
      <c r="Z817" s="207"/>
      <c r="AA817" s="207"/>
      <c r="AB817" s="207"/>
      <c r="AC817" s="207"/>
      <c r="AD817" s="207"/>
      <c r="AE817" s="207"/>
      <c r="AF817" s="207"/>
      <c r="AG817" s="207"/>
      <c r="AH817" s="207"/>
      <c r="AI817" s="207"/>
      <c r="AJ817" s="207"/>
      <c r="AK817" s="207"/>
      <c r="AL817" s="207"/>
      <c r="AM817" s="207"/>
      <c r="AN817" s="207"/>
      <c r="AO817" s="207"/>
      <c r="AP817" s="207"/>
      <c r="AQ817" s="207"/>
      <c r="AR817" s="207"/>
      <c r="AS817" s="207"/>
      <c r="AT817" s="207"/>
      <c r="AU817" s="207"/>
      <c r="AV817" s="207"/>
      <c r="AW817" s="207"/>
      <c r="AX817" s="207"/>
      <c r="AY817" s="207"/>
      <c r="AZ817" s="207"/>
      <c r="BA817" s="207"/>
    </row>
    <row r="818" ht="18.75" hidden="1" customHeight="1">
      <c r="A818" s="207"/>
      <c r="B818" s="207"/>
      <c r="C818" s="207"/>
      <c r="D818" s="207"/>
      <c r="E818" s="207"/>
      <c r="F818" s="207"/>
      <c r="G818" s="207"/>
      <c r="H818" s="207"/>
      <c r="I818" s="207"/>
      <c r="J818" s="207"/>
      <c r="K818" s="207"/>
      <c r="L818" s="207"/>
      <c r="M818" s="207"/>
      <c r="N818" s="207"/>
      <c r="O818" s="207"/>
      <c r="P818" s="207"/>
      <c r="Q818" s="207"/>
      <c r="R818" s="207"/>
      <c r="S818" s="207"/>
      <c r="T818" s="207"/>
      <c r="U818" s="207"/>
      <c r="V818" s="207"/>
      <c r="W818" s="207"/>
      <c r="X818" s="207"/>
      <c r="Y818" s="207"/>
      <c r="Z818" s="207"/>
      <c r="AA818" s="207"/>
      <c r="AB818" s="207"/>
      <c r="AC818" s="207"/>
      <c r="AD818" s="207"/>
      <c r="AE818" s="207"/>
      <c r="AF818" s="207"/>
      <c r="AG818" s="207"/>
      <c r="AH818" s="207"/>
      <c r="AI818" s="207"/>
      <c r="AJ818" s="207"/>
      <c r="AK818" s="207"/>
      <c r="AL818" s="207"/>
      <c r="AM818" s="207"/>
      <c r="AN818" s="207"/>
      <c r="AO818" s="207"/>
      <c r="AP818" s="207"/>
      <c r="AQ818" s="207"/>
      <c r="AR818" s="207"/>
      <c r="AS818" s="207"/>
      <c r="AT818" s="207"/>
      <c r="AU818" s="207"/>
      <c r="AV818" s="207"/>
      <c r="AW818" s="207"/>
      <c r="AX818" s="207"/>
      <c r="AY818" s="207"/>
      <c r="AZ818" s="207"/>
      <c r="BA818" s="207"/>
    </row>
    <row r="819" ht="18.75" hidden="1" customHeight="1">
      <c r="A819" s="207"/>
      <c r="B819" s="207"/>
      <c r="C819" s="207"/>
      <c r="D819" s="207"/>
      <c r="E819" s="207"/>
      <c r="F819" s="207"/>
      <c r="G819" s="207"/>
      <c r="H819" s="207"/>
      <c r="I819" s="207"/>
      <c r="J819" s="207"/>
      <c r="K819" s="207"/>
      <c r="L819" s="207"/>
      <c r="M819" s="207"/>
      <c r="N819" s="207"/>
      <c r="O819" s="207"/>
      <c r="P819" s="207"/>
      <c r="Q819" s="207"/>
      <c r="R819" s="207"/>
      <c r="S819" s="207"/>
      <c r="T819" s="207"/>
      <c r="U819" s="207"/>
      <c r="V819" s="207"/>
      <c r="W819" s="207"/>
      <c r="X819" s="207"/>
      <c r="Y819" s="207"/>
      <c r="Z819" s="207"/>
      <c r="AA819" s="207"/>
      <c r="AB819" s="207"/>
      <c r="AC819" s="207"/>
      <c r="AD819" s="207"/>
      <c r="AE819" s="207"/>
      <c r="AF819" s="207"/>
      <c r="AG819" s="207"/>
      <c r="AH819" s="207"/>
      <c r="AI819" s="207"/>
      <c r="AJ819" s="207"/>
      <c r="AK819" s="207"/>
      <c r="AL819" s="207"/>
      <c r="AM819" s="207"/>
      <c r="AN819" s="207"/>
      <c r="AO819" s="207"/>
      <c r="AP819" s="207"/>
      <c r="AQ819" s="207"/>
      <c r="AR819" s="207"/>
      <c r="AS819" s="207"/>
      <c r="AT819" s="207"/>
      <c r="AU819" s="207"/>
      <c r="AV819" s="207"/>
      <c r="AW819" s="207"/>
      <c r="AX819" s="207"/>
      <c r="AY819" s="207"/>
      <c r="AZ819" s="207"/>
      <c r="BA819" s="207"/>
    </row>
    <row r="820" ht="18.75" hidden="1" customHeight="1">
      <c r="A820" s="207"/>
      <c r="B820" s="207"/>
      <c r="C820" s="207"/>
      <c r="D820" s="207"/>
      <c r="E820" s="207"/>
      <c r="F820" s="207"/>
      <c r="G820" s="207"/>
      <c r="H820" s="207"/>
      <c r="I820" s="207"/>
      <c r="J820" s="207"/>
      <c r="K820" s="207"/>
      <c r="L820" s="207"/>
      <c r="M820" s="207"/>
      <c r="N820" s="207"/>
      <c r="O820" s="207"/>
      <c r="P820" s="207"/>
      <c r="Q820" s="207"/>
      <c r="R820" s="207"/>
      <c r="S820" s="207"/>
      <c r="T820" s="207"/>
      <c r="U820" s="207"/>
      <c r="V820" s="207"/>
      <c r="W820" s="207"/>
      <c r="X820" s="207"/>
      <c r="Y820" s="207"/>
      <c r="Z820" s="207"/>
      <c r="AA820" s="207"/>
      <c r="AB820" s="207"/>
      <c r="AC820" s="207"/>
      <c r="AD820" s="207"/>
      <c r="AE820" s="207"/>
      <c r="AF820" s="207"/>
      <c r="AG820" s="207"/>
      <c r="AH820" s="207"/>
      <c r="AI820" s="207"/>
      <c r="AJ820" s="207"/>
      <c r="AK820" s="207"/>
      <c r="AL820" s="207"/>
      <c r="AM820" s="207"/>
      <c r="AN820" s="207"/>
      <c r="AO820" s="207"/>
      <c r="AP820" s="207"/>
      <c r="AQ820" s="207"/>
      <c r="AR820" s="207"/>
      <c r="AS820" s="207"/>
      <c r="AT820" s="207"/>
      <c r="AU820" s="207"/>
      <c r="AV820" s="207"/>
      <c r="AW820" s="207"/>
      <c r="AX820" s="207"/>
      <c r="AY820" s="207"/>
      <c r="AZ820" s="207"/>
      <c r="BA820" s="207"/>
    </row>
    <row r="821" ht="18.75" hidden="1" customHeight="1">
      <c r="A821" s="207"/>
      <c r="B821" s="207"/>
      <c r="C821" s="207"/>
      <c r="D821" s="207"/>
      <c r="E821" s="207"/>
      <c r="F821" s="207"/>
      <c r="G821" s="207"/>
      <c r="H821" s="207"/>
      <c r="I821" s="207"/>
      <c r="J821" s="207"/>
      <c r="K821" s="207"/>
      <c r="L821" s="207"/>
      <c r="M821" s="207"/>
      <c r="N821" s="207"/>
      <c r="O821" s="207"/>
      <c r="P821" s="207"/>
      <c r="Q821" s="207"/>
      <c r="R821" s="207"/>
      <c r="S821" s="207"/>
      <c r="T821" s="207"/>
      <c r="U821" s="207"/>
      <c r="V821" s="207"/>
      <c r="W821" s="207"/>
      <c r="X821" s="207"/>
      <c r="Y821" s="207"/>
      <c r="Z821" s="207"/>
      <c r="AA821" s="207"/>
      <c r="AB821" s="207"/>
      <c r="AC821" s="207"/>
      <c r="AD821" s="207"/>
      <c r="AE821" s="207"/>
      <c r="AF821" s="207"/>
      <c r="AG821" s="207"/>
      <c r="AH821" s="207"/>
      <c r="AI821" s="207"/>
      <c r="AJ821" s="207"/>
      <c r="AK821" s="207"/>
      <c r="AL821" s="207"/>
      <c r="AM821" s="207"/>
      <c r="AN821" s="207"/>
      <c r="AO821" s="207"/>
      <c r="AP821" s="207"/>
      <c r="AQ821" s="207"/>
      <c r="AR821" s="207"/>
      <c r="AS821" s="207"/>
      <c r="AT821" s="207"/>
      <c r="AU821" s="207"/>
      <c r="AV821" s="207"/>
      <c r="AW821" s="207"/>
      <c r="AX821" s="207"/>
      <c r="AY821" s="207"/>
      <c r="AZ821" s="207"/>
      <c r="BA821" s="207"/>
    </row>
    <row r="822" ht="18.75" hidden="1" customHeight="1">
      <c r="A822" s="207"/>
      <c r="B822" s="207"/>
      <c r="C822" s="207"/>
      <c r="D822" s="207"/>
      <c r="E822" s="207"/>
      <c r="F822" s="207"/>
      <c r="G822" s="207"/>
      <c r="H822" s="207"/>
      <c r="I822" s="207"/>
      <c r="J822" s="207"/>
      <c r="K822" s="207"/>
      <c r="L822" s="207"/>
      <c r="M822" s="207"/>
      <c r="N822" s="207"/>
      <c r="O822" s="207"/>
      <c r="P822" s="207"/>
      <c r="Q822" s="207"/>
      <c r="R822" s="207"/>
      <c r="S822" s="207"/>
      <c r="T822" s="207"/>
      <c r="U822" s="207"/>
      <c r="V822" s="207"/>
      <c r="W822" s="207"/>
      <c r="X822" s="207"/>
      <c r="Y822" s="207"/>
      <c r="Z822" s="207"/>
      <c r="AA822" s="207"/>
      <c r="AB822" s="207"/>
      <c r="AC822" s="207"/>
      <c r="AD822" s="207"/>
      <c r="AE822" s="207"/>
      <c r="AF822" s="207"/>
      <c r="AG822" s="207"/>
      <c r="AH822" s="207"/>
      <c r="AI822" s="207"/>
      <c r="AJ822" s="207"/>
      <c r="AK822" s="207"/>
      <c r="AL822" s="207"/>
      <c r="AM822" s="207"/>
      <c r="AN822" s="207"/>
      <c r="AO822" s="207"/>
      <c r="AP822" s="207"/>
      <c r="AQ822" s="207"/>
      <c r="AR822" s="207"/>
      <c r="AS822" s="207"/>
      <c r="AT822" s="207"/>
      <c r="AU822" s="207"/>
      <c r="AV822" s="207"/>
      <c r="AW822" s="207"/>
      <c r="AX822" s="207"/>
      <c r="AY822" s="207"/>
      <c r="AZ822" s="207"/>
      <c r="BA822" s="207"/>
    </row>
    <row r="823" ht="18.75" hidden="1" customHeight="1">
      <c r="A823" s="207"/>
      <c r="B823" s="207"/>
      <c r="C823" s="207"/>
      <c r="D823" s="207"/>
      <c r="E823" s="207"/>
      <c r="F823" s="207"/>
      <c r="G823" s="207"/>
      <c r="H823" s="207"/>
      <c r="I823" s="207"/>
      <c r="J823" s="207"/>
      <c r="K823" s="207"/>
      <c r="L823" s="207"/>
      <c r="M823" s="207"/>
      <c r="N823" s="207"/>
      <c r="O823" s="207"/>
      <c r="P823" s="207"/>
      <c r="Q823" s="207"/>
      <c r="R823" s="207"/>
      <c r="S823" s="207"/>
      <c r="T823" s="207"/>
      <c r="U823" s="207"/>
      <c r="V823" s="207"/>
      <c r="W823" s="207"/>
      <c r="X823" s="207"/>
      <c r="Y823" s="207"/>
      <c r="Z823" s="207"/>
      <c r="AA823" s="207"/>
      <c r="AB823" s="207"/>
      <c r="AC823" s="207"/>
      <c r="AD823" s="207"/>
      <c r="AE823" s="207"/>
      <c r="AF823" s="207"/>
      <c r="AG823" s="207"/>
      <c r="AH823" s="207"/>
      <c r="AI823" s="207"/>
      <c r="AJ823" s="207"/>
      <c r="AK823" s="207"/>
      <c r="AL823" s="207"/>
      <c r="AM823" s="207"/>
      <c r="AN823" s="207"/>
      <c r="AO823" s="207"/>
      <c r="AP823" s="207"/>
      <c r="AQ823" s="207"/>
      <c r="AR823" s="207"/>
      <c r="AS823" s="207"/>
      <c r="AT823" s="207"/>
      <c r="AU823" s="207"/>
      <c r="AV823" s="207"/>
      <c r="AW823" s="207"/>
      <c r="AX823" s="207"/>
      <c r="AY823" s="207"/>
      <c r="AZ823" s="207"/>
      <c r="BA823" s="207"/>
    </row>
    <row r="824" ht="18.75" hidden="1" customHeight="1">
      <c r="A824" s="207"/>
      <c r="B824" s="207"/>
      <c r="C824" s="207"/>
      <c r="D824" s="207"/>
      <c r="E824" s="207"/>
      <c r="F824" s="207"/>
      <c r="G824" s="207"/>
      <c r="H824" s="207"/>
      <c r="I824" s="207"/>
      <c r="J824" s="207"/>
      <c r="K824" s="207"/>
      <c r="L824" s="207"/>
      <c r="M824" s="207"/>
      <c r="N824" s="207"/>
      <c r="O824" s="207"/>
      <c r="P824" s="207"/>
      <c r="Q824" s="207"/>
      <c r="R824" s="207"/>
      <c r="S824" s="207"/>
      <c r="T824" s="207"/>
      <c r="U824" s="207"/>
      <c r="V824" s="207"/>
      <c r="W824" s="207"/>
      <c r="X824" s="207"/>
      <c r="Y824" s="207"/>
      <c r="Z824" s="207"/>
      <c r="AA824" s="207"/>
      <c r="AB824" s="207"/>
      <c r="AC824" s="207"/>
      <c r="AD824" s="207"/>
      <c r="AE824" s="207"/>
      <c r="AF824" s="207"/>
      <c r="AG824" s="207"/>
      <c r="AH824" s="207"/>
      <c r="AI824" s="207"/>
      <c r="AJ824" s="207"/>
      <c r="AK824" s="207"/>
      <c r="AL824" s="207"/>
      <c r="AM824" s="207"/>
      <c r="AN824" s="207"/>
      <c r="AO824" s="207"/>
      <c r="AP824" s="207"/>
      <c r="AQ824" s="207"/>
      <c r="AR824" s="207"/>
      <c r="AS824" s="207"/>
      <c r="AT824" s="207"/>
      <c r="AU824" s="207"/>
      <c r="AV824" s="207"/>
      <c r="AW824" s="207"/>
      <c r="AX824" s="207"/>
      <c r="AY824" s="207"/>
      <c r="AZ824" s="207"/>
      <c r="BA824" s="207"/>
    </row>
    <row r="825" ht="18.75" hidden="1" customHeight="1">
      <c r="A825" s="207"/>
      <c r="B825" s="207"/>
      <c r="C825" s="207"/>
      <c r="D825" s="207"/>
      <c r="E825" s="207"/>
      <c r="F825" s="207"/>
      <c r="G825" s="207"/>
      <c r="H825" s="207"/>
      <c r="I825" s="207"/>
      <c r="J825" s="207"/>
      <c r="K825" s="207"/>
      <c r="L825" s="207"/>
      <c r="M825" s="207"/>
      <c r="N825" s="207"/>
      <c r="O825" s="207"/>
      <c r="P825" s="207"/>
      <c r="Q825" s="207"/>
      <c r="R825" s="207"/>
      <c r="S825" s="207"/>
      <c r="T825" s="207"/>
      <c r="U825" s="207"/>
      <c r="V825" s="207"/>
      <c r="W825" s="207"/>
      <c r="X825" s="207"/>
      <c r="Y825" s="207"/>
      <c r="Z825" s="207"/>
      <c r="AA825" s="207"/>
      <c r="AB825" s="207"/>
      <c r="AC825" s="207"/>
      <c r="AD825" s="207"/>
      <c r="AE825" s="207"/>
      <c r="AF825" s="207"/>
      <c r="AG825" s="207"/>
      <c r="AH825" s="207"/>
      <c r="AI825" s="207"/>
      <c r="AJ825" s="207"/>
      <c r="AK825" s="207"/>
      <c r="AL825" s="207"/>
      <c r="AM825" s="207"/>
      <c r="AN825" s="207"/>
      <c r="AO825" s="207"/>
      <c r="AP825" s="207"/>
      <c r="AQ825" s="207"/>
      <c r="AR825" s="207"/>
      <c r="AS825" s="207"/>
      <c r="AT825" s="207"/>
      <c r="AU825" s="207"/>
      <c r="AV825" s="207"/>
      <c r="AW825" s="207"/>
      <c r="AX825" s="207"/>
      <c r="AY825" s="207"/>
      <c r="AZ825" s="207"/>
      <c r="BA825" s="207"/>
    </row>
    <row r="826" ht="18.75" hidden="1" customHeight="1">
      <c r="A826" s="207"/>
      <c r="B826" s="207"/>
      <c r="C826" s="207"/>
      <c r="D826" s="207"/>
      <c r="E826" s="207"/>
      <c r="F826" s="207"/>
      <c r="G826" s="207"/>
      <c r="H826" s="207"/>
      <c r="I826" s="207"/>
      <c r="J826" s="207"/>
      <c r="K826" s="207"/>
      <c r="L826" s="207"/>
      <c r="M826" s="207"/>
      <c r="N826" s="207"/>
      <c r="O826" s="207"/>
      <c r="P826" s="207"/>
      <c r="Q826" s="207"/>
      <c r="R826" s="207"/>
      <c r="S826" s="207"/>
      <c r="T826" s="207"/>
      <c r="U826" s="207"/>
      <c r="V826" s="207"/>
      <c r="W826" s="207"/>
      <c r="X826" s="207"/>
      <c r="Y826" s="207"/>
      <c r="Z826" s="207"/>
      <c r="AA826" s="207"/>
      <c r="AB826" s="207"/>
      <c r="AC826" s="207"/>
      <c r="AD826" s="207"/>
      <c r="AE826" s="207"/>
      <c r="AF826" s="207"/>
      <c r="AG826" s="207"/>
      <c r="AH826" s="207"/>
      <c r="AI826" s="207"/>
      <c r="AJ826" s="207"/>
      <c r="AK826" s="207"/>
      <c r="AL826" s="207"/>
      <c r="AM826" s="207"/>
      <c r="AN826" s="207"/>
      <c r="AO826" s="207"/>
      <c r="AP826" s="207"/>
      <c r="AQ826" s="207"/>
      <c r="AR826" s="207"/>
      <c r="AS826" s="207"/>
      <c r="AT826" s="207"/>
      <c r="AU826" s="207"/>
      <c r="AV826" s="207"/>
      <c r="AW826" s="207"/>
      <c r="AX826" s="207"/>
      <c r="AY826" s="207"/>
      <c r="AZ826" s="207"/>
      <c r="BA826" s="207"/>
    </row>
    <row r="827" ht="18.75" hidden="1" customHeight="1">
      <c r="A827" s="207"/>
      <c r="B827" s="207"/>
      <c r="C827" s="207"/>
      <c r="D827" s="207"/>
      <c r="E827" s="207"/>
      <c r="F827" s="207"/>
      <c r="G827" s="207"/>
      <c r="H827" s="207"/>
      <c r="I827" s="207"/>
      <c r="J827" s="207"/>
      <c r="K827" s="207"/>
      <c r="L827" s="207"/>
      <c r="M827" s="207"/>
      <c r="N827" s="207"/>
      <c r="O827" s="207"/>
      <c r="P827" s="207"/>
      <c r="Q827" s="207"/>
      <c r="R827" s="207"/>
      <c r="S827" s="207"/>
      <c r="T827" s="207"/>
      <c r="U827" s="207"/>
      <c r="V827" s="207"/>
      <c r="W827" s="207"/>
      <c r="X827" s="207"/>
      <c r="Y827" s="207"/>
      <c r="Z827" s="207"/>
      <c r="AA827" s="207"/>
      <c r="AB827" s="207"/>
      <c r="AC827" s="207"/>
      <c r="AD827" s="207"/>
      <c r="AE827" s="207"/>
      <c r="AF827" s="207"/>
      <c r="AG827" s="207"/>
      <c r="AH827" s="207"/>
      <c r="AI827" s="207"/>
      <c r="AJ827" s="207"/>
      <c r="AK827" s="207"/>
      <c r="AL827" s="207"/>
      <c r="AM827" s="207"/>
      <c r="AN827" s="207"/>
      <c r="AO827" s="207"/>
      <c r="AP827" s="207"/>
      <c r="AQ827" s="207"/>
      <c r="AR827" s="207"/>
      <c r="AS827" s="207"/>
      <c r="AT827" s="207"/>
      <c r="AU827" s="207"/>
      <c r="AV827" s="207"/>
      <c r="AW827" s="207"/>
      <c r="AX827" s="207"/>
      <c r="AY827" s="207"/>
      <c r="AZ827" s="207"/>
      <c r="BA827" s="207"/>
    </row>
    <row r="828" ht="18.75" hidden="1" customHeight="1">
      <c r="A828" s="207"/>
      <c r="B828" s="207"/>
      <c r="C828" s="207"/>
      <c r="D828" s="207"/>
      <c r="E828" s="207"/>
      <c r="F828" s="207"/>
      <c r="G828" s="207"/>
      <c r="H828" s="207"/>
      <c r="I828" s="207"/>
      <c r="J828" s="207"/>
      <c r="K828" s="207"/>
      <c r="L828" s="207"/>
      <c r="M828" s="207"/>
      <c r="N828" s="207"/>
      <c r="O828" s="207"/>
      <c r="P828" s="207"/>
      <c r="Q828" s="207"/>
      <c r="R828" s="207"/>
      <c r="S828" s="207"/>
      <c r="T828" s="207"/>
      <c r="U828" s="207"/>
      <c r="V828" s="207"/>
      <c r="W828" s="207"/>
      <c r="X828" s="207"/>
      <c r="Y828" s="207"/>
      <c r="Z828" s="207"/>
      <c r="AA828" s="207"/>
      <c r="AB828" s="207"/>
      <c r="AC828" s="207"/>
      <c r="AD828" s="207"/>
      <c r="AE828" s="207"/>
      <c r="AF828" s="207"/>
      <c r="AG828" s="207"/>
      <c r="AH828" s="207"/>
      <c r="AI828" s="207"/>
      <c r="AJ828" s="207"/>
      <c r="AK828" s="207"/>
      <c r="AL828" s="207"/>
      <c r="AM828" s="207"/>
      <c r="AN828" s="207"/>
      <c r="AO828" s="207"/>
      <c r="AP828" s="207"/>
      <c r="AQ828" s="207"/>
      <c r="AR828" s="207"/>
      <c r="AS828" s="207"/>
      <c r="AT828" s="207"/>
      <c r="AU828" s="207"/>
      <c r="AV828" s="207"/>
      <c r="AW828" s="207"/>
      <c r="AX828" s="207"/>
      <c r="AY828" s="207"/>
      <c r="AZ828" s="207"/>
      <c r="BA828" s="207"/>
    </row>
    <row r="829" ht="18.75" hidden="1" customHeight="1">
      <c r="A829" s="207"/>
      <c r="B829" s="207"/>
      <c r="C829" s="207"/>
      <c r="D829" s="207"/>
      <c r="E829" s="207"/>
      <c r="F829" s="207"/>
      <c r="G829" s="207"/>
      <c r="H829" s="207"/>
      <c r="I829" s="207"/>
      <c r="J829" s="207"/>
      <c r="K829" s="207"/>
      <c r="L829" s="207"/>
      <c r="M829" s="207"/>
      <c r="N829" s="207"/>
      <c r="O829" s="207"/>
      <c r="P829" s="207"/>
      <c r="Q829" s="207"/>
      <c r="R829" s="207"/>
      <c r="S829" s="207"/>
      <c r="T829" s="207"/>
      <c r="U829" s="207"/>
      <c r="V829" s="207"/>
      <c r="W829" s="207"/>
      <c r="X829" s="207"/>
      <c r="Y829" s="207"/>
      <c r="Z829" s="207"/>
      <c r="AA829" s="207"/>
      <c r="AB829" s="207"/>
      <c r="AC829" s="207"/>
      <c r="AD829" s="207"/>
      <c r="AE829" s="207"/>
      <c r="AF829" s="207"/>
      <c r="AG829" s="207"/>
      <c r="AH829" s="207"/>
      <c r="AI829" s="207"/>
      <c r="AJ829" s="207"/>
      <c r="AK829" s="207"/>
      <c r="AL829" s="207"/>
      <c r="AM829" s="207"/>
      <c r="AN829" s="207"/>
      <c r="AO829" s="207"/>
      <c r="AP829" s="207"/>
      <c r="AQ829" s="207"/>
      <c r="AR829" s="207"/>
      <c r="AS829" s="207"/>
      <c r="AT829" s="207"/>
      <c r="AU829" s="207"/>
      <c r="AV829" s="207"/>
      <c r="AW829" s="207"/>
      <c r="AX829" s="207"/>
      <c r="AY829" s="207"/>
      <c r="AZ829" s="207"/>
      <c r="BA829" s="207"/>
    </row>
    <row r="830" ht="18.75" hidden="1" customHeight="1">
      <c r="A830" s="207"/>
      <c r="B830" s="207"/>
      <c r="C830" s="207"/>
      <c r="D830" s="207"/>
      <c r="E830" s="207"/>
      <c r="F830" s="207"/>
      <c r="G830" s="207"/>
      <c r="H830" s="207"/>
      <c r="I830" s="207"/>
      <c r="J830" s="207"/>
      <c r="K830" s="207"/>
      <c r="L830" s="207"/>
      <c r="M830" s="207"/>
      <c r="N830" s="207"/>
      <c r="O830" s="207"/>
      <c r="P830" s="207"/>
      <c r="Q830" s="207"/>
      <c r="R830" s="207"/>
      <c r="S830" s="207"/>
      <c r="T830" s="207"/>
      <c r="U830" s="207"/>
      <c r="V830" s="207"/>
      <c r="W830" s="207"/>
      <c r="X830" s="207"/>
      <c r="Y830" s="207"/>
      <c r="Z830" s="207"/>
      <c r="AA830" s="207"/>
      <c r="AB830" s="207"/>
      <c r="AC830" s="207"/>
      <c r="AD830" s="207"/>
      <c r="AE830" s="207"/>
      <c r="AF830" s="207"/>
      <c r="AG830" s="207"/>
      <c r="AH830" s="207"/>
      <c r="AI830" s="207"/>
      <c r="AJ830" s="207"/>
      <c r="AK830" s="207"/>
      <c r="AL830" s="207"/>
      <c r="AM830" s="207"/>
      <c r="AN830" s="207"/>
      <c r="AO830" s="207"/>
      <c r="AP830" s="207"/>
      <c r="AQ830" s="207"/>
      <c r="AR830" s="207"/>
      <c r="AS830" s="207"/>
      <c r="AT830" s="207"/>
      <c r="AU830" s="207"/>
      <c r="AV830" s="207"/>
      <c r="AW830" s="207"/>
      <c r="AX830" s="207"/>
      <c r="AY830" s="207"/>
      <c r="AZ830" s="207"/>
      <c r="BA830" s="207"/>
    </row>
    <row r="831" ht="18.75" hidden="1" customHeight="1">
      <c r="A831" s="207"/>
      <c r="B831" s="207"/>
      <c r="C831" s="207"/>
      <c r="D831" s="207"/>
      <c r="E831" s="207"/>
      <c r="F831" s="207"/>
      <c r="G831" s="207"/>
      <c r="H831" s="207"/>
      <c r="I831" s="207"/>
      <c r="J831" s="207"/>
      <c r="K831" s="207"/>
      <c r="L831" s="207"/>
      <c r="M831" s="207"/>
      <c r="N831" s="207"/>
      <c r="O831" s="207"/>
      <c r="P831" s="207"/>
      <c r="Q831" s="207"/>
      <c r="R831" s="207"/>
      <c r="S831" s="207"/>
      <c r="T831" s="207"/>
      <c r="U831" s="207"/>
      <c r="V831" s="207"/>
      <c r="W831" s="207"/>
      <c r="X831" s="207"/>
      <c r="Y831" s="207"/>
      <c r="Z831" s="207"/>
      <c r="AA831" s="207"/>
      <c r="AB831" s="207"/>
      <c r="AC831" s="207"/>
      <c r="AD831" s="207"/>
      <c r="AE831" s="207"/>
      <c r="AF831" s="207"/>
      <c r="AG831" s="207"/>
      <c r="AH831" s="207"/>
      <c r="AI831" s="207"/>
      <c r="AJ831" s="207"/>
      <c r="AK831" s="207"/>
      <c r="AL831" s="207"/>
      <c r="AM831" s="207"/>
      <c r="AN831" s="207"/>
      <c r="AO831" s="207"/>
      <c r="AP831" s="207"/>
      <c r="AQ831" s="207"/>
      <c r="AR831" s="207"/>
      <c r="AS831" s="207"/>
      <c r="AT831" s="207"/>
      <c r="AU831" s="207"/>
      <c r="AV831" s="207"/>
      <c r="AW831" s="207"/>
      <c r="AX831" s="207"/>
      <c r="AY831" s="207"/>
      <c r="AZ831" s="207"/>
      <c r="BA831" s="207"/>
    </row>
    <row r="832" ht="18.75" hidden="1" customHeight="1">
      <c r="A832" s="207"/>
      <c r="B832" s="207"/>
      <c r="C832" s="207"/>
      <c r="D832" s="207"/>
      <c r="E832" s="207"/>
      <c r="F832" s="207"/>
      <c r="G832" s="207"/>
      <c r="H832" s="207"/>
      <c r="I832" s="207"/>
      <c r="J832" s="207"/>
      <c r="K832" s="207"/>
      <c r="L832" s="207"/>
      <c r="M832" s="207"/>
      <c r="N832" s="207"/>
      <c r="O832" s="207"/>
      <c r="P832" s="207"/>
      <c r="Q832" s="207"/>
      <c r="R832" s="207"/>
      <c r="S832" s="207"/>
      <c r="T832" s="207"/>
      <c r="U832" s="207"/>
      <c r="V832" s="207"/>
      <c r="W832" s="207"/>
      <c r="X832" s="207"/>
      <c r="Y832" s="207"/>
      <c r="Z832" s="207"/>
      <c r="AA832" s="207"/>
      <c r="AB832" s="207"/>
      <c r="AC832" s="207"/>
      <c r="AD832" s="207"/>
      <c r="AE832" s="207"/>
      <c r="AF832" s="207"/>
      <c r="AG832" s="207"/>
      <c r="AH832" s="207"/>
      <c r="AI832" s="207"/>
      <c r="AJ832" s="207"/>
      <c r="AK832" s="207"/>
      <c r="AL832" s="207"/>
      <c r="AM832" s="207"/>
      <c r="AN832" s="207"/>
      <c r="AO832" s="207"/>
      <c r="AP832" s="207"/>
      <c r="AQ832" s="207"/>
      <c r="AR832" s="207"/>
      <c r="AS832" s="207"/>
      <c r="AT832" s="207"/>
      <c r="AU832" s="207"/>
      <c r="AV832" s="207"/>
      <c r="AW832" s="207"/>
      <c r="AX832" s="207"/>
      <c r="AY832" s="207"/>
      <c r="AZ832" s="207"/>
      <c r="BA832" s="207"/>
    </row>
    <row r="833" ht="18.75" hidden="1" customHeight="1">
      <c r="A833" s="207"/>
      <c r="B833" s="207"/>
      <c r="C833" s="207"/>
      <c r="D833" s="207"/>
      <c r="E833" s="207"/>
      <c r="F833" s="207"/>
      <c r="G833" s="207"/>
      <c r="H833" s="207"/>
      <c r="I833" s="207"/>
      <c r="J833" s="207"/>
      <c r="K833" s="207"/>
      <c r="L833" s="207"/>
      <c r="M833" s="207"/>
      <c r="N833" s="207"/>
      <c r="O833" s="207"/>
      <c r="P833" s="207"/>
      <c r="Q833" s="207"/>
      <c r="R833" s="207"/>
      <c r="S833" s="207"/>
      <c r="T833" s="207"/>
      <c r="U833" s="207"/>
      <c r="V833" s="207"/>
      <c r="W833" s="207"/>
      <c r="X833" s="207"/>
      <c r="Y833" s="207"/>
      <c r="Z833" s="207"/>
      <c r="AA833" s="207"/>
      <c r="AB833" s="207"/>
      <c r="AC833" s="207"/>
      <c r="AD833" s="207"/>
      <c r="AE833" s="207"/>
      <c r="AF833" s="207"/>
      <c r="AG833" s="207"/>
      <c r="AH833" s="207"/>
      <c r="AI833" s="207"/>
      <c r="AJ833" s="207"/>
      <c r="AK833" s="207"/>
      <c r="AL833" s="207"/>
      <c r="AM833" s="207"/>
      <c r="AN833" s="207"/>
      <c r="AO833" s="207"/>
      <c r="AP833" s="207"/>
      <c r="AQ833" s="207"/>
      <c r="AR833" s="207"/>
      <c r="AS833" s="207"/>
      <c r="AT833" s="207"/>
      <c r="AU833" s="207"/>
      <c r="AV833" s="207"/>
      <c r="AW833" s="207"/>
      <c r="AX833" s="207"/>
      <c r="AY833" s="207"/>
      <c r="AZ833" s="207"/>
      <c r="BA833" s="207"/>
    </row>
    <row r="834" ht="18.75" hidden="1" customHeight="1">
      <c r="A834" s="207"/>
      <c r="B834" s="207"/>
      <c r="C834" s="207"/>
      <c r="D834" s="207"/>
      <c r="E834" s="207"/>
      <c r="F834" s="207"/>
      <c r="G834" s="207"/>
      <c r="H834" s="207"/>
      <c r="I834" s="207"/>
      <c r="J834" s="207"/>
      <c r="K834" s="207"/>
      <c r="L834" s="207"/>
      <c r="M834" s="207"/>
      <c r="N834" s="207"/>
      <c r="O834" s="207"/>
      <c r="P834" s="207"/>
      <c r="Q834" s="207"/>
      <c r="R834" s="207"/>
      <c r="S834" s="207"/>
      <c r="T834" s="207"/>
      <c r="U834" s="207"/>
      <c r="V834" s="207"/>
      <c r="W834" s="207"/>
      <c r="X834" s="207"/>
      <c r="Y834" s="207"/>
      <c r="Z834" s="207"/>
      <c r="AA834" s="207"/>
      <c r="AB834" s="207"/>
      <c r="AC834" s="207"/>
      <c r="AD834" s="207"/>
      <c r="AE834" s="207"/>
      <c r="AF834" s="207"/>
      <c r="AG834" s="207"/>
      <c r="AH834" s="207"/>
      <c r="AI834" s="207"/>
      <c r="AJ834" s="207"/>
      <c r="AK834" s="207"/>
      <c r="AL834" s="207"/>
      <c r="AM834" s="207"/>
      <c r="AN834" s="207"/>
      <c r="AO834" s="207"/>
      <c r="AP834" s="207"/>
      <c r="AQ834" s="207"/>
      <c r="AR834" s="207"/>
      <c r="AS834" s="207"/>
      <c r="AT834" s="207"/>
      <c r="AU834" s="207"/>
      <c r="AV834" s="207"/>
      <c r="AW834" s="207"/>
      <c r="AX834" s="207"/>
      <c r="AY834" s="207"/>
      <c r="AZ834" s="207"/>
      <c r="BA834" s="207"/>
    </row>
    <row r="835" ht="18.75" hidden="1" customHeight="1">
      <c r="A835" s="207"/>
      <c r="B835" s="207"/>
      <c r="C835" s="207"/>
      <c r="D835" s="207"/>
      <c r="E835" s="207"/>
      <c r="F835" s="207"/>
      <c r="G835" s="207"/>
      <c r="H835" s="207"/>
      <c r="I835" s="207"/>
      <c r="J835" s="207"/>
      <c r="K835" s="207"/>
      <c r="L835" s="207"/>
      <c r="M835" s="207"/>
      <c r="N835" s="207"/>
      <c r="O835" s="207"/>
      <c r="P835" s="207"/>
      <c r="Q835" s="207"/>
      <c r="R835" s="207"/>
      <c r="S835" s="207"/>
      <c r="T835" s="207"/>
      <c r="U835" s="207"/>
      <c r="V835" s="207"/>
      <c r="W835" s="207"/>
      <c r="X835" s="207"/>
      <c r="Y835" s="207"/>
      <c r="Z835" s="207"/>
      <c r="AA835" s="207"/>
      <c r="AB835" s="207"/>
      <c r="AC835" s="207"/>
      <c r="AD835" s="207"/>
      <c r="AE835" s="207"/>
      <c r="AF835" s="207"/>
      <c r="AG835" s="207"/>
      <c r="AH835" s="207"/>
      <c r="AI835" s="207"/>
      <c r="AJ835" s="207"/>
      <c r="AK835" s="207"/>
      <c r="AL835" s="207"/>
      <c r="AM835" s="207"/>
      <c r="AN835" s="207"/>
      <c r="AO835" s="207"/>
      <c r="AP835" s="207"/>
      <c r="AQ835" s="207"/>
      <c r="AR835" s="207"/>
      <c r="AS835" s="207"/>
      <c r="AT835" s="207"/>
      <c r="AU835" s="207"/>
      <c r="AV835" s="207"/>
      <c r="AW835" s="207"/>
      <c r="AX835" s="207"/>
      <c r="AY835" s="207"/>
      <c r="AZ835" s="207"/>
      <c r="BA835" s="207"/>
    </row>
    <row r="836" ht="18.75" hidden="1" customHeight="1">
      <c r="A836" s="207"/>
      <c r="B836" s="207"/>
      <c r="C836" s="207"/>
      <c r="D836" s="207"/>
      <c r="E836" s="207"/>
      <c r="F836" s="207"/>
      <c r="G836" s="207"/>
      <c r="H836" s="207"/>
      <c r="I836" s="207"/>
      <c r="J836" s="207"/>
      <c r="K836" s="207"/>
      <c r="L836" s="207"/>
      <c r="M836" s="207"/>
      <c r="N836" s="207"/>
      <c r="O836" s="207"/>
      <c r="P836" s="207"/>
      <c r="Q836" s="207"/>
      <c r="R836" s="207"/>
      <c r="S836" s="207"/>
      <c r="T836" s="207"/>
      <c r="U836" s="207"/>
      <c r="V836" s="207"/>
      <c r="W836" s="207"/>
      <c r="X836" s="207"/>
      <c r="Y836" s="207"/>
      <c r="Z836" s="207"/>
      <c r="AA836" s="207"/>
      <c r="AB836" s="207"/>
      <c r="AC836" s="207"/>
      <c r="AD836" s="207"/>
      <c r="AE836" s="207"/>
      <c r="AF836" s="207"/>
      <c r="AG836" s="207"/>
      <c r="AH836" s="207"/>
      <c r="AI836" s="207"/>
      <c r="AJ836" s="207"/>
      <c r="AK836" s="207"/>
      <c r="AL836" s="207"/>
      <c r="AM836" s="207"/>
      <c r="AN836" s="207"/>
      <c r="AO836" s="207"/>
      <c r="AP836" s="207"/>
      <c r="AQ836" s="207"/>
      <c r="AR836" s="207"/>
      <c r="AS836" s="207"/>
      <c r="AT836" s="207"/>
      <c r="AU836" s="207"/>
      <c r="AV836" s="207"/>
      <c r="AW836" s="207"/>
      <c r="AX836" s="207"/>
      <c r="AY836" s="207"/>
      <c r="AZ836" s="207"/>
      <c r="BA836" s="207"/>
    </row>
    <row r="837" ht="18.75" hidden="1" customHeight="1">
      <c r="A837" s="207"/>
      <c r="B837" s="207"/>
      <c r="C837" s="207"/>
      <c r="D837" s="207"/>
      <c r="E837" s="207"/>
      <c r="F837" s="207"/>
      <c r="G837" s="207"/>
      <c r="H837" s="207"/>
      <c r="I837" s="207"/>
      <c r="J837" s="207"/>
      <c r="K837" s="207"/>
      <c r="L837" s="207"/>
      <c r="M837" s="207"/>
      <c r="N837" s="207"/>
      <c r="O837" s="207"/>
      <c r="P837" s="207"/>
      <c r="Q837" s="207"/>
      <c r="R837" s="207"/>
      <c r="S837" s="207"/>
      <c r="T837" s="207"/>
      <c r="U837" s="207"/>
      <c r="V837" s="207"/>
      <c r="W837" s="207"/>
      <c r="X837" s="207"/>
      <c r="Y837" s="207"/>
      <c r="Z837" s="207"/>
      <c r="AA837" s="207"/>
      <c r="AB837" s="207"/>
      <c r="AC837" s="207"/>
      <c r="AD837" s="207"/>
      <c r="AE837" s="207"/>
      <c r="AF837" s="207"/>
      <c r="AG837" s="207"/>
      <c r="AH837" s="207"/>
      <c r="AI837" s="207"/>
      <c r="AJ837" s="207"/>
      <c r="AK837" s="207"/>
      <c r="AL837" s="207"/>
      <c r="AM837" s="207"/>
      <c r="AN837" s="207"/>
      <c r="AO837" s="207"/>
      <c r="AP837" s="207"/>
      <c r="AQ837" s="207"/>
      <c r="AR837" s="207"/>
      <c r="AS837" s="207"/>
      <c r="AT837" s="207"/>
      <c r="AU837" s="207"/>
      <c r="AV837" s="207"/>
      <c r="AW837" s="207"/>
      <c r="AX837" s="207"/>
      <c r="AY837" s="207"/>
      <c r="AZ837" s="207"/>
      <c r="BA837" s="207"/>
    </row>
    <row r="838" ht="18.75" hidden="1" customHeight="1">
      <c r="A838" s="207"/>
      <c r="B838" s="207"/>
      <c r="C838" s="207"/>
      <c r="D838" s="207"/>
      <c r="E838" s="207"/>
      <c r="F838" s="207"/>
      <c r="G838" s="207"/>
      <c r="H838" s="207"/>
      <c r="I838" s="207"/>
      <c r="J838" s="207"/>
      <c r="K838" s="207"/>
      <c r="L838" s="207"/>
      <c r="M838" s="207"/>
      <c r="N838" s="207"/>
      <c r="O838" s="207"/>
      <c r="P838" s="207"/>
      <c r="Q838" s="207"/>
      <c r="R838" s="207"/>
      <c r="S838" s="207"/>
      <c r="T838" s="207"/>
      <c r="U838" s="207"/>
      <c r="V838" s="207"/>
      <c r="W838" s="207"/>
      <c r="X838" s="207"/>
      <c r="Y838" s="207"/>
      <c r="Z838" s="207"/>
      <c r="AA838" s="207"/>
      <c r="AB838" s="207"/>
      <c r="AC838" s="207"/>
      <c r="AD838" s="207"/>
      <c r="AE838" s="207"/>
      <c r="AF838" s="207"/>
      <c r="AG838" s="207"/>
      <c r="AH838" s="207"/>
      <c r="AI838" s="207"/>
      <c r="AJ838" s="207"/>
      <c r="AK838" s="207"/>
      <c r="AL838" s="207"/>
      <c r="AM838" s="207"/>
      <c r="AN838" s="207"/>
      <c r="AO838" s="207"/>
      <c r="AP838" s="207"/>
      <c r="AQ838" s="207"/>
      <c r="AR838" s="207"/>
      <c r="AS838" s="207"/>
      <c r="AT838" s="207"/>
      <c r="AU838" s="207"/>
      <c r="AV838" s="207"/>
      <c r="AW838" s="207"/>
      <c r="AX838" s="207"/>
      <c r="AY838" s="207"/>
      <c r="AZ838" s="207"/>
      <c r="BA838" s="207"/>
    </row>
    <row r="839" ht="18.75" hidden="1" customHeight="1">
      <c r="A839" s="207"/>
      <c r="B839" s="207"/>
      <c r="C839" s="207"/>
      <c r="D839" s="207"/>
      <c r="E839" s="207"/>
      <c r="F839" s="207"/>
      <c r="G839" s="207"/>
      <c r="H839" s="207"/>
      <c r="I839" s="207"/>
      <c r="J839" s="207"/>
      <c r="K839" s="207"/>
      <c r="L839" s="207"/>
      <c r="M839" s="207"/>
      <c r="N839" s="207"/>
      <c r="O839" s="207"/>
      <c r="P839" s="207"/>
      <c r="Q839" s="207"/>
      <c r="R839" s="207"/>
      <c r="S839" s="207"/>
      <c r="T839" s="207"/>
      <c r="U839" s="207"/>
      <c r="V839" s="207"/>
      <c r="W839" s="207"/>
      <c r="X839" s="207"/>
      <c r="Y839" s="207"/>
      <c r="Z839" s="207"/>
      <c r="AA839" s="207"/>
      <c r="AB839" s="207"/>
      <c r="AC839" s="207"/>
      <c r="AD839" s="207"/>
      <c r="AE839" s="207"/>
      <c r="AF839" s="207"/>
      <c r="AG839" s="207"/>
      <c r="AH839" s="207"/>
      <c r="AI839" s="207"/>
      <c r="AJ839" s="207"/>
      <c r="AK839" s="207"/>
      <c r="AL839" s="207"/>
      <c r="AM839" s="207"/>
      <c r="AN839" s="207"/>
      <c r="AO839" s="207"/>
      <c r="AP839" s="207"/>
      <c r="AQ839" s="207"/>
      <c r="AR839" s="207"/>
      <c r="AS839" s="207"/>
      <c r="AT839" s="207"/>
      <c r="AU839" s="207"/>
      <c r="AV839" s="207"/>
      <c r="AW839" s="207"/>
      <c r="AX839" s="207"/>
      <c r="AY839" s="207"/>
      <c r="AZ839" s="207"/>
      <c r="BA839" s="207"/>
    </row>
    <row r="840" ht="18.75" hidden="1" customHeight="1">
      <c r="A840" s="207"/>
      <c r="B840" s="207"/>
      <c r="C840" s="207"/>
      <c r="D840" s="207"/>
      <c r="E840" s="207"/>
      <c r="F840" s="207"/>
      <c r="G840" s="207"/>
      <c r="H840" s="207"/>
      <c r="I840" s="207"/>
      <c r="J840" s="207"/>
      <c r="K840" s="207"/>
      <c r="L840" s="207"/>
      <c r="M840" s="207"/>
      <c r="N840" s="207"/>
      <c r="O840" s="207"/>
      <c r="P840" s="207"/>
      <c r="Q840" s="207"/>
      <c r="R840" s="207"/>
      <c r="S840" s="207"/>
      <c r="T840" s="207"/>
      <c r="U840" s="207"/>
      <c r="V840" s="207"/>
      <c r="W840" s="207"/>
      <c r="X840" s="207"/>
      <c r="Y840" s="207"/>
      <c r="Z840" s="207"/>
      <c r="AA840" s="207"/>
      <c r="AB840" s="207"/>
      <c r="AC840" s="207"/>
      <c r="AD840" s="207"/>
      <c r="AE840" s="207"/>
      <c r="AF840" s="207"/>
      <c r="AG840" s="207"/>
      <c r="AH840" s="207"/>
      <c r="AI840" s="207"/>
      <c r="AJ840" s="207"/>
      <c r="AK840" s="207"/>
      <c r="AL840" s="207"/>
      <c r="AM840" s="207"/>
      <c r="AN840" s="207"/>
      <c r="AO840" s="207"/>
      <c r="AP840" s="207"/>
      <c r="AQ840" s="207"/>
      <c r="AR840" s="207"/>
      <c r="AS840" s="207"/>
      <c r="AT840" s="207"/>
      <c r="AU840" s="207"/>
      <c r="AV840" s="207"/>
      <c r="AW840" s="207"/>
      <c r="AX840" s="207"/>
      <c r="AY840" s="207"/>
      <c r="AZ840" s="207"/>
      <c r="BA840" s="207"/>
    </row>
    <row r="841" ht="18.75" hidden="1" customHeight="1">
      <c r="A841" s="207"/>
      <c r="B841" s="207"/>
      <c r="C841" s="207"/>
      <c r="D841" s="207"/>
      <c r="E841" s="207"/>
      <c r="F841" s="207"/>
      <c r="G841" s="207"/>
      <c r="H841" s="207"/>
      <c r="I841" s="207"/>
      <c r="J841" s="207"/>
      <c r="K841" s="207"/>
      <c r="L841" s="207"/>
      <c r="M841" s="207"/>
      <c r="N841" s="207"/>
      <c r="O841" s="207"/>
      <c r="P841" s="207"/>
      <c r="Q841" s="207"/>
      <c r="R841" s="207"/>
      <c r="S841" s="207"/>
      <c r="T841" s="207"/>
      <c r="U841" s="207"/>
      <c r="V841" s="207"/>
      <c r="W841" s="207"/>
      <c r="X841" s="207"/>
      <c r="Y841" s="207"/>
      <c r="Z841" s="207"/>
      <c r="AA841" s="207"/>
      <c r="AB841" s="207"/>
      <c r="AC841" s="207"/>
      <c r="AD841" s="207"/>
      <c r="AE841" s="207"/>
      <c r="AF841" s="207"/>
      <c r="AG841" s="207"/>
      <c r="AH841" s="207"/>
      <c r="AI841" s="207"/>
      <c r="AJ841" s="207"/>
      <c r="AK841" s="207"/>
      <c r="AL841" s="207"/>
      <c r="AM841" s="207"/>
      <c r="AN841" s="207"/>
      <c r="AO841" s="207"/>
      <c r="AP841" s="207"/>
      <c r="AQ841" s="207"/>
      <c r="AR841" s="207"/>
      <c r="AS841" s="207"/>
      <c r="AT841" s="207"/>
      <c r="AU841" s="207"/>
      <c r="AV841" s="207"/>
      <c r="AW841" s="207"/>
      <c r="AX841" s="207"/>
      <c r="AY841" s="207"/>
      <c r="AZ841" s="207"/>
      <c r="BA841" s="207"/>
    </row>
    <row r="842" ht="18.75" hidden="1" customHeight="1">
      <c r="A842" s="207"/>
      <c r="B842" s="207"/>
      <c r="C842" s="207"/>
      <c r="D842" s="207"/>
      <c r="E842" s="207"/>
      <c r="F842" s="207"/>
      <c r="G842" s="207"/>
      <c r="H842" s="207"/>
      <c r="I842" s="207"/>
      <c r="J842" s="207"/>
      <c r="K842" s="207"/>
      <c r="L842" s="207"/>
      <c r="M842" s="207"/>
      <c r="N842" s="207"/>
      <c r="O842" s="207"/>
      <c r="P842" s="207"/>
      <c r="Q842" s="207"/>
      <c r="R842" s="207"/>
      <c r="S842" s="207"/>
      <c r="T842" s="207"/>
      <c r="U842" s="207"/>
      <c r="V842" s="207"/>
      <c r="W842" s="207"/>
      <c r="X842" s="207"/>
      <c r="Y842" s="207"/>
      <c r="Z842" s="207"/>
      <c r="AA842" s="207"/>
      <c r="AB842" s="207"/>
      <c r="AC842" s="207"/>
      <c r="AD842" s="207"/>
      <c r="AE842" s="207"/>
      <c r="AF842" s="207"/>
      <c r="AG842" s="207"/>
      <c r="AH842" s="207"/>
      <c r="AI842" s="207"/>
      <c r="AJ842" s="207"/>
      <c r="AK842" s="207"/>
      <c r="AL842" s="207"/>
      <c r="AM842" s="207"/>
      <c r="AN842" s="207"/>
      <c r="AO842" s="207"/>
      <c r="AP842" s="207"/>
      <c r="AQ842" s="207"/>
      <c r="AR842" s="207"/>
      <c r="AS842" s="207"/>
      <c r="AT842" s="207"/>
      <c r="AU842" s="207"/>
      <c r="AV842" s="207"/>
      <c r="AW842" s="207"/>
      <c r="AX842" s="207"/>
      <c r="AY842" s="207"/>
      <c r="AZ842" s="207"/>
      <c r="BA842" s="207"/>
    </row>
    <row r="843" ht="18.75" hidden="1" customHeight="1">
      <c r="A843" s="207"/>
      <c r="B843" s="207"/>
      <c r="C843" s="207"/>
      <c r="D843" s="207"/>
      <c r="E843" s="207"/>
      <c r="F843" s="207"/>
      <c r="G843" s="207"/>
      <c r="H843" s="207"/>
      <c r="I843" s="207"/>
      <c r="J843" s="207"/>
      <c r="K843" s="207"/>
      <c r="L843" s="207"/>
      <c r="M843" s="207"/>
      <c r="N843" s="207"/>
      <c r="O843" s="207"/>
      <c r="P843" s="207"/>
      <c r="Q843" s="207"/>
      <c r="R843" s="207"/>
      <c r="S843" s="207"/>
      <c r="T843" s="207"/>
      <c r="U843" s="207"/>
      <c r="V843" s="207"/>
      <c r="W843" s="207"/>
      <c r="X843" s="207"/>
      <c r="Y843" s="207"/>
      <c r="Z843" s="207"/>
      <c r="AA843" s="207"/>
      <c r="AB843" s="207"/>
      <c r="AC843" s="207"/>
      <c r="AD843" s="207"/>
      <c r="AE843" s="207"/>
      <c r="AF843" s="207"/>
      <c r="AG843" s="207"/>
      <c r="AH843" s="207"/>
      <c r="AI843" s="207"/>
      <c r="AJ843" s="207"/>
      <c r="AK843" s="207"/>
      <c r="AL843" s="207"/>
      <c r="AM843" s="207"/>
      <c r="AN843" s="207"/>
      <c r="AO843" s="207"/>
      <c r="AP843" s="207"/>
      <c r="AQ843" s="207"/>
      <c r="AR843" s="207"/>
      <c r="AS843" s="207"/>
      <c r="AT843" s="207"/>
      <c r="AU843" s="207"/>
      <c r="AV843" s="207"/>
      <c r="AW843" s="207"/>
      <c r="AX843" s="207"/>
      <c r="AY843" s="207"/>
      <c r="AZ843" s="207"/>
      <c r="BA843" s="207"/>
    </row>
    <row r="844" ht="18.75" hidden="1" customHeight="1">
      <c r="A844" s="207"/>
      <c r="B844" s="207"/>
      <c r="C844" s="207"/>
      <c r="D844" s="207"/>
      <c r="E844" s="207"/>
      <c r="F844" s="207"/>
      <c r="G844" s="207"/>
      <c r="H844" s="207"/>
      <c r="I844" s="207"/>
      <c r="J844" s="207"/>
      <c r="K844" s="207"/>
      <c r="L844" s="207"/>
      <c r="M844" s="207"/>
      <c r="N844" s="207"/>
      <c r="O844" s="207"/>
      <c r="P844" s="207"/>
      <c r="Q844" s="207"/>
      <c r="R844" s="207"/>
      <c r="S844" s="207"/>
      <c r="T844" s="207"/>
      <c r="U844" s="207"/>
      <c r="V844" s="207"/>
      <c r="W844" s="207"/>
      <c r="X844" s="207"/>
      <c r="Y844" s="207"/>
      <c r="Z844" s="207"/>
      <c r="AA844" s="207"/>
      <c r="AB844" s="207"/>
      <c r="AC844" s="207"/>
      <c r="AD844" s="207"/>
      <c r="AE844" s="207"/>
      <c r="AF844" s="207"/>
      <c r="AG844" s="207"/>
      <c r="AH844" s="207"/>
      <c r="AI844" s="207"/>
      <c r="AJ844" s="207"/>
      <c r="AK844" s="207"/>
      <c r="AL844" s="207"/>
      <c r="AM844" s="207"/>
      <c r="AN844" s="207"/>
      <c r="AO844" s="207"/>
      <c r="AP844" s="207"/>
      <c r="AQ844" s="207"/>
      <c r="AR844" s="207"/>
      <c r="AS844" s="207"/>
      <c r="AT844" s="207"/>
      <c r="AU844" s="207"/>
      <c r="AV844" s="207"/>
      <c r="AW844" s="207"/>
      <c r="AX844" s="207"/>
      <c r="AY844" s="207"/>
      <c r="AZ844" s="207"/>
      <c r="BA844" s="207"/>
    </row>
    <row r="845" ht="18.75" hidden="1" customHeight="1">
      <c r="A845" s="207"/>
      <c r="B845" s="207"/>
      <c r="C845" s="207"/>
      <c r="D845" s="207"/>
      <c r="E845" s="207"/>
      <c r="F845" s="207"/>
      <c r="G845" s="207"/>
      <c r="H845" s="207"/>
      <c r="I845" s="207"/>
      <c r="J845" s="207"/>
      <c r="K845" s="207"/>
      <c r="L845" s="207"/>
      <c r="M845" s="207"/>
      <c r="N845" s="207"/>
      <c r="O845" s="207"/>
      <c r="P845" s="207"/>
      <c r="Q845" s="207"/>
      <c r="R845" s="207"/>
      <c r="S845" s="207"/>
      <c r="T845" s="207"/>
      <c r="U845" s="207"/>
      <c r="V845" s="207"/>
      <c r="W845" s="207"/>
      <c r="X845" s="207"/>
      <c r="Y845" s="207"/>
      <c r="Z845" s="207"/>
      <c r="AA845" s="207"/>
      <c r="AB845" s="207"/>
      <c r="AC845" s="207"/>
      <c r="AD845" s="207"/>
      <c r="AE845" s="207"/>
      <c r="AF845" s="207"/>
      <c r="AG845" s="207"/>
      <c r="AH845" s="207"/>
      <c r="AI845" s="207"/>
      <c r="AJ845" s="207"/>
      <c r="AK845" s="207"/>
      <c r="AL845" s="207"/>
      <c r="AM845" s="207"/>
      <c r="AN845" s="207"/>
      <c r="AO845" s="207"/>
      <c r="AP845" s="207"/>
      <c r="AQ845" s="207"/>
      <c r="AR845" s="207"/>
      <c r="AS845" s="207"/>
      <c r="AT845" s="207"/>
      <c r="AU845" s="207"/>
      <c r="AV845" s="207"/>
      <c r="AW845" s="207"/>
      <c r="AX845" s="207"/>
      <c r="AY845" s="207"/>
      <c r="AZ845" s="207"/>
      <c r="BA845" s="207"/>
    </row>
    <row r="846" ht="18.75" hidden="1" customHeight="1">
      <c r="A846" s="207"/>
      <c r="B846" s="207"/>
      <c r="C846" s="207"/>
      <c r="D846" s="207"/>
      <c r="E846" s="207"/>
      <c r="F846" s="207"/>
      <c r="G846" s="207"/>
      <c r="H846" s="207"/>
      <c r="I846" s="207"/>
      <c r="J846" s="207"/>
      <c r="K846" s="207"/>
      <c r="L846" s="207"/>
      <c r="M846" s="207"/>
      <c r="N846" s="207"/>
      <c r="O846" s="207"/>
      <c r="P846" s="207"/>
      <c r="Q846" s="207"/>
      <c r="R846" s="207"/>
      <c r="S846" s="207"/>
      <c r="T846" s="207"/>
      <c r="U846" s="207"/>
      <c r="V846" s="207"/>
      <c r="W846" s="207"/>
      <c r="X846" s="207"/>
      <c r="Y846" s="207"/>
      <c r="Z846" s="207"/>
      <c r="AA846" s="207"/>
      <c r="AB846" s="207"/>
      <c r="AC846" s="207"/>
      <c r="AD846" s="207"/>
      <c r="AE846" s="207"/>
      <c r="AF846" s="207"/>
      <c r="AG846" s="207"/>
      <c r="AH846" s="207"/>
      <c r="AI846" s="207"/>
      <c r="AJ846" s="207"/>
      <c r="AK846" s="207"/>
      <c r="AL846" s="207"/>
      <c r="AM846" s="207"/>
      <c r="AN846" s="207"/>
      <c r="AO846" s="207"/>
      <c r="AP846" s="207"/>
      <c r="AQ846" s="207"/>
      <c r="AR846" s="207"/>
      <c r="AS846" s="207"/>
      <c r="AT846" s="207"/>
      <c r="AU846" s="207"/>
      <c r="AV846" s="207"/>
      <c r="AW846" s="207"/>
      <c r="AX846" s="207"/>
      <c r="AY846" s="207"/>
      <c r="AZ846" s="207"/>
      <c r="BA846" s="207"/>
    </row>
    <row r="847" ht="18.75" hidden="1" customHeight="1">
      <c r="A847" s="207"/>
      <c r="B847" s="207"/>
      <c r="C847" s="207"/>
      <c r="D847" s="207"/>
      <c r="E847" s="207"/>
      <c r="F847" s="207"/>
      <c r="G847" s="207"/>
      <c r="H847" s="207"/>
      <c r="I847" s="207"/>
      <c r="J847" s="207"/>
      <c r="K847" s="207"/>
      <c r="L847" s="207"/>
      <c r="M847" s="207"/>
      <c r="N847" s="207"/>
      <c r="O847" s="207"/>
      <c r="P847" s="207"/>
      <c r="Q847" s="207"/>
      <c r="R847" s="207"/>
      <c r="S847" s="207"/>
      <c r="T847" s="207"/>
      <c r="U847" s="207"/>
      <c r="V847" s="207"/>
      <c r="W847" s="207"/>
      <c r="X847" s="207"/>
      <c r="Y847" s="207"/>
      <c r="Z847" s="207"/>
      <c r="AA847" s="207"/>
      <c r="AB847" s="207"/>
      <c r="AC847" s="207"/>
      <c r="AD847" s="207"/>
      <c r="AE847" s="207"/>
      <c r="AF847" s="207"/>
      <c r="AG847" s="207"/>
      <c r="AH847" s="207"/>
      <c r="AI847" s="207"/>
      <c r="AJ847" s="207"/>
      <c r="AK847" s="207"/>
      <c r="AL847" s="207"/>
      <c r="AM847" s="207"/>
      <c r="AN847" s="207"/>
      <c r="AO847" s="207"/>
      <c r="AP847" s="207"/>
      <c r="AQ847" s="207"/>
      <c r="AR847" s="207"/>
      <c r="AS847" s="207"/>
      <c r="AT847" s="207"/>
      <c r="AU847" s="207"/>
      <c r="AV847" s="207"/>
      <c r="AW847" s="207"/>
      <c r="AX847" s="207"/>
      <c r="AY847" s="207"/>
      <c r="AZ847" s="207"/>
      <c r="BA847" s="207"/>
    </row>
    <row r="848" ht="18.75" hidden="1" customHeight="1">
      <c r="A848" s="207"/>
      <c r="B848" s="207"/>
      <c r="C848" s="207"/>
      <c r="D848" s="207"/>
      <c r="E848" s="207"/>
      <c r="F848" s="207"/>
      <c r="G848" s="207"/>
      <c r="H848" s="207"/>
      <c r="I848" s="207"/>
      <c r="J848" s="207"/>
      <c r="K848" s="207"/>
      <c r="L848" s="207"/>
      <c r="M848" s="207"/>
      <c r="N848" s="207"/>
      <c r="O848" s="207"/>
      <c r="P848" s="207"/>
      <c r="Q848" s="207"/>
      <c r="R848" s="207"/>
      <c r="S848" s="207"/>
      <c r="T848" s="207"/>
      <c r="U848" s="207"/>
      <c r="V848" s="207"/>
      <c r="W848" s="207"/>
      <c r="X848" s="207"/>
      <c r="Y848" s="207"/>
      <c r="Z848" s="207"/>
      <c r="AA848" s="207"/>
      <c r="AB848" s="207"/>
      <c r="AC848" s="207"/>
      <c r="AD848" s="207"/>
      <c r="AE848" s="207"/>
      <c r="AF848" s="207"/>
      <c r="AG848" s="207"/>
      <c r="AH848" s="207"/>
      <c r="AI848" s="207"/>
      <c r="AJ848" s="207"/>
      <c r="AK848" s="207"/>
      <c r="AL848" s="207"/>
      <c r="AM848" s="207"/>
      <c r="AN848" s="207"/>
      <c r="AO848" s="207"/>
      <c r="AP848" s="207"/>
      <c r="AQ848" s="207"/>
      <c r="AR848" s="207"/>
      <c r="AS848" s="207"/>
      <c r="AT848" s="207"/>
      <c r="AU848" s="207"/>
      <c r="AV848" s="207"/>
      <c r="AW848" s="207"/>
      <c r="AX848" s="207"/>
      <c r="AY848" s="207"/>
      <c r="AZ848" s="207"/>
      <c r="BA848" s="207"/>
    </row>
    <row r="849" ht="18.75" hidden="1" customHeight="1">
      <c r="A849" s="207"/>
      <c r="B849" s="207"/>
      <c r="C849" s="207"/>
      <c r="D849" s="207"/>
      <c r="E849" s="207"/>
      <c r="F849" s="207"/>
      <c r="G849" s="207"/>
      <c r="H849" s="207"/>
      <c r="I849" s="207"/>
      <c r="J849" s="207"/>
      <c r="K849" s="207"/>
      <c r="L849" s="207"/>
      <c r="M849" s="207"/>
      <c r="N849" s="207"/>
      <c r="O849" s="207"/>
      <c r="P849" s="207"/>
      <c r="Q849" s="207"/>
      <c r="R849" s="207"/>
      <c r="S849" s="207"/>
      <c r="T849" s="207"/>
      <c r="U849" s="207"/>
      <c r="V849" s="207"/>
      <c r="W849" s="207"/>
      <c r="X849" s="207"/>
      <c r="Y849" s="207"/>
      <c r="Z849" s="207"/>
      <c r="AA849" s="207"/>
      <c r="AB849" s="207"/>
      <c r="AC849" s="207"/>
      <c r="AD849" s="207"/>
      <c r="AE849" s="207"/>
      <c r="AF849" s="207"/>
      <c r="AG849" s="207"/>
      <c r="AH849" s="207"/>
      <c r="AI849" s="207"/>
      <c r="AJ849" s="207"/>
      <c r="AK849" s="207"/>
      <c r="AL849" s="207"/>
      <c r="AM849" s="207"/>
      <c r="AN849" s="207"/>
      <c r="AO849" s="207"/>
      <c r="AP849" s="207"/>
      <c r="AQ849" s="207"/>
      <c r="AR849" s="207"/>
      <c r="AS849" s="207"/>
      <c r="AT849" s="207"/>
      <c r="AU849" s="207"/>
      <c r="AV849" s="207"/>
      <c r="AW849" s="207"/>
      <c r="AX849" s="207"/>
      <c r="AY849" s="207"/>
      <c r="AZ849" s="207"/>
      <c r="BA849" s="207"/>
    </row>
    <row r="850" ht="18.75" hidden="1" customHeight="1">
      <c r="A850" s="207"/>
      <c r="B850" s="207"/>
      <c r="C850" s="207"/>
      <c r="D850" s="207"/>
      <c r="E850" s="207"/>
      <c r="F850" s="207"/>
      <c r="G850" s="207"/>
      <c r="H850" s="207"/>
      <c r="I850" s="207"/>
      <c r="J850" s="207"/>
      <c r="K850" s="207"/>
      <c r="L850" s="207"/>
      <c r="M850" s="207"/>
      <c r="N850" s="207"/>
      <c r="O850" s="207"/>
      <c r="P850" s="207"/>
      <c r="Q850" s="207"/>
      <c r="R850" s="207"/>
      <c r="S850" s="207"/>
      <c r="T850" s="207"/>
      <c r="U850" s="207"/>
      <c r="V850" s="207"/>
      <c r="W850" s="207"/>
      <c r="X850" s="207"/>
      <c r="Y850" s="207"/>
      <c r="Z850" s="207"/>
      <c r="AA850" s="207"/>
      <c r="AB850" s="207"/>
      <c r="AC850" s="207"/>
      <c r="AD850" s="207"/>
      <c r="AE850" s="207"/>
      <c r="AF850" s="207"/>
      <c r="AG850" s="207"/>
      <c r="AH850" s="207"/>
      <c r="AI850" s="207"/>
      <c r="AJ850" s="207"/>
      <c r="AK850" s="207"/>
      <c r="AL850" s="207"/>
      <c r="AM850" s="207"/>
      <c r="AN850" s="207"/>
      <c r="AO850" s="207"/>
      <c r="AP850" s="207"/>
      <c r="AQ850" s="207"/>
      <c r="AR850" s="207"/>
      <c r="AS850" s="207"/>
      <c r="AT850" s="207"/>
      <c r="AU850" s="207"/>
      <c r="AV850" s="207"/>
      <c r="AW850" s="207"/>
      <c r="AX850" s="207"/>
      <c r="AY850" s="207"/>
      <c r="AZ850" s="207"/>
      <c r="BA850" s="207"/>
    </row>
    <row r="851" ht="18.75" hidden="1" customHeight="1">
      <c r="A851" s="207"/>
      <c r="B851" s="207"/>
      <c r="C851" s="207"/>
      <c r="D851" s="207"/>
      <c r="E851" s="207"/>
      <c r="F851" s="207"/>
      <c r="G851" s="207"/>
      <c r="H851" s="207"/>
      <c r="I851" s="207"/>
      <c r="J851" s="207"/>
      <c r="K851" s="207"/>
      <c r="L851" s="207"/>
      <c r="M851" s="207"/>
      <c r="N851" s="207"/>
      <c r="O851" s="207"/>
      <c r="P851" s="207"/>
      <c r="Q851" s="207"/>
      <c r="R851" s="207"/>
      <c r="S851" s="207"/>
      <c r="T851" s="207"/>
      <c r="U851" s="207"/>
      <c r="V851" s="207"/>
      <c r="W851" s="207"/>
      <c r="X851" s="207"/>
      <c r="Y851" s="207"/>
      <c r="Z851" s="207"/>
      <c r="AA851" s="207"/>
      <c r="AB851" s="207"/>
      <c r="AC851" s="207"/>
      <c r="AD851" s="207"/>
      <c r="AE851" s="207"/>
      <c r="AF851" s="207"/>
      <c r="AG851" s="207"/>
      <c r="AH851" s="207"/>
      <c r="AI851" s="207"/>
      <c r="AJ851" s="207"/>
      <c r="AK851" s="207"/>
      <c r="AL851" s="207"/>
      <c r="AM851" s="207"/>
      <c r="AN851" s="207"/>
      <c r="AO851" s="207"/>
      <c r="AP851" s="207"/>
      <c r="AQ851" s="207"/>
      <c r="AR851" s="207"/>
      <c r="AS851" s="207"/>
      <c r="AT851" s="207"/>
      <c r="AU851" s="207"/>
      <c r="AV851" s="207"/>
      <c r="AW851" s="207"/>
      <c r="AX851" s="207"/>
      <c r="AY851" s="207"/>
      <c r="AZ851" s="207"/>
      <c r="BA851" s="207"/>
    </row>
    <row r="852" ht="18.75" hidden="1" customHeight="1">
      <c r="A852" s="207"/>
      <c r="B852" s="207"/>
      <c r="C852" s="207"/>
      <c r="D852" s="207"/>
      <c r="E852" s="207"/>
      <c r="F852" s="207"/>
      <c r="G852" s="207"/>
      <c r="H852" s="207"/>
      <c r="I852" s="207"/>
      <c r="J852" s="207"/>
      <c r="K852" s="207"/>
      <c r="L852" s="207"/>
      <c r="M852" s="207"/>
      <c r="N852" s="207"/>
      <c r="O852" s="207"/>
      <c r="P852" s="207"/>
      <c r="Q852" s="207"/>
      <c r="R852" s="207"/>
      <c r="S852" s="207"/>
      <c r="T852" s="207"/>
      <c r="U852" s="207"/>
      <c r="V852" s="207"/>
      <c r="W852" s="207"/>
      <c r="X852" s="207"/>
      <c r="Y852" s="207"/>
      <c r="Z852" s="207"/>
      <c r="AA852" s="207"/>
      <c r="AB852" s="207"/>
      <c r="AC852" s="207"/>
      <c r="AD852" s="207"/>
      <c r="AE852" s="207"/>
      <c r="AF852" s="207"/>
      <c r="AG852" s="207"/>
      <c r="AH852" s="207"/>
      <c r="AI852" s="207"/>
      <c r="AJ852" s="207"/>
      <c r="AK852" s="207"/>
      <c r="AL852" s="207"/>
      <c r="AM852" s="207"/>
      <c r="AN852" s="207"/>
      <c r="AO852" s="207"/>
      <c r="AP852" s="207"/>
      <c r="AQ852" s="207"/>
      <c r="AR852" s="207"/>
      <c r="AS852" s="207"/>
      <c r="AT852" s="207"/>
      <c r="AU852" s="207"/>
      <c r="AV852" s="207"/>
      <c r="AW852" s="207"/>
      <c r="AX852" s="207"/>
      <c r="AY852" s="207"/>
      <c r="AZ852" s="207"/>
      <c r="BA852" s="207"/>
    </row>
    <row r="853" ht="18.75" hidden="1" customHeight="1">
      <c r="A853" s="207"/>
      <c r="B853" s="207"/>
      <c r="C853" s="207"/>
      <c r="D853" s="207"/>
      <c r="E853" s="207"/>
      <c r="F853" s="207"/>
      <c r="G853" s="207"/>
      <c r="H853" s="207"/>
      <c r="I853" s="207"/>
      <c r="J853" s="207"/>
      <c r="K853" s="207"/>
      <c r="L853" s="207"/>
      <c r="M853" s="207"/>
      <c r="N853" s="207"/>
      <c r="O853" s="207"/>
      <c r="P853" s="207"/>
      <c r="Q853" s="207"/>
      <c r="R853" s="207"/>
      <c r="S853" s="207"/>
      <c r="T853" s="207"/>
      <c r="U853" s="207"/>
      <c r="V853" s="207"/>
      <c r="W853" s="207"/>
      <c r="X853" s="207"/>
      <c r="Y853" s="207"/>
      <c r="Z853" s="207"/>
      <c r="AA853" s="207"/>
      <c r="AB853" s="207"/>
      <c r="AC853" s="207"/>
      <c r="AD853" s="207"/>
      <c r="AE853" s="207"/>
      <c r="AF853" s="207"/>
      <c r="AG853" s="207"/>
      <c r="AH853" s="207"/>
      <c r="AI853" s="207"/>
      <c r="AJ853" s="207"/>
      <c r="AK853" s="207"/>
      <c r="AL853" s="207"/>
      <c r="AM853" s="207"/>
      <c r="AN853" s="207"/>
      <c r="AO853" s="207"/>
      <c r="AP853" s="207"/>
      <c r="AQ853" s="207"/>
      <c r="AR853" s="207"/>
      <c r="AS853" s="207"/>
      <c r="AT853" s="207"/>
      <c r="AU853" s="207"/>
      <c r="AV853" s="207"/>
      <c r="AW853" s="207"/>
      <c r="AX853" s="207"/>
      <c r="AY853" s="207"/>
      <c r="AZ853" s="207"/>
      <c r="BA853" s="207"/>
    </row>
    <row r="854" ht="18.75" hidden="1" customHeight="1">
      <c r="A854" s="207"/>
      <c r="B854" s="207"/>
      <c r="C854" s="207"/>
      <c r="D854" s="207"/>
      <c r="E854" s="207"/>
      <c r="F854" s="207"/>
      <c r="G854" s="207"/>
      <c r="H854" s="207"/>
      <c r="I854" s="207"/>
      <c r="J854" s="207"/>
      <c r="K854" s="207"/>
      <c r="L854" s="207"/>
      <c r="M854" s="207"/>
      <c r="N854" s="207"/>
      <c r="O854" s="207"/>
      <c r="P854" s="207"/>
      <c r="Q854" s="207"/>
      <c r="R854" s="207"/>
      <c r="S854" s="207"/>
      <c r="T854" s="207"/>
      <c r="U854" s="207"/>
      <c r="V854" s="207"/>
      <c r="W854" s="207"/>
      <c r="X854" s="207"/>
      <c r="Y854" s="207"/>
      <c r="Z854" s="207"/>
      <c r="AA854" s="207"/>
      <c r="AB854" s="207"/>
      <c r="AC854" s="207"/>
      <c r="AD854" s="207"/>
      <c r="AE854" s="207"/>
      <c r="AF854" s="207"/>
      <c r="AG854" s="207"/>
      <c r="AH854" s="207"/>
      <c r="AI854" s="207"/>
      <c r="AJ854" s="207"/>
      <c r="AK854" s="207"/>
      <c r="AL854" s="207"/>
      <c r="AM854" s="207"/>
      <c r="AN854" s="207"/>
      <c r="AO854" s="207"/>
      <c r="AP854" s="207"/>
      <c r="AQ854" s="207"/>
      <c r="AR854" s="207"/>
      <c r="AS854" s="207"/>
      <c r="AT854" s="207"/>
      <c r="AU854" s="207"/>
      <c r="AV854" s="207"/>
      <c r="AW854" s="207"/>
      <c r="AX854" s="207"/>
      <c r="AY854" s="207"/>
      <c r="AZ854" s="207"/>
      <c r="BA854" s="207"/>
    </row>
    <row r="855" ht="18.75" hidden="1" customHeight="1">
      <c r="A855" s="207"/>
      <c r="B855" s="207"/>
      <c r="C855" s="207"/>
      <c r="D855" s="207"/>
      <c r="E855" s="207"/>
      <c r="F855" s="207"/>
      <c r="G855" s="207"/>
      <c r="H855" s="207"/>
      <c r="I855" s="207"/>
      <c r="J855" s="207"/>
      <c r="K855" s="207"/>
      <c r="L855" s="207"/>
      <c r="M855" s="207"/>
      <c r="N855" s="207"/>
      <c r="O855" s="207"/>
      <c r="P855" s="207"/>
      <c r="Q855" s="207"/>
      <c r="R855" s="207"/>
      <c r="S855" s="207"/>
      <c r="T855" s="207"/>
      <c r="U855" s="207"/>
      <c r="V855" s="207"/>
      <c r="W855" s="207"/>
      <c r="X855" s="207"/>
      <c r="Y855" s="207"/>
      <c r="Z855" s="207"/>
      <c r="AA855" s="207"/>
      <c r="AB855" s="207"/>
      <c r="AC855" s="207"/>
      <c r="AD855" s="207"/>
      <c r="AE855" s="207"/>
      <c r="AF855" s="207"/>
      <c r="AG855" s="207"/>
      <c r="AH855" s="207"/>
      <c r="AI855" s="207"/>
      <c r="AJ855" s="207"/>
      <c r="AK855" s="207"/>
      <c r="AL855" s="207"/>
      <c r="AM855" s="207"/>
      <c r="AN855" s="207"/>
      <c r="AO855" s="207"/>
      <c r="AP855" s="207"/>
      <c r="AQ855" s="207"/>
      <c r="AR855" s="207"/>
      <c r="AS855" s="207"/>
      <c r="AT855" s="207"/>
      <c r="AU855" s="207"/>
      <c r="AV855" s="207"/>
      <c r="AW855" s="207"/>
      <c r="AX855" s="207"/>
      <c r="AY855" s="207"/>
      <c r="AZ855" s="207"/>
      <c r="BA855" s="207"/>
    </row>
    <row r="856" ht="18.75" hidden="1" customHeight="1">
      <c r="A856" s="207"/>
      <c r="B856" s="207"/>
      <c r="C856" s="207"/>
      <c r="D856" s="207"/>
      <c r="E856" s="207"/>
      <c r="F856" s="207"/>
      <c r="G856" s="207"/>
      <c r="H856" s="207"/>
      <c r="I856" s="207"/>
      <c r="J856" s="207"/>
      <c r="K856" s="207"/>
      <c r="L856" s="207"/>
      <c r="M856" s="207"/>
      <c r="N856" s="207"/>
      <c r="O856" s="207"/>
      <c r="P856" s="207"/>
      <c r="Q856" s="207"/>
      <c r="R856" s="207"/>
      <c r="S856" s="207"/>
      <c r="T856" s="207"/>
      <c r="U856" s="207"/>
      <c r="V856" s="207"/>
      <c r="W856" s="207"/>
      <c r="X856" s="207"/>
      <c r="Y856" s="207"/>
      <c r="Z856" s="207"/>
      <c r="AA856" s="207"/>
      <c r="AB856" s="207"/>
      <c r="AC856" s="207"/>
      <c r="AD856" s="207"/>
      <c r="AE856" s="207"/>
      <c r="AF856" s="207"/>
      <c r="AG856" s="207"/>
      <c r="AH856" s="207"/>
      <c r="AI856" s="207"/>
      <c r="AJ856" s="207"/>
      <c r="AK856" s="207"/>
      <c r="AL856" s="207"/>
      <c r="AM856" s="207"/>
      <c r="AN856" s="207"/>
      <c r="AO856" s="207"/>
      <c r="AP856" s="207"/>
      <c r="AQ856" s="207"/>
      <c r="AR856" s="207"/>
      <c r="AS856" s="207"/>
      <c r="AT856" s="207"/>
      <c r="AU856" s="207"/>
      <c r="AV856" s="207"/>
      <c r="AW856" s="207"/>
      <c r="AX856" s="207"/>
      <c r="AY856" s="207"/>
      <c r="AZ856" s="207"/>
      <c r="BA856" s="207"/>
    </row>
    <row r="857" ht="18.75" hidden="1" customHeight="1">
      <c r="A857" s="207"/>
      <c r="B857" s="207"/>
      <c r="C857" s="207"/>
      <c r="D857" s="207"/>
      <c r="E857" s="207"/>
      <c r="F857" s="207"/>
      <c r="G857" s="207"/>
      <c r="H857" s="207"/>
      <c r="I857" s="207"/>
      <c r="J857" s="207"/>
      <c r="K857" s="207"/>
      <c r="L857" s="207"/>
      <c r="M857" s="207"/>
      <c r="N857" s="207"/>
      <c r="O857" s="207"/>
      <c r="P857" s="207"/>
      <c r="Q857" s="207"/>
      <c r="R857" s="207"/>
      <c r="S857" s="207"/>
      <c r="T857" s="207"/>
      <c r="U857" s="207"/>
      <c r="V857" s="207"/>
      <c r="W857" s="207"/>
      <c r="X857" s="207"/>
      <c r="Y857" s="207"/>
      <c r="Z857" s="207"/>
      <c r="AA857" s="207"/>
      <c r="AB857" s="207"/>
      <c r="AC857" s="207"/>
      <c r="AD857" s="207"/>
      <c r="AE857" s="207"/>
      <c r="AF857" s="207"/>
      <c r="AG857" s="207"/>
      <c r="AH857" s="207"/>
      <c r="AI857" s="207"/>
      <c r="AJ857" s="207"/>
      <c r="AK857" s="207"/>
      <c r="AL857" s="207"/>
      <c r="AM857" s="207"/>
      <c r="AN857" s="207"/>
      <c r="AO857" s="207"/>
      <c r="AP857" s="207"/>
      <c r="AQ857" s="207"/>
      <c r="AR857" s="207"/>
      <c r="AS857" s="207"/>
      <c r="AT857" s="207"/>
      <c r="AU857" s="207"/>
      <c r="AV857" s="207"/>
      <c r="AW857" s="207"/>
      <c r="AX857" s="207"/>
      <c r="AY857" s="207"/>
      <c r="AZ857" s="207"/>
      <c r="BA857" s="207"/>
    </row>
    <row r="858" ht="18.75" hidden="1" customHeight="1">
      <c r="A858" s="207"/>
      <c r="B858" s="207"/>
      <c r="C858" s="207"/>
      <c r="D858" s="207"/>
      <c r="E858" s="207"/>
      <c r="F858" s="207"/>
      <c r="G858" s="207"/>
      <c r="H858" s="207"/>
      <c r="I858" s="207"/>
      <c r="J858" s="207"/>
      <c r="K858" s="207"/>
      <c r="L858" s="207"/>
      <c r="M858" s="207"/>
      <c r="N858" s="207"/>
      <c r="O858" s="207"/>
      <c r="P858" s="207"/>
      <c r="Q858" s="207"/>
      <c r="R858" s="207"/>
      <c r="S858" s="207"/>
      <c r="T858" s="207"/>
      <c r="U858" s="207"/>
      <c r="V858" s="207"/>
      <c r="W858" s="207"/>
      <c r="X858" s="207"/>
      <c r="Y858" s="207"/>
      <c r="Z858" s="207"/>
      <c r="AA858" s="207"/>
      <c r="AB858" s="207"/>
      <c r="AC858" s="207"/>
      <c r="AD858" s="207"/>
      <c r="AE858" s="207"/>
      <c r="AF858" s="207"/>
      <c r="AG858" s="207"/>
      <c r="AH858" s="207"/>
      <c r="AI858" s="207"/>
      <c r="AJ858" s="207"/>
      <c r="AK858" s="207"/>
      <c r="AL858" s="207"/>
      <c r="AM858" s="207"/>
      <c r="AN858" s="207"/>
      <c r="AO858" s="207"/>
      <c r="AP858" s="207"/>
      <c r="AQ858" s="207"/>
      <c r="AR858" s="207"/>
      <c r="AS858" s="207"/>
      <c r="AT858" s="207"/>
      <c r="AU858" s="207"/>
      <c r="AV858" s="207"/>
      <c r="AW858" s="207"/>
      <c r="AX858" s="207"/>
      <c r="AY858" s="207"/>
      <c r="AZ858" s="207"/>
      <c r="BA858" s="207"/>
    </row>
    <row r="859" ht="18.75" hidden="1" customHeight="1">
      <c r="A859" s="207"/>
      <c r="B859" s="207"/>
      <c r="C859" s="207"/>
      <c r="D859" s="207"/>
      <c r="E859" s="207"/>
      <c r="F859" s="207"/>
      <c r="G859" s="207"/>
      <c r="H859" s="207"/>
      <c r="I859" s="207"/>
      <c r="J859" s="207"/>
      <c r="K859" s="207"/>
      <c r="L859" s="207"/>
      <c r="M859" s="207"/>
      <c r="N859" s="207"/>
      <c r="O859" s="207"/>
      <c r="P859" s="207"/>
      <c r="Q859" s="207"/>
      <c r="R859" s="207"/>
      <c r="S859" s="207"/>
      <c r="T859" s="207"/>
      <c r="U859" s="207"/>
      <c r="V859" s="207"/>
      <c r="W859" s="207"/>
      <c r="X859" s="207"/>
      <c r="Y859" s="207"/>
      <c r="Z859" s="207"/>
      <c r="AA859" s="207"/>
      <c r="AB859" s="207"/>
      <c r="AC859" s="207"/>
      <c r="AD859" s="207"/>
      <c r="AE859" s="207"/>
      <c r="AF859" s="207"/>
      <c r="AG859" s="207"/>
      <c r="AH859" s="207"/>
      <c r="AI859" s="207"/>
      <c r="AJ859" s="207"/>
      <c r="AK859" s="207"/>
      <c r="AL859" s="207"/>
      <c r="AM859" s="207"/>
      <c r="AN859" s="207"/>
      <c r="AO859" s="207"/>
      <c r="AP859" s="207"/>
      <c r="AQ859" s="207"/>
      <c r="AR859" s="207"/>
      <c r="AS859" s="207"/>
      <c r="AT859" s="207"/>
      <c r="AU859" s="207"/>
      <c r="AV859" s="207"/>
      <c r="AW859" s="207"/>
      <c r="AX859" s="207"/>
      <c r="AY859" s="207"/>
      <c r="AZ859" s="207"/>
      <c r="BA859" s="207"/>
    </row>
    <row r="860" ht="18.75" hidden="1" customHeight="1">
      <c r="A860" s="207"/>
      <c r="B860" s="207"/>
      <c r="C860" s="207"/>
      <c r="D860" s="207"/>
      <c r="E860" s="207"/>
      <c r="F860" s="207"/>
      <c r="G860" s="207"/>
      <c r="H860" s="207"/>
      <c r="I860" s="207"/>
      <c r="J860" s="207"/>
      <c r="K860" s="207"/>
      <c r="L860" s="207"/>
      <c r="M860" s="207"/>
      <c r="N860" s="207"/>
      <c r="O860" s="207"/>
      <c r="P860" s="207"/>
      <c r="Q860" s="207"/>
      <c r="R860" s="207"/>
      <c r="S860" s="207"/>
      <c r="T860" s="207"/>
      <c r="U860" s="207"/>
      <c r="V860" s="207"/>
      <c r="W860" s="207"/>
      <c r="X860" s="207"/>
      <c r="Y860" s="207"/>
      <c r="Z860" s="207"/>
      <c r="AA860" s="207"/>
      <c r="AB860" s="207"/>
      <c r="AC860" s="207"/>
      <c r="AD860" s="207"/>
      <c r="AE860" s="207"/>
      <c r="AF860" s="207"/>
      <c r="AG860" s="207"/>
      <c r="AH860" s="207"/>
      <c r="AI860" s="207"/>
      <c r="AJ860" s="207"/>
      <c r="AK860" s="207"/>
      <c r="AL860" s="207"/>
      <c r="AM860" s="207"/>
      <c r="AN860" s="207"/>
      <c r="AO860" s="207"/>
      <c r="AP860" s="207"/>
      <c r="AQ860" s="207"/>
      <c r="AR860" s="207"/>
      <c r="AS860" s="207"/>
      <c r="AT860" s="207"/>
      <c r="AU860" s="207"/>
      <c r="AV860" s="207"/>
      <c r="AW860" s="207"/>
      <c r="AX860" s="207"/>
      <c r="AY860" s="207"/>
      <c r="AZ860" s="207"/>
      <c r="BA860" s="207"/>
    </row>
    <row r="861" ht="18.75" hidden="1" customHeight="1">
      <c r="A861" s="207"/>
      <c r="B861" s="207"/>
      <c r="C861" s="207"/>
      <c r="D861" s="207"/>
      <c r="E861" s="207"/>
      <c r="F861" s="207"/>
      <c r="G861" s="207"/>
      <c r="H861" s="207"/>
      <c r="I861" s="207"/>
      <c r="J861" s="207"/>
      <c r="K861" s="207"/>
      <c r="L861" s="207"/>
      <c r="M861" s="207"/>
      <c r="N861" s="207"/>
      <c r="O861" s="207"/>
      <c r="P861" s="207"/>
      <c r="Q861" s="207"/>
      <c r="R861" s="207"/>
      <c r="S861" s="207"/>
      <c r="T861" s="207"/>
      <c r="U861" s="207"/>
      <c r="V861" s="207"/>
      <c r="W861" s="207"/>
      <c r="X861" s="207"/>
      <c r="Y861" s="207"/>
      <c r="Z861" s="207"/>
      <c r="AA861" s="207"/>
      <c r="AB861" s="207"/>
      <c r="AC861" s="207"/>
      <c r="AD861" s="207"/>
      <c r="AE861" s="207"/>
      <c r="AF861" s="207"/>
      <c r="AG861" s="207"/>
      <c r="AH861" s="207"/>
      <c r="AI861" s="207"/>
      <c r="AJ861" s="207"/>
      <c r="AK861" s="207"/>
      <c r="AL861" s="207"/>
      <c r="AM861" s="207"/>
      <c r="AN861" s="207"/>
      <c r="AO861" s="207"/>
      <c r="AP861" s="207"/>
      <c r="AQ861" s="207"/>
      <c r="AR861" s="207"/>
      <c r="AS861" s="207"/>
      <c r="AT861" s="207"/>
      <c r="AU861" s="207"/>
      <c r="AV861" s="207"/>
      <c r="AW861" s="207"/>
      <c r="AX861" s="207"/>
      <c r="AY861" s="207"/>
      <c r="AZ861" s="207"/>
      <c r="BA861" s="207"/>
    </row>
    <row r="862" ht="18.75" hidden="1" customHeight="1">
      <c r="A862" s="207"/>
      <c r="B862" s="207"/>
      <c r="C862" s="207"/>
      <c r="D862" s="207"/>
      <c r="E862" s="207"/>
      <c r="F862" s="207"/>
      <c r="G862" s="207"/>
      <c r="H862" s="207"/>
      <c r="I862" s="207"/>
      <c r="J862" s="207"/>
      <c r="K862" s="207"/>
      <c r="L862" s="207"/>
      <c r="M862" s="207"/>
      <c r="N862" s="207"/>
      <c r="O862" s="207"/>
      <c r="P862" s="207"/>
      <c r="Q862" s="207"/>
      <c r="R862" s="207"/>
      <c r="S862" s="207"/>
      <c r="T862" s="207"/>
      <c r="U862" s="207"/>
      <c r="V862" s="207"/>
      <c r="W862" s="207"/>
      <c r="X862" s="207"/>
      <c r="Y862" s="207"/>
      <c r="Z862" s="207"/>
      <c r="AA862" s="207"/>
      <c r="AB862" s="207"/>
      <c r="AC862" s="207"/>
      <c r="AD862" s="207"/>
      <c r="AE862" s="207"/>
      <c r="AF862" s="207"/>
      <c r="AG862" s="207"/>
      <c r="AH862" s="207"/>
      <c r="AI862" s="207"/>
      <c r="AJ862" s="207"/>
      <c r="AK862" s="207"/>
      <c r="AL862" s="207"/>
      <c r="AM862" s="207"/>
      <c r="AN862" s="207"/>
      <c r="AO862" s="207"/>
      <c r="AP862" s="207"/>
      <c r="AQ862" s="207"/>
      <c r="AR862" s="207"/>
      <c r="AS862" s="207"/>
      <c r="AT862" s="207"/>
      <c r="AU862" s="207"/>
      <c r="AV862" s="207"/>
      <c r="AW862" s="207"/>
      <c r="AX862" s="207"/>
      <c r="AY862" s="207"/>
      <c r="AZ862" s="207"/>
      <c r="BA862" s="207"/>
    </row>
    <row r="863" ht="18.75" hidden="1" customHeight="1">
      <c r="A863" s="207"/>
      <c r="B863" s="207"/>
      <c r="C863" s="207"/>
      <c r="D863" s="207"/>
      <c r="E863" s="207"/>
      <c r="F863" s="207"/>
      <c r="G863" s="207"/>
      <c r="H863" s="207"/>
      <c r="I863" s="207"/>
      <c r="J863" s="207"/>
      <c r="K863" s="207"/>
      <c r="L863" s="207"/>
      <c r="M863" s="207"/>
      <c r="N863" s="207"/>
      <c r="O863" s="207"/>
      <c r="P863" s="207"/>
      <c r="Q863" s="207"/>
      <c r="R863" s="207"/>
      <c r="S863" s="207"/>
      <c r="T863" s="207"/>
      <c r="U863" s="207"/>
      <c r="V863" s="207"/>
      <c r="W863" s="207"/>
      <c r="X863" s="207"/>
      <c r="Y863" s="207"/>
      <c r="Z863" s="207"/>
      <c r="AA863" s="207"/>
      <c r="AB863" s="207"/>
      <c r="AC863" s="207"/>
      <c r="AD863" s="207"/>
      <c r="AE863" s="207"/>
      <c r="AF863" s="207"/>
      <c r="AG863" s="207"/>
      <c r="AH863" s="207"/>
      <c r="AI863" s="207"/>
      <c r="AJ863" s="207"/>
      <c r="AK863" s="207"/>
      <c r="AL863" s="207"/>
      <c r="AM863" s="207"/>
      <c r="AN863" s="207"/>
      <c r="AO863" s="207"/>
      <c r="AP863" s="207"/>
      <c r="AQ863" s="207"/>
      <c r="AR863" s="207"/>
      <c r="AS863" s="207"/>
      <c r="AT863" s="207"/>
      <c r="AU863" s="207"/>
      <c r="AV863" s="207"/>
      <c r="AW863" s="207"/>
      <c r="AX863" s="207"/>
      <c r="AY863" s="207"/>
      <c r="AZ863" s="207"/>
      <c r="BA863" s="207"/>
    </row>
    <row r="864" ht="18.75" hidden="1" customHeight="1">
      <c r="A864" s="207"/>
      <c r="B864" s="207"/>
      <c r="C864" s="207"/>
      <c r="D864" s="207"/>
      <c r="E864" s="207"/>
      <c r="F864" s="207"/>
      <c r="G864" s="207"/>
      <c r="H864" s="207"/>
      <c r="I864" s="207"/>
      <c r="J864" s="207"/>
      <c r="K864" s="207"/>
      <c r="L864" s="207"/>
      <c r="M864" s="207"/>
      <c r="N864" s="207"/>
      <c r="O864" s="207"/>
      <c r="P864" s="207"/>
      <c r="Q864" s="207"/>
      <c r="R864" s="207"/>
      <c r="S864" s="207"/>
      <c r="T864" s="207"/>
      <c r="U864" s="207"/>
      <c r="V864" s="207"/>
      <c r="W864" s="207"/>
      <c r="X864" s="207"/>
      <c r="Y864" s="207"/>
      <c r="Z864" s="207"/>
      <c r="AA864" s="207"/>
      <c r="AB864" s="207"/>
      <c r="AC864" s="207"/>
      <c r="AD864" s="207"/>
      <c r="AE864" s="207"/>
      <c r="AF864" s="207"/>
      <c r="AG864" s="207"/>
      <c r="AH864" s="207"/>
      <c r="AI864" s="207"/>
      <c r="AJ864" s="207"/>
      <c r="AK864" s="207"/>
      <c r="AL864" s="207"/>
      <c r="AM864" s="207"/>
      <c r="AN864" s="207"/>
      <c r="AO864" s="207"/>
      <c r="AP864" s="207"/>
      <c r="AQ864" s="207"/>
      <c r="AR864" s="207"/>
      <c r="AS864" s="207"/>
      <c r="AT864" s="207"/>
      <c r="AU864" s="207"/>
      <c r="AV864" s="207"/>
      <c r="AW864" s="207"/>
      <c r="AX864" s="207"/>
      <c r="AY864" s="207"/>
      <c r="AZ864" s="207"/>
      <c r="BA864" s="207"/>
    </row>
    <row r="865" ht="18.75" hidden="1" customHeight="1">
      <c r="A865" s="207"/>
      <c r="B865" s="207"/>
      <c r="C865" s="207"/>
      <c r="D865" s="207"/>
      <c r="E865" s="207"/>
      <c r="F865" s="207"/>
      <c r="G865" s="207"/>
      <c r="H865" s="207"/>
      <c r="I865" s="207"/>
      <c r="J865" s="207"/>
      <c r="K865" s="207"/>
      <c r="L865" s="207"/>
      <c r="M865" s="207"/>
      <c r="N865" s="207"/>
      <c r="O865" s="207"/>
      <c r="P865" s="207"/>
      <c r="Q865" s="207"/>
      <c r="R865" s="207"/>
      <c r="S865" s="207"/>
      <c r="T865" s="207"/>
      <c r="U865" s="207"/>
      <c r="V865" s="207"/>
      <c r="W865" s="207"/>
      <c r="X865" s="207"/>
      <c r="Y865" s="207"/>
      <c r="Z865" s="207"/>
      <c r="AA865" s="207"/>
      <c r="AB865" s="207"/>
      <c r="AC865" s="207"/>
      <c r="AD865" s="207"/>
      <c r="AE865" s="207"/>
      <c r="AF865" s="207"/>
      <c r="AG865" s="207"/>
      <c r="AH865" s="207"/>
      <c r="AI865" s="207"/>
      <c r="AJ865" s="207"/>
      <c r="AK865" s="207"/>
      <c r="AL865" s="207"/>
      <c r="AM865" s="207"/>
      <c r="AN865" s="207"/>
      <c r="AO865" s="207"/>
      <c r="AP865" s="207"/>
      <c r="AQ865" s="207"/>
      <c r="AR865" s="207"/>
      <c r="AS865" s="207"/>
      <c r="AT865" s="207"/>
      <c r="AU865" s="207"/>
      <c r="AV865" s="207"/>
      <c r="AW865" s="207"/>
      <c r="AX865" s="207"/>
      <c r="AY865" s="207"/>
      <c r="AZ865" s="207"/>
      <c r="BA865" s="207"/>
    </row>
    <row r="866" ht="18.75" hidden="1" customHeight="1">
      <c r="A866" s="207"/>
      <c r="B866" s="207"/>
      <c r="C866" s="207"/>
      <c r="D866" s="207"/>
      <c r="E866" s="207"/>
      <c r="F866" s="207"/>
      <c r="G866" s="207"/>
      <c r="H866" s="207"/>
      <c r="I866" s="207"/>
      <c r="J866" s="207"/>
      <c r="K866" s="207"/>
      <c r="L866" s="207"/>
      <c r="M866" s="207"/>
      <c r="N866" s="207"/>
      <c r="O866" s="207"/>
      <c r="P866" s="207"/>
      <c r="Q866" s="207"/>
      <c r="R866" s="207"/>
      <c r="S866" s="207"/>
      <c r="T866" s="207"/>
      <c r="U866" s="207"/>
      <c r="V866" s="207"/>
      <c r="W866" s="207"/>
      <c r="X866" s="207"/>
      <c r="Y866" s="207"/>
      <c r="Z866" s="207"/>
      <c r="AA866" s="207"/>
      <c r="AB866" s="207"/>
      <c r="AC866" s="207"/>
      <c r="AD866" s="207"/>
      <c r="AE866" s="207"/>
      <c r="AF866" s="207"/>
      <c r="AG866" s="207"/>
      <c r="AH866" s="207"/>
      <c r="AI866" s="207"/>
      <c r="AJ866" s="207"/>
      <c r="AK866" s="207"/>
      <c r="AL866" s="207"/>
      <c r="AM866" s="207"/>
      <c r="AN866" s="207"/>
      <c r="AO866" s="207"/>
      <c r="AP866" s="207"/>
      <c r="AQ866" s="207"/>
      <c r="AR866" s="207"/>
      <c r="AS866" s="207"/>
      <c r="AT866" s="207"/>
      <c r="AU866" s="207"/>
      <c r="AV866" s="207"/>
      <c r="AW866" s="207"/>
      <c r="AX866" s="207"/>
      <c r="AY866" s="207"/>
      <c r="AZ866" s="207"/>
      <c r="BA866" s="207"/>
    </row>
    <row r="867" ht="18.75" hidden="1" customHeight="1">
      <c r="A867" s="207"/>
      <c r="B867" s="207"/>
      <c r="C867" s="207"/>
      <c r="D867" s="207"/>
      <c r="E867" s="207"/>
      <c r="F867" s="207"/>
      <c r="G867" s="207"/>
      <c r="H867" s="207"/>
      <c r="I867" s="207"/>
      <c r="J867" s="207"/>
      <c r="K867" s="207"/>
      <c r="L867" s="207"/>
      <c r="M867" s="207"/>
      <c r="N867" s="207"/>
      <c r="O867" s="207"/>
      <c r="P867" s="207"/>
      <c r="Q867" s="207"/>
      <c r="R867" s="207"/>
      <c r="S867" s="207"/>
      <c r="T867" s="207"/>
      <c r="U867" s="207"/>
      <c r="V867" s="207"/>
      <c r="W867" s="207"/>
      <c r="X867" s="207"/>
      <c r="Y867" s="207"/>
      <c r="Z867" s="207"/>
      <c r="AA867" s="207"/>
      <c r="AB867" s="207"/>
      <c r="AC867" s="207"/>
      <c r="AD867" s="207"/>
      <c r="AE867" s="207"/>
      <c r="AF867" s="207"/>
      <c r="AG867" s="207"/>
      <c r="AH867" s="207"/>
      <c r="AI867" s="207"/>
      <c r="AJ867" s="207"/>
      <c r="AK867" s="207"/>
      <c r="AL867" s="207"/>
      <c r="AM867" s="207"/>
      <c r="AN867" s="207"/>
      <c r="AO867" s="207"/>
      <c r="AP867" s="207"/>
      <c r="AQ867" s="207"/>
      <c r="AR867" s="207"/>
      <c r="AS867" s="207"/>
      <c r="AT867" s="207"/>
      <c r="AU867" s="207"/>
      <c r="AV867" s="207"/>
      <c r="AW867" s="207"/>
      <c r="AX867" s="207"/>
      <c r="AY867" s="207"/>
      <c r="AZ867" s="207"/>
      <c r="BA867" s="207"/>
    </row>
    <row r="868" ht="18.75" hidden="1" customHeight="1">
      <c r="A868" s="207"/>
      <c r="B868" s="207"/>
      <c r="C868" s="207"/>
      <c r="D868" s="207"/>
      <c r="E868" s="207"/>
      <c r="F868" s="207"/>
      <c r="G868" s="207"/>
      <c r="H868" s="207"/>
      <c r="I868" s="207"/>
      <c r="J868" s="207"/>
      <c r="K868" s="207"/>
      <c r="L868" s="207"/>
      <c r="M868" s="207"/>
      <c r="N868" s="207"/>
      <c r="O868" s="207"/>
      <c r="P868" s="207"/>
      <c r="Q868" s="207"/>
      <c r="R868" s="207"/>
      <c r="S868" s="207"/>
      <c r="T868" s="207"/>
      <c r="U868" s="207"/>
      <c r="V868" s="207"/>
      <c r="W868" s="207"/>
      <c r="X868" s="207"/>
      <c r="Y868" s="207"/>
      <c r="Z868" s="207"/>
      <c r="AA868" s="207"/>
      <c r="AB868" s="207"/>
      <c r="AC868" s="207"/>
      <c r="AD868" s="207"/>
      <c r="AE868" s="207"/>
      <c r="AF868" s="207"/>
      <c r="AG868" s="207"/>
      <c r="AH868" s="207"/>
      <c r="AI868" s="207"/>
      <c r="AJ868" s="207"/>
      <c r="AK868" s="207"/>
      <c r="AL868" s="207"/>
      <c r="AM868" s="207"/>
      <c r="AN868" s="207"/>
      <c r="AO868" s="207"/>
      <c r="AP868" s="207"/>
      <c r="AQ868" s="207"/>
      <c r="AR868" s="207"/>
      <c r="AS868" s="207"/>
      <c r="AT868" s="207"/>
      <c r="AU868" s="207"/>
      <c r="AV868" s="207"/>
      <c r="AW868" s="207"/>
      <c r="AX868" s="207"/>
      <c r="AY868" s="207"/>
      <c r="AZ868" s="207"/>
      <c r="BA868" s="207"/>
    </row>
    <row r="869" ht="18.75" hidden="1" customHeight="1">
      <c r="A869" s="207"/>
      <c r="B869" s="207"/>
      <c r="C869" s="207"/>
      <c r="D869" s="207"/>
      <c r="E869" s="207"/>
      <c r="F869" s="207"/>
      <c r="G869" s="207"/>
      <c r="H869" s="207"/>
      <c r="I869" s="207"/>
      <c r="J869" s="207"/>
      <c r="K869" s="207"/>
      <c r="L869" s="207"/>
      <c r="M869" s="207"/>
      <c r="N869" s="207"/>
      <c r="O869" s="207"/>
      <c r="P869" s="207"/>
      <c r="Q869" s="207"/>
      <c r="R869" s="207"/>
      <c r="S869" s="207"/>
      <c r="T869" s="207"/>
      <c r="U869" s="207"/>
      <c r="V869" s="207"/>
      <c r="W869" s="207"/>
      <c r="X869" s="207"/>
      <c r="Y869" s="207"/>
      <c r="Z869" s="207"/>
      <c r="AA869" s="207"/>
      <c r="AB869" s="207"/>
      <c r="AC869" s="207"/>
      <c r="AD869" s="207"/>
      <c r="AE869" s="207"/>
      <c r="AF869" s="207"/>
      <c r="AG869" s="207"/>
      <c r="AH869" s="207"/>
      <c r="AI869" s="207"/>
      <c r="AJ869" s="207"/>
      <c r="AK869" s="207"/>
      <c r="AL869" s="207"/>
      <c r="AM869" s="207"/>
      <c r="AN869" s="207"/>
      <c r="AO869" s="207"/>
      <c r="AP869" s="207"/>
      <c r="AQ869" s="207"/>
      <c r="AR869" s="207"/>
      <c r="AS869" s="207"/>
      <c r="AT869" s="207"/>
      <c r="AU869" s="207"/>
      <c r="AV869" s="207"/>
      <c r="AW869" s="207"/>
      <c r="AX869" s="207"/>
      <c r="AY869" s="207"/>
      <c r="AZ869" s="207"/>
      <c r="BA869" s="207"/>
    </row>
    <row r="870" ht="18.75" hidden="1" customHeight="1">
      <c r="A870" s="207"/>
      <c r="B870" s="207"/>
      <c r="C870" s="207"/>
      <c r="D870" s="207"/>
      <c r="E870" s="207"/>
      <c r="F870" s="207"/>
      <c r="G870" s="207"/>
      <c r="H870" s="207"/>
      <c r="I870" s="207"/>
      <c r="J870" s="207"/>
      <c r="K870" s="207"/>
      <c r="L870" s="207"/>
      <c r="M870" s="207"/>
      <c r="N870" s="207"/>
      <c r="O870" s="207"/>
      <c r="P870" s="207"/>
      <c r="Q870" s="207"/>
      <c r="R870" s="207"/>
      <c r="S870" s="207"/>
      <c r="T870" s="207"/>
      <c r="U870" s="207"/>
      <c r="V870" s="207"/>
      <c r="W870" s="207"/>
      <c r="X870" s="207"/>
      <c r="Y870" s="207"/>
      <c r="Z870" s="207"/>
      <c r="AA870" s="207"/>
      <c r="AB870" s="207"/>
      <c r="AC870" s="207"/>
      <c r="AD870" s="207"/>
      <c r="AE870" s="207"/>
      <c r="AF870" s="207"/>
      <c r="AG870" s="207"/>
      <c r="AH870" s="207"/>
      <c r="AI870" s="207"/>
      <c r="AJ870" s="207"/>
      <c r="AK870" s="207"/>
      <c r="AL870" s="207"/>
      <c r="AM870" s="207"/>
      <c r="AN870" s="207"/>
      <c r="AO870" s="207"/>
      <c r="AP870" s="207"/>
      <c r="AQ870" s="207"/>
      <c r="AR870" s="207"/>
      <c r="AS870" s="207"/>
      <c r="AT870" s="207"/>
      <c r="AU870" s="207"/>
      <c r="AV870" s="207"/>
      <c r="AW870" s="207"/>
      <c r="AX870" s="207"/>
      <c r="AY870" s="207"/>
      <c r="AZ870" s="207"/>
      <c r="BA870" s="207"/>
    </row>
    <row r="871" ht="18.75" hidden="1" customHeight="1">
      <c r="A871" s="207"/>
      <c r="B871" s="207"/>
      <c r="C871" s="207"/>
      <c r="D871" s="207"/>
      <c r="E871" s="207"/>
      <c r="F871" s="207"/>
      <c r="G871" s="207"/>
      <c r="H871" s="207"/>
      <c r="I871" s="207"/>
      <c r="J871" s="207"/>
      <c r="K871" s="207"/>
      <c r="L871" s="207"/>
      <c r="M871" s="207"/>
      <c r="N871" s="207"/>
      <c r="O871" s="207"/>
      <c r="P871" s="207"/>
      <c r="Q871" s="207"/>
      <c r="R871" s="207"/>
      <c r="S871" s="207"/>
      <c r="T871" s="207"/>
      <c r="U871" s="207"/>
      <c r="V871" s="207"/>
      <c r="W871" s="207"/>
      <c r="X871" s="207"/>
      <c r="Y871" s="207"/>
      <c r="Z871" s="207"/>
      <c r="AA871" s="207"/>
      <c r="AB871" s="207"/>
      <c r="AC871" s="207"/>
      <c r="AD871" s="207"/>
      <c r="AE871" s="207"/>
      <c r="AF871" s="207"/>
      <c r="AG871" s="207"/>
      <c r="AH871" s="207"/>
      <c r="AI871" s="207"/>
      <c r="AJ871" s="207"/>
      <c r="AK871" s="207"/>
      <c r="AL871" s="207"/>
      <c r="AM871" s="207"/>
      <c r="AN871" s="207"/>
      <c r="AO871" s="207"/>
      <c r="AP871" s="207"/>
      <c r="AQ871" s="207"/>
      <c r="AR871" s="207"/>
      <c r="AS871" s="207"/>
      <c r="AT871" s="207"/>
      <c r="AU871" s="207"/>
      <c r="AV871" s="207"/>
      <c r="AW871" s="207"/>
      <c r="AX871" s="207"/>
      <c r="AY871" s="207"/>
      <c r="AZ871" s="207"/>
      <c r="BA871" s="207"/>
    </row>
    <row r="872" ht="18.75" hidden="1" customHeight="1">
      <c r="A872" s="207"/>
      <c r="B872" s="207"/>
      <c r="C872" s="207"/>
      <c r="D872" s="207"/>
      <c r="E872" s="207"/>
      <c r="F872" s="207"/>
      <c r="G872" s="207"/>
      <c r="H872" s="207"/>
      <c r="I872" s="207"/>
      <c r="J872" s="207"/>
      <c r="K872" s="207"/>
      <c r="L872" s="207"/>
      <c r="M872" s="207"/>
      <c r="N872" s="207"/>
      <c r="O872" s="207"/>
      <c r="P872" s="207"/>
      <c r="Q872" s="207"/>
      <c r="R872" s="207"/>
      <c r="S872" s="207"/>
      <c r="T872" s="207"/>
      <c r="U872" s="207"/>
      <c r="V872" s="207"/>
      <c r="W872" s="207"/>
      <c r="X872" s="207"/>
      <c r="Y872" s="207"/>
      <c r="Z872" s="207"/>
      <c r="AA872" s="207"/>
      <c r="AB872" s="207"/>
      <c r="AC872" s="207"/>
      <c r="AD872" s="207"/>
      <c r="AE872" s="207"/>
      <c r="AF872" s="207"/>
      <c r="AG872" s="207"/>
      <c r="AH872" s="207"/>
      <c r="AI872" s="207"/>
      <c r="AJ872" s="207"/>
      <c r="AK872" s="207"/>
      <c r="AL872" s="207"/>
      <c r="AM872" s="207"/>
      <c r="AN872" s="207"/>
      <c r="AO872" s="207"/>
      <c r="AP872" s="207"/>
      <c r="AQ872" s="207"/>
      <c r="AR872" s="207"/>
      <c r="AS872" s="207"/>
      <c r="AT872" s="207"/>
      <c r="AU872" s="207"/>
      <c r="AV872" s="207"/>
      <c r="AW872" s="207"/>
      <c r="AX872" s="207"/>
      <c r="AY872" s="207"/>
      <c r="AZ872" s="207"/>
      <c r="BA872" s="207"/>
    </row>
    <row r="873" ht="18.75" hidden="1" customHeight="1">
      <c r="A873" s="207"/>
      <c r="B873" s="207"/>
      <c r="C873" s="207"/>
      <c r="D873" s="207"/>
      <c r="E873" s="207"/>
      <c r="F873" s="207"/>
      <c r="G873" s="207"/>
      <c r="H873" s="207"/>
      <c r="I873" s="207"/>
      <c r="J873" s="207"/>
      <c r="K873" s="207"/>
      <c r="L873" s="207"/>
      <c r="M873" s="207"/>
      <c r="N873" s="207"/>
      <c r="O873" s="207"/>
      <c r="P873" s="207"/>
      <c r="Q873" s="207"/>
      <c r="R873" s="207"/>
      <c r="S873" s="207"/>
      <c r="T873" s="207"/>
      <c r="U873" s="207"/>
      <c r="V873" s="207"/>
      <c r="W873" s="207"/>
      <c r="X873" s="207"/>
      <c r="Y873" s="207"/>
      <c r="Z873" s="207"/>
      <c r="AA873" s="207"/>
      <c r="AB873" s="207"/>
      <c r="AC873" s="207"/>
      <c r="AD873" s="207"/>
      <c r="AE873" s="207"/>
      <c r="AF873" s="207"/>
      <c r="AG873" s="207"/>
      <c r="AH873" s="207"/>
      <c r="AI873" s="207"/>
      <c r="AJ873" s="207"/>
      <c r="AK873" s="207"/>
      <c r="AL873" s="207"/>
      <c r="AM873" s="207"/>
      <c r="AN873" s="207"/>
      <c r="AO873" s="207"/>
      <c r="AP873" s="207"/>
      <c r="AQ873" s="207"/>
      <c r="AR873" s="207"/>
      <c r="AS873" s="207"/>
      <c r="AT873" s="207"/>
      <c r="AU873" s="207"/>
      <c r="AV873" s="207"/>
      <c r="AW873" s="207"/>
      <c r="AX873" s="207"/>
      <c r="AY873" s="207"/>
      <c r="AZ873" s="207"/>
      <c r="BA873" s="207"/>
    </row>
    <row r="874" ht="18.75" hidden="1" customHeight="1">
      <c r="A874" s="207"/>
      <c r="B874" s="207"/>
      <c r="C874" s="207"/>
      <c r="D874" s="207"/>
      <c r="E874" s="207"/>
      <c r="F874" s="207"/>
      <c r="G874" s="207"/>
      <c r="H874" s="207"/>
      <c r="I874" s="207"/>
      <c r="J874" s="207"/>
      <c r="K874" s="207"/>
      <c r="L874" s="207"/>
      <c r="M874" s="207"/>
      <c r="N874" s="207"/>
      <c r="O874" s="207"/>
      <c r="P874" s="207"/>
      <c r="Q874" s="207"/>
      <c r="R874" s="207"/>
      <c r="S874" s="207"/>
      <c r="T874" s="207"/>
      <c r="U874" s="207"/>
      <c r="V874" s="207"/>
      <c r="W874" s="207"/>
      <c r="X874" s="207"/>
      <c r="Y874" s="207"/>
      <c r="Z874" s="207"/>
      <c r="AA874" s="207"/>
      <c r="AB874" s="207"/>
      <c r="AC874" s="207"/>
      <c r="AD874" s="207"/>
      <c r="AE874" s="207"/>
      <c r="AF874" s="207"/>
      <c r="AG874" s="207"/>
      <c r="AH874" s="207"/>
      <c r="AI874" s="207"/>
      <c r="AJ874" s="207"/>
      <c r="AK874" s="207"/>
      <c r="AL874" s="207"/>
      <c r="AM874" s="207"/>
      <c r="AN874" s="207"/>
      <c r="AO874" s="207"/>
      <c r="AP874" s="207"/>
      <c r="AQ874" s="207"/>
      <c r="AR874" s="207"/>
      <c r="AS874" s="207"/>
      <c r="AT874" s="207"/>
      <c r="AU874" s="207"/>
      <c r="AV874" s="207"/>
      <c r="AW874" s="207"/>
      <c r="AX874" s="207"/>
      <c r="AY874" s="207"/>
      <c r="AZ874" s="207"/>
      <c r="BA874" s="207"/>
    </row>
    <row r="875" ht="18.75" hidden="1" customHeight="1">
      <c r="A875" s="207"/>
      <c r="B875" s="207"/>
      <c r="C875" s="207"/>
      <c r="D875" s="207"/>
      <c r="E875" s="207"/>
      <c r="F875" s="207"/>
      <c r="G875" s="207"/>
      <c r="H875" s="207"/>
      <c r="I875" s="207"/>
      <c r="J875" s="207"/>
      <c r="K875" s="207"/>
      <c r="L875" s="207"/>
      <c r="M875" s="207"/>
      <c r="N875" s="207"/>
      <c r="O875" s="207"/>
      <c r="P875" s="207"/>
      <c r="Q875" s="207"/>
      <c r="R875" s="207"/>
      <c r="S875" s="207"/>
      <c r="T875" s="207"/>
      <c r="U875" s="207"/>
      <c r="V875" s="207"/>
      <c r="W875" s="207"/>
      <c r="X875" s="207"/>
      <c r="Y875" s="207"/>
      <c r="Z875" s="207"/>
      <c r="AA875" s="207"/>
      <c r="AB875" s="207"/>
      <c r="AC875" s="207"/>
      <c r="AD875" s="207"/>
      <c r="AE875" s="207"/>
      <c r="AF875" s="207"/>
      <c r="AG875" s="207"/>
      <c r="AH875" s="207"/>
      <c r="AI875" s="207"/>
      <c r="AJ875" s="207"/>
      <c r="AK875" s="207"/>
      <c r="AL875" s="207"/>
      <c r="AM875" s="207"/>
      <c r="AN875" s="207"/>
      <c r="AO875" s="207"/>
      <c r="AP875" s="207"/>
      <c r="AQ875" s="207"/>
      <c r="AR875" s="207"/>
      <c r="AS875" s="207"/>
      <c r="AT875" s="207"/>
      <c r="AU875" s="207"/>
      <c r="AV875" s="207"/>
      <c r="AW875" s="207"/>
      <c r="AX875" s="207"/>
      <c r="AY875" s="207"/>
      <c r="AZ875" s="207"/>
      <c r="BA875" s="207"/>
    </row>
    <row r="876" ht="18.75" hidden="1" customHeight="1">
      <c r="A876" s="207"/>
      <c r="B876" s="207"/>
      <c r="C876" s="207"/>
      <c r="D876" s="207"/>
      <c r="E876" s="207"/>
      <c r="F876" s="207"/>
      <c r="G876" s="207"/>
      <c r="H876" s="207"/>
      <c r="I876" s="207"/>
      <c r="J876" s="207"/>
      <c r="K876" s="207"/>
      <c r="L876" s="207"/>
      <c r="M876" s="207"/>
      <c r="N876" s="207"/>
      <c r="O876" s="207"/>
      <c r="P876" s="207"/>
      <c r="Q876" s="207"/>
      <c r="R876" s="207"/>
      <c r="S876" s="207"/>
      <c r="T876" s="207"/>
      <c r="U876" s="207"/>
      <c r="V876" s="207"/>
      <c r="W876" s="207"/>
      <c r="X876" s="207"/>
      <c r="Y876" s="207"/>
      <c r="Z876" s="207"/>
      <c r="AA876" s="207"/>
      <c r="AB876" s="207"/>
      <c r="AC876" s="207"/>
      <c r="AD876" s="207"/>
      <c r="AE876" s="207"/>
      <c r="AF876" s="207"/>
      <c r="AG876" s="207"/>
      <c r="AH876" s="207"/>
      <c r="AI876" s="207"/>
      <c r="AJ876" s="207"/>
      <c r="AK876" s="207"/>
      <c r="AL876" s="207"/>
      <c r="AM876" s="207"/>
      <c r="AN876" s="207"/>
      <c r="AO876" s="207"/>
      <c r="AP876" s="207"/>
      <c r="AQ876" s="207"/>
      <c r="AR876" s="207"/>
      <c r="AS876" s="207"/>
      <c r="AT876" s="207"/>
      <c r="AU876" s="207"/>
      <c r="AV876" s="207"/>
      <c r="AW876" s="207"/>
      <c r="AX876" s="207"/>
      <c r="AY876" s="207"/>
      <c r="AZ876" s="207"/>
      <c r="BA876" s="207"/>
    </row>
    <row r="877" ht="18.75" hidden="1" customHeight="1">
      <c r="A877" s="207"/>
      <c r="B877" s="207"/>
      <c r="C877" s="207"/>
      <c r="D877" s="207"/>
      <c r="E877" s="207"/>
      <c r="F877" s="207"/>
      <c r="G877" s="207"/>
      <c r="H877" s="207"/>
      <c r="I877" s="207"/>
      <c r="J877" s="207"/>
      <c r="K877" s="207"/>
      <c r="L877" s="207"/>
      <c r="M877" s="207"/>
      <c r="N877" s="207"/>
      <c r="O877" s="207"/>
      <c r="P877" s="207"/>
      <c r="Q877" s="207"/>
      <c r="R877" s="207"/>
      <c r="S877" s="207"/>
      <c r="T877" s="207"/>
      <c r="U877" s="207"/>
      <c r="V877" s="207"/>
      <c r="W877" s="207"/>
      <c r="X877" s="207"/>
      <c r="Y877" s="207"/>
      <c r="Z877" s="207"/>
      <c r="AA877" s="207"/>
      <c r="AB877" s="207"/>
      <c r="AC877" s="207"/>
      <c r="AD877" s="207"/>
      <c r="AE877" s="207"/>
      <c r="AF877" s="207"/>
      <c r="AG877" s="207"/>
      <c r="AH877" s="207"/>
      <c r="AI877" s="207"/>
      <c r="AJ877" s="207"/>
      <c r="AK877" s="207"/>
      <c r="AL877" s="207"/>
      <c r="AM877" s="207"/>
      <c r="AN877" s="207"/>
      <c r="AO877" s="207"/>
      <c r="AP877" s="207"/>
      <c r="AQ877" s="207"/>
      <c r="AR877" s="207"/>
      <c r="AS877" s="207"/>
      <c r="AT877" s="207"/>
      <c r="AU877" s="207"/>
      <c r="AV877" s="207"/>
      <c r="AW877" s="207"/>
      <c r="AX877" s="207"/>
      <c r="AY877" s="207"/>
      <c r="AZ877" s="207"/>
      <c r="BA877" s="207"/>
    </row>
    <row r="878" ht="18.75" hidden="1" customHeight="1">
      <c r="A878" s="207"/>
      <c r="B878" s="207"/>
      <c r="C878" s="207"/>
      <c r="D878" s="207"/>
      <c r="E878" s="207"/>
      <c r="F878" s="207"/>
      <c r="G878" s="207"/>
      <c r="H878" s="207"/>
      <c r="I878" s="207"/>
      <c r="J878" s="207"/>
      <c r="K878" s="207"/>
      <c r="L878" s="207"/>
      <c r="M878" s="207"/>
      <c r="N878" s="207"/>
      <c r="O878" s="207"/>
      <c r="P878" s="207"/>
      <c r="Q878" s="207"/>
      <c r="R878" s="207"/>
      <c r="S878" s="207"/>
      <c r="T878" s="207"/>
      <c r="U878" s="207"/>
      <c r="V878" s="207"/>
      <c r="W878" s="207"/>
      <c r="X878" s="207"/>
      <c r="Y878" s="207"/>
      <c r="Z878" s="207"/>
      <c r="AA878" s="207"/>
      <c r="AB878" s="207"/>
      <c r="AC878" s="207"/>
      <c r="AD878" s="207"/>
      <c r="AE878" s="207"/>
      <c r="AF878" s="207"/>
      <c r="AG878" s="207"/>
      <c r="AH878" s="207"/>
      <c r="AI878" s="207"/>
      <c r="AJ878" s="207"/>
      <c r="AK878" s="207"/>
      <c r="AL878" s="207"/>
      <c r="AM878" s="207"/>
      <c r="AN878" s="207"/>
      <c r="AO878" s="207"/>
      <c r="AP878" s="207"/>
      <c r="AQ878" s="207"/>
      <c r="AR878" s="207"/>
      <c r="AS878" s="207"/>
      <c r="AT878" s="207"/>
      <c r="AU878" s="207"/>
      <c r="AV878" s="207"/>
      <c r="AW878" s="207"/>
      <c r="AX878" s="207"/>
      <c r="AY878" s="207"/>
      <c r="AZ878" s="207"/>
      <c r="BA878" s="207"/>
    </row>
    <row r="879" ht="18.75" hidden="1" customHeight="1">
      <c r="A879" s="207"/>
      <c r="B879" s="207"/>
      <c r="C879" s="207"/>
      <c r="D879" s="207"/>
      <c r="E879" s="207"/>
      <c r="F879" s="207"/>
      <c r="G879" s="207"/>
      <c r="H879" s="207"/>
      <c r="I879" s="207"/>
      <c r="J879" s="207"/>
      <c r="K879" s="207"/>
      <c r="L879" s="207"/>
      <c r="M879" s="207"/>
      <c r="N879" s="207"/>
      <c r="O879" s="207"/>
      <c r="P879" s="207"/>
      <c r="Q879" s="207"/>
      <c r="R879" s="207"/>
      <c r="S879" s="207"/>
      <c r="T879" s="207"/>
      <c r="U879" s="207"/>
      <c r="V879" s="207"/>
      <c r="W879" s="207"/>
      <c r="X879" s="207"/>
      <c r="Y879" s="207"/>
      <c r="Z879" s="207"/>
      <c r="AA879" s="207"/>
      <c r="AB879" s="207"/>
      <c r="AC879" s="207"/>
      <c r="AD879" s="207"/>
      <c r="AE879" s="207"/>
      <c r="AF879" s="207"/>
      <c r="AG879" s="207"/>
      <c r="AH879" s="207"/>
      <c r="AI879" s="207"/>
      <c r="AJ879" s="207"/>
      <c r="AK879" s="207"/>
      <c r="AL879" s="207"/>
      <c r="AM879" s="207"/>
      <c r="AN879" s="207"/>
      <c r="AO879" s="207"/>
      <c r="AP879" s="207"/>
      <c r="AQ879" s="207"/>
      <c r="AR879" s="207"/>
      <c r="AS879" s="207"/>
      <c r="AT879" s="207"/>
      <c r="AU879" s="207"/>
      <c r="AV879" s="207"/>
      <c r="AW879" s="207"/>
      <c r="AX879" s="207"/>
      <c r="AY879" s="207"/>
      <c r="AZ879" s="207"/>
      <c r="BA879" s="207"/>
    </row>
    <row r="880" ht="18.75" hidden="1" customHeight="1">
      <c r="A880" s="207"/>
      <c r="B880" s="207"/>
      <c r="C880" s="207"/>
      <c r="D880" s="207"/>
      <c r="E880" s="207"/>
      <c r="F880" s="207"/>
      <c r="G880" s="207"/>
      <c r="H880" s="207"/>
      <c r="I880" s="207"/>
      <c r="J880" s="207"/>
      <c r="K880" s="207"/>
      <c r="L880" s="207"/>
      <c r="M880" s="207"/>
      <c r="N880" s="207"/>
      <c r="O880" s="207"/>
      <c r="P880" s="207"/>
      <c r="Q880" s="207"/>
      <c r="R880" s="207"/>
      <c r="S880" s="207"/>
      <c r="T880" s="207"/>
      <c r="U880" s="207"/>
      <c r="V880" s="207"/>
      <c r="W880" s="207"/>
      <c r="X880" s="207"/>
      <c r="Y880" s="207"/>
      <c r="Z880" s="207"/>
      <c r="AA880" s="207"/>
      <c r="AB880" s="207"/>
      <c r="AC880" s="207"/>
      <c r="AD880" s="207"/>
      <c r="AE880" s="207"/>
      <c r="AF880" s="207"/>
      <c r="AG880" s="207"/>
      <c r="AH880" s="207"/>
      <c r="AI880" s="207"/>
      <c r="AJ880" s="207"/>
      <c r="AK880" s="207"/>
      <c r="AL880" s="207"/>
      <c r="AM880" s="207"/>
      <c r="AN880" s="207"/>
      <c r="AO880" s="207"/>
      <c r="AP880" s="207"/>
      <c r="AQ880" s="207"/>
      <c r="AR880" s="207"/>
      <c r="AS880" s="207"/>
      <c r="AT880" s="207"/>
      <c r="AU880" s="207"/>
      <c r="AV880" s="207"/>
      <c r="AW880" s="207"/>
      <c r="AX880" s="207"/>
      <c r="AY880" s="207"/>
      <c r="AZ880" s="207"/>
      <c r="BA880" s="207"/>
    </row>
    <row r="881" ht="18.75" hidden="1" customHeight="1">
      <c r="A881" s="207"/>
      <c r="B881" s="207"/>
      <c r="C881" s="207"/>
      <c r="D881" s="207"/>
      <c r="E881" s="207"/>
      <c r="F881" s="207"/>
      <c r="G881" s="207"/>
      <c r="H881" s="207"/>
      <c r="I881" s="207"/>
      <c r="J881" s="207"/>
      <c r="K881" s="207"/>
      <c r="L881" s="207"/>
      <c r="M881" s="207"/>
      <c r="N881" s="207"/>
      <c r="O881" s="207"/>
      <c r="P881" s="207"/>
      <c r="Q881" s="207"/>
      <c r="R881" s="207"/>
      <c r="S881" s="207"/>
      <c r="T881" s="207"/>
      <c r="U881" s="207"/>
      <c r="V881" s="207"/>
      <c r="W881" s="207"/>
      <c r="X881" s="207"/>
      <c r="Y881" s="207"/>
      <c r="Z881" s="207"/>
      <c r="AA881" s="207"/>
      <c r="AB881" s="207"/>
      <c r="AC881" s="207"/>
      <c r="AD881" s="207"/>
      <c r="AE881" s="207"/>
      <c r="AF881" s="207"/>
      <c r="AG881" s="207"/>
      <c r="AH881" s="207"/>
      <c r="AI881" s="207"/>
      <c r="AJ881" s="207"/>
      <c r="AK881" s="207"/>
      <c r="AL881" s="207"/>
      <c r="AM881" s="207"/>
      <c r="AN881" s="207"/>
      <c r="AO881" s="207"/>
      <c r="AP881" s="207"/>
      <c r="AQ881" s="207"/>
      <c r="AR881" s="207"/>
      <c r="AS881" s="207"/>
      <c r="AT881" s="207"/>
      <c r="AU881" s="207"/>
      <c r="AV881" s="207"/>
      <c r="AW881" s="207"/>
      <c r="AX881" s="207"/>
      <c r="AY881" s="207"/>
      <c r="AZ881" s="207"/>
      <c r="BA881" s="207"/>
    </row>
    <row r="882" ht="18.75" hidden="1" customHeight="1">
      <c r="A882" s="207"/>
      <c r="B882" s="207"/>
      <c r="C882" s="207"/>
      <c r="D882" s="207"/>
      <c r="E882" s="207"/>
      <c r="F882" s="207"/>
      <c r="G882" s="207"/>
      <c r="H882" s="207"/>
      <c r="I882" s="207"/>
      <c r="J882" s="207"/>
      <c r="K882" s="207"/>
      <c r="L882" s="207"/>
      <c r="M882" s="207"/>
      <c r="N882" s="207"/>
      <c r="O882" s="207"/>
      <c r="P882" s="207"/>
      <c r="Q882" s="207"/>
      <c r="R882" s="207"/>
      <c r="S882" s="207"/>
      <c r="T882" s="207"/>
      <c r="U882" s="207"/>
      <c r="V882" s="207"/>
      <c r="W882" s="207"/>
      <c r="X882" s="207"/>
      <c r="Y882" s="207"/>
      <c r="Z882" s="207"/>
      <c r="AA882" s="207"/>
      <c r="AB882" s="207"/>
      <c r="AC882" s="207"/>
      <c r="AD882" s="207"/>
      <c r="AE882" s="207"/>
      <c r="AF882" s="207"/>
      <c r="AG882" s="207"/>
      <c r="AH882" s="207"/>
      <c r="AI882" s="207"/>
      <c r="AJ882" s="207"/>
      <c r="AK882" s="207"/>
      <c r="AL882" s="207"/>
      <c r="AM882" s="207"/>
      <c r="AN882" s="207"/>
      <c r="AO882" s="207"/>
      <c r="AP882" s="207"/>
      <c r="AQ882" s="207"/>
      <c r="AR882" s="207"/>
      <c r="AS882" s="207"/>
      <c r="AT882" s="207"/>
      <c r="AU882" s="207"/>
      <c r="AV882" s="207"/>
      <c r="AW882" s="207"/>
      <c r="AX882" s="207"/>
      <c r="AY882" s="207"/>
      <c r="AZ882" s="207"/>
      <c r="BA882" s="207"/>
    </row>
    <row r="883" ht="18.75" hidden="1" customHeight="1">
      <c r="A883" s="207"/>
      <c r="B883" s="207"/>
      <c r="C883" s="207"/>
      <c r="D883" s="207"/>
      <c r="E883" s="207"/>
      <c r="F883" s="207"/>
      <c r="G883" s="207"/>
      <c r="H883" s="207"/>
      <c r="I883" s="207"/>
      <c r="J883" s="207"/>
      <c r="K883" s="207"/>
      <c r="L883" s="207"/>
      <c r="M883" s="207"/>
      <c r="N883" s="207"/>
      <c r="O883" s="207"/>
      <c r="P883" s="207"/>
      <c r="Q883" s="207"/>
      <c r="R883" s="207"/>
      <c r="S883" s="207"/>
      <c r="T883" s="207"/>
      <c r="U883" s="207"/>
      <c r="V883" s="207"/>
      <c r="W883" s="207"/>
      <c r="X883" s="207"/>
      <c r="Y883" s="207"/>
      <c r="Z883" s="207"/>
      <c r="AA883" s="207"/>
      <c r="AB883" s="207"/>
      <c r="AC883" s="207"/>
      <c r="AD883" s="207"/>
      <c r="AE883" s="207"/>
      <c r="AF883" s="207"/>
      <c r="AG883" s="207"/>
      <c r="AH883" s="207"/>
      <c r="AI883" s="207"/>
      <c r="AJ883" s="207"/>
      <c r="AK883" s="207"/>
      <c r="AL883" s="207"/>
      <c r="AM883" s="207"/>
      <c r="AN883" s="207"/>
      <c r="AO883" s="207"/>
      <c r="AP883" s="207"/>
      <c r="AQ883" s="207"/>
      <c r="AR883" s="207"/>
      <c r="AS883" s="207"/>
      <c r="AT883" s="207"/>
      <c r="AU883" s="207"/>
      <c r="AV883" s="207"/>
      <c r="AW883" s="207"/>
      <c r="AX883" s="207"/>
      <c r="AY883" s="207"/>
      <c r="AZ883" s="207"/>
      <c r="BA883" s="207"/>
    </row>
    <row r="884" ht="18.75" hidden="1" customHeight="1">
      <c r="A884" s="207"/>
      <c r="B884" s="207"/>
      <c r="C884" s="207"/>
      <c r="D884" s="207"/>
      <c r="E884" s="207"/>
      <c r="F884" s="207"/>
      <c r="G884" s="207"/>
      <c r="H884" s="207"/>
      <c r="I884" s="207"/>
      <c r="J884" s="207"/>
      <c r="K884" s="207"/>
      <c r="L884" s="207"/>
      <c r="M884" s="207"/>
      <c r="N884" s="207"/>
      <c r="O884" s="207"/>
      <c r="P884" s="207"/>
      <c r="Q884" s="207"/>
      <c r="R884" s="207"/>
      <c r="S884" s="207"/>
      <c r="T884" s="207"/>
      <c r="U884" s="207"/>
      <c r="V884" s="207"/>
      <c r="W884" s="207"/>
      <c r="X884" s="207"/>
      <c r="Y884" s="207"/>
      <c r="Z884" s="207"/>
      <c r="AA884" s="207"/>
      <c r="AB884" s="207"/>
      <c r="AC884" s="207"/>
      <c r="AD884" s="207"/>
      <c r="AE884" s="207"/>
      <c r="AF884" s="207"/>
      <c r="AG884" s="207"/>
      <c r="AH884" s="207"/>
      <c r="AI884" s="207"/>
      <c r="AJ884" s="207"/>
      <c r="AK884" s="207"/>
      <c r="AL884" s="207"/>
      <c r="AM884" s="207"/>
      <c r="AN884" s="207"/>
      <c r="AO884" s="207"/>
      <c r="AP884" s="207"/>
      <c r="AQ884" s="207"/>
      <c r="AR884" s="207"/>
      <c r="AS884" s="207"/>
      <c r="AT884" s="207"/>
      <c r="AU884" s="207"/>
      <c r="AV884" s="207"/>
      <c r="AW884" s="207"/>
      <c r="AX884" s="207"/>
      <c r="AY884" s="207"/>
      <c r="AZ884" s="207"/>
      <c r="BA884" s="207"/>
    </row>
    <row r="885" ht="18.75" hidden="1" customHeight="1">
      <c r="A885" s="207"/>
      <c r="B885" s="207"/>
      <c r="C885" s="207"/>
      <c r="D885" s="207"/>
      <c r="E885" s="207"/>
      <c r="F885" s="207"/>
      <c r="G885" s="207"/>
      <c r="H885" s="207"/>
      <c r="I885" s="207"/>
      <c r="J885" s="207"/>
      <c r="K885" s="207"/>
      <c r="L885" s="207"/>
      <c r="M885" s="207"/>
      <c r="N885" s="207"/>
      <c r="O885" s="207"/>
      <c r="P885" s="207"/>
      <c r="Q885" s="207"/>
      <c r="R885" s="207"/>
      <c r="S885" s="207"/>
      <c r="T885" s="207"/>
      <c r="U885" s="207"/>
      <c r="V885" s="207"/>
      <c r="W885" s="207"/>
      <c r="X885" s="207"/>
      <c r="Y885" s="207"/>
      <c r="Z885" s="207"/>
      <c r="AA885" s="207"/>
      <c r="AB885" s="207"/>
      <c r="AC885" s="207"/>
      <c r="AD885" s="207"/>
      <c r="AE885" s="207"/>
      <c r="AF885" s="207"/>
      <c r="AG885" s="207"/>
      <c r="AH885" s="207"/>
      <c r="AI885" s="207"/>
      <c r="AJ885" s="207"/>
      <c r="AK885" s="207"/>
      <c r="AL885" s="207"/>
      <c r="AM885" s="207"/>
      <c r="AN885" s="207"/>
      <c r="AO885" s="207"/>
      <c r="AP885" s="207"/>
      <c r="AQ885" s="207"/>
      <c r="AR885" s="207"/>
      <c r="AS885" s="207"/>
      <c r="AT885" s="207"/>
      <c r="AU885" s="207"/>
      <c r="AV885" s="207"/>
      <c r="AW885" s="207"/>
      <c r="AX885" s="207"/>
      <c r="AY885" s="207"/>
      <c r="AZ885" s="207"/>
      <c r="BA885" s="207"/>
    </row>
    <row r="886" ht="18.75" hidden="1" customHeight="1">
      <c r="A886" s="207"/>
      <c r="B886" s="207"/>
      <c r="C886" s="207"/>
      <c r="D886" s="207"/>
      <c r="E886" s="207"/>
      <c r="F886" s="207"/>
      <c r="G886" s="207"/>
      <c r="H886" s="207"/>
      <c r="I886" s="207"/>
      <c r="J886" s="207"/>
      <c r="K886" s="207"/>
      <c r="L886" s="207"/>
      <c r="M886" s="207"/>
      <c r="N886" s="207"/>
      <c r="O886" s="207"/>
      <c r="P886" s="207"/>
      <c r="Q886" s="207"/>
      <c r="R886" s="207"/>
      <c r="S886" s="207"/>
      <c r="T886" s="207"/>
      <c r="U886" s="207"/>
      <c r="V886" s="207"/>
      <c r="W886" s="207"/>
      <c r="X886" s="207"/>
      <c r="Y886" s="207"/>
      <c r="Z886" s="207"/>
      <c r="AA886" s="207"/>
      <c r="AB886" s="207"/>
      <c r="AC886" s="207"/>
      <c r="AD886" s="207"/>
      <c r="AE886" s="207"/>
      <c r="AF886" s="207"/>
      <c r="AG886" s="207"/>
      <c r="AH886" s="207"/>
      <c r="AI886" s="207"/>
      <c r="AJ886" s="207"/>
      <c r="AK886" s="207"/>
      <c r="AL886" s="207"/>
      <c r="AM886" s="207"/>
      <c r="AN886" s="207"/>
      <c r="AO886" s="207"/>
      <c r="AP886" s="207"/>
      <c r="AQ886" s="207"/>
      <c r="AR886" s="207"/>
      <c r="AS886" s="207"/>
      <c r="AT886" s="207"/>
      <c r="AU886" s="207"/>
      <c r="AV886" s="207"/>
      <c r="AW886" s="207"/>
      <c r="AX886" s="207"/>
      <c r="AY886" s="207"/>
      <c r="AZ886" s="207"/>
      <c r="BA886" s="207"/>
    </row>
    <row r="887" ht="18.75" hidden="1" customHeight="1">
      <c r="A887" s="207"/>
      <c r="B887" s="207"/>
      <c r="C887" s="207"/>
      <c r="D887" s="207"/>
      <c r="E887" s="207"/>
      <c r="F887" s="207"/>
      <c r="G887" s="207"/>
      <c r="H887" s="207"/>
      <c r="I887" s="207"/>
      <c r="J887" s="207"/>
      <c r="K887" s="207"/>
      <c r="L887" s="207"/>
      <c r="M887" s="207"/>
      <c r="N887" s="207"/>
      <c r="O887" s="207"/>
      <c r="P887" s="207"/>
      <c r="Q887" s="207"/>
      <c r="R887" s="207"/>
      <c r="S887" s="207"/>
      <c r="T887" s="207"/>
      <c r="U887" s="207"/>
      <c r="V887" s="207"/>
      <c r="W887" s="207"/>
      <c r="X887" s="207"/>
      <c r="Y887" s="207"/>
      <c r="Z887" s="207"/>
      <c r="AA887" s="207"/>
      <c r="AB887" s="207"/>
      <c r="AC887" s="207"/>
      <c r="AD887" s="207"/>
      <c r="AE887" s="207"/>
      <c r="AF887" s="207"/>
      <c r="AG887" s="207"/>
      <c r="AH887" s="207"/>
      <c r="AI887" s="207"/>
      <c r="AJ887" s="207"/>
      <c r="AK887" s="207"/>
      <c r="AL887" s="207"/>
      <c r="AM887" s="207"/>
      <c r="AN887" s="207"/>
      <c r="AO887" s="207"/>
      <c r="AP887" s="207"/>
      <c r="AQ887" s="207"/>
      <c r="AR887" s="207"/>
      <c r="AS887" s="207"/>
      <c r="AT887" s="207"/>
      <c r="AU887" s="207"/>
      <c r="AV887" s="207"/>
      <c r="AW887" s="207"/>
      <c r="AX887" s="207"/>
      <c r="AY887" s="207"/>
      <c r="AZ887" s="207"/>
      <c r="BA887" s="207"/>
    </row>
    <row r="888" ht="18.75" hidden="1" customHeight="1">
      <c r="A888" s="207"/>
      <c r="B888" s="207"/>
      <c r="C888" s="207"/>
      <c r="D888" s="207"/>
      <c r="E888" s="207"/>
      <c r="F888" s="207"/>
      <c r="G888" s="207"/>
      <c r="H888" s="207"/>
      <c r="I888" s="207"/>
      <c r="J888" s="207"/>
      <c r="K888" s="207"/>
      <c r="L888" s="207"/>
      <c r="M888" s="207"/>
      <c r="N888" s="207"/>
      <c r="O888" s="207"/>
      <c r="P888" s="207"/>
      <c r="Q888" s="207"/>
      <c r="R888" s="207"/>
      <c r="S888" s="207"/>
      <c r="T888" s="207"/>
      <c r="U888" s="207"/>
      <c r="V888" s="207"/>
      <c r="W888" s="207"/>
      <c r="X888" s="207"/>
      <c r="Y888" s="207"/>
      <c r="Z888" s="207"/>
      <c r="AA888" s="207"/>
      <c r="AB888" s="207"/>
      <c r="AC888" s="207"/>
      <c r="AD888" s="207"/>
      <c r="AE888" s="207"/>
      <c r="AF888" s="207"/>
      <c r="AG888" s="207"/>
      <c r="AH888" s="207"/>
      <c r="AI888" s="207"/>
      <c r="AJ888" s="207"/>
      <c r="AK888" s="207"/>
      <c r="AL888" s="207"/>
      <c r="AM888" s="207"/>
      <c r="AN888" s="207"/>
      <c r="AO888" s="207"/>
      <c r="AP888" s="207"/>
      <c r="AQ888" s="207"/>
      <c r="AR888" s="207"/>
      <c r="AS888" s="207"/>
      <c r="AT888" s="207"/>
      <c r="AU888" s="207"/>
      <c r="AV888" s="207"/>
      <c r="AW888" s="207"/>
      <c r="AX888" s="207"/>
      <c r="AY888" s="207"/>
      <c r="AZ888" s="207"/>
      <c r="BA888" s="207"/>
    </row>
    <row r="889" ht="18.75" hidden="1" customHeight="1">
      <c r="A889" s="207"/>
      <c r="B889" s="207"/>
      <c r="C889" s="207"/>
      <c r="D889" s="207"/>
      <c r="E889" s="207"/>
      <c r="F889" s="207"/>
      <c r="G889" s="207"/>
      <c r="H889" s="207"/>
      <c r="I889" s="207"/>
      <c r="J889" s="207"/>
      <c r="K889" s="207"/>
      <c r="L889" s="207"/>
      <c r="M889" s="207"/>
      <c r="N889" s="207"/>
      <c r="O889" s="207"/>
      <c r="P889" s="207"/>
      <c r="Q889" s="207"/>
      <c r="R889" s="207"/>
      <c r="S889" s="207"/>
      <c r="T889" s="207"/>
      <c r="U889" s="207"/>
      <c r="V889" s="207"/>
      <c r="W889" s="207"/>
      <c r="X889" s="207"/>
      <c r="Y889" s="207"/>
      <c r="Z889" s="207"/>
      <c r="AA889" s="207"/>
      <c r="AB889" s="207"/>
      <c r="AC889" s="207"/>
      <c r="AD889" s="207"/>
      <c r="AE889" s="207"/>
      <c r="AF889" s="207"/>
      <c r="AG889" s="207"/>
      <c r="AH889" s="207"/>
      <c r="AI889" s="207"/>
      <c r="AJ889" s="207"/>
      <c r="AK889" s="207"/>
      <c r="AL889" s="207"/>
      <c r="AM889" s="207"/>
      <c r="AN889" s="207"/>
      <c r="AO889" s="207"/>
      <c r="AP889" s="207"/>
      <c r="AQ889" s="207"/>
      <c r="AR889" s="207"/>
      <c r="AS889" s="207"/>
      <c r="AT889" s="207"/>
      <c r="AU889" s="207"/>
      <c r="AV889" s="207"/>
      <c r="AW889" s="207"/>
      <c r="AX889" s="207"/>
      <c r="AY889" s="207"/>
      <c r="AZ889" s="207"/>
      <c r="BA889" s="207"/>
    </row>
    <row r="890" ht="18.75" hidden="1" customHeight="1">
      <c r="A890" s="207"/>
      <c r="B890" s="207"/>
      <c r="C890" s="207"/>
      <c r="D890" s="207"/>
      <c r="E890" s="207"/>
      <c r="F890" s="207"/>
      <c r="G890" s="207"/>
      <c r="H890" s="207"/>
      <c r="I890" s="207"/>
      <c r="J890" s="207"/>
      <c r="K890" s="207"/>
      <c r="L890" s="207"/>
      <c r="M890" s="207"/>
      <c r="N890" s="207"/>
      <c r="O890" s="207"/>
      <c r="P890" s="207"/>
      <c r="Q890" s="207"/>
      <c r="R890" s="207"/>
      <c r="S890" s="207"/>
      <c r="T890" s="207"/>
      <c r="U890" s="207"/>
      <c r="V890" s="207"/>
      <c r="W890" s="207"/>
      <c r="X890" s="207"/>
      <c r="Y890" s="207"/>
      <c r="Z890" s="207"/>
      <c r="AA890" s="207"/>
      <c r="AB890" s="207"/>
      <c r="AC890" s="207"/>
      <c r="AD890" s="207"/>
      <c r="AE890" s="207"/>
      <c r="AF890" s="207"/>
      <c r="AG890" s="207"/>
      <c r="AH890" s="207"/>
      <c r="AI890" s="207"/>
      <c r="AJ890" s="207"/>
      <c r="AK890" s="207"/>
      <c r="AL890" s="207"/>
      <c r="AM890" s="207"/>
      <c r="AN890" s="207"/>
      <c r="AO890" s="207"/>
      <c r="AP890" s="207"/>
      <c r="AQ890" s="207"/>
      <c r="AR890" s="207"/>
      <c r="AS890" s="207"/>
      <c r="AT890" s="207"/>
      <c r="AU890" s="207"/>
      <c r="AV890" s="207"/>
      <c r="AW890" s="207"/>
      <c r="AX890" s="207"/>
      <c r="AY890" s="207"/>
      <c r="AZ890" s="207"/>
      <c r="BA890" s="207"/>
    </row>
    <row r="891" ht="18.75" hidden="1" customHeight="1">
      <c r="A891" s="207"/>
      <c r="B891" s="207"/>
      <c r="C891" s="207"/>
      <c r="D891" s="207"/>
      <c r="E891" s="207"/>
      <c r="F891" s="207"/>
      <c r="G891" s="207"/>
      <c r="H891" s="207"/>
      <c r="I891" s="207"/>
      <c r="J891" s="207"/>
      <c r="K891" s="207"/>
      <c r="L891" s="207"/>
      <c r="M891" s="207"/>
      <c r="N891" s="207"/>
      <c r="O891" s="207"/>
      <c r="P891" s="207"/>
      <c r="Q891" s="207"/>
      <c r="R891" s="207"/>
      <c r="S891" s="207"/>
      <c r="T891" s="207"/>
      <c r="U891" s="207"/>
      <c r="V891" s="207"/>
      <c r="W891" s="207"/>
      <c r="X891" s="207"/>
      <c r="Y891" s="207"/>
      <c r="Z891" s="207"/>
      <c r="AA891" s="207"/>
      <c r="AB891" s="207"/>
      <c r="AC891" s="207"/>
      <c r="AD891" s="207"/>
      <c r="AE891" s="207"/>
      <c r="AF891" s="207"/>
      <c r="AG891" s="207"/>
      <c r="AH891" s="207"/>
      <c r="AI891" s="207"/>
      <c r="AJ891" s="207"/>
      <c r="AK891" s="207"/>
      <c r="AL891" s="207"/>
      <c r="AM891" s="207"/>
      <c r="AN891" s="207"/>
      <c r="AO891" s="207"/>
      <c r="AP891" s="207"/>
      <c r="AQ891" s="207"/>
      <c r="AR891" s="207"/>
      <c r="AS891" s="207"/>
      <c r="AT891" s="207"/>
      <c r="AU891" s="207"/>
      <c r="AV891" s="207"/>
      <c r="AW891" s="207"/>
      <c r="AX891" s="207"/>
      <c r="AY891" s="207"/>
      <c r="AZ891" s="207"/>
      <c r="BA891" s="207"/>
    </row>
    <row r="892" ht="18.75" hidden="1" customHeight="1">
      <c r="A892" s="207"/>
      <c r="B892" s="207"/>
      <c r="C892" s="207"/>
      <c r="D892" s="207"/>
      <c r="E892" s="207"/>
      <c r="F892" s="207"/>
      <c r="G892" s="207"/>
      <c r="H892" s="207"/>
      <c r="I892" s="207"/>
      <c r="J892" s="207"/>
      <c r="K892" s="207"/>
      <c r="L892" s="207"/>
      <c r="M892" s="207"/>
      <c r="N892" s="207"/>
      <c r="O892" s="207"/>
      <c r="P892" s="207"/>
      <c r="Q892" s="207"/>
      <c r="R892" s="207"/>
      <c r="S892" s="207"/>
      <c r="T892" s="207"/>
      <c r="U892" s="207"/>
      <c r="V892" s="207"/>
      <c r="W892" s="207"/>
      <c r="X892" s="207"/>
      <c r="Y892" s="207"/>
      <c r="Z892" s="207"/>
      <c r="AA892" s="207"/>
      <c r="AB892" s="207"/>
      <c r="AC892" s="207"/>
      <c r="AD892" s="207"/>
      <c r="AE892" s="207"/>
      <c r="AF892" s="207"/>
      <c r="AG892" s="207"/>
      <c r="AH892" s="207"/>
      <c r="AI892" s="207"/>
      <c r="AJ892" s="207"/>
      <c r="AK892" s="207"/>
      <c r="AL892" s="207"/>
      <c r="AM892" s="207"/>
      <c r="AN892" s="207"/>
      <c r="AO892" s="207"/>
      <c r="AP892" s="207"/>
      <c r="AQ892" s="207"/>
      <c r="AR892" s="207"/>
      <c r="AS892" s="207"/>
      <c r="AT892" s="207"/>
      <c r="AU892" s="207"/>
      <c r="AV892" s="207"/>
      <c r="AW892" s="207"/>
      <c r="AX892" s="207"/>
      <c r="AY892" s="207"/>
      <c r="AZ892" s="207"/>
      <c r="BA892" s="207"/>
    </row>
    <row r="893" ht="18.75" hidden="1" customHeight="1">
      <c r="A893" s="207"/>
      <c r="B893" s="207"/>
      <c r="C893" s="207"/>
      <c r="D893" s="207"/>
      <c r="E893" s="207"/>
      <c r="F893" s="207"/>
      <c r="G893" s="207"/>
      <c r="H893" s="207"/>
      <c r="I893" s="207"/>
      <c r="J893" s="207"/>
      <c r="K893" s="207"/>
      <c r="L893" s="207"/>
      <c r="M893" s="207"/>
      <c r="N893" s="207"/>
      <c r="O893" s="207"/>
      <c r="P893" s="207"/>
      <c r="Q893" s="207"/>
      <c r="R893" s="207"/>
      <c r="S893" s="207"/>
      <c r="T893" s="207"/>
      <c r="U893" s="207"/>
      <c r="V893" s="207"/>
      <c r="W893" s="207"/>
      <c r="X893" s="207"/>
      <c r="Y893" s="207"/>
      <c r="Z893" s="207"/>
      <c r="AA893" s="207"/>
      <c r="AB893" s="207"/>
      <c r="AC893" s="207"/>
      <c r="AD893" s="207"/>
      <c r="AE893" s="207"/>
      <c r="AF893" s="207"/>
      <c r="AG893" s="207"/>
      <c r="AH893" s="207"/>
      <c r="AI893" s="207"/>
      <c r="AJ893" s="207"/>
      <c r="AK893" s="207"/>
      <c r="AL893" s="207"/>
      <c r="AM893" s="207"/>
      <c r="AN893" s="207"/>
      <c r="AO893" s="207"/>
      <c r="AP893" s="207"/>
      <c r="AQ893" s="207"/>
      <c r="AR893" s="207"/>
      <c r="AS893" s="207"/>
      <c r="AT893" s="207"/>
      <c r="AU893" s="207"/>
      <c r="AV893" s="207"/>
      <c r="AW893" s="207"/>
      <c r="AX893" s="207"/>
      <c r="AY893" s="207"/>
      <c r="AZ893" s="207"/>
      <c r="BA893" s="207"/>
    </row>
    <row r="894" ht="18.75" hidden="1" customHeight="1">
      <c r="A894" s="207"/>
      <c r="B894" s="207"/>
      <c r="C894" s="207"/>
      <c r="D894" s="207"/>
      <c r="E894" s="207"/>
      <c r="F894" s="207"/>
      <c r="G894" s="207"/>
      <c r="H894" s="207"/>
      <c r="I894" s="207"/>
      <c r="J894" s="207"/>
      <c r="K894" s="207"/>
      <c r="L894" s="207"/>
      <c r="M894" s="207"/>
      <c r="N894" s="207"/>
      <c r="O894" s="207"/>
      <c r="P894" s="207"/>
      <c r="Q894" s="207"/>
      <c r="R894" s="207"/>
      <c r="S894" s="207"/>
      <c r="T894" s="207"/>
      <c r="U894" s="207"/>
      <c r="V894" s="207"/>
      <c r="W894" s="207"/>
      <c r="X894" s="207"/>
      <c r="Y894" s="207"/>
      <c r="Z894" s="207"/>
      <c r="AA894" s="207"/>
      <c r="AB894" s="207"/>
      <c r="AC894" s="207"/>
      <c r="AD894" s="207"/>
      <c r="AE894" s="207"/>
      <c r="AF894" s="207"/>
      <c r="AG894" s="207"/>
      <c r="AH894" s="207"/>
      <c r="AI894" s="207"/>
      <c r="AJ894" s="207"/>
      <c r="AK894" s="207"/>
      <c r="AL894" s="207"/>
      <c r="AM894" s="207"/>
      <c r="AN894" s="207"/>
      <c r="AO894" s="207"/>
      <c r="AP894" s="207"/>
      <c r="AQ894" s="207"/>
      <c r="AR894" s="207"/>
      <c r="AS894" s="207"/>
      <c r="AT894" s="207"/>
      <c r="AU894" s="207"/>
      <c r="AV894" s="207"/>
      <c r="AW894" s="207"/>
      <c r="AX894" s="207"/>
      <c r="AY894" s="207"/>
      <c r="AZ894" s="207"/>
      <c r="BA894" s="207"/>
    </row>
    <row r="895" ht="18.75" hidden="1" customHeight="1">
      <c r="A895" s="207"/>
      <c r="B895" s="207"/>
      <c r="C895" s="207"/>
      <c r="D895" s="207"/>
      <c r="E895" s="207"/>
      <c r="F895" s="207"/>
      <c r="G895" s="207"/>
      <c r="H895" s="207"/>
      <c r="I895" s="207"/>
      <c r="J895" s="207"/>
      <c r="K895" s="207"/>
      <c r="L895" s="207"/>
      <c r="M895" s="207"/>
      <c r="N895" s="207"/>
      <c r="O895" s="207"/>
      <c r="P895" s="207"/>
      <c r="Q895" s="207"/>
      <c r="R895" s="207"/>
      <c r="S895" s="207"/>
      <c r="T895" s="207"/>
      <c r="U895" s="207"/>
      <c r="V895" s="207"/>
      <c r="W895" s="207"/>
      <c r="X895" s="207"/>
      <c r="Y895" s="207"/>
      <c r="Z895" s="207"/>
      <c r="AA895" s="207"/>
      <c r="AB895" s="207"/>
      <c r="AC895" s="207"/>
      <c r="AD895" s="207"/>
      <c r="AE895" s="207"/>
      <c r="AF895" s="207"/>
      <c r="AG895" s="207"/>
      <c r="AH895" s="207"/>
      <c r="AI895" s="207"/>
      <c r="AJ895" s="207"/>
      <c r="AK895" s="207"/>
      <c r="AL895" s="207"/>
      <c r="AM895" s="207"/>
      <c r="AN895" s="207"/>
      <c r="AO895" s="207"/>
      <c r="AP895" s="207"/>
      <c r="AQ895" s="207"/>
      <c r="AR895" s="207"/>
      <c r="AS895" s="207"/>
      <c r="AT895" s="207"/>
      <c r="AU895" s="207"/>
      <c r="AV895" s="207"/>
      <c r="AW895" s="207"/>
      <c r="AX895" s="207"/>
      <c r="AY895" s="207"/>
      <c r="AZ895" s="207"/>
      <c r="BA895" s="207"/>
    </row>
    <row r="896" ht="18.75" hidden="1" customHeight="1">
      <c r="A896" s="207"/>
      <c r="B896" s="207"/>
      <c r="C896" s="207"/>
      <c r="D896" s="207"/>
      <c r="E896" s="207"/>
      <c r="F896" s="207"/>
      <c r="G896" s="207"/>
      <c r="H896" s="207"/>
      <c r="I896" s="207"/>
      <c r="J896" s="207"/>
      <c r="K896" s="207"/>
      <c r="L896" s="207"/>
      <c r="M896" s="207"/>
      <c r="N896" s="207"/>
      <c r="O896" s="207"/>
      <c r="P896" s="207"/>
      <c r="Q896" s="207"/>
      <c r="R896" s="207"/>
      <c r="S896" s="207"/>
      <c r="T896" s="207"/>
      <c r="U896" s="207"/>
      <c r="V896" s="207"/>
      <c r="W896" s="207"/>
      <c r="X896" s="207"/>
      <c r="Y896" s="207"/>
      <c r="Z896" s="207"/>
      <c r="AA896" s="207"/>
      <c r="AB896" s="207"/>
      <c r="AC896" s="207"/>
      <c r="AD896" s="207"/>
      <c r="AE896" s="207"/>
      <c r="AF896" s="207"/>
      <c r="AG896" s="207"/>
      <c r="AH896" s="207"/>
      <c r="AI896" s="207"/>
      <c r="AJ896" s="207"/>
      <c r="AK896" s="207"/>
      <c r="AL896" s="207"/>
      <c r="AM896" s="207"/>
      <c r="AN896" s="207"/>
      <c r="AO896" s="207"/>
      <c r="AP896" s="207"/>
      <c r="AQ896" s="207"/>
      <c r="AR896" s="207"/>
      <c r="AS896" s="207"/>
      <c r="AT896" s="207"/>
      <c r="AU896" s="207"/>
      <c r="AV896" s="207"/>
      <c r="AW896" s="207"/>
      <c r="AX896" s="207"/>
      <c r="AY896" s="207"/>
      <c r="AZ896" s="207"/>
      <c r="BA896" s="207"/>
    </row>
    <row r="897" ht="18.75" hidden="1" customHeight="1">
      <c r="A897" s="207"/>
      <c r="B897" s="207"/>
      <c r="C897" s="207"/>
      <c r="D897" s="207"/>
      <c r="E897" s="207"/>
      <c r="F897" s="207"/>
      <c r="G897" s="207"/>
      <c r="H897" s="207"/>
      <c r="I897" s="207"/>
      <c r="J897" s="207"/>
      <c r="K897" s="207"/>
      <c r="L897" s="207"/>
      <c r="M897" s="207"/>
      <c r="N897" s="207"/>
      <c r="O897" s="207"/>
      <c r="P897" s="207"/>
      <c r="Q897" s="207"/>
      <c r="R897" s="207"/>
      <c r="S897" s="207"/>
      <c r="T897" s="207"/>
      <c r="U897" s="207"/>
      <c r="V897" s="207"/>
      <c r="W897" s="207"/>
      <c r="X897" s="207"/>
      <c r="Y897" s="207"/>
      <c r="Z897" s="207"/>
      <c r="AA897" s="207"/>
      <c r="AB897" s="207"/>
      <c r="AC897" s="207"/>
      <c r="AD897" s="207"/>
      <c r="AE897" s="207"/>
      <c r="AF897" s="207"/>
      <c r="AG897" s="207"/>
      <c r="AH897" s="207"/>
      <c r="AI897" s="207"/>
      <c r="AJ897" s="207"/>
      <c r="AK897" s="207"/>
      <c r="AL897" s="207"/>
      <c r="AM897" s="207"/>
      <c r="AN897" s="207"/>
      <c r="AO897" s="207"/>
      <c r="AP897" s="207"/>
      <c r="AQ897" s="207"/>
      <c r="AR897" s="207"/>
      <c r="AS897" s="207"/>
      <c r="AT897" s="207"/>
      <c r="AU897" s="207"/>
      <c r="AV897" s="207"/>
      <c r="AW897" s="207"/>
      <c r="AX897" s="207"/>
      <c r="AY897" s="207"/>
      <c r="AZ897" s="207"/>
      <c r="BA897" s="207"/>
    </row>
    <row r="898" ht="18.75" hidden="1" customHeight="1">
      <c r="A898" s="207"/>
      <c r="B898" s="207"/>
      <c r="C898" s="207"/>
      <c r="D898" s="207"/>
      <c r="E898" s="207"/>
      <c r="F898" s="207"/>
      <c r="G898" s="207"/>
      <c r="H898" s="207"/>
      <c r="I898" s="207"/>
      <c r="J898" s="207"/>
      <c r="K898" s="207"/>
      <c r="L898" s="207"/>
      <c r="M898" s="207"/>
      <c r="N898" s="207"/>
      <c r="O898" s="207"/>
      <c r="P898" s="207"/>
      <c r="Q898" s="207"/>
      <c r="R898" s="207"/>
      <c r="S898" s="207"/>
      <c r="T898" s="207"/>
      <c r="U898" s="207"/>
      <c r="V898" s="207"/>
      <c r="W898" s="207"/>
      <c r="X898" s="207"/>
      <c r="Y898" s="207"/>
      <c r="Z898" s="207"/>
      <c r="AA898" s="207"/>
      <c r="AB898" s="207"/>
      <c r="AC898" s="207"/>
      <c r="AD898" s="207"/>
      <c r="AE898" s="207"/>
      <c r="AF898" s="207"/>
      <c r="AG898" s="207"/>
      <c r="AH898" s="207"/>
      <c r="AI898" s="207"/>
      <c r="AJ898" s="207"/>
      <c r="AK898" s="207"/>
      <c r="AL898" s="207"/>
      <c r="AM898" s="207"/>
      <c r="AN898" s="207"/>
      <c r="AO898" s="207"/>
      <c r="AP898" s="207"/>
      <c r="AQ898" s="207"/>
      <c r="AR898" s="207"/>
      <c r="AS898" s="207"/>
      <c r="AT898" s="207"/>
      <c r="AU898" s="207"/>
      <c r="AV898" s="207"/>
      <c r="AW898" s="207"/>
      <c r="AX898" s="207"/>
      <c r="AY898" s="207"/>
      <c r="AZ898" s="207"/>
      <c r="BA898" s="207"/>
    </row>
    <row r="899" ht="18.75" hidden="1" customHeight="1">
      <c r="A899" s="207"/>
      <c r="B899" s="207"/>
      <c r="C899" s="207"/>
      <c r="D899" s="207"/>
      <c r="E899" s="207"/>
      <c r="F899" s="207"/>
      <c r="G899" s="207"/>
      <c r="H899" s="207"/>
      <c r="I899" s="207"/>
      <c r="J899" s="207"/>
      <c r="K899" s="207"/>
      <c r="L899" s="207"/>
      <c r="M899" s="207"/>
      <c r="N899" s="207"/>
      <c r="O899" s="207"/>
      <c r="P899" s="207"/>
      <c r="Q899" s="207"/>
      <c r="R899" s="207"/>
      <c r="S899" s="207"/>
      <c r="T899" s="207"/>
      <c r="U899" s="207"/>
      <c r="V899" s="207"/>
      <c r="W899" s="207"/>
      <c r="X899" s="207"/>
      <c r="Y899" s="207"/>
      <c r="Z899" s="207"/>
      <c r="AA899" s="207"/>
      <c r="AB899" s="207"/>
      <c r="AC899" s="207"/>
      <c r="AD899" s="207"/>
      <c r="AE899" s="207"/>
      <c r="AF899" s="207"/>
      <c r="AG899" s="207"/>
      <c r="AH899" s="207"/>
      <c r="AI899" s="207"/>
      <c r="AJ899" s="207"/>
      <c r="AK899" s="207"/>
      <c r="AL899" s="207"/>
      <c r="AM899" s="207"/>
      <c r="AN899" s="207"/>
      <c r="AO899" s="207"/>
      <c r="AP899" s="207"/>
      <c r="AQ899" s="207"/>
      <c r="AR899" s="207"/>
      <c r="AS899" s="207"/>
      <c r="AT899" s="207"/>
      <c r="AU899" s="207"/>
      <c r="AV899" s="207"/>
      <c r="AW899" s="207"/>
      <c r="AX899" s="207"/>
      <c r="AY899" s="207"/>
      <c r="AZ899" s="207"/>
      <c r="BA899" s="207"/>
    </row>
    <row r="900" ht="18.75" hidden="1" customHeight="1">
      <c r="A900" s="207"/>
      <c r="B900" s="207"/>
      <c r="C900" s="207"/>
      <c r="D900" s="207"/>
      <c r="E900" s="207"/>
      <c r="F900" s="207"/>
      <c r="G900" s="207"/>
      <c r="H900" s="207"/>
      <c r="I900" s="207"/>
      <c r="J900" s="207"/>
      <c r="K900" s="207"/>
      <c r="L900" s="207"/>
      <c r="M900" s="207"/>
      <c r="N900" s="207"/>
      <c r="O900" s="207"/>
      <c r="P900" s="207"/>
      <c r="Q900" s="207"/>
      <c r="R900" s="207"/>
      <c r="S900" s="207"/>
      <c r="T900" s="207"/>
      <c r="U900" s="207"/>
      <c r="V900" s="207"/>
      <c r="W900" s="207"/>
      <c r="X900" s="207"/>
      <c r="Y900" s="207"/>
      <c r="Z900" s="207"/>
      <c r="AA900" s="207"/>
      <c r="AB900" s="207"/>
      <c r="AC900" s="207"/>
      <c r="AD900" s="207"/>
      <c r="AE900" s="207"/>
      <c r="AF900" s="207"/>
      <c r="AG900" s="207"/>
      <c r="AH900" s="207"/>
      <c r="AI900" s="207"/>
      <c r="AJ900" s="207"/>
      <c r="AK900" s="207"/>
      <c r="AL900" s="207"/>
      <c r="AM900" s="207"/>
      <c r="AN900" s="207"/>
      <c r="AO900" s="207"/>
      <c r="AP900" s="207"/>
      <c r="AQ900" s="207"/>
      <c r="AR900" s="207"/>
      <c r="AS900" s="207"/>
      <c r="AT900" s="207"/>
      <c r="AU900" s="207"/>
      <c r="AV900" s="207"/>
      <c r="AW900" s="207"/>
      <c r="AX900" s="207"/>
      <c r="AY900" s="207"/>
      <c r="AZ900" s="207"/>
      <c r="BA900" s="207"/>
    </row>
    <row r="901" ht="18.75" hidden="1" customHeight="1">
      <c r="A901" s="207"/>
      <c r="B901" s="207"/>
      <c r="C901" s="207"/>
      <c r="D901" s="207"/>
      <c r="E901" s="207"/>
      <c r="F901" s="207"/>
      <c r="G901" s="207"/>
      <c r="H901" s="207"/>
      <c r="I901" s="207"/>
      <c r="J901" s="207"/>
      <c r="K901" s="207"/>
      <c r="L901" s="207"/>
      <c r="M901" s="207"/>
      <c r="N901" s="207"/>
      <c r="O901" s="207"/>
      <c r="P901" s="207"/>
      <c r="Q901" s="207"/>
      <c r="R901" s="207"/>
      <c r="S901" s="207"/>
      <c r="T901" s="207"/>
      <c r="U901" s="207"/>
      <c r="V901" s="207"/>
      <c r="W901" s="207"/>
      <c r="X901" s="207"/>
      <c r="Y901" s="207"/>
      <c r="Z901" s="207"/>
      <c r="AA901" s="207"/>
      <c r="AB901" s="207"/>
      <c r="AC901" s="207"/>
      <c r="AD901" s="207"/>
      <c r="AE901" s="207"/>
      <c r="AF901" s="207"/>
      <c r="AG901" s="207"/>
      <c r="AH901" s="207"/>
      <c r="AI901" s="207"/>
      <c r="AJ901" s="207"/>
      <c r="AK901" s="207"/>
      <c r="AL901" s="207"/>
      <c r="AM901" s="207"/>
      <c r="AN901" s="207"/>
      <c r="AO901" s="207"/>
      <c r="AP901" s="207"/>
      <c r="AQ901" s="207"/>
      <c r="AR901" s="207"/>
      <c r="AS901" s="207"/>
      <c r="AT901" s="207"/>
      <c r="AU901" s="207"/>
      <c r="AV901" s="207"/>
      <c r="AW901" s="207"/>
      <c r="AX901" s="207"/>
      <c r="AY901" s="207"/>
      <c r="AZ901" s="207"/>
      <c r="BA901" s="207"/>
    </row>
    <row r="902" ht="18.75" hidden="1" customHeight="1">
      <c r="A902" s="207"/>
      <c r="B902" s="207"/>
      <c r="C902" s="207"/>
      <c r="D902" s="207"/>
      <c r="E902" s="207"/>
      <c r="F902" s="207"/>
      <c r="G902" s="207"/>
      <c r="H902" s="207"/>
      <c r="I902" s="207"/>
      <c r="J902" s="207"/>
      <c r="K902" s="207"/>
      <c r="L902" s="207"/>
      <c r="M902" s="207"/>
      <c r="N902" s="207"/>
      <c r="O902" s="207"/>
      <c r="P902" s="207"/>
      <c r="Q902" s="207"/>
      <c r="R902" s="207"/>
      <c r="S902" s="207"/>
      <c r="T902" s="207"/>
      <c r="U902" s="207"/>
      <c r="V902" s="207"/>
      <c r="W902" s="207"/>
      <c r="X902" s="207"/>
      <c r="Y902" s="207"/>
      <c r="Z902" s="207"/>
      <c r="AA902" s="207"/>
      <c r="AB902" s="207"/>
      <c r="AC902" s="207"/>
      <c r="AD902" s="207"/>
      <c r="AE902" s="207"/>
      <c r="AF902" s="207"/>
      <c r="AG902" s="207"/>
      <c r="AH902" s="207"/>
      <c r="AI902" s="207"/>
      <c r="AJ902" s="207"/>
      <c r="AK902" s="207"/>
      <c r="AL902" s="207"/>
      <c r="AM902" s="207"/>
      <c r="AN902" s="207"/>
      <c r="AO902" s="207"/>
      <c r="AP902" s="207"/>
      <c r="AQ902" s="207"/>
      <c r="AR902" s="207"/>
      <c r="AS902" s="207"/>
      <c r="AT902" s="207"/>
      <c r="AU902" s="207"/>
      <c r="AV902" s="207"/>
      <c r="AW902" s="207"/>
      <c r="AX902" s="207"/>
      <c r="AY902" s="207"/>
      <c r="AZ902" s="207"/>
      <c r="BA902" s="207"/>
    </row>
    <row r="903" ht="18.75" hidden="1" customHeight="1">
      <c r="A903" s="207"/>
      <c r="B903" s="207"/>
      <c r="C903" s="207"/>
      <c r="D903" s="207"/>
      <c r="E903" s="207"/>
      <c r="F903" s="207"/>
      <c r="G903" s="207"/>
      <c r="H903" s="207"/>
      <c r="I903" s="207"/>
      <c r="J903" s="207"/>
      <c r="K903" s="207"/>
      <c r="L903" s="207"/>
      <c r="M903" s="207"/>
      <c r="N903" s="207"/>
      <c r="O903" s="207"/>
      <c r="P903" s="207"/>
      <c r="Q903" s="207"/>
      <c r="R903" s="207"/>
      <c r="S903" s="207"/>
      <c r="T903" s="207"/>
      <c r="U903" s="207"/>
      <c r="V903" s="207"/>
      <c r="W903" s="207"/>
      <c r="X903" s="207"/>
      <c r="Y903" s="207"/>
      <c r="Z903" s="207"/>
      <c r="AA903" s="207"/>
      <c r="AB903" s="207"/>
      <c r="AC903" s="207"/>
      <c r="AD903" s="207"/>
      <c r="AE903" s="207"/>
      <c r="AF903" s="207"/>
      <c r="AG903" s="207"/>
      <c r="AH903" s="207"/>
      <c r="AI903" s="207"/>
      <c r="AJ903" s="207"/>
      <c r="AK903" s="207"/>
      <c r="AL903" s="207"/>
      <c r="AM903" s="207"/>
      <c r="AN903" s="207"/>
      <c r="AO903" s="207"/>
      <c r="AP903" s="207"/>
      <c r="AQ903" s="207"/>
      <c r="AR903" s="207"/>
      <c r="AS903" s="207"/>
      <c r="AT903" s="207"/>
      <c r="AU903" s="207"/>
      <c r="AV903" s="207"/>
      <c r="AW903" s="207"/>
      <c r="AX903" s="207"/>
      <c r="AY903" s="207"/>
      <c r="AZ903" s="207"/>
      <c r="BA903" s="207"/>
    </row>
    <row r="904" ht="18.75" hidden="1" customHeight="1">
      <c r="A904" s="207"/>
      <c r="B904" s="207"/>
      <c r="C904" s="207"/>
      <c r="D904" s="207"/>
      <c r="E904" s="207"/>
      <c r="F904" s="207"/>
      <c r="G904" s="207"/>
      <c r="H904" s="207"/>
      <c r="I904" s="207"/>
      <c r="J904" s="207"/>
      <c r="K904" s="207"/>
      <c r="L904" s="207"/>
      <c r="M904" s="207"/>
      <c r="N904" s="207"/>
      <c r="O904" s="207"/>
      <c r="P904" s="207"/>
      <c r="Q904" s="207"/>
      <c r="R904" s="207"/>
      <c r="S904" s="207"/>
      <c r="T904" s="207"/>
      <c r="U904" s="207"/>
      <c r="V904" s="207"/>
      <c r="W904" s="207"/>
      <c r="X904" s="207"/>
      <c r="Y904" s="207"/>
      <c r="Z904" s="207"/>
      <c r="AA904" s="207"/>
      <c r="AB904" s="207"/>
      <c r="AC904" s="207"/>
      <c r="AD904" s="207"/>
      <c r="AE904" s="207"/>
      <c r="AF904" s="207"/>
      <c r="AG904" s="207"/>
      <c r="AH904" s="207"/>
      <c r="AI904" s="207"/>
      <c r="AJ904" s="207"/>
      <c r="AK904" s="207"/>
      <c r="AL904" s="207"/>
      <c r="AM904" s="207"/>
      <c r="AN904" s="207"/>
      <c r="AO904" s="207"/>
      <c r="AP904" s="207"/>
      <c r="AQ904" s="207"/>
      <c r="AR904" s="207"/>
      <c r="AS904" s="207"/>
      <c r="AT904" s="207"/>
      <c r="AU904" s="207"/>
      <c r="AV904" s="207"/>
      <c r="AW904" s="207"/>
      <c r="AX904" s="207"/>
      <c r="AY904" s="207"/>
      <c r="AZ904" s="207"/>
      <c r="BA904" s="207"/>
    </row>
    <row r="905" ht="18.75" hidden="1" customHeight="1">
      <c r="A905" s="207"/>
      <c r="B905" s="207"/>
      <c r="C905" s="207"/>
      <c r="D905" s="207"/>
      <c r="E905" s="207"/>
      <c r="F905" s="207"/>
      <c r="G905" s="207"/>
      <c r="H905" s="207"/>
      <c r="I905" s="207"/>
      <c r="J905" s="207"/>
      <c r="K905" s="207"/>
      <c r="L905" s="207"/>
      <c r="M905" s="207"/>
      <c r="N905" s="207"/>
      <c r="O905" s="207"/>
      <c r="P905" s="207"/>
      <c r="Q905" s="207"/>
      <c r="R905" s="207"/>
      <c r="S905" s="207"/>
      <c r="T905" s="207"/>
      <c r="U905" s="207"/>
      <c r="V905" s="207"/>
      <c r="W905" s="207"/>
      <c r="X905" s="207"/>
      <c r="Y905" s="207"/>
      <c r="Z905" s="207"/>
      <c r="AA905" s="207"/>
      <c r="AB905" s="207"/>
      <c r="AC905" s="207"/>
      <c r="AD905" s="207"/>
      <c r="AE905" s="207"/>
      <c r="AF905" s="207"/>
      <c r="AG905" s="207"/>
      <c r="AH905" s="207"/>
      <c r="AI905" s="207"/>
      <c r="AJ905" s="207"/>
      <c r="AK905" s="207"/>
      <c r="AL905" s="207"/>
      <c r="AM905" s="207"/>
      <c r="AN905" s="207"/>
      <c r="AO905" s="207"/>
      <c r="AP905" s="207"/>
      <c r="AQ905" s="207"/>
      <c r="AR905" s="207"/>
      <c r="AS905" s="207"/>
      <c r="AT905" s="207"/>
      <c r="AU905" s="207"/>
      <c r="AV905" s="207"/>
      <c r="AW905" s="207"/>
      <c r="AX905" s="207"/>
      <c r="AY905" s="207"/>
      <c r="AZ905" s="207"/>
      <c r="BA905" s="207"/>
    </row>
    <row r="906" ht="18.75" hidden="1" customHeight="1">
      <c r="A906" s="207"/>
      <c r="B906" s="207"/>
      <c r="C906" s="207"/>
      <c r="D906" s="207"/>
      <c r="E906" s="207"/>
      <c r="F906" s="207"/>
      <c r="G906" s="207"/>
      <c r="H906" s="207"/>
      <c r="I906" s="207"/>
      <c r="J906" s="207"/>
      <c r="K906" s="207"/>
      <c r="L906" s="207"/>
      <c r="M906" s="207"/>
      <c r="N906" s="207"/>
      <c r="O906" s="207"/>
      <c r="P906" s="207"/>
      <c r="Q906" s="207"/>
      <c r="R906" s="207"/>
      <c r="S906" s="207"/>
      <c r="T906" s="207"/>
      <c r="U906" s="207"/>
      <c r="V906" s="207"/>
      <c r="W906" s="207"/>
      <c r="X906" s="207"/>
      <c r="Y906" s="207"/>
      <c r="Z906" s="207"/>
      <c r="AA906" s="207"/>
      <c r="AB906" s="207"/>
      <c r="AC906" s="207"/>
      <c r="AD906" s="207"/>
      <c r="AE906" s="207"/>
      <c r="AF906" s="207"/>
      <c r="AG906" s="207"/>
      <c r="AH906" s="207"/>
      <c r="AI906" s="207"/>
      <c r="AJ906" s="207"/>
      <c r="AK906" s="207"/>
      <c r="AL906" s="207"/>
      <c r="AM906" s="207"/>
      <c r="AN906" s="207"/>
      <c r="AO906" s="207"/>
      <c r="AP906" s="207"/>
      <c r="AQ906" s="207"/>
      <c r="AR906" s="207"/>
      <c r="AS906" s="207"/>
      <c r="AT906" s="207"/>
      <c r="AU906" s="207"/>
      <c r="AV906" s="207"/>
      <c r="AW906" s="207"/>
      <c r="AX906" s="207"/>
      <c r="AY906" s="207"/>
      <c r="AZ906" s="207"/>
      <c r="BA906" s="207"/>
    </row>
    <row r="907" ht="18.75" hidden="1" customHeight="1">
      <c r="A907" s="207"/>
      <c r="B907" s="207"/>
      <c r="C907" s="207"/>
      <c r="D907" s="207"/>
      <c r="E907" s="207"/>
      <c r="F907" s="207"/>
      <c r="G907" s="207"/>
      <c r="H907" s="207"/>
      <c r="I907" s="207"/>
      <c r="J907" s="207"/>
      <c r="K907" s="207"/>
      <c r="L907" s="207"/>
      <c r="M907" s="207"/>
      <c r="N907" s="207"/>
      <c r="O907" s="207"/>
      <c r="P907" s="207"/>
      <c r="Q907" s="207"/>
      <c r="R907" s="207"/>
      <c r="S907" s="207"/>
      <c r="T907" s="207"/>
      <c r="U907" s="207"/>
      <c r="V907" s="207"/>
      <c r="W907" s="207"/>
      <c r="X907" s="207"/>
      <c r="Y907" s="207"/>
      <c r="Z907" s="207"/>
      <c r="AA907" s="207"/>
      <c r="AB907" s="207"/>
      <c r="AC907" s="207"/>
      <c r="AD907" s="207"/>
      <c r="AE907" s="207"/>
      <c r="AF907" s="207"/>
      <c r="AG907" s="207"/>
      <c r="AH907" s="207"/>
      <c r="AI907" s="207"/>
      <c r="AJ907" s="207"/>
      <c r="AK907" s="207"/>
      <c r="AL907" s="207"/>
      <c r="AM907" s="207"/>
      <c r="AN907" s="207"/>
      <c r="AO907" s="207"/>
      <c r="AP907" s="207"/>
      <c r="AQ907" s="207"/>
      <c r="AR907" s="207"/>
      <c r="AS907" s="207"/>
      <c r="AT907" s="207"/>
      <c r="AU907" s="207"/>
      <c r="AV907" s="207"/>
      <c r="AW907" s="207"/>
      <c r="AX907" s="207"/>
      <c r="AY907" s="207"/>
      <c r="AZ907" s="207"/>
      <c r="BA907" s="207"/>
    </row>
    <row r="908" ht="18.75" hidden="1" customHeight="1">
      <c r="A908" s="207"/>
      <c r="B908" s="207"/>
      <c r="C908" s="207"/>
      <c r="D908" s="207"/>
      <c r="E908" s="207"/>
      <c r="F908" s="207"/>
      <c r="G908" s="207"/>
      <c r="H908" s="207"/>
      <c r="I908" s="207"/>
      <c r="J908" s="207"/>
      <c r="K908" s="207"/>
      <c r="L908" s="207"/>
      <c r="M908" s="207"/>
      <c r="N908" s="207"/>
      <c r="O908" s="207"/>
      <c r="P908" s="207"/>
      <c r="Q908" s="207"/>
      <c r="R908" s="207"/>
      <c r="S908" s="207"/>
      <c r="T908" s="207"/>
      <c r="U908" s="207"/>
      <c r="V908" s="207"/>
      <c r="W908" s="207"/>
      <c r="X908" s="207"/>
      <c r="Y908" s="207"/>
      <c r="Z908" s="207"/>
      <c r="AA908" s="207"/>
      <c r="AB908" s="207"/>
      <c r="AC908" s="207"/>
      <c r="AD908" s="207"/>
      <c r="AE908" s="207"/>
      <c r="AF908" s="207"/>
      <c r="AG908" s="207"/>
      <c r="AH908" s="207"/>
      <c r="AI908" s="207"/>
      <c r="AJ908" s="207"/>
      <c r="AK908" s="207"/>
      <c r="AL908" s="207"/>
      <c r="AM908" s="207"/>
      <c r="AN908" s="207"/>
      <c r="AO908" s="207"/>
      <c r="AP908" s="207"/>
      <c r="AQ908" s="207"/>
      <c r="AR908" s="207"/>
      <c r="AS908" s="207"/>
      <c r="AT908" s="207"/>
      <c r="AU908" s="207"/>
      <c r="AV908" s="207"/>
      <c r="AW908" s="207"/>
      <c r="AX908" s="207"/>
      <c r="AY908" s="207"/>
      <c r="AZ908" s="207"/>
      <c r="BA908" s="207"/>
    </row>
    <row r="909" ht="18.75" hidden="1" customHeight="1">
      <c r="A909" s="207"/>
      <c r="B909" s="207"/>
      <c r="C909" s="207"/>
      <c r="D909" s="207"/>
      <c r="E909" s="207"/>
      <c r="F909" s="207"/>
      <c r="G909" s="207"/>
      <c r="H909" s="207"/>
      <c r="I909" s="207"/>
      <c r="J909" s="207"/>
      <c r="K909" s="207"/>
      <c r="L909" s="207"/>
      <c r="M909" s="207"/>
      <c r="N909" s="207"/>
      <c r="O909" s="207"/>
      <c r="P909" s="207"/>
      <c r="Q909" s="207"/>
      <c r="R909" s="207"/>
      <c r="S909" s="207"/>
      <c r="T909" s="207"/>
      <c r="U909" s="207"/>
      <c r="V909" s="207"/>
      <c r="W909" s="207"/>
      <c r="X909" s="207"/>
      <c r="Y909" s="207"/>
      <c r="Z909" s="207"/>
      <c r="AA909" s="207"/>
      <c r="AB909" s="207"/>
      <c r="AC909" s="207"/>
      <c r="AD909" s="207"/>
      <c r="AE909" s="207"/>
      <c r="AF909" s="207"/>
      <c r="AG909" s="207"/>
      <c r="AH909" s="207"/>
      <c r="AI909" s="207"/>
      <c r="AJ909" s="207"/>
      <c r="AK909" s="207"/>
      <c r="AL909" s="207"/>
      <c r="AM909" s="207"/>
      <c r="AN909" s="207"/>
      <c r="AO909" s="207"/>
      <c r="AP909" s="207"/>
      <c r="AQ909" s="207"/>
      <c r="AR909" s="207"/>
      <c r="AS909" s="207"/>
      <c r="AT909" s="207"/>
      <c r="AU909" s="207"/>
      <c r="AV909" s="207"/>
      <c r="AW909" s="207"/>
      <c r="AX909" s="207"/>
      <c r="AY909" s="207"/>
      <c r="AZ909" s="207"/>
      <c r="BA909" s="207"/>
    </row>
    <row r="910" ht="18.75" hidden="1" customHeight="1">
      <c r="A910" s="207"/>
      <c r="B910" s="207"/>
      <c r="C910" s="207"/>
      <c r="D910" s="207"/>
      <c r="E910" s="207"/>
      <c r="F910" s="207"/>
      <c r="G910" s="207"/>
      <c r="H910" s="207"/>
      <c r="I910" s="207"/>
      <c r="J910" s="207"/>
      <c r="K910" s="207"/>
      <c r="L910" s="207"/>
      <c r="M910" s="207"/>
      <c r="N910" s="207"/>
      <c r="O910" s="207"/>
      <c r="P910" s="207"/>
      <c r="Q910" s="207"/>
      <c r="R910" s="207"/>
      <c r="S910" s="207"/>
      <c r="T910" s="207"/>
      <c r="U910" s="207"/>
      <c r="V910" s="207"/>
      <c r="W910" s="207"/>
      <c r="X910" s="207"/>
      <c r="Y910" s="207"/>
      <c r="Z910" s="207"/>
      <c r="AA910" s="207"/>
      <c r="AB910" s="207"/>
      <c r="AC910" s="207"/>
      <c r="AD910" s="207"/>
      <c r="AE910" s="207"/>
      <c r="AF910" s="207"/>
      <c r="AG910" s="207"/>
      <c r="AH910" s="207"/>
      <c r="AI910" s="207"/>
      <c r="AJ910" s="207"/>
      <c r="AK910" s="207"/>
      <c r="AL910" s="207"/>
      <c r="AM910" s="207"/>
      <c r="AN910" s="207"/>
      <c r="AO910" s="207"/>
      <c r="AP910" s="207"/>
      <c r="AQ910" s="207"/>
      <c r="AR910" s="207"/>
      <c r="AS910" s="207"/>
      <c r="AT910" s="207"/>
      <c r="AU910" s="207"/>
      <c r="AV910" s="207"/>
      <c r="AW910" s="207"/>
      <c r="AX910" s="207"/>
      <c r="AY910" s="207"/>
      <c r="AZ910" s="207"/>
      <c r="BA910" s="207"/>
    </row>
    <row r="911" ht="18.75" hidden="1" customHeight="1">
      <c r="A911" s="207"/>
      <c r="B911" s="207"/>
      <c r="C911" s="207"/>
      <c r="D911" s="207"/>
      <c r="E911" s="207"/>
      <c r="F911" s="207"/>
      <c r="G911" s="207"/>
      <c r="H911" s="207"/>
      <c r="I911" s="207"/>
      <c r="J911" s="207"/>
      <c r="K911" s="207"/>
      <c r="L911" s="207"/>
      <c r="M911" s="207"/>
      <c r="N911" s="207"/>
      <c r="O911" s="207"/>
      <c r="P911" s="207"/>
      <c r="Q911" s="207"/>
      <c r="R911" s="207"/>
      <c r="S911" s="207"/>
      <c r="T911" s="207"/>
      <c r="U911" s="207"/>
      <c r="V911" s="207"/>
      <c r="W911" s="207"/>
      <c r="X911" s="207"/>
      <c r="Y911" s="207"/>
      <c r="Z911" s="207"/>
      <c r="AA911" s="207"/>
      <c r="AB911" s="207"/>
      <c r="AC911" s="207"/>
      <c r="AD911" s="207"/>
      <c r="AE911" s="207"/>
      <c r="AF911" s="207"/>
      <c r="AG911" s="207"/>
      <c r="AH911" s="207"/>
      <c r="AI911" s="207"/>
      <c r="AJ911" s="207"/>
      <c r="AK911" s="207"/>
      <c r="AL911" s="207"/>
      <c r="AM911" s="207"/>
      <c r="AN911" s="207"/>
      <c r="AO911" s="207"/>
      <c r="AP911" s="207"/>
      <c r="AQ911" s="207"/>
      <c r="AR911" s="207"/>
      <c r="AS911" s="207"/>
      <c r="AT911" s="207"/>
      <c r="AU911" s="207"/>
      <c r="AV911" s="207"/>
      <c r="AW911" s="207"/>
      <c r="AX911" s="207"/>
      <c r="AY911" s="207"/>
      <c r="AZ911" s="207"/>
      <c r="BA911" s="207"/>
    </row>
    <row r="912" ht="18.75" hidden="1" customHeight="1">
      <c r="A912" s="207"/>
      <c r="B912" s="207"/>
      <c r="C912" s="207"/>
      <c r="D912" s="207"/>
      <c r="E912" s="207"/>
      <c r="F912" s="207"/>
      <c r="G912" s="207"/>
      <c r="H912" s="207"/>
      <c r="I912" s="207"/>
      <c r="J912" s="207"/>
      <c r="K912" s="207"/>
      <c r="L912" s="207"/>
      <c r="M912" s="207"/>
      <c r="N912" s="207"/>
      <c r="O912" s="207"/>
      <c r="P912" s="207"/>
      <c r="Q912" s="207"/>
      <c r="R912" s="207"/>
      <c r="S912" s="207"/>
      <c r="T912" s="207"/>
      <c r="U912" s="207"/>
      <c r="V912" s="207"/>
      <c r="W912" s="207"/>
      <c r="X912" s="207"/>
      <c r="Y912" s="207"/>
      <c r="Z912" s="207"/>
      <c r="AA912" s="207"/>
      <c r="AB912" s="207"/>
      <c r="AC912" s="207"/>
      <c r="AD912" s="207"/>
      <c r="AE912" s="207"/>
      <c r="AF912" s="207"/>
      <c r="AG912" s="207"/>
      <c r="AH912" s="207"/>
      <c r="AI912" s="207"/>
      <c r="AJ912" s="207"/>
      <c r="AK912" s="207"/>
      <c r="AL912" s="207"/>
      <c r="AM912" s="207"/>
      <c r="AN912" s="207"/>
      <c r="AO912" s="207"/>
      <c r="AP912" s="207"/>
      <c r="AQ912" s="207"/>
      <c r="AR912" s="207"/>
      <c r="AS912" s="207"/>
      <c r="AT912" s="207"/>
      <c r="AU912" s="207"/>
      <c r="AV912" s="207"/>
      <c r="AW912" s="207"/>
      <c r="AX912" s="207"/>
      <c r="AY912" s="207"/>
      <c r="AZ912" s="207"/>
      <c r="BA912" s="207"/>
    </row>
    <row r="913" ht="18.75" hidden="1" customHeight="1">
      <c r="A913" s="207"/>
      <c r="B913" s="207"/>
      <c r="C913" s="207"/>
      <c r="D913" s="207"/>
      <c r="E913" s="207"/>
      <c r="F913" s="207"/>
      <c r="G913" s="207"/>
      <c r="H913" s="207"/>
      <c r="I913" s="207"/>
      <c r="J913" s="207"/>
      <c r="K913" s="207"/>
      <c r="L913" s="207"/>
      <c r="M913" s="207"/>
      <c r="N913" s="207"/>
      <c r="O913" s="207"/>
      <c r="P913" s="207"/>
      <c r="Q913" s="207"/>
      <c r="R913" s="207"/>
      <c r="S913" s="207"/>
      <c r="T913" s="207"/>
      <c r="U913" s="207"/>
      <c r="V913" s="207"/>
      <c r="W913" s="207"/>
      <c r="X913" s="207"/>
      <c r="Y913" s="207"/>
      <c r="Z913" s="207"/>
      <c r="AA913" s="207"/>
      <c r="AB913" s="207"/>
      <c r="AC913" s="207"/>
      <c r="AD913" s="207"/>
      <c r="AE913" s="207"/>
      <c r="AF913" s="207"/>
      <c r="AG913" s="207"/>
      <c r="AH913" s="207"/>
      <c r="AI913" s="207"/>
      <c r="AJ913" s="207"/>
      <c r="AK913" s="207"/>
      <c r="AL913" s="207"/>
      <c r="AM913" s="207"/>
      <c r="AN913" s="207"/>
      <c r="AO913" s="207"/>
      <c r="AP913" s="207"/>
      <c r="AQ913" s="207"/>
      <c r="AR913" s="207"/>
      <c r="AS913" s="207"/>
      <c r="AT913" s="207"/>
      <c r="AU913" s="207"/>
      <c r="AV913" s="207"/>
      <c r="AW913" s="207"/>
      <c r="AX913" s="207"/>
      <c r="AY913" s="207"/>
      <c r="AZ913" s="207"/>
      <c r="BA913" s="207"/>
    </row>
    <row r="914" ht="18.75" hidden="1" customHeight="1">
      <c r="A914" s="207"/>
      <c r="B914" s="207"/>
      <c r="C914" s="207"/>
      <c r="D914" s="207"/>
      <c r="E914" s="207"/>
      <c r="F914" s="207"/>
      <c r="G914" s="207"/>
      <c r="H914" s="207"/>
      <c r="I914" s="207"/>
      <c r="J914" s="207"/>
      <c r="K914" s="207"/>
      <c r="L914" s="207"/>
      <c r="M914" s="207"/>
      <c r="N914" s="207"/>
      <c r="O914" s="207"/>
      <c r="P914" s="207"/>
      <c r="Q914" s="207"/>
      <c r="R914" s="207"/>
      <c r="S914" s="207"/>
      <c r="T914" s="207"/>
      <c r="U914" s="207"/>
      <c r="V914" s="207"/>
      <c r="W914" s="207"/>
      <c r="X914" s="207"/>
      <c r="Y914" s="207"/>
      <c r="Z914" s="207"/>
      <c r="AA914" s="207"/>
      <c r="AB914" s="207"/>
      <c r="AC914" s="207"/>
      <c r="AD914" s="207"/>
      <c r="AE914" s="207"/>
      <c r="AF914" s="207"/>
      <c r="AG914" s="207"/>
      <c r="AH914" s="207"/>
      <c r="AI914" s="207"/>
      <c r="AJ914" s="207"/>
      <c r="AK914" s="207"/>
      <c r="AL914" s="207"/>
      <c r="AM914" s="207"/>
      <c r="AN914" s="207"/>
      <c r="AO914" s="207"/>
      <c r="AP914" s="207"/>
      <c r="AQ914" s="207"/>
      <c r="AR914" s="207"/>
      <c r="AS914" s="207"/>
      <c r="AT914" s="207"/>
      <c r="AU914" s="207"/>
      <c r="AV914" s="207"/>
      <c r="AW914" s="207"/>
      <c r="AX914" s="207"/>
      <c r="AY914" s="207"/>
      <c r="AZ914" s="207"/>
      <c r="BA914" s="207"/>
    </row>
    <row r="915" ht="18.75" hidden="1" customHeight="1">
      <c r="A915" s="207"/>
      <c r="B915" s="207"/>
      <c r="C915" s="207"/>
      <c r="D915" s="207"/>
      <c r="E915" s="207"/>
      <c r="F915" s="207"/>
      <c r="G915" s="207"/>
      <c r="H915" s="207"/>
      <c r="I915" s="207"/>
      <c r="J915" s="207"/>
      <c r="K915" s="207"/>
      <c r="L915" s="207"/>
      <c r="M915" s="207"/>
      <c r="N915" s="207"/>
      <c r="O915" s="207"/>
      <c r="P915" s="207"/>
      <c r="Q915" s="207"/>
      <c r="R915" s="207"/>
      <c r="S915" s="207"/>
      <c r="T915" s="207"/>
      <c r="U915" s="207"/>
      <c r="V915" s="207"/>
      <c r="W915" s="207"/>
      <c r="X915" s="207"/>
      <c r="Y915" s="207"/>
      <c r="Z915" s="207"/>
      <c r="AA915" s="207"/>
      <c r="AB915" s="207"/>
      <c r="AC915" s="207"/>
      <c r="AD915" s="207"/>
      <c r="AE915" s="207"/>
      <c r="AF915" s="207"/>
      <c r="AG915" s="207"/>
      <c r="AH915" s="207"/>
      <c r="AI915" s="207"/>
      <c r="AJ915" s="207"/>
      <c r="AK915" s="207"/>
      <c r="AL915" s="207"/>
      <c r="AM915" s="207"/>
      <c r="AN915" s="207"/>
      <c r="AO915" s="207"/>
      <c r="AP915" s="207"/>
      <c r="AQ915" s="207"/>
      <c r="AR915" s="207"/>
      <c r="AS915" s="207"/>
      <c r="AT915" s="207"/>
      <c r="AU915" s="207"/>
      <c r="AV915" s="207"/>
      <c r="AW915" s="207"/>
      <c r="AX915" s="207"/>
      <c r="AY915" s="207"/>
      <c r="AZ915" s="207"/>
      <c r="BA915" s="207"/>
    </row>
    <row r="916" ht="18.75" hidden="1" customHeight="1">
      <c r="A916" s="207"/>
      <c r="B916" s="207"/>
      <c r="C916" s="207"/>
      <c r="D916" s="207"/>
      <c r="E916" s="207"/>
      <c r="F916" s="207"/>
      <c r="G916" s="207"/>
      <c r="H916" s="207"/>
      <c r="I916" s="207"/>
      <c r="J916" s="207"/>
      <c r="K916" s="207"/>
      <c r="L916" s="207"/>
      <c r="M916" s="207"/>
      <c r="N916" s="207"/>
      <c r="O916" s="207"/>
      <c r="P916" s="207"/>
      <c r="Q916" s="207"/>
      <c r="R916" s="207"/>
      <c r="S916" s="207"/>
      <c r="T916" s="207"/>
      <c r="U916" s="207"/>
      <c r="V916" s="207"/>
      <c r="W916" s="207"/>
      <c r="X916" s="207"/>
      <c r="Y916" s="207"/>
      <c r="Z916" s="207"/>
      <c r="AA916" s="207"/>
      <c r="AB916" s="207"/>
      <c r="AC916" s="207"/>
      <c r="AD916" s="207"/>
      <c r="AE916" s="207"/>
      <c r="AF916" s="207"/>
      <c r="AG916" s="207"/>
      <c r="AH916" s="207"/>
      <c r="AI916" s="207"/>
      <c r="AJ916" s="207"/>
      <c r="AK916" s="207"/>
      <c r="AL916" s="207"/>
      <c r="AM916" s="207"/>
      <c r="AN916" s="207"/>
      <c r="AO916" s="207"/>
      <c r="AP916" s="207"/>
      <c r="AQ916" s="207"/>
      <c r="AR916" s="207"/>
      <c r="AS916" s="207"/>
      <c r="AT916" s="207"/>
      <c r="AU916" s="207"/>
      <c r="AV916" s="207"/>
      <c r="AW916" s="207"/>
      <c r="AX916" s="207"/>
      <c r="AY916" s="207"/>
      <c r="AZ916" s="207"/>
      <c r="BA916" s="207"/>
    </row>
    <row r="917" ht="18.75" hidden="1" customHeight="1">
      <c r="A917" s="207"/>
      <c r="B917" s="207"/>
      <c r="C917" s="207"/>
      <c r="D917" s="207"/>
      <c r="E917" s="207"/>
      <c r="F917" s="207"/>
      <c r="G917" s="207"/>
      <c r="H917" s="207"/>
      <c r="I917" s="207"/>
      <c r="J917" s="207"/>
      <c r="K917" s="207"/>
      <c r="L917" s="207"/>
      <c r="M917" s="207"/>
      <c r="N917" s="207"/>
      <c r="O917" s="207"/>
      <c r="P917" s="207"/>
      <c r="Q917" s="207"/>
      <c r="R917" s="207"/>
      <c r="S917" s="207"/>
      <c r="T917" s="207"/>
      <c r="U917" s="207"/>
      <c r="V917" s="207"/>
      <c r="W917" s="207"/>
      <c r="X917" s="207"/>
      <c r="Y917" s="207"/>
      <c r="Z917" s="207"/>
      <c r="AA917" s="207"/>
      <c r="AB917" s="207"/>
      <c r="AC917" s="207"/>
      <c r="AD917" s="207"/>
      <c r="AE917" s="207"/>
      <c r="AF917" s="207"/>
      <c r="AG917" s="207"/>
      <c r="AH917" s="207"/>
      <c r="AI917" s="207"/>
      <c r="AJ917" s="207"/>
      <c r="AK917" s="207"/>
      <c r="AL917" s="207"/>
      <c r="AM917" s="207"/>
      <c r="AN917" s="207"/>
      <c r="AO917" s="207"/>
      <c r="AP917" s="207"/>
      <c r="AQ917" s="207"/>
      <c r="AR917" s="207"/>
      <c r="AS917" s="207"/>
      <c r="AT917" s="207"/>
      <c r="AU917" s="207"/>
      <c r="AV917" s="207"/>
      <c r="AW917" s="207"/>
      <c r="AX917" s="207"/>
      <c r="AY917" s="207"/>
      <c r="AZ917" s="207"/>
      <c r="BA917" s="207"/>
    </row>
    <row r="918" ht="18.75" hidden="1" customHeight="1">
      <c r="A918" s="207"/>
      <c r="B918" s="207"/>
      <c r="C918" s="207"/>
      <c r="D918" s="207"/>
      <c r="E918" s="207"/>
      <c r="F918" s="207"/>
      <c r="G918" s="207"/>
      <c r="H918" s="207"/>
      <c r="I918" s="207"/>
      <c r="J918" s="207"/>
      <c r="K918" s="207"/>
      <c r="L918" s="207"/>
      <c r="M918" s="207"/>
      <c r="N918" s="207"/>
      <c r="O918" s="207"/>
      <c r="P918" s="207"/>
      <c r="Q918" s="207"/>
      <c r="R918" s="207"/>
      <c r="S918" s="207"/>
      <c r="T918" s="207"/>
      <c r="U918" s="207"/>
      <c r="V918" s="207"/>
      <c r="W918" s="207"/>
      <c r="X918" s="207"/>
      <c r="Y918" s="207"/>
      <c r="Z918" s="207"/>
      <c r="AA918" s="207"/>
      <c r="AB918" s="207"/>
      <c r="AC918" s="207"/>
      <c r="AD918" s="207"/>
      <c r="AE918" s="207"/>
      <c r="AF918" s="207"/>
      <c r="AG918" s="207"/>
      <c r="AH918" s="207"/>
      <c r="AI918" s="207"/>
      <c r="AJ918" s="207"/>
      <c r="AK918" s="207"/>
      <c r="AL918" s="207"/>
      <c r="AM918" s="207"/>
      <c r="AN918" s="207"/>
      <c r="AO918" s="207"/>
      <c r="AP918" s="207"/>
      <c r="AQ918" s="207"/>
      <c r="AR918" s="207"/>
      <c r="AS918" s="207"/>
      <c r="AT918" s="207"/>
      <c r="AU918" s="207"/>
      <c r="AV918" s="207"/>
      <c r="AW918" s="207"/>
      <c r="AX918" s="207"/>
      <c r="AY918" s="207"/>
      <c r="AZ918" s="207"/>
      <c r="BA918" s="207"/>
    </row>
    <row r="919" ht="18.75" hidden="1" customHeight="1">
      <c r="A919" s="207"/>
      <c r="B919" s="207"/>
      <c r="C919" s="207"/>
      <c r="D919" s="207"/>
      <c r="E919" s="207"/>
      <c r="F919" s="207"/>
      <c r="G919" s="207"/>
      <c r="H919" s="207"/>
      <c r="I919" s="207"/>
      <c r="J919" s="207"/>
      <c r="K919" s="207"/>
      <c r="L919" s="207"/>
      <c r="M919" s="207"/>
      <c r="N919" s="207"/>
      <c r="O919" s="207"/>
      <c r="P919" s="207"/>
      <c r="Q919" s="207"/>
      <c r="R919" s="207"/>
      <c r="S919" s="207"/>
      <c r="T919" s="207"/>
      <c r="U919" s="207"/>
      <c r="V919" s="207"/>
      <c r="W919" s="207"/>
      <c r="X919" s="207"/>
      <c r="Y919" s="207"/>
      <c r="Z919" s="207"/>
      <c r="AA919" s="207"/>
      <c r="AB919" s="207"/>
      <c r="AC919" s="207"/>
      <c r="AD919" s="207"/>
      <c r="AE919" s="207"/>
      <c r="AF919" s="207"/>
      <c r="AG919" s="207"/>
      <c r="AH919" s="207"/>
      <c r="AI919" s="207"/>
      <c r="AJ919" s="207"/>
      <c r="AK919" s="207"/>
      <c r="AL919" s="207"/>
      <c r="AM919" s="207"/>
      <c r="AN919" s="207"/>
      <c r="AO919" s="207"/>
      <c r="AP919" s="207"/>
      <c r="AQ919" s="207"/>
      <c r="AR919" s="207"/>
      <c r="AS919" s="207"/>
      <c r="AT919" s="207"/>
      <c r="AU919" s="207"/>
      <c r="AV919" s="207"/>
      <c r="AW919" s="207"/>
      <c r="AX919" s="207"/>
      <c r="AY919" s="207"/>
      <c r="AZ919" s="207"/>
      <c r="BA919" s="207"/>
    </row>
    <row r="920" ht="18.75" hidden="1" customHeight="1">
      <c r="A920" s="207"/>
      <c r="B920" s="207"/>
      <c r="C920" s="207"/>
      <c r="D920" s="207"/>
      <c r="E920" s="207"/>
      <c r="F920" s="207"/>
      <c r="G920" s="207"/>
      <c r="H920" s="207"/>
      <c r="I920" s="207"/>
      <c r="J920" s="207"/>
      <c r="K920" s="207"/>
      <c r="L920" s="207"/>
      <c r="M920" s="207"/>
      <c r="N920" s="207"/>
      <c r="O920" s="207"/>
      <c r="P920" s="207"/>
      <c r="Q920" s="207"/>
      <c r="R920" s="207"/>
      <c r="S920" s="207"/>
      <c r="T920" s="207"/>
      <c r="U920" s="207"/>
      <c r="V920" s="207"/>
      <c r="W920" s="207"/>
      <c r="X920" s="207"/>
      <c r="Y920" s="207"/>
      <c r="Z920" s="207"/>
      <c r="AA920" s="207"/>
      <c r="AB920" s="207"/>
      <c r="AC920" s="207"/>
      <c r="AD920" s="207"/>
      <c r="AE920" s="207"/>
      <c r="AF920" s="207"/>
      <c r="AG920" s="207"/>
      <c r="AH920" s="207"/>
      <c r="AI920" s="207"/>
      <c r="AJ920" s="207"/>
      <c r="AK920" s="207"/>
      <c r="AL920" s="207"/>
      <c r="AM920" s="207"/>
      <c r="AN920" s="207"/>
      <c r="AO920" s="207"/>
      <c r="AP920" s="207"/>
      <c r="AQ920" s="207"/>
      <c r="AR920" s="207"/>
      <c r="AS920" s="207"/>
      <c r="AT920" s="207"/>
      <c r="AU920" s="207"/>
      <c r="AV920" s="207"/>
      <c r="AW920" s="207"/>
      <c r="AX920" s="207"/>
      <c r="AY920" s="207"/>
      <c r="AZ920" s="207"/>
      <c r="BA920" s="207"/>
    </row>
    <row r="921" ht="18.75" hidden="1" customHeight="1">
      <c r="A921" s="207"/>
      <c r="B921" s="207"/>
      <c r="C921" s="207"/>
      <c r="D921" s="207"/>
      <c r="E921" s="207"/>
      <c r="F921" s="207"/>
      <c r="G921" s="207"/>
      <c r="H921" s="207"/>
      <c r="I921" s="207"/>
      <c r="J921" s="207"/>
      <c r="K921" s="207"/>
      <c r="L921" s="207"/>
      <c r="M921" s="207"/>
      <c r="N921" s="207"/>
      <c r="O921" s="207"/>
      <c r="P921" s="207"/>
      <c r="Q921" s="207"/>
      <c r="R921" s="207"/>
      <c r="S921" s="207"/>
      <c r="T921" s="207"/>
      <c r="U921" s="207"/>
      <c r="V921" s="207"/>
      <c r="W921" s="207"/>
      <c r="X921" s="207"/>
      <c r="Y921" s="207"/>
      <c r="Z921" s="207"/>
      <c r="AA921" s="207"/>
      <c r="AB921" s="207"/>
      <c r="AC921" s="207"/>
      <c r="AD921" s="207"/>
      <c r="AE921" s="207"/>
      <c r="AF921" s="207"/>
      <c r="AG921" s="207"/>
      <c r="AH921" s="207"/>
      <c r="AI921" s="207"/>
      <c r="AJ921" s="207"/>
      <c r="AK921" s="207"/>
      <c r="AL921" s="207"/>
      <c r="AM921" s="207"/>
      <c r="AN921" s="207"/>
      <c r="AO921" s="207"/>
      <c r="AP921" s="207"/>
      <c r="AQ921" s="207"/>
      <c r="AR921" s="207"/>
      <c r="AS921" s="207"/>
      <c r="AT921" s="207"/>
      <c r="AU921" s="207"/>
      <c r="AV921" s="207"/>
      <c r="AW921" s="207"/>
      <c r="AX921" s="207"/>
      <c r="AY921" s="207"/>
      <c r="AZ921" s="207"/>
      <c r="BA921" s="207"/>
    </row>
    <row r="922" ht="18.75" hidden="1" customHeight="1">
      <c r="A922" s="207"/>
      <c r="B922" s="207"/>
      <c r="C922" s="207"/>
      <c r="D922" s="207"/>
      <c r="E922" s="207"/>
      <c r="F922" s="207"/>
      <c r="G922" s="207"/>
      <c r="H922" s="207"/>
      <c r="I922" s="207"/>
      <c r="J922" s="207"/>
      <c r="K922" s="207"/>
      <c r="L922" s="207"/>
      <c r="M922" s="207"/>
      <c r="N922" s="207"/>
      <c r="O922" s="207"/>
      <c r="P922" s="207"/>
      <c r="Q922" s="207"/>
      <c r="R922" s="207"/>
      <c r="S922" s="207"/>
      <c r="T922" s="207"/>
      <c r="U922" s="207"/>
      <c r="V922" s="207"/>
      <c r="W922" s="207"/>
      <c r="X922" s="207"/>
      <c r="Y922" s="207"/>
      <c r="Z922" s="207"/>
      <c r="AA922" s="207"/>
      <c r="AB922" s="207"/>
      <c r="AC922" s="207"/>
      <c r="AD922" s="207"/>
      <c r="AE922" s="207"/>
      <c r="AF922" s="207"/>
      <c r="AG922" s="207"/>
      <c r="AH922" s="207"/>
      <c r="AI922" s="207"/>
      <c r="AJ922" s="207"/>
      <c r="AK922" s="207"/>
      <c r="AL922" s="207"/>
      <c r="AM922" s="207"/>
      <c r="AN922" s="207"/>
      <c r="AO922" s="207"/>
      <c r="AP922" s="207"/>
      <c r="AQ922" s="207"/>
      <c r="AR922" s="207"/>
      <c r="AS922" s="207"/>
      <c r="AT922" s="207"/>
      <c r="AU922" s="207"/>
      <c r="AV922" s="207"/>
      <c r="AW922" s="207"/>
      <c r="AX922" s="207"/>
      <c r="AY922" s="207"/>
      <c r="AZ922" s="207"/>
      <c r="BA922" s="207"/>
    </row>
    <row r="923" ht="18.75" hidden="1" customHeight="1">
      <c r="A923" s="207"/>
      <c r="B923" s="207"/>
      <c r="C923" s="207"/>
      <c r="D923" s="207"/>
      <c r="E923" s="207"/>
      <c r="F923" s="207"/>
      <c r="G923" s="207"/>
      <c r="H923" s="207"/>
      <c r="I923" s="207"/>
      <c r="J923" s="207"/>
      <c r="K923" s="207"/>
      <c r="L923" s="207"/>
      <c r="M923" s="207"/>
      <c r="N923" s="207"/>
      <c r="O923" s="207"/>
      <c r="P923" s="207"/>
      <c r="Q923" s="207"/>
      <c r="R923" s="207"/>
      <c r="S923" s="207"/>
      <c r="T923" s="207"/>
      <c r="U923" s="207"/>
      <c r="V923" s="207"/>
      <c r="W923" s="207"/>
      <c r="X923" s="207"/>
      <c r="Y923" s="207"/>
      <c r="Z923" s="207"/>
      <c r="AA923" s="207"/>
      <c r="AB923" s="207"/>
      <c r="AC923" s="207"/>
      <c r="AD923" s="207"/>
      <c r="AE923" s="207"/>
      <c r="AF923" s="207"/>
      <c r="AG923" s="207"/>
      <c r="AH923" s="207"/>
      <c r="AI923" s="207"/>
      <c r="AJ923" s="207"/>
      <c r="AK923" s="207"/>
      <c r="AL923" s="207"/>
      <c r="AM923" s="207"/>
      <c r="AN923" s="207"/>
      <c r="AO923" s="207"/>
      <c r="AP923" s="207"/>
      <c r="AQ923" s="207"/>
      <c r="AR923" s="207"/>
      <c r="AS923" s="207"/>
      <c r="AT923" s="207"/>
      <c r="AU923" s="207"/>
      <c r="AV923" s="207"/>
      <c r="AW923" s="207"/>
      <c r="AX923" s="207"/>
      <c r="AY923" s="207"/>
      <c r="AZ923" s="207"/>
      <c r="BA923" s="207"/>
    </row>
    <row r="924" ht="18.75" hidden="1" customHeight="1">
      <c r="A924" s="207"/>
      <c r="B924" s="207"/>
      <c r="C924" s="207"/>
      <c r="D924" s="207"/>
      <c r="E924" s="207"/>
      <c r="F924" s="207"/>
      <c r="G924" s="207"/>
      <c r="H924" s="207"/>
      <c r="I924" s="207"/>
      <c r="J924" s="207"/>
      <c r="K924" s="207"/>
      <c r="L924" s="207"/>
      <c r="M924" s="207"/>
      <c r="N924" s="207"/>
      <c r="O924" s="207"/>
      <c r="P924" s="207"/>
      <c r="Q924" s="207"/>
      <c r="R924" s="207"/>
      <c r="S924" s="207"/>
      <c r="T924" s="207"/>
      <c r="U924" s="207"/>
      <c r="V924" s="207"/>
      <c r="W924" s="207"/>
      <c r="X924" s="207"/>
      <c r="Y924" s="207"/>
      <c r="Z924" s="207"/>
      <c r="AA924" s="207"/>
      <c r="AB924" s="207"/>
      <c r="AC924" s="207"/>
      <c r="AD924" s="207"/>
      <c r="AE924" s="207"/>
      <c r="AF924" s="207"/>
      <c r="AG924" s="207"/>
      <c r="AH924" s="207"/>
      <c r="AI924" s="207"/>
      <c r="AJ924" s="207"/>
      <c r="AK924" s="207"/>
      <c r="AL924" s="207"/>
      <c r="AM924" s="207"/>
      <c r="AN924" s="207"/>
      <c r="AO924" s="207"/>
      <c r="AP924" s="207"/>
      <c r="AQ924" s="207"/>
      <c r="AR924" s="207"/>
      <c r="AS924" s="207"/>
      <c r="AT924" s="207"/>
      <c r="AU924" s="207"/>
      <c r="AV924" s="207"/>
      <c r="AW924" s="207"/>
      <c r="AX924" s="207"/>
      <c r="AY924" s="207"/>
      <c r="AZ924" s="207"/>
      <c r="BA924" s="207"/>
    </row>
    <row r="925" ht="18.75" hidden="1" customHeight="1">
      <c r="A925" s="207"/>
      <c r="B925" s="207"/>
      <c r="C925" s="207"/>
      <c r="D925" s="207"/>
      <c r="E925" s="207"/>
      <c r="F925" s="207"/>
      <c r="G925" s="207"/>
      <c r="H925" s="207"/>
      <c r="I925" s="207"/>
      <c r="J925" s="207"/>
      <c r="K925" s="207"/>
      <c r="L925" s="207"/>
      <c r="M925" s="207"/>
      <c r="N925" s="207"/>
      <c r="O925" s="207"/>
      <c r="P925" s="207"/>
      <c r="Q925" s="207"/>
      <c r="R925" s="207"/>
      <c r="S925" s="207"/>
      <c r="T925" s="207"/>
      <c r="U925" s="207"/>
      <c r="V925" s="207"/>
      <c r="W925" s="207"/>
      <c r="X925" s="207"/>
      <c r="Y925" s="207"/>
      <c r="Z925" s="207"/>
      <c r="AA925" s="207"/>
      <c r="AB925" s="207"/>
      <c r="AC925" s="207"/>
      <c r="AD925" s="207"/>
      <c r="AE925" s="207"/>
      <c r="AF925" s="207"/>
      <c r="AG925" s="207"/>
      <c r="AH925" s="207"/>
      <c r="AI925" s="207"/>
      <c r="AJ925" s="207"/>
      <c r="AK925" s="207"/>
      <c r="AL925" s="207"/>
      <c r="AM925" s="207"/>
      <c r="AN925" s="207"/>
      <c r="AO925" s="207"/>
      <c r="AP925" s="207"/>
      <c r="AQ925" s="207"/>
      <c r="AR925" s="207"/>
      <c r="AS925" s="207"/>
      <c r="AT925" s="207"/>
      <c r="AU925" s="207"/>
      <c r="AV925" s="207"/>
      <c r="AW925" s="207"/>
      <c r="AX925" s="207"/>
      <c r="AY925" s="207"/>
      <c r="AZ925" s="207"/>
      <c r="BA925" s="207"/>
    </row>
    <row r="926" ht="18.75" hidden="1" customHeight="1">
      <c r="A926" s="207"/>
      <c r="B926" s="207"/>
      <c r="C926" s="207"/>
      <c r="D926" s="207"/>
      <c r="E926" s="207"/>
      <c r="F926" s="207"/>
      <c r="G926" s="207"/>
      <c r="H926" s="207"/>
      <c r="I926" s="207"/>
      <c r="J926" s="207"/>
      <c r="K926" s="207"/>
      <c r="L926" s="207"/>
      <c r="M926" s="207"/>
      <c r="N926" s="207"/>
      <c r="O926" s="207"/>
      <c r="P926" s="207"/>
      <c r="Q926" s="207"/>
      <c r="R926" s="207"/>
      <c r="S926" s="207"/>
      <c r="T926" s="207"/>
      <c r="U926" s="207"/>
      <c r="V926" s="207"/>
      <c r="W926" s="207"/>
      <c r="X926" s="207"/>
      <c r="Y926" s="207"/>
      <c r="Z926" s="207"/>
      <c r="AA926" s="207"/>
      <c r="AB926" s="207"/>
      <c r="AC926" s="207"/>
      <c r="AD926" s="207"/>
      <c r="AE926" s="207"/>
      <c r="AF926" s="207"/>
      <c r="AG926" s="207"/>
      <c r="AH926" s="207"/>
      <c r="AI926" s="207"/>
      <c r="AJ926" s="207"/>
      <c r="AK926" s="207"/>
      <c r="AL926" s="207"/>
      <c r="AM926" s="207"/>
      <c r="AN926" s="207"/>
      <c r="AO926" s="207"/>
      <c r="AP926" s="207"/>
      <c r="AQ926" s="207"/>
      <c r="AR926" s="207"/>
      <c r="AS926" s="207"/>
      <c r="AT926" s="207"/>
      <c r="AU926" s="207"/>
      <c r="AV926" s="207"/>
      <c r="AW926" s="207"/>
      <c r="AX926" s="207"/>
      <c r="AY926" s="207"/>
      <c r="AZ926" s="207"/>
      <c r="BA926" s="207"/>
    </row>
    <row r="927" ht="18.75" hidden="1" customHeight="1">
      <c r="A927" s="207"/>
      <c r="B927" s="207"/>
      <c r="C927" s="207"/>
      <c r="D927" s="207"/>
      <c r="E927" s="207"/>
      <c r="F927" s="207"/>
      <c r="G927" s="207"/>
      <c r="H927" s="207"/>
      <c r="I927" s="207"/>
      <c r="J927" s="207"/>
      <c r="K927" s="207"/>
      <c r="L927" s="207"/>
      <c r="M927" s="207"/>
      <c r="N927" s="207"/>
      <c r="O927" s="207"/>
      <c r="P927" s="207"/>
      <c r="Q927" s="207"/>
      <c r="R927" s="207"/>
      <c r="S927" s="207"/>
      <c r="T927" s="207"/>
      <c r="U927" s="207"/>
      <c r="V927" s="207"/>
      <c r="W927" s="207"/>
      <c r="X927" s="207"/>
      <c r="Y927" s="207"/>
      <c r="Z927" s="207"/>
      <c r="AA927" s="207"/>
      <c r="AB927" s="207"/>
      <c r="AC927" s="207"/>
      <c r="AD927" s="207"/>
      <c r="AE927" s="207"/>
      <c r="AF927" s="207"/>
      <c r="AG927" s="207"/>
      <c r="AH927" s="207"/>
      <c r="AI927" s="207"/>
      <c r="AJ927" s="207"/>
      <c r="AK927" s="207"/>
      <c r="AL927" s="207"/>
      <c r="AM927" s="207"/>
      <c r="AN927" s="207"/>
      <c r="AO927" s="207"/>
      <c r="AP927" s="207"/>
      <c r="AQ927" s="207"/>
      <c r="AR927" s="207"/>
      <c r="AS927" s="207"/>
      <c r="AT927" s="207"/>
      <c r="AU927" s="207"/>
      <c r="AV927" s="207"/>
      <c r="AW927" s="207"/>
      <c r="AX927" s="207"/>
      <c r="AY927" s="207"/>
      <c r="AZ927" s="207"/>
      <c r="BA927" s="207"/>
    </row>
    <row r="928" ht="18.75" hidden="1" customHeight="1">
      <c r="A928" s="207"/>
      <c r="B928" s="207"/>
      <c r="C928" s="207"/>
      <c r="D928" s="207"/>
      <c r="E928" s="207"/>
      <c r="F928" s="207"/>
      <c r="G928" s="207"/>
      <c r="H928" s="207"/>
      <c r="I928" s="207"/>
      <c r="J928" s="207"/>
      <c r="K928" s="207"/>
      <c r="L928" s="207"/>
      <c r="M928" s="207"/>
      <c r="N928" s="207"/>
      <c r="O928" s="207"/>
      <c r="P928" s="207"/>
      <c r="Q928" s="207"/>
      <c r="R928" s="207"/>
      <c r="S928" s="207"/>
      <c r="T928" s="207"/>
      <c r="U928" s="207"/>
      <c r="V928" s="207"/>
      <c r="W928" s="207"/>
      <c r="X928" s="207"/>
      <c r="Y928" s="207"/>
      <c r="Z928" s="207"/>
      <c r="AA928" s="207"/>
      <c r="AB928" s="207"/>
      <c r="AC928" s="207"/>
      <c r="AD928" s="207"/>
      <c r="AE928" s="207"/>
      <c r="AF928" s="207"/>
      <c r="AG928" s="207"/>
      <c r="AH928" s="207"/>
      <c r="AI928" s="207"/>
      <c r="AJ928" s="207"/>
      <c r="AK928" s="207"/>
      <c r="AL928" s="207"/>
      <c r="AM928" s="207"/>
      <c r="AN928" s="207"/>
      <c r="AO928" s="207"/>
      <c r="AP928" s="207"/>
      <c r="AQ928" s="207"/>
      <c r="AR928" s="207"/>
      <c r="AS928" s="207"/>
      <c r="AT928" s="207"/>
      <c r="AU928" s="207"/>
      <c r="AV928" s="207"/>
      <c r="AW928" s="207"/>
      <c r="AX928" s="207"/>
      <c r="AY928" s="207"/>
      <c r="AZ928" s="207"/>
      <c r="BA928" s="207"/>
    </row>
    <row r="929" ht="18.75" hidden="1" customHeight="1">
      <c r="A929" s="207"/>
      <c r="B929" s="207"/>
      <c r="C929" s="207"/>
      <c r="D929" s="207"/>
      <c r="E929" s="207"/>
      <c r="F929" s="207"/>
      <c r="G929" s="207"/>
      <c r="H929" s="207"/>
      <c r="I929" s="207"/>
      <c r="J929" s="207"/>
      <c r="K929" s="207"/>
      <c r="L929" s="207"/>
      <c r="M929" s="207"/>
      <c r="N929" s="207"/>
      <c r="O929" s="207"/>
      <c r="P929" s="207"/>
      <c r="Q929" s="207"/>
      <c r="R929" s="207"/>
      <c r="S929" s="207"/>
      <c r="T929" s="207"/>
      <c r="U929" s="207"/>
      <c r="V929" s="207"/>
      <c r="W929" s="207"/>
      <c r="X929" s="207"/>
      <c r="Y929" s="207"/>
      <c r="Z929" s="207"/>
      <c r="AA929" s="207"/>
      <c r="AB929" s="207"/>
      <c r="AC929" s="207"/>
      <c r="AD929" s="207"/>
      <c r="AE929" s="207"/>
      <c r="AF929" s="207"/>
      <c r="AG929" s="207"/>
      <c r="AH929" s="207"/>
      <c r="AI929" s="207"/>
      <c r="AJ929" s="207"/>
      <c r="AK929" s="207"/>
      <c r="AL929" s="207"/>
      <c r="AM929" s="207"/>
      <c r="AN929" s="207"/>
      <c r="AO929" s="207"/>
      <c r="AP929" s="207"/>
      <c r="AQ929" s="207"/>
      <c r="AR929" s="207"/>
      <c r="AS929" s="207"/>
      <c r="AT929" s="207"/>
      <c r="AU929" s="207"/>
      <c r="AV929" s="207"/>
      <c r="AW929" s="207"/>
      <c r="AX929" s="207"/>
      <c r="AY929" s="207"/>
      <c r="AZ929" s="207"/>
      <c r="BA929" s="207"/>
    </row>
    <row r="930" ht="18.75" hidden="1" customHeight="1">
      <c r="A930" s="207"/>
      <c r="B930" s="207"/>
      <c r="C930" s="207"/>
      <c r="D930" s="207"/>
      <c r="E930" s="207"/>
      <c r="F930" s="207"/>
      <c r="G930" s="207"/>
      <c r="H930" s="207"/>
      <c r="I930" s="207"/>
      <c r="J930" s="207"/>
      <c r="K930" s="207"/>
      <c r="L930" s="207"/>
      <c r="M930" s="207"/>
      <c r="N930" s="207"/>
      <c r="O930" s="207"/>
      <c r="P930" s="207"/>
      <c r="Q930" s="207"/>
      <c r="R930" s="207"/>
      <c r="S930" s="207"/>
      <c r="T930" s="207"/>
      <c r="U930" s="207"/>
      <c r="V930" s="207"/>
      <c r="W930" s="207"/>
      <c r="X930" s="207"/>
      <c r="Y930" s="207"/>
      <c r="Z930" s="207"/>
      <c r="AA930" s="207"/>
      <c r="AB930" s="207"/>
      <c r="AC930" s="207"/>
      <c r="AD930" s="207"/>
      <c r="AE930" s="207"/>
      <c r="AF930" s="207"/>
      <c r="AG930" s="207"/>
      <c r="AH930" s="207"/>
      <c r="AI930" s="207"/>
      <c r="AJ930" s="207"/>
      <c r="AK930" s="207"/>
      <c r="AL930" s="207"/>
      <c r="AM930" s="207"/>
      <c r="AN930" s="207"/>
      <c r="AO930" s="207"/>
      <c r="AP930" s="207"/>
      <c r="AQ930" s="207"/>
      <c r="AR930" s="207"/>
      <c r="AS930" s="207"/>
      <c r="AT930" s="207"/>
      <c r="AU930" s="207"/>
      <c r="AV930" s="207"/>
      <c r="AW930" s="207"/>
      <c r="AX930" s="207"/>
      <c r="AY930" s="207"/>
      <c r="AZ930" s="207"/>
      <c r="BA930" s="207"/>
    </row>
    <row r="931" ht="18.75" hidden="1" customHeight="1">
      <c r="A931" s="207"/>
      <c r="B931" s="207"/>
      <c r="C931" s="207"/>
      <c r="D931" s="207"/>
      <c r="E931" s="207"/>
      <c r="F931" s="207"/>
      <c r="G931" s="207"/>
      <c r="H931" s="207"/>
      <c r="I931" s="207"/>
      <c r="J931" s="207"/>
      <c r="K931" s="207"/>
      <c r="L931" s="207"/>
      <c r="M931" s="207"/>
      <c r="N931" s="207"/>
      <c r="O931" s="207"/>
      <c r="P931" s="207"/>
      <c r="Q931" s="207"/>
      <c r="R931" s="207"/>
      <c r="S931" s="207"/>
      <c r="T931" s="207"/>
      <c r="U931" s="207"/>
      <c r="V931" s="207"/>
      <c r="W931" s="207"/>
      <c r="X931" s="207"/>
      <c r="Y931" s="207"/>
      <c r="Z931" s="207"/>
      <c r="AA931" s="207"/>
      <c r="AB931" s="207"/>
      <c r="AC931" s="207"/>
      <c r="AD931" s="207"/>
      <c r="AE931" s="207"/>
      <c r="AF931" s="207"/>
      <c r="AG931" s="207"/>
      <c r="AH931" s="207"/>
      <c r="AI931" s="207"/>
      <c r="AJ931" s="207"/>
      <c r="AK931" s="207"/>
      <c r="AL931" s="207"/>
      <c r="AM931" s="207"/>
      <c r="AN931" s="207"/>
      <c r="AO931" s="207"/>
      <c r="AP931" s="207"/>
      <c r="AQ931" s="207"/>
      <c r="AR931" s="207"/>
      <c r="AS931" s="207"/>
      <c r="AT931" s="207"/>
      <c r="AU931" s="207"/>
      <c r="AV931" s="207"/>
      <c r="AW931" s="207"/>
      <c r="AX931" s="207"/>
      <c r="AY931" s="207"/>
      <c r="AZ931" s="207"/>
      <c r="BA931" s="207"/>
    </row>
    <row r="932" ht="18.75" hidden="1" customHeight="1">
      <c r="A932" s="207"/>
      <c r="B932" s="207"/>
      <c r="C932" s="207"/>
      <c r="D932" s="207"/>
      <c r="E932" s="207"/>
      <c r="F932" s="207"/>
      <c r="G932" s="207"/>
      <c r="H932" s="207"/>
      <c r="I932" s="207"/>
      <c r="J932" s="207"/>
      <c r="K932" s="207"/>
      <c r="L932" s="207"/>
      <c r="M932" s="207"/>
      <c r="N932" s="207"/>
      <c r="O932" s="207"/>
      <c r="P932" s="207"/>
      <c r="Q932" s="207"/>
      <c r="R932" s="207"/>
      <c r="S932" s="207"/>
      <c r="T932" s="207"/>
      <c r="U932" s="207"/>
      <c r="V932" s="207"/>
      <c r="W932" s="207"/>
      <c r="X932" s="207"/>
      <c r="Y932" s="207"/>
      <c r="Z932" s="207"/>
      <c r="AA932" s="207"/>
      <c r="AB932" s="207"/>
      <c r="AC932" s="207"/>
      <c r="AD932" s="207"/>
      <c r="AE932" s="207"/>
      <c r="AF932" s="207"/>
      <c r="AG932" s="207"/>
      <c r="AH932" s="207"/>
      <c r="AI932" s="207"/>
      <c r="AJ932" s="207"/>
      <c r="AK932" s="207"/>
      <c r="AL932" s="207"/>
      <c r="AM932" s="207"/>
      <c r="AN932" s="207"/>
      <c r="AO932" s="207"/>
      <c r="AP932" s="207"/>
      <c r="AQ932" s="207"/>
      <c r="AR932" s="207"/>
      <c r="AS932" s="207"/>
      <c r="AT932" s="207"/>
      <c r="AU932" s="207"/>
      <c r="AV932" s="207"/>
      <c r="AW932" s="207"/>
      <c r="AX932" s="207"/>
      <c r="AY932" s="207"/>
      <c r="AZ932" s="207"/>
      <c r="BA932" s="207"/>
    </row>
    <row r="933" ht="18.75" hidden="1" customHeight="1">
      <c r="A933" s="207"/>
      <c r="B933" s="207"/>
      <c r="C933" s="207"/>
      <c r="D933" s="207"/>
      <c r="E933" s="207"/>
      <c r="F933" s="207"/>
      <c r="G933" s="207"/>
      <c r="H933" s="207"/>
      <c r="I933" s="207"/>
      <c r="J933" s="207"/>
      <c r="K933" s="207"/>
      <c r="L933" s="207"/>
      <c r="M933" s="207"/>
      <c r="N933" s="207"/>
      <c r="O933" s="207"/>
      <c r="P933" s="207"/>
      <c r="Q933" s="207"/>
      <c r="R933" s="207"/>
      <c r="S933" s="207"/>
      <c r="T933" s="207"/>
      <c r="U933" s="207"/>
      <c r="V933" s="207"/>
      <c r="W933" s="207"/>
      <c r="X933" s="207"/>
      <c r="Y933" s="207"/>
      <c r="Z933" s="207"/>
      <c r="AA933" s="207"/>
      <c r="AB933" s="207"/>
      <c r="AC933" s="207"/>
      <c r="AD933" s="207"/>
      <c r="AE933" s="207"/>
      <c r="AF933" s="207"/>
      <c r="AG933" s="207"/>
      <c r="AH933" s="207"/>
      <c r="AI933" s="207"/>
      <c r="AJ933" s="207"/>
      <c r="AK933" s="207"/>
      <c r="AL933" s="207"/>
      <c r="AM933" s="207"/>
      <c r="AN933" s="207"/>
      <c r="AO933" s="207"/>
      <c r="AP933" s="207"/>
      <c r="AQ933" s="207"/>
      <c r="AR933" s="207"/>
      <c r="AS933" s="207"/>
      <c r="AT933" s="207"/>
      <c r="AU933" s="207"/>
      <c r="AV933" s="207"/>
      <c r="AW933" s="207"/>
      <c r="AX933" s="207"/>
      <c r="AY933" s="207"/>
      <c r="AZ933" s="207"/>
      <c r="BA933" s="207"/>
    </row>
    <row r="934" ht="18.75" hidden="1" customHeight="1">
      <c r="A934" s="207"/>
      <c r="B934" s="207"/>
      <c r="C934" s="207"/>
      <c r="D934" s="207"/>
      <c r="E934" s="207"/>
      <c r="F934" s="207"/>
      <c r="G934" s="207"/>
      <c r="H934" s="207"/>
      <c r="I934" s="207"/>
      <c r="J934" s="207"/>
      <c r="K934" s="207"/>
      <c r="L934" s="207"/>
      <c r="M934" s="207"/>
      <c r="N934" s="207"/>
      <c r="O934" s="207"/>
      <c r="P934" s="207"/>
      <c r="Q934" s="207"/>
      <c r="R934" s="207"/>
      <c r="S934" s="207"/>
      <c r="T934" s="207"/>
      <c r="U934" s="207"/>
      <c r="V934" s="207"/>
      <c r="W934" s="207"/>
      <c r="X934" s="207"/>
      <c r="Y934" s="207"/>
      <c r="Z934" s="207"/>
      <c r="AA934" s="207"/>
      <c r="AB934" s="207"/>
      <c r="AC934" s="207"/>
      <c r="AD934" s="207"/>
      <c r="AE934" s="207"/>
      <c r="AF934" s="207"/>
      <c r="AG934" s="207"/>
      <c r="AH934" s="207"/>
      <c r="AI934" s="207"/>
      <c r="AJ934" s="207"/>
      <c r="AK934" s="207"/>
      <c r="AL934" s="207"/>
      <c r="AM934" s="207"/>
      <c r="AN934" s="207"/>
      <c r="AO934" s="207"/>
      <c r="AP934" s="207"/>
      <c r="AQ934" s="207"/>
      <c r="AR934" s="207"/>
      <c r="AS934" s="207"/>
      <c r="AT934" s="207"/>
      <c r="AU934" s="207"/>
      <c r="AV934" s="207"/>
      <c r="AW934" s="207"/>
      <c r="AX934" s="207"/>
      <c r="AY934" s="207"/>
      <c r="AZ934" s="207"/>
      <c r="BA934" s="207"/>
    </row>
    <row r="935" ht="18.75" hidden="1" customHeight="1">
      <c r="A935" s="207"/>
      <c r="B935" s="207"/>
      <c r="C935" s="207"/>
      <c r="D935" s="207"/>
      <c r="E935" s="207"/>
      <c r="F935" s="207"/>
      <c r="G935" s="207"/>
      <c r="H935" s="207"/>
      <c r="I935" s="207"/>
      <c r="J935" s="207"/>
      <c r="K935" s="207"/>
      <c r="L935" s="207"/>
      <c r="M935" s="207"/>
      <c r="N935" s="207"/>
      <c r="O935" s="207"/>
      <c r="P935" s="207"/>
      <c r="Q935" s="207"/>
      <c r="R935" s="207"/>
      <c r="S935" s="207"/>
      <c r="T935" s="207"/>
      <c r="U935" s="207"/>
      <c r="V935" s="207"/>
      <c r="W935" s="207"/>
      <c r="X935" s="207"/>
      <c r="Y935" s="207"/>
      <c r="Z935" s="207"/>
      <c r="AA935" s="207"/>
      <c r="AB935" s="207"/>
      <c r="AC935" s="207"/>
      <c r="AD935" s="207"/>
      <c r="AE935" s="207"/>
      <c r="AF935" s="207"/>
      <c r="AG935" s="207"/>
      <c r="AH935" s="207"/>
      <c r="AI935" s="207"/>
      <c r="AJ935" s="207"/>
      <c r="AK935" s="207"/>
      <c r="AL935" s="207"/>
      <c r="AM935" s="207"/>
      <c r="AN935" s="207"/>
      <c r="AO935" s="207"/>
      <c r="AP935" s="207"/>
      <c r="AQ935" s="207"/>
      <c r="AR935" s="207"/>
      <c r="AS935" s="207"/>
      <c r="AT935" s="207"/>
      <c r="AU935" s="207"/>
      <c r="AV935" s="207"/>
      <c r="AW935" s="207"/>
      <c r="AX935" s="207"/>
      <c r="AY935" s="207"/>
      <c r="AZ935" s="207"/>
      <c r="BA935" s="207"/>
    </row>
    <row r="936" ht="18.75" hidden="1" customHeight="1">
      <c r="A936" s="207"/>
      <c r="B936" s="207"/>
      <c r="C936" s="207"/>
      <c r="D936" s="207"/>
      <c r="E936" s="207"/>
      <c r="F936" s="207"/>
      <c r="G936" s="207"/>
      <c r="H936" s="207"/>
      <c r="I936" s="207"/>
      <c r="J936" s="207"/>
      <c r="K936" s="207"/>
      <c r="L936" s="207"/>
      <c r="M936" s="207"/>
      <c r="N936" s="207"/>
      <c r="O936" s="207"/>
      <c r="P936" s="207"/>
      <c r="Q936" s="207"/>
      <c r="R936" s="207"/>
      <c r="S936" s="207"/>
      <c r="T936" s="207"/>
      <c r="U936" s="207"/>
      <c r="V936" s="207"/>
      <c r="W936" s="207"/>
      <c r="X936" s="207"/>
      <c r="Y936" s="207"/>
      <c r="Z936" s="207"/>
      <c r="AA936" s="207"/>
      <c r="AB936" s="207"/>
      <c r="AC936" s="207"/>
      <c r="AD936" s="207"/>
      <c r="AE936" s="207"/>
      <c r="AF936" s="207"/>
      <c r="AG936" s="207"/>
      <c r="AH936" s="207"/>
      <c r="AI936" s="207"/>
      <c r="AJ936" s="207"/>
      <c r="AK936" s="207"/>
      <c r="AL936" s="207"/>
      <c r="AM936" s="207"/>
      <c r="AN936" s="207"/>
      <c r="AO936" s="207"/>
      <c r="AP936" s="207"/>
      <c r="AQ936" s="207"/>
      <c r="AR936" s="207"/>
      <c r="AS936" s="207"/>
      <c r="AT936" s="207"/>
      <c r="AU936" s="207"/>
      <c r="AV936" s="207"/>
      <c r="AW936" s="207"/>
      <c r="AX936" s="207"/>
      <c r="AY936" s="207"/>
      <c r="AZ936" s="207"/>
      <c r="BA936" s="207"/>
    </row>
    <row r="937" ht="18.75" hidden="1" customHeight="1">
      <c r="A937" s="207"/>
      <c r="B937" s="207"/>
      <c r="C937" s="207"/>
      <c r="D937" s="207"/>
      <c r="E937" s="207"/>
      <c r="F937" s="207"/>
      <c r="G937" s="207"/>
      <c r="H937" s="207"/>
      <c r="I937" s="207"/>
      <c r="J937" s="207"/>
      <c r="K937" s="207"/>
      <c r="L937" s="207"/>
      <c r="M937" s="207"/>
      <c r="N937" s="207"/>
      <c r="O937" s="207"/>
      <c r="P937" s="207"/>
      <c r="Q937" s="207"/>
      <c r="R937" s="207"/>
      <c r="S937" s="207"/>
      <c r="T937" s="207"/>
      <c r="U937" s="207"/>
      <c r="V937" s="207"/>
      <c r="W937" s="207"/>
      <c r="X937" s="207"/>
      <c r="Y937" s="207"/>
      <c r="Z937" s="207"/>
      <c r="AA937" s="207"/>
      <c r="AB937" s="207"/>
      <c r="AC937" s="207"/>
      <c r="AD937" s="207"/>
      <c r="AE937" s="207"/>
      <c r="AF937" s="207"/>
      <c r="AG937" s="207"/>
      <c r="AH937" s="207"/>
      <c r="AI937" s="207"/>
      <c r="AJ937" s="207"/>
      <c r="AK937" s="207"/>
      <c r="AL937" s="207"/>
      <c r="AM937" s="207"/>
      <c r="AN937" s="207"/>
      <c r="AO937" s="207"/>
      <c r="AP937" s="207"/>
      <c r="AQ937" s="207"/>
      <c r="AR937" s="207"/>
      <c r="AS937" s="207"/>
      <c r="AT937" s="207"/>
      <c r="AU937" s="207"/>
      <c r="AV937" s="207"/>
      <c r="AW937" s="207"/>
      <c r="AX937" s="207"/>
      <c r="AY937" s="207"/>
      <c r="AZ937" s="207"/>
      <c r="BA937" s="207"/>
    </row>
    <row r="938" ht="18.75" hidden="1" customHeight="1">
      <c r="A938" s="207"/>
      <c r="B938" s="207"/>
      <c r="C938" s="207"/>
      <c r="D938" s="207"/>
      <c r="E938" s="207"/>
      <c r="F938" s="207"/>
      <c r="G938" s="207"/>
      <c r="H938" s="207"/>
      <c r="I938" s="207"/>
      <c r="J938" s="207"/>
      <c r="K938" s="207"/>
      <c r="L938" s="207"/>
      <c r="M938" s="207"/>
      <c r="N938" s="207"/>
      <c r="O938" s="207"/>
      <c r="P938" s="207"/>
      <c r="Q938" s="207"/>
      <c r="R938" s="207"/>
      <c r="S938" s="207"/>
      <c r="T938" s="207"/>
      <c r="U938" s="207"/>
      <c r="V938" s="207"/>
      <c r="W938" s="207"/>
      <c r="X938" s="207"/>
      <c r="Y938" s="207"/>
      <c r="Z938" s="207"/>
      <c r="AA938" s="207"/>
      <c r="AB938" s="207"/>
      <c r="AC938" s="207"/>
      <c r="AD938" s="207"/>
      <c r="AE938" s="207"/>
      <c r="AF938" s="207"/>
      <c r="AG938" s="207"/>
      <c r="AH938" s="207"/>
      <c r="AI938" s="207"/>
      <c r="AJ938" s="207"/>
      <c r="AK938" s="207"/>
      <c r="AL938" s="207"/>
      <c r="AM938" s="207"/>
      <c r="AN938" s="207"/>
      <c r="AO938" s="207"/>
      <c r="AP938" s="207"/>
      <c r="AQ938" s="207"/>
      <c r="AR938" s="207"/>
      <c r="AS938" s="207"/>
      <c r="AT938" s="207"/>
      <c r="AU938" s="207"/>
      <c r="AV938" s="207"/>
      <c r="AW938" s="207"/>
      <c r="AX938" s="207"/>
      <c r="AY938" s="207"/>
      <c r="AZ938" s="207"/>
      <c r="BA938" s="207"/>
    </row>
    <row r="939" ht="18.75" hidden="1" customHeight="1">
      <c r="A939" s="207"/>
      <c r="B939" s="207"/>
      <c r="C939" s="207"/>
      <c r="D939" s="207"/>
      <c r="E939" s="207"/>
      <c r="F939" s="207"/>
      <c r="G939" s="207"/>
      <c r="H939" s="207"/>
      <c r="I939" s="207"/>
      <c r="J939" s="207"/>
      <c r="K939" s="207"/>
      <c r="L939" s="207"/>
      <c r="M939" s="207"/>
      <c r="N939" s="207"/>
      <c r="O939" s="207"/>
      <c r="P939" s="207"/>
      <c r="Q939" s="207"/>
      <c r="R939" s="207"/>
      <c r="S939" s="207"/>
      <c r="T939" s="207"/>
      <c r="U939" s="207"/>
      <c r="V939" s="207"/>
      <c r="W939" s="207"/>
      <c r="X939" s="207"/>
      <c r="Y939" s="207"/>
      <c r="Z939" s="207"/>
      <c r="AA939" s="207"/>
      <c r="AB939" s="207"/>
      <c r="AC939" s="207"/>
      <c r="AD939" s="207"/>
      <c r="AE939" s="207"/>
      <c r="AF939" s="207"/>
      <c r="AG939" s="207"/>
      <c r="AH939" s="207"/>
      <c r="AI939" s="207"/>
      <c r="AJ939" s="207"/>
      <c r="AK939" s="207"/>
      <c r="AL939" s="207"/>
      <c r="AM939" s="207"/>
      <c r="AN939" s="207"/>
      <c r="AO939" s="207"/>
      <c r="AP939" s="207"/>
      <c r="AQ939" s="207"/>
      <c r="AR939" s="207"/>
      <c r="AS939" s="207"/>
      <c r="AT939" s="207"/>
      <c r="AU939" s="207"/>
      <c r="AV939" s="207"/>
      <c r="AW939" s="207"/>
      <c r="AX939" s="207"/>
      <c r="AY939" s="207"/>
      <c r="AZ939" s="207"/>
      <c r="BA939" s="207"/>
    </row>
    <row r="940" ht="18.75" hidden="1" customHeight="1">
      <c r="A940" s="207"/>
      <c r="B940" s="207"/>
      <c r="C940" s="207"/>
      <c r="D940" s="207"/>
      <c r="E940" s="207"/>
      <c r="F940" s="207"/>
      <c r="G940" s="207"/>
      <c r="H940" s="207"/>
      <c r="I940" s="207"/>
      <c r="J940" s="207"/>
      <c r="K940" s="207"/>
      <c r="L940" s="207"/>
      <c r="M940" s="207"/>
      <c r="N940" s="207"/>
      <c r="O940" s="207"/>
      <c r="P940" s="207"/>
      <c r="Q940" s="207"/>
      <c r="R940" s="207"/>
      <c r="S940" s="207"/>
      <c r="T940" s="207"/>
      <c r="U940" s="207"/>
      <c r="V940" s="207"/>
      <c r="W940" s="207"/>
      <c r="X940" s="207"/>
      <c r="Y940" s="207"/>
      <c r="Z940" s="207"/>
      <c r="AA940" s="207"/>
      <c r="AB940" s="207"/>
      <c r="AC940" s="207"/>
      <c r="AD940" s="207"/>
      <c r="AE940" s="207"/>
      <c r="AF940" s="207"/>
      <c r="AG940" s="207"/>
      <c r="AH940" s="207"/>
      <c r="AI940" s="207"/>
      <c r="AJ940" s="207"/>
      <c r="AK940" s="207"/>
      <c r="AL940" s="207"/>
      <c r="AM940" s="207"/>
      <c r="AN940" s="207"/>
      <c r="AO940" s="207"/>
      <c r="AP940" s="207"/>
      <c r="AQ940" s="207"/>
      <c r="AR940" s="207"/>
      <c r="AS940" s="207"/>
      <c r="AT940" s="207"/>
      <c r="AU940" s="207"/>
      <c r="AV940" s="207"/>
      <c r="AW940" s="207"/>
      <c r="AX940" s="207"/>
      <c r="AY940" s="207"/>
      <c r="AZ940" s="207"/>
      <c r="BA940" s="207"/>
    </row>
    <row r="941" ht="18.75" hidden="1" customHeight="1">
      <c r="A941" s="207"/>
      <c r="B941" s="207"/>
      <c r="C941" s="207"/>
      <c r="D941" s="207"/>
      <c r="E941" s="207"/>
      <c r="F941" s="207"/>
      <c r="G941" s="207"/>
      <c r="H941" s="207"/>
      <c r="I941" s="207"/>
      <c r="J941" s="207"/>
      <c r="K941" s="207"/>
      <c r="L941" s="207"/>
      <c r="M941" s="207"/>
      <c r="N941" s="207"/>
      <c r="O941" s="207"/>
      <c r="P941" s="207"/>
      <c r="Q941" s="207"/>
      <c r="R941" s="207"/>
      <c r="S941" s="207"/>
      <c r="T941" s="207"/>
      <c r="U941" s="207"/>
      <c r="V941" s="207"/>
      <c r="W941" s="207"/>
      <c r="X941" s="207"/>
      <c r="Y941" s="207"/>
      <c r="Z941" s="207"/>
      <c r="AA941" s="207"/>
      <c r="AB941" s="207"/>
      <c r="AC941" s="207"/>
      <c r="AD941" s="207"/>
      <c r="AE941" s="207"/>
      <c r="AF941" s="207"/>
      <c r="AG941" s="207"/>
      <c r="AH941" s="207"/>
      <c r="AI941" s="207"/>
      <c r="AJ941" s="207"/>
      <c r="AK941" s="207"/>
      <c r="AL941" s="207"/>
      <c r="AM941" s="207"/>
      <c r="AN941" s="207"/>
      <c r="AO941" s="207"/>
      <c r="AP941" s="207"/>
      <c r="AQ941" s="207"/>
      <c r="AR941" s="207"/>
      <c r="AS941" s="207"/>
      <c r="AT941" s="207"/>
      <c r="AU941" s="207"/>
      <c r="AV941" s="207"/>
      <c r="AW941" s="207"/>
      <c r="AX941" s="207"/>
      <c r="AY941" s="207"/>
      <c r="AZ941" s="207"/>
      <c r="BA941" s="207"/>
    </row>
    <row r="942" ht="18.75" hidden="1" customHeight="1">
      <c r="A942" s="207"/>
      <c r="B942" s="207"/>
      <c r="C942" s="207"/>
      <c r="D942" s="207"/>
      <c r="E942" s="207"/>
      <c r="F942" s="207"/>
      <c r="G942" s="207"/>
      <c r="H942" s="207"/>
      <c r="I942" s="207"/>
      <c r="J942" s="207"/>
      <c r="K942" s="207"/>
      <c r="L942" s="207"/>
      <c r="M942" s="207"/>
      <c r="N942" s="207"/>
      <c r="O942" s="207"/>
      <c r="P942" s="207"/>
      <c r="Q942" s="207"/>
      <c r="R942" s="207"/>
      <c r="S942" s="207"/>
      <c r="T942" s="207"/>
      <c r="U942" s="207"/>
      <c r="V942" s="207"/>
      <c r="W942" s="207"/>
      <c r="X942" s="207"/>
      <c r="Y942" s="207"/>
      <c r="Z942" s="207"/>
      <c r="AA942" s="207"/>
      <c r="AB942" s="207"/>
      <c r="AC942" s="207"/>
      <c r="AD942" s="207"/>
      <c r="AE942" s="207"/>
      <c r="AF942" s="207"/>
      <c r="AG942" s="207"/>
      <c r="AH942" s="207"/>
      <c r="AI942" s="207"/>
      <c r="AJ942" s="207"/>
      <c r="AK942" s="207"/>
      <c r="AL942" s="207"/>
      <c r="AM942" s="207"/>
      <c r="AN942" s="207"/>
      <c r="AO942" s="207"/>
      <c r="AP942" s="207"/>
      <c r="AQ942" s="207"/>
      <c r="AR942" s="207"/>
      <c r="AS942" s="207"/>
      <c r="AT942" s="207"/>
      <c r="AU942" s="207"/>
      <c r="AV942" s="207"/>
      <c r="AW942" s="207"/>
      <c r="AX942" s="207"/>
      <c r="AY942" s="207"/>
      <c r="AZ942" s="207"/>
      <c r="BA942" s="207"/>
    </row>
    <row r="943" ht="18.75" hidden="1" customHeight="1">
      <c r="A943" s="207"/>
      <c r="B943" s="207"/>
      <c r="C943" s="207"/>
      <c r="D943" s="207"/>
      <c r="E943" s="207"/>
      <c r="F943" s="207"/>
      <c r="G943" s="207"/>
      <c r="H943" s="207"/>
      <c r="I943" s="207"/>
      <c r="J943" s="207"/>
      <c r="K943" s="207"/>
      <c r="L943" s="207"/>
      <c r="M943" s="207"/>
      <c r="N943" s="207"/>
      <c r="O943" s="207"/>
      <c r="P943" s="207"/>
      <c r="Q943" s="207"/>
      <c r="R943" s="207"/>
      <c r="S943" s="207"/>
      <c r="T943" s="207"/>
      <c r="U943" s="207"/>
      <c r="V943" s="207"/>
      <c r="W943" s="207"/>
      <c r="X943" s="207"/>
      <c r="Y943" s="207"/>
      <c r="Z943" s="207"/>
      <c r="AA943" s="207"/>
      <c r="AB943" s="207"/>
      <c r="AC943" s="207"/>
      <c r="AD943" s="207"/>
      <c r="AE943" s="207"/>
      <c r="AF943" s="207"/>
      <c r="AG943" s="207"/>
      <c r="AH943" s="207"/>
      <c r="AI943" s="207"/>
      <c r="AJ943" s="207"/>
      <c r="AK943" s="207"/>
      <c r="AL943" s="207"/>
      <c r="AM943" s="207"/>
      <c r="AN943" s="207"/>
      <c r="AO943" s="207"/>
      <c r="AP943" s="207"/>
      <c r="AQ943" s="207"/>
      <c r="AR943" s="207"/>
      <c r="AS943" s="207"/>
      <c r="AT943" s="207"/>
      <c r="AU943" s="207"/>
      <c r="AV943" s="207"/>
      <c r="AW943" s="207"/>
      <c r="AX943" s="207"/>
      <c r="AY943" s="207"/>
      <c r="AZ943" s="207"/>
      <c r="BA943" s="207"/>
    </row>
    <row r="944" ht="18.75" hidden="1" customHeight="1">
      <c r="A944" s="207"/>
      <c r="B944" s="207"/>
      <c r="C944" s="207"/>
      <c r="D944" s="207"/>
      <c r="E944" s="207"/>
      <c r="F944" s="207"/>
      <c r="G944" s="207"/>
      <c r="H944" s="207"/>
      <c r="I944" s="207"/>
      <c r="J944" s="207"/>
      <c r="K944" s="207"/>
      <c r="L944" s="207"/>
      <c r="M944" s="207"/>
      <c r="N944" s="207"/>
      <c r="O944" s="207"/>
      <c r="P944" s="207"/>
      <c r="Q944" s="207"/>
      <c r="R944" s="207"/>
      <c r="S944" s="207"/>
      <c r="T944" s="207"/>
      <c r="U944" s="207"/>
      <c r="V944" s="207"/>
      <c r="W944" s="207"/>
      <c r="X944" s="207"/>
      <c r="Y944" s="207"/>
      <c r="Z944" s="207"/>
      <c r="AA944" s="207"/>
      <c r="AB944" s="207"/>
      <c r="AC944" s="207"/>
      <c r="AD944" s="207"/>
      <c r="AE944" s="207"/>
      <c r="AF944" s="207"/>
      <c r="AG944" s="207"/>
      <c r="AH944" s="207"/>
      <c r="AI944" s="207"/>
      <c r="AJ944" s="207"/>
      <c r="AK944" s="207"/>
      <c r="AL944" s="207"/>
      <c r="AM944" s="207"/>
      <c r="AN944" s="207"/>
      <c r="AO944" s="207"/>
      <c r="AP944" s="207"/>
      <c r="AQ944" s="207"/>
      <c r="AR944" s="207"/>
      <c r="AS944" s="207"/>
      <c r="AT944" s="207"/>
      <c r="AU944" s="207"/>
      <c r="AV944" s="207"/>
      <c r="AW944" s="207"/>
      <c r="AX944" s="207"/>
      <c r="AY944" s="207"/>
      <c r="AZ944" s="207"/>
      <c r="BA944" s="207"/>
    </row>
    <row r="945" ht="18.75" hidden="1" customHeight="1">
      <c r="A945" s="207"/>
      <c r="B945" s="207"/>
      <c r="C945" s="207"/>
      <c r="D945" s="207"/>
      <c r="E945" s="207"/>
      <c r="F945" s="207"/>
      <c r="G945" s="207"/>
      <c r="H945" s="207"/>
      <c r="I945" s="207"/>
      <c r="J945" s="207"/>
      <c r="K945" s="207"/>
      <c r="L945" s="207"/>
      <c r="M945" s="207"/>
      <c r="N945" s="207"/>
      <c r="O945" s="207"/>
      <c r="P945" s="207"/>
      <c r="Q945" s="207"/>
      <c r="R945" s="207"/>
      <c r="S945" s="207"/>
      <c r="T945" s="207"/>
      <c r="U945" s="207"/>
      <c r="V945" s="207"/>
      <c r="W945" s="207"/>
      <c r="X945" s="207"/>
      <c r="Y945" s="207"/>
      <c r="Z945" s="207"/>
      <c r="AA945" s="207"/>
      <c r="AB945" s="207"/>
      <c r="AC945" s="207"/>
      <c r="AD945" s="207"/>
      <c r="AE945" s="207"/>
      <c r="AF945" s="207"/>
      <c r="AG945" s="207"/>
      <c r="AH945" s="207"/>
      <c r="AI945" s="207"/>
      <c r="AJ945" s="207"/>
      <c r="AK945" s="207"/>
      <c r="AL945" s="207"/>
      <c r="AM945" s="207"/>
      <c r="AN945" s="207"/>
      <c r="AO945" s="207"/>
      <c r="AP945" s="207"/>
      <c r="AQ945" s="207"/>
      <c r="AR945" s="207"/>
      <c r="AS945" s="207"/>
      <c r="AT945" s="207"/>
      <c r="AU945" s="207"/>
      <c r="AV945" s="207"/>
      <c r="AW945" s="207"/>
      <c r="AX945" s="207"/>
      <c r="AY945" s="207"/>
      <c r="AZ945" s="207"/>
      <c r="BA945" s="207"/>
    </row>
    <row r="946" ht="18.75" hidden="1" customHeight="1">
      <c r="A946" s="207"/>
      <c r="B946" s="207"/>
      <c r="C946" s="207"/>
      <c r="D946" s="207"/>
      <c r="E946" s="207"/>
      <c r="F946" s="207"/>
      <c r="G946" s="207"/>
      <c r="H946" s="207"/>
      <c r="I946" s="207"/>
      <c r="J946" s="207"/>
      <c r="K946" s="207"/>
      <c r="L946" s="207"/>
      <c r="M946" s="207"/>
      <c r="N946" s="207"/>
      <c r="O946" s="207"/>
      <c r="P946" s="207"/>
      <c r="Q946" s="207"/>
      <c r="R946" s="207"/>
      <c r="S946" s="207"/>
      <c r="T946" s="207"/>
      <c r="U946" s="207"/>
      <c r="V946" s="207"/>
      <c r="W946" s="207"/>
      <c r="X946" s="207"/>
      <c r="Y946" s="207"/>
      <c r="Z946" s="207"/>
      <c r="AA946" s="207"/>
      <c r="AB946" s="207"/>
      <c r="AC946" s="207"/>
      <c r="AD946" s="207"/>
      <c r="AE946" s="207"/>
      <c r="AF946" s="207"/>
      <c r="AG946" s="207"/>
      <c r="AH946" s="207"/>
      <c r="AI946" s="207"/>
      <c r="AJ946" s="207"/>
      <c r="AK946" s="207"/>
      <c r="AL946" s="207"/>
      <c r="AM946" s="207"/>
      <c r="AN946" s="207"/>
      <c r="AO946" s="207"/>
      <c r="AP946" s="207"/>
      <c r="AQ946" s="207"/>
      <c r="AR946" s="207"/>
      <c r="AS946" s="207"/>
      <c r="AT946" s="207"/>
      <c r="AU946" s="207"/>
      <c r="AV946" s="207"/>
      <c r="AW946" s="207"/>
      <c r="AX946" s="207"/>
      <c r="AY946" s="207"/>
      <c r="AZ946" s="207"/>
      <c r="BA946" s="207"/>
    </row>
    <row r="947" ht="18.75" hidden="1" customHeight="1">
      <c r="A947" s="207"/>
      <c r="B947" s="207"/>
      <c r="C947" s="207"/>
      <c r="D947" s="207"/>
      <c r="E947" s="207"/>
      <c r="F947" s="207"/>
      <c r="G947" s="207"/>
      <c r="H947" s="207"/>
      <c r="I947" s="207"/>
      <c r="J947" s="207"/>
      <c r="K947" s="207"/>
      <c r="L947" s="207"/>
      <c r="M947" s="207"/>
      <c r="N947" s="207"/>
      <c r="O947" s="207"/>
      <c r="P947" s="207"/>
      <c r="Q947" s="207"/>
      <c r="R947" s="207"/>
      <c r="S947" s="207"/>
      <c r="T947" s="207"/>
      <c r="U947" s="207"/>
      <c r="V947" s="207"/>
      <c r="W947" s="207"/>
      <c r="X947" s="207"/>
      <c r="Y947" s="207"/>
      <c r="Z947" s="207"/>
      <c r="AA947" s="207"/>
      <c r="AB947" s="207"/>
      <c r="AC947" s="207"/>
      <c r="AD947" s="207"/>
      <c r="AE947" s="207"/>
      <c r="AF947" s="207"/>
      <c r="AG947" s="207"/>
      <c r="AH947" s="207"/>
      <c r="AI947" s="207"/>
      <c r="AJ947" s="207"/>
      <c r="AK947" s="207"/>
      <c r="AL947" s="207"/>
      <c r="AM947" s="207"/>
      <c r="AN947" s="207"/>
      <c r="AO947" s="207"/>
      <c r="AP947" s="207"/>
      <c r="AQ947" s="207"/>
      <c r="AR947" s="207"/>
      <c r="AS947" s="207"/>
      <c r="AT947" s="207"/>
      <c r="AU947" s="207"/>
      <c r="AV947" s="207"/>
      <c r="AW947" s="207"/>
      <c r="AX947" s="207"/>
      <c r="AY947" s="207"/>
      <c r="AZ947" s="207"/>
      <c r="BA947" s="207"/>
    </row>
    <row r="948" ht="18.75" hidden="1" customHeight="1">
      <c r="A948" s="207"/>
      <c r="B948" s="207"/>
      <c r="C948" s="207"/>
      <c r="D948" s="207"/>
      <c r="E948" s="207"/>
      <c r="F948" s="207"/>
      <c r="G948" s="207"/>
      <c r="H948" s="207"/>
      <c r="I948" s="207"/>
      <c r="J948" s="207"/>
      <c r="K948" s="207"/>
      <c r="L948" s="207"/>
      <c r="M948" s="207"/>
      <c r="N948" s="207"/>
      <c r="O948" s="207"/>
      <c r="P948" s="207"/>
      <c r="Q948" s="207"/>
      <c r="R948" s="207"/>
      <c r="S948" s="207"/>
      <c r="T948" s="207"/>
      <c r="U948" s="207"/>
      <c r="V948" s="207"/>
      <c r="W948" s="207"/>
      <c r="X948" s="207"/>
      <c r="Y948" s="207"/>
      <c r="Z948" s="207"/>
      <c r="AA948" s="207"/>
      <c r="AB948" s="207"/>
      <c r="AC948" s="207"/>
      <c r="AD948" s="207"/>
      <c r="AE948" s="207"/>
      <c r="AF948" s="207"/>
      <c r="AG948" s="207"/>
      <c r="AH948" s="207"/>
      <c r="AI948" s="207"/>
      <c r="AJ948" s="207"/>
      <c r="AK948" s="207"/>
      <c r="AL948" s="207"/>
      <c r="AM948" s="207"/>
      <c r="AN948" s="207"/>
      <c r="AO948" s="207"/>
      <c r="AP948" s="207"/>
      <c r="AQ948" s="207"/>
      <c r="AR948" s="207"/>
      <c r="AS948" s="207"/>
      <c r="AT948" s="207"/>
      <c r="AU948" s="207"/>
      <c r="AV948" s="207"/>
      <c r="AW948" s="207"/>
      <c r="AX948" s="207"/>
      <c r="AY948" s="207"/>
      <c r="AZ948" s="207"/>
      <c r="BA948" s="207"/>
    </row>
    <row r="949" ht="18.75" hidden="1" customHeight="1">
      <c r="A949" s="207"/>
      <c r="B949" s="207"/>
      <c r="C949" s="207"/>
      <c r="D949" s="207"/>
      <c r="E949" s="207"/>
      <c r="F949" s="207"/>
      <c r="G949" s="207"/>
      <c r="H949" s="207"/>
      <c r="I949" s="207"/>
      <c r="J949" s="207"/>
      <c r="K949" s="207"/>
      <c r="L949" s="207"/>
      <c r="M949" s="207"/>
      <c r="N949" s="207"/>
      <c r="O949" s="207"/>
      <c r="P949" s="207"/>
      <c r="Q949" s="207"/>
      <c r="R949" s="207"/>
      <c r="S949" s="207"/>
      <c r="T949" s="207"/>
      <c r="U949" s="207"/>
      <c r="V949" s="207"/>
      <c r="W949" s="207"/>
      <c r="X949" s="207"/>
      <c r="Y949" s="207"/>
      <c r="Z949" s="207"/>
      <c r="AA949" s="207"/>
      <c r="AB949" s="207"/>
      <c r="AC949" s="207"/>
      <c r="AD949" s="207"/>
      <c r="AE949" s="207"/>
      <c r="AF949" s="207"/>
      <c r="AG949" s="207"/>
      <c r="AH949" s="207"/>
      <c r="AI949" s="207"/>
      <c r="AJ949" s="207"/>
      <c r="AK949" s="207"/>
      <c r="AL949" s="207"/>
      <c r="AM949" s="207"/>
      <c r="AN949" s="207"/>
      <c r="AO949" s="207"/>
      <c r="AP949" s="207"/>
      <c r="AQ949" s="207"/>
      <c r="AR949" s="207"/>
      <c r="AS949" s="207"/>
      <c r="AT949" s="207"/>
      <c r="AU949" s="207"/>
      <c r="AV949" s="207"/>
      <c r="AW949" s="207"/>
      <c r="AX949" s="207"/>
      <c r="AY949" s="207"/>
      <c r="AZ949" s="207"/>
      <c r="BA949" s="207"/>
    </row>
    <row r="950" ht="18.75" hidden="1" customHeight="1">
      <c r="A950" s="207"/>
      <c r="B950" s="207"/>
      <c r="C950" s="207"/>
      <c r="D950" s="207"/>
      <c r="E950" s="207"/>
      <c r="F950" s="207"/>
      <c r="G950" s="207"/>
      <c r="H950" s="207"/>
      <c r="I950" s="207"/>
      <c r="J950" s="207"/>
      <c r="K950" s="207"/>
      <c r="L950" s="207"/>
      <c r="M950" s="207"/>
      <c r="N950" s="207"/>
      <c r="O950" s="207"/>
      <c r="P950" s="207"/>
      <c r="Q950" s="207"/>
      <c r="R950" s="207"/>
      <c r="S950" s="207"/>
      <c r="T950" s="207"/>
      <c r="U950" s="207"/>
      <c r="V950" s="207"/>
      <c r="W950" s="207"/>
      <c r="X950" s="207"/>
      <c r="Y950" s="207"/>
      <c r="Z950" s="207"/>
      <c r="AA950" s="207"/>
      <c r="AB950" s="207"/>
      <c r="AC950" s="207"/>
      <c r="AD950" s="207"/>
      <c r="AE950" s="207"/>
      <c r="AF950" s="207"/>
      <c r="AG950" s="207"/>
      <c r="AH950" s="207"/>
      <c r="AI950" s="207"/>
      <c r="AJ950" s="207"/>
      <c r="AK950" s="207"/>
      <c r="AL950" s="207"/>
      <c r="AM950" s="207"/>
      <c r="AN950" s="207"/>
      <c r="AO950" s="207"/>
      <c r="AP950" s="207"/>
      <c r="AQ950" s="207"/>
      <c r="AR950" s="207"/>
      <c r="AS950" s="207"/>
      <c r="AT950" s="207"/>
      <c r="AU950" s="207"/>
      <c r="AV950" s="207"/>
      <c r="AW950" s="207"/>
      <c r="AX950" s="207"/>
      <c r="AY950" s="207"/>
      <c r="AZ950" s="207"/>
      <c r="BA950" s="207"/>
    </row>
    <row r="951" ht="18.75" hidden="1" customHeight="1">
      <c r="A951" s="207"/>
      <c r="B951" s="207"/>
      <c r="C951" s="207"/>
      <c r="D951" s="207"/>
      <c r="E951" s="207"/>
      <c r="F951" s="207"/>
      <c r="G951" s="207"/>
      <c r="H951" s="207"/>
      <c r="I951" s="207"/>
      <c r="J951" s="207"/>
      <c r="K951" s="207"/>
      <c r="L951" s="207"/>
      <c r="M951" s="207"/>
      <c r="N951" s="207"/>
      <c r="O951" s="207"/>
      <c r="P951" s="207"/>
      <c r="Q951" s="207"/>
      <c r="R951" s="207"/>
      <c r="S951" s="207"/>
      <c r="T951" s="207"/>
      <c r="U951" s="207"/>
      <c r="V951" s="207"/>
      <c r="W951" s="207"/>
      <c r="X951" s="207"/>
      <c r="Y951" s="207"/>
      <c r="Z951" s="207"/>
      <c r="AA951" s="207"/>
      <c r="AB951" s="207"/>
      <c r="AC951" s="207"/>
      <c r="AD951" s="207"/>
      <c r="AE951" s="207"/>
      <c r="AF951" s="207"/>
      <c r="AG951" s="207"/>
      <c r="AH951" s="207"/>
      <c r="AI951" s="207"/>
      <c r="AJ951" s="207"/>
      <c r="AK951" s="207"/>
      <c r="AL951" s="207"/>
      <c r="AM951" s="207"/>
      <c r="AN951" s="207"/>
      <c r="AO951" s="207"/>
      <c r="AP951" s="207"/>
      <c r="AQ951" s="207"/>
      <c r="AR951" s="207"/>
      <c r="AS951" s="207"/>
      <c r="AT951" s="207"/>
      <c r="AU951" s="207"/>
      <c r="AV951" s="207"/>
      <c r="AW951" s="207"/>
      <c r="AX951" s="207"/>
      <c r="AY951" s="207"/>
      <c r="AZ951" s="207"/>
      <c r="BA951" s="207"/>
    </row>
    <row r="952" ht="18.75" hidden="1" customHeight="1">
      <c r="A952" s="207"/>
      <c r="B952" s="207"/>
      <c r="C952" s="207"/>
      <c r="D952" s="207"/>
      <c r="E952" s="207"/>
      <c r="F952" s="207"/>
      <c r="G952" s="207"/>
      <c r="H952" s="207"/>
      <c r="I952" s="207"/>
      <c r="J952" s="207"/>
      <c r="K952" s="207"/>
      <c r="L952" s="207"/>
      <c r="M952" s="207"/>
      <c r="N952" s="207"/>
      <c r="O952" s="207"/>
      <c r="P952" s="207"/>
      <c r="Q952" s="207"/>
      <c r="R952" s="207"/>
      <c r="S952" s="207"/>
      <c r="T952" s="207"/>
      <c r="U952" s="207"/>
      <c r="V952" s="207"/>
      <c r="W952" s="207"/>
      <c r="X952" s="207"/>
      <c r="Y952" s="207"/>
      <c r="Z952" s="207"/>
      <c r="AA952" s="207"/>
      <c r="AB952" s="207"/>
      <c r="AC952" s="207"/>
      <c r="AD952" s="207"/>
      <c r="AE952" s="207"/>
      <c r="AF952" s="207"/>
      <c r="AG952" s="207"/>
      <c r="AH952" s="207"/>
      <c r="AI952" s="207"/>
      <c r="AJ952" s="207"/>
      <c r="AK952" s="207"/>
      <c r="AL952" s="207"/>
      <c r="AM952" s="207"/>
      <c r="AN952" s="207"/>
      <c r="AO952" s="207"/>
      <c r="AP952" s="207"/>
      <c r="AQ952" s="207"/>
      <c r="AR952" s="207"/>
      <c r="AS952" s="207"/>
      <c r="AT952" s="207"/>
      <c r="AU952" s="207"/>
      <c r="AV952" s="207"/>
      <c r="AW952" s="207"/>
      <c r="AX952" s="207"/>
      <c r="AY952" s="207"/>
      <c r="AZ952" s="207"/>
      <c r="BA952" s="207"/>
    </row>
    <row r="953" ht="18.75" hidden="1" customHeight="1">
      <c r="A953" s="207"/>
      <c r="B953" s="207"/>
      <c r="C953" s="207"/>
      <c r="D953" s="207"/>
      <c r="E953" s="207"/>
      <c r="F953" s="207"/>
      <c r="G953" s="207"/>
      <c r="H953" s="207"/>
      <c r="I953" s="207"/>
      <c r="J953" s="207"/>
      <c r="K953" s="207"/>
      <c r="L953" s="207"/>
      <c r="M953" s="207"/>
      <c r="N953" s="207"/>
      <c r="O953" s="207"/>
      <c r="P953" s="207"/>
      <c r="Q953" s="207"/>
      <c r="R953" s="207"/>
      <c r="S953" s="207"/>
      <c r="T953" s="207"/>
      <c r="U953" s="207"/>
      <c r="V953" s="207"/>
      <c r="W953" s="207"/>
      <c r="X953" s="207"/>
      <c r="Y953" s="207"/>
      <c r="Z953" s="207"/>
      <c r="AA953" s="207"/>
      <c r="AB953" s="207"/>
      <c r="AC953" s="207"/>
      <c r="AD953" s="207"/>
      <c r="AE953" s="207"/>
      <c r="AF953" s="207"/>
      <c r="AG953" s="207"/>
      <c r="AH953" s="207"/>
      <c r="AI953" s="207"/>
      <c r="AJ953" s="207"/>
      <c r="AK953" s="207"/>
      <c r="AL953" s="207"/>
      <c r="AM953" s="207"/>
      <c r="AN953" s="207"/>
      <c r="AO953" s="207"/>
      <c r="AP953" s="207"/>
      <c r="AQ953" s="207"/>
      <c r="AR953" s="207"/>
      <c r="AS953" s="207"/>
      <c r="AT953" s="207"/>
      <c r="AU953" s="207"/>
      <c r="AV953" s="207"/>
      <c r="AW953" s="207"/>
      <c r="AX953" s="207"/>
      <c r="AY953" s="207"/>
      <c r="AZ953" s="207"/>
      <c r="BA953" s="207"/>
    </row>
    <row r="954" ht="18.75" hidden="1" customHeight="1">
      <c r="A954" s="207"/>
      <c r="B954" s="207"/>
      <c r="C954" s="207"/>
      <c r="D954" s="207"/>
      <c r="E954" s="207"/>
      <c r="F954" s="207"/>
      <c r="G954" s="207"/>
      <c r="H954" s="207"/>
      <c r="I954" s="207"/>
      <c r="J954" s="207"/>
      <c r="K954" s="207"/>
      <c r="L954" s="207"/>
      <c r="M954" s="207"/>
      <c r="N954" s="207"/>
      <c r="O954" s="207"/>
      <c r="P954" s="207"/>
      <c r="Q954" s="207"/>
      <c r="R954" s="207"/>
      <c r="S954" s="207"/>
      <c r="T954" s="207"/>
      <c r="U954" s="207"/>
      <c r="V954" s="207"/>
      <c r="W954" s="207"/>
      <c r="X954" s="207"/>
      <c r="Y954" s="207"/>
      <c r="Z954" s="207"/>
      <c r="AA954" s="207"/>
      <c r="AB954" s="207"/>
      <c r="AC954" s="207"/>
      <c r="AD954" s="207"/>
      <c r="AE954" s="207"/>
      <c r="AF954" s="207"/>
      <c r="AG954" s="207"/>
      <c r="AH954" s="207"/>
      <c r="AI954" s="207"/>
      <c r="AJ954" s="207"/>
      <c r="AK954" s="207"/>
      <c r="AL954" s="207"/>
      <c r="AM954" s="207"/>
      <c r="AN954" s="207"/>
      <c r="AO954" s="207"/>
      <c r="AP954" s="207"/>
      <c r="AQ954" s="207"/>
      <c r="AR954" s="207"/>
      <c r="AS954" s="207"/>
      <c r="AT954" s="207"/>
      <c r="AU954" s="207"/>
      <c r="AV954" s="207"/>
      <c r="AW954" s="207"/>
      <c r="AX954" s="207"/>
      <c r="AY954" s="207"/>
      <c r="AZ954" s="207"/>
      <c r="BA954" s="207"/>
    </row>
    <row r="955" ht="18.75" hidden="1" customHeight="1">
      <c r="A955" s="207"/>
      <c r="B955" s="207"/>
      <c r="C955" s="207"/>
      <c r="D955" s="207"/>
      <c r="E955" s="207"/>
      <c r="F955" s="207"/>
      <c r="G955" s="207"/>
      <c r="H955" s="207"/>
      <c r="I955" s="207"/>
      <c r="J955" s="207"/>
      <c r="K955" s="207"/>
      <c r="L955" s="207"/>
      <c r="M955" s="207"/>
      <c r="N955" s="207"/>
      <c r="O955" s="207"/>
      <c r="P955" s="207"/>
      <c r="Q955" s="207"/>
      <c r="R955" s="207"/>
      <c r="S955" s="207"/>
      <c r="T955" s="207"/>
      <c r="U955" s="207"/>
      <c r="V955" s="207"/>
      <c r="W955" s="207"/>
      <c r="X955" s="207"/>
      <c r="Y955" s="207"/>
      <c r="Z955" s="207"/>
      <c r="AA955" s="207"/>
      <c r="AB955" s="207"/>
      <c r="AC955" s="207"/>
      <c r="AD955" s="207"/>
      <c r="AE955" s="207"/>
      <c r="AF955" s="207"/>
      <c r="AG955" s="207"/>
      <c r="AH955" s="207"/>
      <c r="AI955" s="207"/>
      <c r="AJ955" s="207"/>
      <c r="AK955" s="207"/>
      <c r="AL955" s="207"/>
      <c r="AM955" s="207"/>
      <c r="AN955" s="207"/>
      <c r="AO955" s="207"/>
      <c r="AP955" s="207"/>
      <c r="AQ955" s="207"/>
      <c r="AR955" s="207"/>
      <c r="AS955" s="207"/>
      <c r="AT955" s="207"/>
      <c r="AU955" s="207"/>
      <c r="AV955" s="207"/>
      <c r="AW955" s="207"/>
      <c r="AX955" s="207"/>
      <c r="AY955" s="207"/>
      <c r="AZ955" s="207"/>
      <c r="BA955" s="207"/>
    </row>
    <row r="956" ht="18.75" hidden="1" customHeight="1">
      <c r="A956" s="207"/>
      <c r="B956" s="207"/>
      <c r="C956" s="207"/>
      <c r="D956" s="207"/>
      <c r="E956" s="207"/>
      <c r="F956" s="207"/>
      <c r="G956" s="207"/>
      <c r="H956" s="207"/>
      <c r="I956" s="207"/>
      <c r="J956" s="207"/>
      <c r="K956" s="207"/>
      <c r="L956" s="207"/>
      <c r="M956" s="207"/>
      <c r="N956" s="207"/>
      <c r="O956" s="207"/>
      <c r="P956" s="207"/>
      <c r="Q956" s="207"/>
      <c r="R956" s="207"/>
      <c r="S956" s="207"/>
      <c r="T956" s="207"/>
      <c r="U956" s="207"/>
      <c r="V956" s="207"/>
      <c r="W956" s="207"/>
      <c r="X956" s="207"/>
      <c r="Y956" s="207"/>
      <c r="Z956" s="207"/>
      <c r="AA956" s="207"/>
      <c r="AB956" s="207"/>
      <c r="AC956" s="207"/>
      <c r="AD956" s="207"/>
      <c r="AE956" s="207"/>
      <c r="AF956" s="207"/>
      <c r="AG956" s="207"/>
      <c r="AH956" s="207"/>
      <c r="AI956" s="207"/>
      <c r="AJ956" s="207"/>
      <c r="AK956" s="207"/>
      <c r="AL956" s="207"/>
      <c r="AM956" s="207"/>
      <c r="AN956" s="207"/>
      <c r="AO956" s="207"/>
      <c r="AP956" s="207"/>
      <c r="AQ956" s="207"/>
      <c r="AR956" s="207"/>
      <c r="AS956" s="207"/>
      <c r="AT956" s="207"/>
      <c r="AU956" s="207"/>
      <c r="AV956" s="207"/>
      <c r="AW956" s="207"/>
      <c r="AX956" s="207"/>
      <c r="AY956" s="207"/>
      <c r="AZ956" s="207"/>
      <c r="BA956" s="207"/>
    </row>
    <row r="957" ht="18.75" hidden="1" customHeight="1">
      <c r="A957" s="207"/>
      <c r="B957" s="207"/>
      <c r="C957" s="207"/>
      <c r="D957" s="207"/>
      <c r="E957" s="207"/>
      <c r="F957" s="207"/>
      <c r="G957" s="207"/>
      <c r="H957" s="207"/>
      <c r="I957" s="207"/>
      <c r="J957" s="207"/>
      <c r="K957" s="207"/>
      <c r="L957" s="207"/>
      <c r="M957" s="207"/>
      <c r="N957" s="207"/>
      <c r="O957" s="207"/>
      <c r="P957" s="207"/>
      <c r="Q957" s="207"/>
      <c r="R957" s="207"/>
      <c r="S957" s="207"/>
      <c r="T957" s="207"/>
      <c r="U957" s="207"/>
      <c r="V957" s="207"/>
      <c r="W957" s="207"/>
      <c r="X957" s="207"/>
      <c r="Y957" s="207"/>
      <c r="Z957" s="207"/>
      <c r="AA957" s="207"/>
      <c r="AB957" s="207"/>
      <c r="AC957" s="207"/>
      <c r="AD957" s="207"/>
      <c r="AE957" s="207"/>
      <c r="AF957" s="207"/>
      <c r="AG957" s="207"/>
      <c r="AH957" s="207"/>
      <c r="AI957" s="207"/>
      <c r="AJ957" s="207"/>
      <c r="AK957" s="207"/>
      <c r="AL957" s="207"/>
      <c r="AM957" s="207"/>
      <c r="AN957" s="207"/>
      <c r="AO957" s="207"/>
      <c r="AP957" s="207"/>
      <c r="AQ957" s="207"/>
      <c r="AR957" s="207"/>
      <c r="AS957" s="207"/>
      <c r="AT957" s="207"/>
      <c r="AU957" s="207"/>
      <c r="AV957" s="207"/>
      <c r="AW957" s="207"/>
      <c r="AX957" s="207"/>
      <c r="AY957" s="207"/>
      <c r="AZ957" s="207"/>
      <c r="BA957" s="207"/>
    </row>
    <row r="958" ht="18.75" hidden="1" customHeight="1">
      <c r="A958" s="207"/>
      <c r="B958" s="207"/>
      <c r="C958" s="207"/>
      <c r="D958" s="207"/>
      <c r="E958" s="207"/>
      <c r="F958" s="207"/>
      <c r="G958" s="207"/>
      <c r="H958" s="207"/>
      <c r="I958" s="207"/>
      <c r="J958" s="207"/>
      <c r="K958" s="207"/>
      <c r="L958" s="207"/>
      <c r="M958" s="207"/>
      <c r="N958" s="207"/>
      <c r="O958" s="207"/>
      <c r="P958" s="207"/>
      <c r="Q958" s="207"/>
      <c r="R958" s="207"/>
      <c r="S958" s="207"/>
      <c r="T958" s="207"/>
      <c r="U958" s="207"/>
      <c r="V958" s="207"/>
      <c r="W958" s="207"/>
      <c r="X958" s="207"/>
      <c r="Y958" s="207"/>
      <c r="Z958" s="207"/>
      <c r="AA958" s="207"/>
      <c r="AB958" s="207"/>
      <c r="AC958" s="207"/>
      <c r="AD958" s="207"/>
      <c r="AE958" s="207"/>
      <c r="AF958" s="207"/>
      <c r="AG958" s="207"/>
      <c r="AH958" s="207"/>
      <c r="AI958" s="207"/>
      <c r="AJ958" s="207"/>
      <c r="AK958" s="207"/>
      <c r="AL958" s="207"/>
      <c r="AM958" s="207"/>
      <c r="AN958" s="207"/>
      <c r="AO958" s="207"/>
      <c r="AP958" s="207"/>
      <c r="AQ958" s="207"/>
      <c r="AR958" s="207"/>
      <c r="AS958" s="207"/>
      <c r="AT958" s="207"/>
      <c r="AU958" s="207"/>
      <c r="AV958" s="207"/>
      <c r="AW958" s="207"/>
      <c r="AX958" s="207"/>
      <c r="AY958" s="207"/>
      <c r="AZ958" s="207"/>
      <c r="BA958" s="207"/>
    </row>
    <row r="959" ht="18.75" hidden="1" customHeight="1">
      <c r="A959" s="207"/>
      <c r="B959" s="207"/>
      <c r="C959" s="207"/>
      <c r="D959" s="207"/>
      <c r="E959" s="207"/>
      <c r="F959" s="207"/>
      <c r="G959" s="207"/>
      <c r="H959" s="207"/>
      <c r="I959" s="207"/>
      <c r="J959" s="207"/>
      <c r="K959" s="207"/>
      <c r="L959" s="207"/>
      <c r="M959" s="207"/>
      <c r="N959" s="207"/>
      <c r="O959" s="207"/>
      <c r="P959" s="207"/>
      <c r="Q959" s="207"/>
      <c r="R959" s="207"/>
      <c r="S959" s="207"/>
      <c r="T959" s="207"/>
      <c r="U959" s="207"/>
      <c r="V959" s="207"/>
      <c r="W959" s="207"/>
      <c r="X959" s="207"/>
      <c r="Y959" s="207"/>
      <c r="Z959" s="207"/>
      <c r="AA959" s="207"/>
      <c r="AB959" s="207"/>
      <c r="AC959" s="207"/>
      <c r="AD959" s="207"/>
      <c r="AE959" s="207"/>
      <c r="AF959" s="207"/>
      <c r="AG959" s="207"/>
      <c r="AH959" s="207"/>
      <c r="AI959" s="207"/>
      <c r="AJ959" s="207"/>
      <c r="AK959" s="207"/>
      <c r="AL959" s="207"/>
      <c r="AM959" s="207"/>
      <c r="AN959" s="207"/>
      <c r="AO959" s="207"/>
      <c r="AP959" s="207"/>
      <c r="AQ959" s="207"/>
      <c r="AR959" s="207"/>
      <c r="AS959" s="207"/>
      <c r="AT959" s="207"/>
      <c r="AU959" s="207"/>
      <c r="AV959" s="207"/>
      <c r="AW959" s="207"/>
      <c r="AX959" s="207"/>
      <c r="AY959" s="207"/>
      <c r="AZ959" s="207"/>
      <c r="BA959" s="207"/>
    </row>
    <row r="960" ht="18.75" hidden="1" customHeight="1">
      <c r="A960" s="207"/>
      <c r="B960" s="207"/>
      <c r="C960" s="207"/>
      <c r="D960" s="207"/>
      <c r="E960" s="207"/>
      <c r="F960" s="207"/>
      <c r="G960" s="207"/>
      <c r="H960" s="207"/>
      <c r="I960" s="207"/>
      <c r="J960" s="207"/>
      <c r="K960" s="207"/>
      <c r="L960" s="207"/>
      <c r="M960" s="207"/>
      <c r="N960" s="207"/>
      <c r="O960" s="207"/>
      <c r="P960" s="207"/>
      <c r="Q960" s="207"/>
      <c r="R960" s="207"/>
      <c r="S960" s="207"/>
      <c r="T960" s="207"/>
      <c r="U960" s="207"/>
      <c r="V960" s="207"/>
      <c r="W960" s="207"/>
      <c r="X960" s="207"/>
      <c r="Y960" s="207"/>
      <c r="Z960" s="207"/>
      <c r="AA960" s="207"/>
      <c r="AB960" s="207"/>
      <c r="AC960" s="207"/>
      <c r="AD960" s="207"/>
      <c r="AE960" s="207"/>
      <c r="AF960" s="207"/>
      <c r="AG960" s="207"/>
      <c r="AH960" s="207"/>
      <c r="AI960" s="207"/>
      <c r="AJ960" s="207"/>
      <c r="AK960" s="207"/>
      <c r="AL960" s="207"/>
      <c r="AM960" s="207"/>
      <c r="AN960" s="207"/>
      <c r="AO960" s="207"/>
      <c r="AP960" s="207"/>
      <c r="AQ960" s="207"/>
      <c r="AR960" s="207"/>
      <c r="AS960" s="207"/>
      <c r="AT960" s="207"/>
      <c r="AU960" s="207"/>
      <c r="AV960" s="207"/>
      <c r="AW960" s="207"/>
      <c r="AX960" s="207"/>
      <c r="AY960" s="207"/>
      <c r="AZ960" s="207"/>
      <c r="BA960" s="207"/>
    </row>
    <row r="961" ht="18.75" hidden="1" customHeight="1">
      <c r="A961" s="207"/>
      <c r="B961" s="207"/>
      <c r="C961" s="207"/>
      <c r="D961" s="207"/>
      <c r="E961" s="207"/>
      <c r="F961" s="207"/>
      <c r="G961" s="207"/>
      <c r="H961" s="207"/>
      <c r="I961" s="207"/>
      <c r="J961" s="207"/>
      <c r="K961" s="207"/>
      <c r="L961" s="207"/>
      <c r="M961" s="207"/>
      <c r="N961" s="207"/>
      <c r="O961" s="207"/>
      <c r="P961" s="207"/>
      <c r="Q961" s="207"/>
      <c r="R961" s="207"/>
      <c r="S961" s="207"/>
      <c r="T961" s="207"/>
      <c r="U961" s="207"/>
      <c r="V961" s="207"/>
      <c r="W961" s="207"/>
      <c r="X961" s="207"/>
      <c r="Y961" s="207"/>
      <c r="Z961" s="207"/>
      <c r="AA961" s="207"/>
      <c r="AB961" s="207"/>
      <c r="AC961" s="207"/>
      <c r="AD961" s="207"/>
      <c r="AE961" s="207"/>
      <c r="AF961" s="207"/>
      <c r="AG961" s="207"/>
      <c r="AH961" s="207"/>
      <c r="AI961" s="207"/>
      <c r="AJ961" s="207"/>
      <c r="AK961" s="207"/>
      <c r="AL961" s="207"/>
      <c r="AM961" s="207"/>
      <c r="AN961" s="207"/>
      <c r="AO961" s="207"/>
      <c r="AP961" s="207"/>
      <c r="AQ961" s="207"/>
      <c r="AR961" s="207"/>
      <c r="AS961" s="207"/>
      <c r="AT961" s="207"/>
      <c r="AU961" s="207"/>
      <c r="AV961" s="207"/>
      <c r="AW961" s="207"/>
      <c r="AX961" s="207"/>
      <c r="AY961" s="207"/>
      <c r="AZ961" s="207"/>
      <c r="BA961" s="207"/>
    </row>
    <row r="962" ht="18.75" hidden="1" customHeight="1">
      <c r="A962" s="207"/>
      <c r="B962" s="207"/>
      <c r="C962" s="207"/>
      <c r="D962" s="207"/>
      <c r="E962" s="207"/>
      <c r="F962" s="207"/>
      <c r="G962" s="207"/>
      <c r="H962" s="207"/>
      <c r="I962" s="207"/>
      <c r="J962" s="207"/>
      <c r="K962" s="207"/>
      <c r="L962" s="207"/>
      <c r="M962" s="207"/>
      <c r="N962" s="207"/>
      <c r="O962" s="207"/>
      <c r="P962" s="207"/>
      <c r="Q962" s="207"/>
      <c r="R962" s="207"/>
      <c r="S962" s="207"/>
      <c r="T962" s="207"/>
      <c r="U962" s="207"/>
      <c r="V962" s="207"/>
      <c r="W962" s="207"/>
      <c r="X962" s="207"/>
      <c r="Y962" s="207"/>
      <c r="Z962" s="207"/>
      <c r="AA962" s="207"/>
      <c r="AB962" s="207"/>
      <c r="AC962" s="207"/>
      <c r="AD962" s="207"/>
      <c r="AE962" s="207"/>
      <c r="AF962" s="207"/>
      <c r="AG962" s="207"/>
      <c r="AH962" s="207"/>
      <c r="AI962" s="207"/>
      <c r="AJ962" s="207"/>
      <c r="AK962" s="207"/>
      <c r="AL962" s="207"/>
      <c r="AM962" s="207"/>
      <c r="AN962" s="207"/>
      <c r="AO962" s="207"/>
      <c r="AP962" s="207"/>
      <c r="AQ962" s="207"/>
      <c r="AR962" s="207"/>
      <c r="AS962" s="207"/>
      <c r="AT962" s="207"/>
      <c r="AU962" s="207"/>
      <c r="AV962" s="207"/>
      <c r="AW962" s="207"/>
      <c r="AX962" s="207"/>
      <c r="AY962" s="207"/>
      <c r="AZ962" s="207"/>
      <c r="BA962" s="207"/>
    </row>
    <row r="963" ht="18.75" hidden="1" customHeight="1">
      <c r="A963" s="207"/>
      <c r="B963" s="207"/>
      <c r="C963" s="207"/>
      <c r="D963" s="207"/>
      <c r="E963" s="207"/>
      <c r="F963" s="207"/>
      <c r="G963" s="207"/>
      <c r="H963" s="207"/>
      <c r="I963" s="207"/>
      <c r="J963" s="207"/>
      <c r="K963" s="207"/>
      <c r="L963" s="207"/>
      <c r="M963" s="207"/>
      <c r="N963" s="207"/>
      <c r="O963" s="207"/>
      <c r="P963" s="207"/>
      <c r="Q963" s="207"/>
      <c r="R963" s="207"/>
      <c r="S963" s="207"/>
      <c r="T963" s="207"/>
      <c r="U963" s="207"/>
      <c r="V963" s="207"/>
      <c r="W963" s="207"/>
      <c r="X963" s="207"/>
      <c r="Y963" s="207"/>
      <c r="Z963" s="207"/>
      <c r="AA963" s="207"/>
      <c r="AB963" s="207"/>
      <c r="AC963" s="207"/>
      <c r="AD963" s="207"/>
      <c r="AE963" s="207"/>
      <c r="AF963" s="207"/>
      <c r="AG963" s="207"/>
      <c r="AH963" s="207"/>
      <c r="AI963" s="207"/>
      <c r="AJ963" s="207"/>
      <c r="AK963" s="207"/>
      <c r="AL963" s="207"/>
      <c r="AM963" s="207"/>
      <c r="AN963" s="207"/>
      <c r="AO963" s="207"/>
      <c r="AP963" s="207"/>
      <c r="AQ963" s="207"/>
      <c r="AR963" s="207"/>
      <c r="AS963" s="207"/>
      <c r="AT963" s="207"/>
      <c r="AU963" s="207"/>
      <c r="AV963" s="207"/>
      <c r="AW963" s="207"/>
      <c r="AX963" s="207"/>
      <c r="AY963" s="207"/>
      <c r="AZ963" s="207"/>
      <c r="BA963" s="207"/>
    </row>
    <row r="964" ht="18.75" hidden="1" customHeight="1">
      <c r="A964" s="207"/>
      <c r="B964" s="207"/>
      <c r="C964" s="207"/>
      <c r="D964" s="207"/>
      <c r="E964" s="207"/>
      <c r="F964" s="207"/>
      <c r="G964" s="207"/>
      <c r="H964" s="207"/>
      <c r="I964" s="207"/>
      <c r="J964" s="207"/>
      <c r="K964" s="207"/>
      <c r="L964" s="207"/>
      <c r="M964" s="207"/>
      <c r="N964" s="207"/>
      <c r="O964" s="207"/>
      <c r="P964" s="207"/>
      <c r="Q964" s="207"/>
      <c r="R964" s="207"/>
      <c r="S964" s="207"/>
      <c r="T964" s="207"/>
      <c r="U964" s="207"/>
      <c r="V964" s="207"/>
      <c r="W964" s="207"/>
      <c r="X964" s="207"/>
      <c r="Y964" s="207"/>
      <c r="Z964" s="207"/>
      <c r="AA964" s="207"/>
      <c r="AB964" s="207"/>
      <c r="AC964" s="207"/>
      <c r="AD964" s="207"/>
      <c r="AE964" s="207"/>
      <c r="AF964" s="207"/>
      <c r="AG964" s="207"/>
      <c r="AH964" s="207"/>
      <c r="AI964" s="207"/>
      <c r="AJ964" s="207"/>
      <c r="AK964" s="207"/>
      <c r="AL964" s="207"/>
      <c r="AM964" s="207"/>
      <c r="AN964" s="207"/>
      <c r="AO964" s="207"/>
      <c r="AP964" s="207"/>
      <c r="AQ964" s="207"/>
      <c r="AR964" s="207"/>
      <c r="AS964" s="207"/>
      <c r="AT964" s="207"/>
      <c r="AU964" s="207"/>
      <c r="AV964" s="207"/>
      <c r="AW964" s="207"/>
      <c r="AX964" s="207"/>
      <c r="AY964" s="207"/>
      <c r="AZ964" s="207"/>
      <c r="BA964" s="207"/>
    </row>
    <row r="965" ht="18.75" hidden="1" customHeight="1">
      <c r="A965" s="207"/>
      <c r="B965" s="207"/>
      <c r="C965" s="207"/>
      <c r="D965" s="207"/>
      <c r="E965" s="207"/>
      <c r="F965" s="207"/>
      <c r="G965" s="207"/>
      <c r="H965" s="207"/>
      <c r="I965" s="207"/>
      <c r="J965" s="207"/>
      <c r="K965" s="207"/>
      <c r="L965" s="207"/>
      <c r="M965" s="207"/>
      <c r="N965" s="207"/>
      <c r="O965" s="207"/>
      <c r="P965" s="207"/>
      <c r="Q965" s="207"/>
      <c r="R965" s="207"/>
      <c r="S965" s="207"/>
      <c r="T965" s="207"/>
      <c r="U965" s="207"/>
      <c r="V965" s="207"/>
      <c r="W965" s="207"/>
      <c r="X965" s="207"/>
      <c r="Y965" s="207"/>
      <c r="Z965" s="207"/>
      <c r="AA965" s="207"/>
      <c r="AB965" s="207"/>
      <c r="AC965" s="207"/>
      <c r="AD965" s="207"/>
      <c r="AE965" s="207"/>
      <c r="AF965" s="207"/>
      <c r="AG965" s="207"/>
      <c r="AH965" s="207"/>
      <c r="AI965" s="207"/>
      <c r="AJ965" s="207"/>
      <c r="AK965" s="207"/>
      <c r="AL965" s="207"/>
      <c r="AM965" s="207"/>
      <c r="AN965" s="207"/>
      <c r="AO965" s="207"/>
      <c r="AP965" s="207"/>
      <c r="AQ965" s="207"/>
      <c r="AR965" s="207"/>
      <c r="AS965" s="207"/>
      <c r="AT965" s="207"/>
      <c r="AU965" s="207"/>
      <c r="AV965" s="207"/>
      <c r="AW965" s="207"/>
      <c r="AX965" s="207"/>
      <c r="AY965" s="207"/>
      <c r="AZ965" s="207"/>
      <c r="BA965" s="207"/>
    </row>
    <row r="966" ht="18.75" hidden="1" customHeight="1">
      <c r="A966" s="207"/>
      <c r="B966" s="207"/>
      <c r="C966" s="207"/>
      <c r="D966" s="207"/>
      <c r="E966" s="207"/>
      <c r="F966" s="207"/>
      <c r="G966" s="207"/>
      <c r="H966" s="207"/>
      <c r="I966" s="207"/>
      <c r="J966" s="207"/>
      <c r="K966" s="207"/>
      <c r="L966" s="207"/>
      <c r="M966" s="207"/>
      <c r="N966" s="207"/>
      <c r="O966" s="207"/>
      <c r="P966" s="207"/>
      <c r="Q966" s="207"/>
      <c r="R966" s="207"/>
      <c r="S966" s="207"/>
      <c r="T966" s="207"/>
      <c r="U966" s="207"/>
      <c r="V966" s="207"/>
      <c r="W966" s="207"/>
      <c r="X966" s="207"/>
      <c r="Y966" s="207"/>
      <c r="Z966" s="207"/>
      <c r="AA966" s="207"/>
      <c r="AB966" s="207"/>
      <c r="AC966" s="207"/>
      <c r="AD966" s="207"/>
      <c r="AE966" s="207"/>
      <c r="AF966" s="207"/>
      <c r="AG966" s="207"/>
      <c r="AH966" s="207"/>
      <c r="AI966" s="207"/>
      <c r="AJ966" s="207"/>
      <c r="AK966" s="207"/>
      <c r="AL966" s="207"/>
      <c r="AM966" s="207"/>
      <c r="AN966" s="207"/>
      <c r="AO966" s="207"/>
      <c r="AP966" s="207"/>
      <c r="AQ966" s="207"/>
      <c r="AR966" s="207"/>
      <c r="AS966" s="207"/>
      <c r="AT966" s="207"/>
      <c r="AU966" s="207"/>
      <c r="AV966" s="207"/>
      <c r="AW966" s="207"/>
      <c r="AX966" s="207"/>
      <c r="AY966" s="207"/>
      <c r="AZ966" s="207"/>
      <c r="BA966" s="207"/>
    </row>
    <row r="967" ht="18.75" hidden="1" customHeight="1">
      <c r="A967" s="207"/>
      <c r="B967" s="207"/>
      <c r="C967" s="207"/>
      <c r="D967" s="207"/>
      <c r="E967" s="207"/>
      <c r="F967" s="207"/>
      <c r="G967" s="207"/>
      <c r="H967" s="207"/>
      <c r="I967" s="207"/>
      <c r="J967" s="207"/>
      <c r="K967" s="207"/>
      <c r="L967" s="207"/>
      <c r="M967" s="207"/>
      <c r="N967" s="207"/>
      <c r="O967" s="207"/>
      <c r="P967" s="207"/>
      <c r="Q967" s="207"/>
      <c r="R967" s="207"/>
      <c r="S967" s="207"/>
      <c r="T967" s="207"/>
      <c r="U967" s="207"/>
      <c r="V967" s="207"/>
      <c r="W967" s="207"/>
      <c r="X967" s="207"/>
      <c r="Y967" s="207"/>
      <c r="Z967" s="207"/>
      <c r="AA967" s="207"/>
      <c r="AB967" s="207"/>
      <c r="AC967" s="207"/>
      <c r="AD967" s="207"/>
      <c r="AE967" s="207"/>
      <c r="AF967" s="207"/>
      <c r="AG967" s="207"/>
      <c r="AH967" s="207"/>
      <c r="AI967" s="207"/>
      <c r="AJ967" s="207"/>
      <c r="AK967" s="207"/>
      <c r="AL967" s="207"/>
      <c r="AM967" s="207"/>
      <c r="AN967" s="207"/>
      <c r="AO967" s="207"/>
      <c r="AP967" s="207"/>
      <c r="AQ967" s="207"/>
      <c r="AR967" s="207"/>
      <c r="AS967" s="207"/>
      <c r="AT967" s="207"/>
      <c r="AU967" s="207"/>
      <c r="AV967" s="207"/>
      <c r="AW967" s="207"/>
      <c r="AX967" s="207"/>
      <c r="AY967" s="207"/>
      <c r="AZ967" s="207"/>
      <c r="BA967" s="207"/>
    </row>
    <row r="968" ht="18.75" hidden="1" customHeight="1">
      <c r="A968" s="207"/>
      <c r="B968" s="207"/>
      <c r="C968" s="207"/>
      <c r="D968" s="207"/>
      <c r="E968" s="207"/>
      <c r="F968" s="207"/>
      <c r="G968" s="207"/>
      <c r="H968" s="207"/>
      <c r="I968" s="207"/>
      <c r="J968" s="207"/>
      <c r="K968" s="207"/>
      <c r="L968" s="207"/>
      <c r="M968" s="207"/>
      <c r="N968" s="207"/>
      <c r="O968" s="207"/>
      <c r="P968" s="207"/>
      <c r="Q968" s="207"/>
      <c r="R968" s="207"/>
      <c r="S968" s="207"/>
      <c r="T968" s="207"/>
      <c r="U968" s="207"/>
      <c r="V968" s="207"/>
      <c r="W968" s="207"/>
      <c r="X968" s="207"/>
      <c r="Y968" s="207"/>
      <c r="Z968" s="207"/>
      <c r="AA968" s="207"/>
      <c r="AB968" s="207"/>
      <c r="AC968" s="207"/>
      <c r="AD968" s="207"/>
      <c r="AE968" s="207"/>
      <c r="AF968" s="207"/>
      <c r="AG968" s="207"/>
      <c r="AH968" s="207"/>
      <c r="AI968" s="207"/>
      <c r="AJ968" s="207"/>
      <c r="AK968" s="207"/>
      <c r="AL968" s="207"/>
      <c r="AM968" s="207"/>
      <c r="AN968" s="207"/>
      <c r="AO968" s="207"/>
      <c r="AP968" s="207"/>
      <c r="AQ968" s="207"/>
      <c r="AR968" s="207"/>
      <c r="AS968" s="207"/>
      <c r="AT968" s="207"/>
      <c r="AU968" s="207"/>
      <c r="AV968" s="207"/>
      <c r="AW968" s="207"/>
      <c r="AX968" s="207"/>
      <c r="AY968" s="207"/>
      <c r="AZ968" s="207"/>
      <c r="BA968" s="207"/>
    </row>
    <row r="969" ht="18.75" hidden="1" customHeight="1">
      <c r="A969" s="207"/>
      <c r="B969" s="207"/>
      <c r="C969" s="207"/>
      <c r="D969" s="207"/>
      <c r="E969" s="207"/>
      <c r="F969" s="207"/>
      <c r="G969" s="207"/>
      <c r="H969" s="207"/>
      <c r="I969" s="207"/>
      <c r="J969" s="207"/>
      <c r="K969" s="207"/>
      <c r="L969" s="207"/>
      <c r="M969" s="207"/>
      <c r="N969" s="207"/>
      <c r="O969" s="207"/>
      <c r="P969" s="207"/>
      <c r="Q969" s="207"/>
      <c r="R969" s="207"/>
      <c r="S969" s="207"/>
      <c r="T969" s="207"/>
      <c r="U969" s="207"/>
      <c r="V969" s="207"/>
      <c r="W969" s="207"/>
      <c r="X969" s="207"/>
      <c r="Y969" s="207"/>
      <c r="Z969" s="207"/>
      <c r="AA969" s="207"/>
      <c r="AB969" s="207"/>
      <c r="AC969" s="207"/>
      <c r="AD969" s="207"/>
      <c r="AE969" s="207"/>
      <c r="AF969" s="207"/>
      <c r="AG969" s="207"/>
      <c r="AH969" s="207"/>
      <c r="AI969" s="207"/>
      <c r="AJ969" s="207"/>
      <c r="AK969" s="207"/>
      <c r="AL969" s="207"/>
      <c r="AM969" s="207"/>
      <c r="AN969" s="207"/>
      <c r="AO969" s="207"/>
      <c r="AP969" s="207"/>
      <c r="AQ969" s="207"/>
      <c r="AR969" s="207"/>
      <c r="AS969" s="207"/>
      <c r="AT969" s="207"/>
      <c r="AU969" s="207"/>
      <c r="AV969" s="207"/>
      <c r="AW969" s="207"/>
      <c r="AX969" s="207"/>
      <c r="AY969" s="207"/>
      <c r="AZ969" s="207"/>
      <c r="BA969" s="207"/>
    </row>
    <row r="970" ht="18.75" hidden="1" customHeight="1">
      <c r="A970" s="207"/>
      <c r="B970" s="207"/>
      <c r="C970" s="207"/>
      <c r="D970" s="207"/>
      <c r="E970" s="207"/>
      <c r="F970" s="207"/>
      <c r="G970" s="207"/>
      <c r="H970" s="207"/>
      <c r="I970" s="207"/>
      <c r="J970" s="207"/>
      <c r="K970" s="207"/>
      <c r="L970" s="207"/>
      <c r="M970" s="207"/>
      <c r="N970" s="207"/>
      <c r="O970" s="207"/>
      <c r="P970" s="207"/>
      <c r="Q970" s="207"/>
      <c r="R970" s="207"/>
      <c r="S970" s="207"/>
      <c r="T970" s="207"/>
      <c r="U970" s="207"/>
      <c r="V970" s="207"/>
      <c r="W970" s="207"/>
      <c r="X970" s="207"/>
      <c r="Y970" s="207"/>
      <c r="Z970" s="207"/>
      <c r="AA970" s="207"/>
      <c r="AB970" s="207"/>
      <c r="AC970" s="207"/>
      <c r="AD970" s="207"/>
      <c r="AE970" s="207"/>
      <c r="AF970" s="207"/>
      <c r="AG970" s="207"/>
      <c r="AH970" s="207"/>
      <c r="AI970" s="207"/>
      <c r="AJ970" s="207"/>
      <c r="AK970" s="207"/>
      <c r="AL970" s="207"/>
      <c r="AM970" s="207"/>
      <c r="AN970" s="207"/>
      <c r="AO970" s="207"/>
      <c r="AP970" s="207"/>
      <c r="AQ970" s="207"/>
      <c r="AR970" s="207"/>
      <c r="AS970" s="207"/>
      <c r="AT970" s="207"/>
      <c r="AU970" s="207"/>
      <c r="AV970" s="207"/>
      <c r="AW970" s="207"/>
      <c r="AX970" s="207"/>
      <c r="AY970" s="207"/>
      <c r="AZ970" s="207"/>
      <c r="BA970" s="207"/>
    </row>
    <row r="971" ht="18.75" hidden="1" customHeight="1">
      <c r="A971" s="207"/>
      <c r="B971" s="207"/>
      <c r="C971" s="207"/>
      <c r="D971" s="207"/>
      <c r="E971" s="207"/>
      <c r="F971" s="207"/>
      <c r="G971" s="207"/>
      <c r="H971" s="207"/>
      <c r="I971" s="207"/>
      <c r="J971" s="207"/>
      <c r="K971" s="207"/>
      <c r="L971" s="207"/>
      <c r="M971" s="207"/>
      <c r="N971" s="207"/>
      <c r="O971" s="207"/>
      <c r="P971" s="207"/>
      <c r="Q971" s="207"/>
      <c r="R971" s="207"/>
      <c r="S971" s="207"/>
      <c r="T971" s="207"/>
      <c r="U971" s="207"/>
      <c r="V971" s="207"/>
      <c r="W971" s="207"/>
      <c r="X971" s="207"/>
      <c r="Y971" s="207"/>
      <c r="Z971" s="207"/>
      <c r="AA971" s="207"/>
      <c r="AB971" s="207"/>
      <c r="AC971" s="207"/>
      <c r="AD971" s="207"/>
      <c r="AE971" s="207"/>
      <c r="AF971" s="207"/>
      <c r="AG971" s="207"/>
      <c r="AH971" s="207"/>
      <c r="AI971" s="207"/>
      <c r="AJ971" s="207"/>
      <c r="AK971" s="207"/>
      <c r="AL971" s="207"/>
      <c r="AM971" s="207"/>
      <c r="AN971" s="207"/>
      <c r="AO971" s="207"/>
      <c r="AP971" s="207"/>
      <c r="AQ971" s="207"/>
      <c r="AR971" s="207"/>
      <c r="AS971" s="207"/>
      <c r="AT971" s="207"/>
      <c r="AU971" s="207"/>
      <c r="AV971" s="207"/>
      <c r="AW971" s="207"/>
      <c r="AX971" s="207"/>
      <c r="AY971" s="207"/>
      <c r="AZ971" s="207"/>
      <c r="BA971" s="207"/>
    </row>
    <row r="972" ht="18.75" hidden="1" customHeight="1">
      <c r="A972" s="207"/>
      <c r="B972" s="207"/>
      <c r="C972" s="207"/>
      <c r="D972" s="207"/>
      <c r="E972" s="207"/>
      <c r="F972" s="207"/>
      <c r="G972" s="207"/>
      <c r="H972" s="207"/>
      <c r="I972" s="207"/>
      <c r="J972" s="207"/>
      <c r="K972" s="207"/>
      <c r="L972" s="207"/>
      <c r="M972" s="207"/>
      <c r="N972" s="207"/>
      <c r="O972" s="207"/>
      <c r="P972" s="207"/>
      <c r="Q972" s="207"/>
      <c r="R972" s="207"/>
      <c r="S972" s="207"/>
      <c r="T972" s="207"/>
      <c r="U972" s="207"/>
      <c r="V972" s="207"/>
      <c r="W972" s="207"/>
      <c r="X972" s="207"/>
      <c r="Y972" s="207"/>
      <c r="Z972" s="207"/>
      <c r="AA972" s="207"/>
      <c r="AB972" s="207"/>
      <c r="AC972" s="207"/>
      <c r="AD972" s="207"/>
      <c r="AE972" s="207"/>
      <c r="AF972" s="207"/>
      <c r="AG972" s="207"/>
      <c r="AH972" s="207"/>
      <c r="AI972" s="207"/>
      <c r="AJ972" s="207"/>
      <c r="AK972" s="207"/>
      <c r="AL972" s="207"/>
      <c r="AM972" s="207"/>
      <c r="AN972" s="207"/>
      <c r="AO972" s="207"/>
      <c r="AP972" s="207"/>
      <c r="AQ972" s="207"/>
      <c r="AR972" s="207"/>
      <c r="AS972" s="207"/>
      <c r="AT972" s="207"/>
      <c r="AU972" s="207"/>
      <c r="AV972" s="207"/>
      <c r="AW972" s="207"/>
      <c r="AX972" s="207"/>
      <c r="AY972" s="207"/>
      <c r="AZ972" s="207"/>
      <c r="BA972" s="207"/>
    </row>
    <row r="973" ht="18.75" hidden="1" customHeight="1">
      <c r="A973" s="207"/>
      <c r="B973" s="207"/>
      <c r="C973" s="207"/>
      <c r="D973" s="207"/>
      <c r="E973" s="207"/>
      <c r="F973" s="207"/>
      <c r="G973" s="207"/>
      <c r="H973" s="207"/>
      <c r="I973" s="207"/>
      <c r="J973" s="207"/>
      <c r="K973" s="207"/>
      <c r="L973" s="207"/>
      <c r="M973" s="207"/>
      <c r="N973" s="207"/>
      <c r="O973" s="207"/>
      <c r="P973" s="207"/>
      <c r="Q973" s="207"/>
      <c r="R973" s="207"/>
      <c r="S973" s="207"/>
      <c r="T973" s="207"/>
      <c r="U973" s="207"/>
      <c r="V973" s="207"/>
      <c r="W973" s="207"/>
      <c r="X973" s="207"/>
      <c r="Y973" s="207"/>
      <c r="Z973" s="207"/>
      <c r="AA973" s="207"/>
      <c r="AB973" s="207"/>
      <c r="AC973" s="207"/>
      <c r="AD973" s="207"/>
      <c r="AE973" s="207"/>
      <c r="AF973" s="207"/>
      <c r="AG973" s="207"/>
      <c r="AH973" s="207"/>
      <c r="AI973" s="207"/>
      <c r="AJ973" s="207"/>
      <c r="AK973" s="207"/>
      <c r="AL973" s="207"/>
      <c r="AM973" s="207"/>
      <c r="AN973" s="207"/>
      <c r="AO973" s="207"/>
      <c r="AP973" s="207"/>
      <c r="AQ973" s="207"/>
      <c r="AR973" s="207"/>
      <c r="AS973" s="207"/>
      <c r="AT973" s="207"/>
      <c r="AU973" s="207"/>
      <c r="AV973" s="207"/>
      <c r="AW973" s="207"/>
      <c r="AX973" s="207"/>
      <c r="AY973" s="207"/>
      <c r="AZ973" s="207"/>
      <c r="BA973" s="207"/>
    </row>
    <row r="974" ht="18.75" hidden="1" customHeight="1">
      <c r="A974" s="207"/>
      <c r="B974" s="207"/>
      <c r="C974" s="207"/>
      <c r="D974" s="207"/>
      <c r="E974" s="207"/>
      <c r="F974" s="207"/>
      <c r="G974" s="207"/>
      <c r="H974" s="207"/>
      <c r="I974" s="207"/>
      <c r="J974" s="207"/>
      <c r="K974" s="207"/>
      <c r="L974" s="207"/>
      <c r="M974" s="207"/>
      <c r="N974" s="207"/>
      <c r="O974" s="207"/>
      <c r="P974" s="207"/>
      <c r="Q974" s="207"/>
      <c r="R974" s="207"/>
      <c r="S974" s="207"/>
      <c r="T974" s="207"/>
      <c r="U974" s="207"/>
      <c r="V974" s="207"/>
      <c r="W974" s="207"/>
      <c r="X974" s="207"/>
      <c r="Y974" s="207"/>
      <c r="Z974" s="207"/>
      <c r="AA974" s="207"/>
      <c r="AB974" s="207"/>
      <c r="AC974" s="207"/>
      <c r="AD974" s="207"/>
      <c r="AE974" s="207"/>
      <c r="AF974" s="207"/>
      <c r="AG974" s="207"/>
      <c r="AH974" s="207"/>
      <c r="AI974" s="207"/>
      <c r="AJ974" s="207"/>
      <c r="AK974" s="207"/>
      <c r="AL974" s="207"/>
      <c r="AM974" s="207"/>
      <c r="AN974" s="207"/>
      <c r="AO974" s="207"/>
      <c r="AP974" s="207"/>
      <c r="AQ974" s="207"/>
      <c r="AR974" s="207"/>
      <c r="AS974" s="207"/>
      <c r="AT974" s="207"/>
      <c r="AU974" s="207"/>
      <c r="AV974" s="207"/>
      <c r="AW974" s="207"/>
      <c r="AX974" s="207"/>
      <c r="AY974" s="207"/>
      <c r="AZ974" s="207"/>
      <c r="BA974" s="207"/>
    </row>
    <row r="975" ht="18.75" hidden="1" customHeight="1">
      <c r="A975" s="207"/>
      <c r="B975" s="207"/>
      <c r="C975" s="207"/>
      <c r="D975" s="207"/>
      <c r="E975" s="207"/>
      <c r="F975" s="207"/>
      <c r="G975" s="207"/>
      <c r="H975" s="207"/>
      <c r="I975" s="207"/>
      <c r="J975" s="207"/>
      <c r="K975" s="207"/>
      <c r="L975" s="207"/>
      <c r="M975" s="207"/>
      <c r="N975" s="207"/>
      <c r="O975" s="207"/>
      <c r="P975" s="207"/>
      <c r="Q975" s="207"/>
      <c r="R975" s="207"/>
      <c r="S975" s="207"/>
      <c r="T975" s="207"/>
      <c r="U975" s="207"/>
      <c r="V975" s="207"/>
      <c r="W975" s="207"/>
      <c r="X975" s="207"/>
      <c r="Y975" s="207"/>
      <c r="Z975" s="207"/>
      <c r="AA975" s="207"/>
      <c r="AB975" s="207"/>
      <c r="AC975" s="207"/>
      <c r="AD975" s="207"/>
      <c r="AE975" s="207"/>
      <c r="AF975" s="207"/>
      <c r="AG975" s="207"/>
      <c r="AH975" s="207"/>
      <c r="AI975" s="207"/>
      <c r="AJ975" s="207"/>
      <c r="AK975" s="207"/>
      <c r="AL975" s="207"/>
      <c r="AM975" s="207"/>
      <c r="AN975" s="207"/>
      <c r="AO975" s="207"/>
      <c r="AP975" s="207"/>
      <c r="AQ975" s="207"/>
      <c r="AR975" s="207"/>
      <c r="AS975" s="207"/>
      <c r="AT975" s="207"/>
      <c r="AU975" s="207"/>
      <c r="AV975" s="207"/>
      <c r="AW975" s="207"/>
      <c r="AX975" s="207"/>
      <c r="AY975" s="207"/>
      <c r="AZ975" s="207"/>
      <c r="BA975" s="207"/>
    </row>
    <row r="976" ht="18.75" hidden="1" customHeight="1">
      <c r="A976" s="207"/>
      <c r="B976" s="207"/>
      <c r="C976" s="207"/>
      <c r="D976" s="207"/>
      <c r="E976" s="207"/>
      <c r="F976" s="207"/>
      <c r="G976" s="207"/>
      <c r="H976" s="207"/>
      <c r="I976" s="207"/>
      <c r="J976" s="207"/>
      <c r="K976" s="207"/>
      <c r="L976" s="207"/>
      <c r="M976" s="207"/>
      <c r="N976" s="207"/>
      <c r="O976" s="207"/>
      <c r="P976" s="207"/>
      <c r="Q976" s="207"/>
      <c r="R976" s="207"/>
      <c r="S976" s="207"/>
      <c r="T976" s="207"/>
      <c r="U976" s="207"/>
      <c r="V976" s="207"/>
      <c r="W976" s="207"/>
      <c r="X976" s="207"/>
      <c r="Y976" s="207"/>
      <c r="Z976" s="207"/>
      <c r="AA976" s="207"/>
      <c r="AB976" s="207"/>
      <c r="AC976" s="207"/>
      <c r="AD976" s="207"/>
      <c r="AE976" s="207"/>
      <c r="AF976" s="207"/>
      <c r="AG976" s="207"/>
      <c r="AH976" s="207"/>
      <c r="AI976" s="207"/>
      <c r="AJ976" s="207"/>
      <c r="AK976" s="207"/>
      <c r="AL976" s="207"/>
      <c r="AM976" s="207"/>
      <c r="AN976" s="207"/>
      <c r="AO976" s="207"/>
      <c r="AP976" s="207"/>
      <c r="AQ976" s="207"/>
      <c r="AR976" s="207"/>
      <c r="AS976" s="207"/>
      <c r="AT976" s="207"/>
      <c r="AU976" s="207"/>
      <c r="AV976" s="207"/>
      <c r="AW976" s="207"/>
      <c r="AX976" s="207"/>
      <c r="AY976" s="207"/>
      <c r="AZ976" s="207"/>
      <c r="BA976" s="207"/>
    </row>
    <row r="977" ht="18.75" hidden="1" customHeight="1">
      <c r="A977" s="207"/>
      <c r="B977" s="207"/>
      <c r="C977" s="207"/>
      <c r="D977" s="207"/>
      <c r="E977" s="207"/>
      <c r="F977" s="207"/>
      <c r="G977" s="207"/>
      <c r="H977" s="207"/>
      <c r="I977" s="207"/>
      <c r="J977" s="207"/>
      <c r="K977" s="207"/>
      <c r="L977" s="207"/>
      <c r="M977" s="207"/>
      <c r="N977" s="207"/>
      <c r="O977" s="207"/>
      <c r="P977" s="207"/>
      <c r="Q977" s="207"/>
      <c r="R977" s="207"/>
      <c r="S977" s="207"/>
      <c r="T977" s="207"/>
      <c r="U977" s="207"/>
      <c r="V977" s="207"/>
      <c r="W977" s="207"/>
      <c r="X977" s="207"/>
      <c r="Y977" s="207"/>
      <c r="Z977" s="207"/>
      <c r="AA977" s="207"/>
      <c r="AB977" s="207"/>
      <c r="AC977" s="207"/>
      <c r="AD977" s="207"/>
      <c r="AE977" s="207"/>
      <c r="AF977" s="207"/>
      <c r="AG977" s="207"/>
      <c r="AH977" s="207"/>
      <c r="AI977" s="207"/>
      <c r="AJ977" s="207"/>
      <c r="AK977" s="207"/>
      <c r="AL977" s="207"/>
      <c r="AM977" s="207"/>
      <c r="AN977" s="207"/>
      <c r="AO977" s="207"/>
      <c r="AP977" s="207"/>
      <c r="AQ977" s="207"/>
      <c r="AR977" s="207"/>
      <c r="AS977" s="207"/>
      <c r="AT977" s="207"/>
      <c r="AU977" s="207"/>
      <c r="AV977" s="207"/>
      <c r="AW977" s="207"/>
      <c r="AX977" s="207"/>
      <c r="AY977" s="207"/>
      <c r="AZ977" s="207"/>
      <c r="BA977" s="207"/>
    </row>
    <row r="978" ht="18.75" hidden="1" customHeight="1">
      <c r="A978" s="207"/>
      <c r="B978" s="207"/>
      <c r="C978" s="207"/>
      <c r="D978" s="207"/>
      <c r="E978" s="207"/>
      <c r="F978" s="207"/>
      <c r="G978" s="207"/>
      <c r="H978" s="207"/>
      <c r="I978" s="207"/>
      <c r="J978" s="207"/>
      <c r="K978" s="207"/>
      <c r="L978" s="207"/>
      <c r="M978" s="207"/>
      <c r="N978" s="207"/>
      <c r="O978" s="207"/>
      <c r="P978" s="207"/>
      <c r="Q978" s="207"/>
      <c r="R978" s="207"/>
      <c r="S978" s="207"/>
      <c r="T978" s="207"/>
      <c r="U978" s="207"/>
      <c r="V978" s="207"/>
      <c r="W978" s="207"/>
      <c r="X978" s="207"/>
      <c r="Y978" s="207"/>
      <c r="Z978" s="207"/>
      <c r="AA978" s="207"/>
      <c r="AB978" s="207"/>
      <c r="AC978" s="207"/>
      <c r="AD978" s="207"/>
      <c r="AE978" s="207"/>
      <c r="AF978" s="207"/>
      <c r="AG978" s="207"/>
      <c r="AH978" s="207"/>
      <c r="AI978" s="207"/>
      <c r="AJ978" s="207"/>
      <c r="AK978" s="207"/>
      <c r="AL978" s="207"/>
      <c r="AM978" s="207"/>
      <c r="AN978" s="207"/>
      <c r="AO978" s="207"/>
      <c r="AP978" s="207"/>
      <c r="AQ978" s="207"/>
      <c r="AR978" s="207"/>
      <c r="AS978" s="207"/>
      <c r="AT978" s="207"/>
      <c r="AU978" s="207"/>
      <c r="AV978" s="207"/>
      <c r="AW978" s="207"/>
      <c r="AX978" s="207"/>
      <c r="AY978" s="207"/>
      <c r="AZ978" s="207"/>
      <c r="BA978" s="207"/>
    </row>
    <row r="979" ht="18.75" hidden="1" customHeight="1">
      <c r="A979" s="207"/>
      <c r="B979" s="207"/>
      <c r="C979" s="207"/>
      <c r="D979" s="207"/>
      <c r="E979" s="207"/>
      <c r="F979" s="207"/>
      <c r="G979" s="207"/>
      <c r="H979" s="207"/>
      <c r="I979" s="207"/>
      <c r="J979" s="207"/>
      <c r="K979" s="207"/>
      <c r="L979" s="207"/>
      <c r="M979" s="207"/>
      <c r="N979" s="207"/>
      <c r="O979" s="207"/>
      <c r="P979" s="207"/>
      <c r="Q979" s="207"/>
      <c r="R979" s="207"/>
      <c r="S979" s="207"/>
      <c r="T979" s="207"/>
      <c r="U979" s="207"/>
      <c r="V979" s="207"/>
      <c r="W979" s="207"/>
      <c r="X979" s="207"/>
      <c r="Y979" s="207"/>
      <c r="Z979" s="207"/>
      <c r="AA979" s="207"/>
      <c r="AB979" s="207"/>
      <c r="AC979" s="207"/>
      <c r="AD979" s="207"/>
      <c r="AE979" s="207"/>
      <c r="AF979" s="207"/>
      <c r="AG979" s="207"/>
      <c r="AH979" s="207"/>
      <c r="AI979" s="207"/>
      <c r="AJ979" s="207"/>
      <c r="AK979" s="207"/>
      <c r="AL979" s="207"/>
      <c r="AM979" s="207"/>
      <c r="AN979" s="207"/>
      <c r="AO979" s="207"/>
      <c r="AP979" s="207"/>
      <c r="AQ979" s="207"/>
      <c r="AR979" s="207"/>
      <c r="AS979" s="207"/>
      <c r="AT979" s="207"/>
      <c r="AU979" s="207"/>
      <c r="AV979" s="207"/>
      <c r="AW979" s="207"/>
      <c r="AX979" s="207"/>
      <c r="AY979" s="207"/>
      <c r="AZ979" s="207"/>
      <c r="BA979" s="207"/>
    </row>
    <row r="980" ht="18.75" hidden="1" customHeight="1">
      <c r="A980" s="207"/>
      <c r="B980" s="207"/>
      <c r="C980" s="207"/>
      <c r="D980" s="207"/>
      <c r="E980" s="207"/>
      <c r="F980" s="207"/>
      <c r="G980" s="207"/>
      <c r="H980" s="207"/>
      <c r="I980" s="207"/>
      <c r="J980" s="207"/>
      <c r="K980" s="207"/>
      <c r="L980" s="207"/>
      <c r="M980" s="207"/>
      <c r="N980" s="207"/>
      <c r="O980" s="207"/>
      <c r="P980" s="207"/>
      <c r="Q980" s="207"/>
      <c r="R980" s="207"/>
      <c r="S980" s="207"/>
      <c r="T980" s="207"/>
      <c r="U980" s="207"/>
      <c r="V980" s="207"/>
      <c r="W980" s="207"/>
      <c r="X980" s="207"/>
      <c r="Y980" s="207"/>
      <c r="Z980" s="207"/>
      <c r="AA980" s="207"/>
      <c r="AB980" s="207"/>
      <c r="AC980" s="207"/>
      <c r="AD980" s="207"/>
      <c r="AE980" s="207"/>
      <c r="AF980" s="207"/>
      <c r="AG980" s="207"/>
      <c r="AH980" s="207"/>
      <c r="AI980" s="207"/>
      <c r="AJ980" s="207"/>
      <c r="AK980" s="207"/>
      <c r="AL980" s="207"/>
      <c r="AM980" s="207"/>
      <c r="AN980" s="207"/>
      <c r="AO980" s="207"/>
      <c r="AP980" s="207"/>
      <c r="AQ980" s="207"/>
      <c r="AR980" s="207"/>
      <c r="AS980" s="207"/>
      <c r="AT980" s="207"/>
      <c r="AU980" s="207"/>
      <c r="AV980" s="207"/>
      <c r="AW980" s="207"/>
      <c r="AX980" s="207"/>
      <c r="AY980" s="207"/>
      <c r="AZ980" s="207"/>
      <c r="BA980" s="207"/>
    </row>
    <row r="981" ht="18.75" hidden="1" customHeight="1">
      <c r="A981" s="207"/>
      <c r="B981" s="207"/>
      <c r="C981" s="207"/>
      <c r="D981" s="207"/>
      <c r="E981" s="207"/>
      <c r="F981" s="207"/>
      <c r="G981" s="207"/>
      <c r="H981" s="207"/>
      <c r="I981" s="207"/>
      <c r="J981" s="207"/>
      <c r="K981" s="207"/>
      <c r="L981" s="207"/>
      <c r="M981" s="207"/>
      <c r="N981" s="207"/>
      <c r="O981" s="207"/>
      <c r="P981" s="207"/>
      <c r="Q981" s="207"/>
      <c r="R981" s="207"/>
      <c r="S981" s="207"/>
      <c r="T981" s="207"/>
      <c r="U981" s="207"/>
      <c r="V981" s="207"/>
      <c r="W981" s="207"/>
      <c r="X981" s="207"/>
      <c r="Y981" s="207"/>
      <c r="Z981" s="207"/>
      <c r="AA981" s="207"/>
      <c r="AB981" s="207"/>
      <c r="AC981" s="207"/>
      <c r="AD981" s="207"/>
      <c r="AE981" s="207"/>
      <c r="AF981" s="207"/>
      <c r="AG981" s="207"/>
      <c r="AH981" s="207"/>
      <c r="AI981" s="207"/>
      <c r="AJ981" s="207"/>
      <c r="AK981" s="207"/>
      <c r="AL981" s="207"/>
      <c r="AM981" s="207"/>
      <c r="AN981" s="207"/>
      <c r="AO981" s="207"/>
      <c r="AP981" s="207"/>
      <c r="AQ981" s="207"/>
      <c r="AR981" s="207"/>
      <c r="AS981" s="207"/>
      <c r="AT981" s="207"/>
      <c r="AU981" s="207"/>
      <c r="AV981" s="207"/>
      <c r="AW981" s="207"/>
      <c r="AX981" s="207"/>
      <c r="AY981" s="207"/>
      <c r="AZ981" s="207"/>
      <c r="BA981" s="207"/>
    </row>
    <row r="982" ht="18.75" hidden="1" customHeight="1">
      <c r="A982" s="207"/>
      <c r="B982" s="207"/>
      <c r="C982" s="207"/>
      <c r="D982" s="207"/>
      <c r="E982" s="207"/>
      <c r="F982" s="207"/>
      <c r="G982" s="207"/>
      <c r="H982" s="207"/>
      <c r="I982" s="207"/>
      <c r="J982" s="207"/>
      <c r="K982" s="207"/>
      <c r="L982" s="207"/>
      <c r="M982" s="207"/>
      <c r="N982" s="207"/>
      <c r="O982" s="207"/>
      <c r="P982" s="207"/>
      <c r="Q982" s="207"/>
      <c r="R982" s="207"/>
      <c r="S982" s="207"/>
      <c r="T982" s="207"/>
      <c r="U982" s="207"/>
      <c r="V982" s="207"/>
      <c r="W982" s="207"/>
      <c r="X982" s="207"/>
      <c r="Y982" s="207"/>
      <c r="Z982" s="207"/>
      <c r="AA982" s="207"/>
      <c r="AB982" s="207"/>
      <c r="AC982" s="207"/>
      <c r="AD982" s="207"/>
      <c r="AE982" s="207"/>
      <c r="AF982" s="207"/>
      <c r="AG982" s="207"/>
      <c r="AH982" s="207"/>
      <c r="AI982" s="207"/>
      <c r="AJ982" s="207"/>
      <c r="AK982" s="207"/>
      <c r="AL982" s="207"/>
      <c r="AM982" s="207"/>
      <c r="AN982" s="207"/>
      <c r="AO982" s="207"/>
      <c r="AP982" s="207"/>
      <c r="AQ982" s="207"/>
      <c r="AR982" s="207"/>
      <c r="AS982" s="207"/>
      <c r="AT982" s="207"/>
      <c r="AU982" s="207"/>
      <c r="AV982" s="207"/>
      <c r="AW982" s="207"/>
      <c r="AX982" s="207"/>
      <c r="AY982" s="207"/>
      <c r="AZ982" s="207"/>
      <c r="BA982" s="207"/>
    </row>
    <row r="983" ht="18.75" hidden="1" customHeight="1">
      <c r="A983" s="207"/>
      <c r="B983" s="207"/>
      <c r="C983" s="207"/>
      <c r="D983" s="207"/>
      <c r="E983" s="207"/>
      <c r="F983" s="207"/>
      <c r="G983" s="207"/>
      <c r="H983" s="207"/>
      <c r="I983" s="207"/>
      <c r="J983" s="207"/>
      <c r="K983" s="207"/>
      <c r="L983" s="207"/>
      <c r="M983" s="207"/>
      <c r="N983" s="207"/>
      <c r="O983" s="207"/>
      <c r="P983" s="207"/>
      <c r="Q983" s="207"/>
      <c r="R983" s="207"/>
      <c r="S983" s="207"/>
      <c r="T983" s="207"/>
      <c r="U983" s="207"/>
      <c r="V983" s="207"/>
      <c r="W983" s="207"/>
      <c r="X983" s="207"/>
      <c r="Y983" s="207"/>
      <c r="Z983" s="207"/>
      <c r="AA983" s="207"/>
      <c r="AB983" s="207"/>
      <c r="AC983" s="207"/>
      <c r="AD983" s="207"/>
      <c r="AE983" s="207"/>
      <c r="AF983" s="207"/>
      <c r="AG983" s="207"/>
      <c r="AH983" s="207"/>
      <c r="AI983" s="207"/>
      <c r="AJ983" s="207"/>
      <c r="AK983" s="207"/>
      <c r="AL983" s="207"/>
      <c r="AM983" s="207"/>
      <c r="AN983" s="207"/>
      <c r="AO983" s="207"/>
      <c r="AP983" s="207"/>
      <c r="AQ983" s="207"/>
      <c r="AR983" s="207"/>
      <c r="AS983" s="207"/>
      <c r="AT983" s="207"/>
      <c r="AU983" s="207"/>
      <c r="AV983" s="207"/>
      <c r="AW983" s="207"/>
      <c r="AX983" s="207"/>
      <c r="AY983" s="207"/>
      <c r="AZ983" s="207"/>
      <c r="BA983" s="207"/>
    </row>
    <row r="984" ht="18.75" hidden="1" customHeight="1">
      <c r="A984" s="207"/>
      <c r="B984" s="207"/>
      <c r="C984" s="207"/>
      <c r="D984" s="207"/>
      <c r="E984" s="207"/>
      <c r="F984" s="207"/>
      <c r="G984" s="207"/>
      <c r="H984" s="207"/>
      <c r="I984" s="207"/>
      <c r="J984" s="207"/>
      <c r="K984" s="207"/>
      <c r="L984" s="207"/>
      <c r="M984" s="207"/>
      <c r="N984" s="207"/>
      <c r="O984" s="207"/>
      <c r="P984" s="207"/>
      <c r="Q984" s="207"/>
      <c r="R984" s="207"/>
      <c r="S984" s="207"/>
      <c r="T984" s="207"/>
      <c r="U984" s="207"/>
      <c r="V984" s="207"/>
      <c r="W984" s="207"/>
      <c r="X984" s="207"/>
      <c r="Y984" s="207"/>
      <c r="Z984" s="207"/>
      <c r="AA984" s="207"/>
      <c r="AB984" s="207"/>
      <c r="AC984" s="207"/>
      <c r="AD984" s="207"/>
      <c r="AE984" s="207"/>
      <c r="AF984" s="207"/>
      <c r="AG984" s="207"/>
      <c r="AH984" s="207"/>
      <c r="AI984" s="207"/>
      <c r="AJ984" s="207"/>
      <c r="AK984" s="207"/>
      <c r="AL984" s="207"/>
      <c r="AM984" s="207"/>
      <c r="AN984" s="207"/>
      <c r="AO984" s="207"/>
      <c r="AP984" s="207"/>
      <c r="AQ984" s="207"/>
      <c r="AR984" s="207"/>
      <c r="AS984" s="207"/>
      <c r="AT984" s="207"/>
      <c r="AU984" s="207"/>
      <c r="AV984" s="207"/>
      <c r="AW984" s="207"/>
      <c r="AX984" s="207"/>
      <c r="AY984" s="207"/>
      <c r="AZ984" s="207"/>
      <c r="BA984" s="207"/>
    </row>
    <row r="985" ht="18.75" hidden="1" customHeight="1">
      <c r="A985" s="207"/>
      <c r="B985" s="207"/>
      <c r="C985" s="207"/>
      <c r="D985" s="207"/>
      <c r="E985" s="207"/>
      <c r="F985" s="207"/>
      <c r="G985" s="207"/>
      <c r="H985" s="207"/>
      <c r="I985" s="207"/>
      <c r="J985" s="207"/>
      <c r="K985" s="207"/>
      <c r="L985" s="207"/>
      <c r="M985" s="207"/>
      <c r="N985" s="207"/>
      <c r="O985" s="207"/>
      <c r="P985" s="207"/>
      <c r="Q985" s="207"/>
      <c r="R985" s="207"/>
      <c r="S985" s="207"/>
      <c r="T985" s="207"/>
      <c r="U985" s="207"/>
      <c r="V985" s="207"/>
      <c r="W985" s="207"/>
      <c r="X985" s="207"/>
      <c r="Y985" s="207"/>
      <c r="Z985" s="207"/>
      <c r="AA985" s="207"/>
      <c r="AB985" s="207"/>
      <c r="AC985" s="207"/>
      <c r="AD985" s="207"/>
      <c r="AE985" s="207"/>
      <c r="AF985" s="207"/>
      <c r="AG985" s="207"/>
      <c r="AH985" s="207"/>
      <c r="AI985" s="207"/>
      <c r="AJ985" s="207"/>
      <c r="AK985" s="207"/>
      <c r="AL985" s="207"/>
      <c r="AM985" s="207"/>
      <c r="AN985" s="207"/>
      <c r="AO985" s="207"/>
      <c r="AP985" s="207"/>
      <c r="AQ985" s="207"/>
      <c r="AR985" s="207"/>
      <c r="AS985" s="207"/>
      <c r="AT985" s="207"/>
      <c r="AU985" s="207"/>
      <c r="AV985" s="207"/>
      <c r="AW985" s="207"/>
      <c r="AX985" s="207"/>
      <c r="AY985" s="207"/>
      <c r="AZ985" s="207"/>
      <c r="BA985" s="207"/>
    </row>
    <row r="986" ht="18.75" hidden="1" customHeight="1">
      <c r="A986" s="207"/>
      <c r="B986" s="207"/>
      <c r="C986" s="207"/>
      <c r="D986" s="207"/>
      <c r="E986" s="207"/>
      <c r="F986" s="207"/>
      <c r="G986" s="207"/>
      <c r="H986" s="207"/>
      <c r="I986" s="207"/>
      <c r="J986" s="207"/>
      <c r="K986" s="207"/>
      <c r="L986" s="207"/>
      <c r="M986" s="207"/>
      <c r="N986" s="207"/>
      <c r="O986" s="207"/>
      <c r="P986" s="207"/>
      <c r="Q986" s="207"/>
      <c r="R986" s="207"/>
      <c r="S986" s="207"/>
      <c r="T986" s="207"/>
      <c r="U986" s="207"/>
      <c r="V986" s="207"/>
      <c r="W986" s="207"/>
      <c r="X986" s="207"/>
      <c r="Y986" s="207"/>
      <c r="Z986" s="207"/>
      <c r="AA986" s="207"/>
      <c r="AB986" s="207"/>
      <c r="AC986" s="207"/>
      <c r="AD986" s="207"/>
      <c r="AE986" s="207"/>
      <c r="AF986" s="207"/>
      <c r="AG986" s="207"/>
      <c r="AH986" s="207"/>
      <c r="AI986" s="207"/>
      <c r="AJ986" s="207"/>
      <c r="AK986" s="207"/>
      <c r="AL986" s="207"/>
      <c r="AM986" s="207"/>
      <c r="AN986" s="207"/>
      <c r="AO986" s="207"/>
      <c r="AP986" s="207"/>
      <c r="AQ986" s="207"/>
      <c r="AR986" s="207"/>
      <c r="AS986" s="207"/>
      <c r="AT986" s="207"/>
      <c r="AU986" s="207"/>
      <c r="AV986" s="207"/>
      <c r="AW986" s="207"/>
      <c r="AX986" s="207"/>
      <c r="AY986" s="207"/>
      <c r="AZ986" s="207"/>
      <c r="BA986" s="207"/>
    </row>
    <row r="987" ht="18.75" hidden="1" customHeight="1">
      <c r="A987" s="207"/>
      <c r="B987" s="207"/>
      <c r="C987" s="207"/>
      <c r="D987" s="207"/>
      <c r="E987" s="207"/>
      <c r="F987" s="207"/>
      <c r="G987" s="207"/>
      <c r="H987" s="207"/>
      <c r="I987" s="207"/>
      <c r="J987" s="207"/>
      <c r="K987" s="207"/>
      <c r="L987" s="207"/>
      <c r="M987" s="207"/>
      <c r="N987" s="207"/>
      <c r="O987" s="207"/>
      <c r="P987" s="207"/>
      <c r="Q987" s="207"/>
      <c r="R987" s="207"/>
      <c r="S987" s="207"/>
      <c r="T987" s="207"/>
      <c r="U987" s="207"/>
      <c r="V987" s="207"/>
      <c r="W987" s="207"/>
      <c r="X987" s="207"/>
      <c r="Y987" s="207"/>
      <c r="Z987" s="207"/>
      <c r="AA987" s="207"/>
      <c r="AB987" s="207"/>
      <c r="AC987" s="207"/>
      <c r="AD987" s="207"/>
      <c r="AE987" s="207"/>
      <c r="AF987" s="207"/>
      <c r="AG987" s="207"/>
      <c r="AH987" s="207"/>
      <c r="AI987" s="207"/>
      <c r="AJ987" s="207"/>
      <c r="AK987" s="207"/>
      <c r="AL987" s="207"/>
      <c r="AM987" s="207"/>
      <c r="AN987" s="207"/>
      <c r="AO987" s="207"/>
      <c r="AP987" s="207"/>
      <c r="AQ987" s="207"/>
      <c r="AR987" s="207"/>
      <c r="AS987" s="207"/>
      <c r="AT987" s="207"/>
      <c r="AU987" s="207"/>
      <c r="AV987" s="207"/>
      <c r="AW987" s="207"/>
      <c r="AX987" s="207"/>
      <c r="AY987" s="207"/>
      <c r="AZ987" s="207"/>
      <c r="BA987" s="207"/>
    </row>
    <row r="988" ht="18.75" hidden="1" customHeight="1">
      <c r="A988" s="207"/>
      <c r="B988" s="207"/>
      <c r="C988" s="207"/>
      <c r="D988" s="207"/>
      <c r="E988" s="207"/>
      <c r="F988" s="207"/>
      <c r="G988" s="207"/>
      <c r="H988" s="207"/>
      <c r="I988" s="207"/>
      <c r="J988" s="207"/>
      <c r="K988" s="207"/>
      <c r="L988" s="207"/>
      <c r="M988" s="207"/>
      <c r="N988" s="207"/>
      <c r="O988" s="207"/>
      <c r="P988" s="207"/>
      <c r="Q988" s="207"/>
      <c r="R988" s="207"/>
      <c r="S988" s="207"/>
      <c r="T988" s="207"/>
      <c r="U988" s="207"/>
      <c r="V988" s="207"/>
      <c r="W988" s="207"/>
      <c r="X988" s="207"/>
      <c r="Y988" s="207"/>
      <c r="Z988" s="207"/>
      <c r="AA988" s="207"/>
      <c r="AB988" s="207"/>
      <c r="AC988" s="207"/>
      <c r="AD988" s="207"/>
      <c r="AE988" s="207"/>
      <c r="AF988" s="207"/>
      <c r="AG988" s="207"/>
      <c r="AH988" s="207"/>
      <c r="AI988" s="207"/>
      <c r="AJ988" s="207"/>
      <c r="AK988" s="207"/>
      <c r="AL988" s="207"/>
      <c r="AM988" s="207"/>
      <c r="AN988" s="207"/>
      <c r="AO988" s="207"/>
      <c r="AP988" s="207"/>
      <c r="AQ988" s="207"/>
      <c r="AR988" s="207"/>
      <c r="AS988" s="207"/>
      <c r="AT988" s="207"/>
      <c r="AU988" s="207"/>
      <c r="AV988" s="207"/>
      <c r="AW988" s="207"/>
      <c r="AX988" s="207"/>
      <c r="AY988" s="207"/>
      <c r="AZ988" s="207"/>
      <c r="BA988" s="207"/>
    </row>
    <row r="989" ht="18.75" hidden="1" customHeight="1">
      <c r="A989" s="207"/>
      <c r="B989" s="207"/>
      <c r="C989" s="207"/>
      <c r="D989" s="207"/>
      <c r="E989" s="207"/>
      <c r="F989" s="207"/>
      <c r="G989" s="207"/>
      <c r="H989" s="207"/>
      <c r="I989" s="207"/>
      <c r="J989" s="207"/>
      <c r="K989" s="207"/>
      <c r="L989" s="207"/>
      <c r="M989" s="207"/>
      <c r="N989" s="207"/>
      <c r="O989" s="207"/>
      <c r="P989" s="207"/>
      <c r="Q989" s="207"/>
      <c r="R989" s="207"/>
      <c r="S989" s="207"/>
      <c r="T989" s="207"/>
      <c r="U989" s="207"/>
      <c r="V989" s="207"/>
      <c r="W989" s="207"/>
      <c r="X989" s="207"/>
      <c r="Y989" s="207"/>
      <c r="Z989" s="207"/>
      <c r="AA989" s="207"/>
      <c r="AB989" s="207"/>
      <c r="AC989" s="207"/>
      <c r="AD989" s="207"/>
      <c r="AE989" s="207"/>
      <c r="AF989" s="207"/>
      <c r="AG989" s="207"/>
      <c r="AH989" s="207"/>
      <c r="AI989" s="207"/>
      <c r="AJ989" s="207"/>
      <c r="AK989" s="207"/>
      <c r="AL989" s="207"/>
      <c r="AM989" s="207"/>
      <c r="AN989" s="207"/>
      <c r="AO989" s="207"/>
      <c r="AP989" s="207"/>
      <c r="AQ989" s="207"/>
      <c r="AR989" s="207"/>
      <c r="AS989" s="207"/>
      <c r="AT989" s="207"/>
      <c r="AU989" s="207"/>
      <c r="AV989" s="207"/>
      <c r="AW989" s="207"/>
      <c r="AX989" s="207"/>
      <c r="AY989" s="207"/>
      <c r="AZ989" s="207"/>
      <c r="BA989" s="207"/>
    </row>
    <row r="990" ht="18.75" hidden="1" customHeight="1">
      <c r="A990" s="207"/>
      <c r="B990" s="207"/>
      <c r="C990" s="207"/>
      <c r="D990" s="207"/>
      <c r="E990" s="207"/>
      <c r="F990" s="207"/>
      <c r="G990" s="207"/>
      <c r="H990" s="207"/>
      <c r="I990" s="207"/>
      <c r="J990" s="207"/>
      <c r="K990" s="207"/>
      <c r="L990" s="207"/>
      <c r="M990" s="207"/>
      <c r="N990" s="207"/>
      <c r="O990" s="207"/>
      <c r="P990" s="207"/>
      <c r="Q990" s="207"/>
      <c r="R990" s="207"/>
      <c r="S990" s="207"/>
      <c r="T990" s="207"/>
      <c r="U990" s="207"/>
      <c r="V990" s="207"/>
      <c r="W990" s="207"/>
      <c r="X990" s="207"/>
      <c r="Y990" s="207"/>
      <c r="Z990" s="207"/>
      <c r="AA990" s="207"/>
      <c r="AB990" s="207"/>
      <c r="AC990" s="207"/>
      <c r="AD990" s="207"/>
      <c r="AE990" s="207"/>
      <c r="AF990" s="207"/>
      <c r="AG990" s="207"/>
      <c r="AH990" s="207"/>
      <c r="AI990" s="207"/>
      <c r="AJ990" s="207"/>
      <c r="AK990" s="207"/>
      <c r="AL990" s="207"/>
      <c r="AM990" s="207"/>
      <c r="AN990" s="207"/>
      <c r="AO990" s="207"/>
      <c r="AP990" s="207"/>
      <c r="AQ990" s="207"/>
      <c r="AR990" s="207"/>
      <c r="AS990" s="207"/>
      <c r="AT990" s="207"/>
      <c r="AU990" s="207"/>
      <c r="AV990" s="207"/>
      <c r="AW990" s="207"/>
      <c r="AX990" s="207"/>
      <c r="AY990" s="207"/>
      <c r="AZ990" s="207"/>
      <c r="BA990" s="207"/>
    </row>
    <row r="991" ht="18.75" hidden="1" customHeight="1">
      <c r="A991" s="207"/>
      <c r="B991" s="207"/>
      <c r="C991" s="207"/>
      <c r="D991" s="207"/>
      <c r="E991" s="207"/>
      <c r="F991" s="207"/>
      <c r="G991" s="207"/>
      <c r="H991" s="207"/>
      <c r="I991" s="207"/>
      <c r="J991" s="207"/>
      <c r="K991" s="207"/>
      <c r="L991" s="207"/>
      <c r="M991" s="207"/>
      <c r="N991" s="207"/>
      <c r="O991" s="207"/>
      <c r="P991" s="207"/>
      <c r="Q991" s="207"/>
      <c r="R991" s="207"/>
      <c r="S991" s="207"/>
      <c r="T991" s="207"/>
      <c r="U991" s="207"/>
      <c r="V991" s="207"/>
      <c r="W991" s="207"/>
      <c r="X991" s="207"/>
      <c r="Y991" s="207"/>
      <c r="Z991" s="207"/>
      <c r="AA991" s="207"/>
      <c r="AB991" s="207"/>
      <c r="AC991" s="207"/>
      <c r="AD991" s="207"/>
      <c r="AE991" s="207"/>
      <c r="AF991" s="207"/>
      <c r="AG991" s="207"/>
      <c r="AH991" s="207"/>
      <c r="AI991" s="207"/>
      <c r="AJ991" s="207"/>
      <c r="AK991" s="207"/>
      <c r="AL991" s="207"/>
      <c r="AM991" s="207"/>
      <c r="AN991" s="207"/>
      <c r="AO991" s="207"/>
      <c r="AP991" s="207"/>
      <c r="AQ991" s="207"/>
      <c r="AR991" s="207"/>
      <c r="AS991" s="207"/>
      <c r="AT991" s="207"/>
      <c r="AU991" s="207"/>
      <c r="AV991" s="207"/>
      <c r="AW991" s="207"/>
      <c r="AX991" s="207"/>
      <c r="AY991" s="207"/>
      <c r="AZ991" s="207"/>
      <c r="BA991" s="207"/>
    </row>
    <row r="992" ht="18.75" hidden="1" customHeight="1">
      <c r="A992" s="207"/>
      <c r="B992" s="207"/>
      <c r="C992" s="207"/>
      <c r="D992" s="207"/>
      <c r="E992" s="207"/>
      <c r="F992" s="207"/>
      <c r="G992" s="207"/>
      <c r="H992" s="207"/>
      <c r="I992" s="207"/>
      <c r="J992" s="207"/>
      <c r="K992" s="207"/>
      <c r="L992" s="207"/>
      <c r="M992" s="207"/>
      <c r="N992" s="207"/>
      <c r="O992" s="207"/>
      <c r="P992" s="207"/>
      <c r="Q992" s="207"/>
      <c r="R992" s="207"/>
      <c r="S992" s="207"/>
      <c r="T992" s="207"/>
      <c r="U992" s="207"/>
      <c r="V992" s="207"/>
      <c r="W992" s="207"/>
      <c r="X992" s="207"/>
      <c r="Y992" s="207"/>
      <c r="Z992" s="207"/>
      <c r="AA992" s="207"/>
      <c r="AB992" s="207"/>
      <c r="AC992" s="207"/>
      <c r="AD992" s="207"/>
      <c r="AE992" s="207"/>
      <c r="AF992" s="207"/>
      <c r="AG992" s="207"/>
      <c r="AH992" s="207"/>
      <c r="AI992" s="207"/>
      <c r="AJ992" s="207"/>
      <c r="AK992" s="207"/>
      <c r="AL992" s="207"/>
      <c r="AM992" s="207"/>
      <c r="AN992" s="207"/>
      <c r="AO992" s="207"/>
      <c r="AP992" s="207"/>
      <c r="AQ992" s="207"/>
      <c r="AR992" s="207"/>
      <c r="AS992" s="207"/>
      <c r="AT992" s="207"/>
      <c r="AU992" s="207"/>
      <c r="AV992" s="207"/>
      <c r="AW992" s="207"/>
      <c r="AX992" s="207"/>
      <c r="AY992" s="207"/>
      <c r="AZ992" s="207"/>
      <c r="BA992" s="207"/>
    </row>
    <row r="993" ht="18.75" hidden="1" customHeight="1">
      <c r="A993" s="207"/>
      <c r="B993" s="207"/>
      <c r="C993" s="207"/>
      <c r="D993" s="207"/>
      <c r="E993" s="207"/>
      <c r="F993" s="207"/>
      <c r="G993" s="207"/>
      <c r="H993" s="207"/>
      <c r="I993" s="207"/>
      <c r="J993" s="207"/>
      <c r="K993" s="207"/>
      <c r="L993" s="207"/>
      <c r="M993" s="207"/>
      <c r="N993" s="207"/>
      <c r="O993" s="207"/>
      <c r="P993" s="207"/>
      <c r="Q993" s="207"/>
      <c r="R993" s="207"/>
      <c r="S993" s="207"/>
      <c r="T993" s="207"/>
      <c r="U993" s="207"/>
      <c r="V993" s="207"/>
      <c r="W993" s="207"/>
      <c r="X993" s="207"/>
      <c r="Y993" s="207"/>
      <c r="Z993" s="207"/>
      <c r="AA993" s="207"/>
      <c r="AB993" s="207"/>
      <c r="AC993" s="207"/>
      <c r="AD993" s="207"/>
      <c r="AE993" s="207"/>
      <c r="AF993" s="207"/>
      <c r="AG993" s="207"/>
      <c r="AH993" s="207"/>
      <c r="AI993" s="207"/>
      <c r="AJ993" s="207"/>
      <c r="AK993" s="207"/>
      <c r="AL993" s="207"/>
      <c r="AM993" s="207"/>
      <c r="AN993" s="207"/>
      <c r="AO993" s="207"/>
      <c r="AP993" s="207"/>
      <c r="AQ993" s="207"/>
      <c r="AR993" s="207"/>
      <c r="AS993" s="207"/>
      <c r="AT993" s="207"/>
      <c r="AU993" s="207"/>
      <c r="AV993" s="207"/>
      <c r="AW993" s="207"/>
      <c r="AX993" s="207"/>
      <c r="AY993" s="207"/>
      <c r="AZ993" s="207"/>
      <c r="BA993" s="207"/>
    </row>
    <row r="994" ht="18.75" hidden="1" customHeight="1">
      <c r="A994" s="207"/>
      <c r="B994" s="207"/>
      <c r="C994" s="207"/>
      <c r="D994" s="207"/>
      <c r="E994" s="207"/>
      <c r="F994" s="207"/>
      <c r="G994" s="207"/>
      <c r="H994" s="207"/>
      <c r="I994" s="207"/>
      <c r="J994" s="207"/>
      <c r="K994" s="207"/>
      <c r="L994" s="207"/>
      <c r="M994" s="207"/>
      <c r="N994" s="207"/>
      <c r="O994" s="207"/>
      <c r="P994" s="207"/>
      <c r="Q994" s="207"/>
      <c r="R994" s="207"/>
      <c r="S994" s="207"/>
      <c r="T994" s="207"/>
      <c r="U994" s="207"/>
      <c r="V994" s="207"/>
      <c r="W994" s="207"/>
      <c r="X994" s="207"/>
      <c r="Y994" s="207"/>
      <c r="Z994" s="207"/>
      <c r="AA994" s="207"/>
      <c r="AB994" s="207"/>
      <c r="AC994" s="207"/>
      <c r="AD994" s="207"/>
      <c r="AE994" s="207"/>
      <c r="AF994" s="207"/>
      <c r="AG994" s="207"/>
      <c r="AH994" s="207"/>
      <c r="AI994" s="207"/>
      <c r="AJ994" s="207"/>
      <c r="AK994" s="207"/>
      <c r="AL994" s="207"/>
      <c r="AM994" s="207"/>
      <c r="AN994" s="207"/>
      <c r="AO994" s="207"/>
      <c r="AP994" s="207"/>
      <c r="AQ994" s="207"/>
      <c r="AR994" s="207"/>
      <c r="AS994" s="207"/>
      <c r="AT994" s="207"/>
      <c r="AU994" s="207"/>
      <c r="AV994" s="207"/>
      <c r="AW994" s="207"/>
      <c r="AX994" s="207"/>
      <c r="AY994" s="207"/>
      <c r="AZ994" s="207"/>
      <c r="BA994" s="207"/>
    </row>
    <row r="995" ht="18.75" hidden="1" customHeight="1">
      <c r="A995" s="207"/>
      <c r="B995" s="207"/>
      <c r="C995" s="207"/>
      <c r="D995" s="207"/>
      <c r="E995" s="207"/>
      <c r="F995" s="207"/>
      <c r="G995" s="207"/>
      <c r="H995" s="207"/>
      <c r="I995" s="207"/>
      <c r="J995" s="207"/>
      <c r="K995" s="207"/>
      <c r="L995" s="207"/>
      <c r="M995" s="207"/>
      <c r="N995" s="207"/>
      <c r="O995" s="207"/>
      <c r="P995" s="207"/>
      <c r="Q995" s="207"/>
      <c r="R995" s="207"/>
      <c r="S995" s="207"/>
      <c r="T995" s="207"/>
      <c r="U995" s="207"/>
      <c r="V995" s="207"/>
      <c r="W995" s="207"/>
      <c r="X995" s="207"/>
      <c r="Y995" s="207"/>
      <c r="Z995" s="207"/>
      <c r="AA995" s="207"/>
      <c r="AB995" s="207"/>
      <c r="AC995" s="207"/>
      <c r="AD995" s="207"/>
      <c r="AE995" s="207"/>
      <c r="AF995" s="207"/>
      <c r="AG995" s="207"/>
      <c r="AH995" s="207"/>
      <c r="AI995" s="207"/>
      <c r="AJ995" s="207"/>
      <c r="AK995" s="207"/>
      <c r="AL995" s="207"/>
      <c r="AM995" s="207"/>
      <c r="AN995" s="207"/>
      <c r="AO995" s="207"/>
      <c r="AP995" s="207"/>
      <c r="AQ995" s="207"/>
      <c r="AR995" s="207"/>
      <c r="AS995" s="207"/>
      <c r="AT995" s="207"/>
      <c r="AU995" s="207"/>
      <c r="AV995" s="207"/>
      <c r="AW995" s="207"/>
      <c r="AX995" s="207"/>
      <c r="AY995" s="207"/>
      <c r="AZ995" s="207"/>
      <c r="BA995" s="207"/>
    </row>
    <row r="996" ht="18.75" hidden="1" customHeight="1">
      <c r="A996" s="207"/>
      <c r="B996" s="207"/>
      <c r="C996" s="207"/>
      <c r="D996" s="207"/>
      <c r="E996" s="207"/>
      <c r="F996" s="207"/>
      <c r="G996" s="207"/>
      <c r="H996" s="207"/>
      <c r="I996" s="207"/>
      <c r="J996" s="207"/>
      <c r="K996" s="207"/>
      <c r="L996" s="207"/>
      <c r="M996" s="207"/>
      <c r="N996" s="207"/>
      <c r="O996" s="207"/>
      <c r="P996" s="207"/>
      <c r="Q996" s="207"/>
      <c r="R996" s="207"/>
      <c r="S996" s="207"/>
      <c r="T996" s="207"/>
      <c r="U996" s="207"/>
      <c r="V996" s="207"/>
      <c r="W996" s="207"/>
      <c r="X996" s="207"/>
      <c r="Y996" s="207"/>
      <c r="Z996" s="207"/>
      <c r="AA996" s="207"/>
      <c r="AB996" s="207"/>
      <c r="AC996" s="207"/>
      <c r="AD996" s="207"/>
      <c r="AE996" s="207"/>
      <c r="AF996" s="207"/>
      <c r="AG996" s="207"/>
      <c r="AH996" s="207"/>
      <c r="AI996" s="207"/>
      <c r="AJ996" s="207"/>
      <c r="AK996" s="207"/>
      <c r="AL996" s="207"/>
      <c r="AM996" s="207"/>
      <c r="AN996" s="207"/>
      <c r="AO996" s="207"/>
      <c r="AP996" s="207"/>
      <c r="AQ996" s="207"/>
      <c r="AR996" s="207"/>
      <c r="AS996" s="207"/>
      <c r="AT996" s="207"/>
      <c r="AU996" s="207"/>
      <c r="AV996" s="207"/>
      <c r="AW996" s="207"/>
      <c r="AX996" s="207"/>
      <c r="AY996" s="207"/>
      <c r="AZ996" s="207"/>
      <c r="BA996" s="207"/>
    </row>
    <row r="997" ht="18.75" hidden="1" customHeight="1">
      <c r="A997" s="207"/>
      <c r="B997" s="207"/>
      <c r="C997" s="207"/>
      <c r="D997" s="207"/>
      <c r="E997" s="207"/>
      <c r="F997" s="207"/>
      <c r="G997" s="207"/>
      <c r="H997" s="207"/>
      <c r="I997" s="207"/>
      <c r="J997" s="207"/>
      <c r="K997" s="207"/>
      <c r="L997" s="207"/>
      <c r="M997" s="207"/>
      <c r="N997" s="207"/>
      <c r="O997" s="207"/>
      <c r="P997" s="207"/>
      <c r="Q997" s="207"/>
      <c r="R997" s="207"/>
      <c r="S997" s="207"/>
      <c r="T997" s="207"/>
      <c r="U997" s="207"/>
      <c r="V997" s="207"/>
      <c r="W997" s="207"/>
      <c r="X997" s="207"/>
      <c r="Y997" s="207"/>
      <c r="Z997" s="207"/>
      <c r="AA997" s="207"/>
      <c r="AB997" s="207"/>
      <c r="AC997" s="207"/>
      <c r="AD997" s="207"/>
      <c r="AE997" s="207"/>
      <c r="AF997" s="207"/>
      <c r="AG997" s="207"/>
      <c r="AH997" s="207"/>
      <c r="AI997" s="207"/>
      <c r="AJ997" s="207"/>
      <c r="AK997" s="207"/>
      <c r="AL997" s="207"/>
      <c r="AM997" s="207"/>
      <c r="AN997" s="207"/>
      <c r="AO997" s="207"/>
      <c r="AP997" s="207"/>
      <c r="AQ997" s="207"/>
      <c r="AR997" s="207"/>
      <c r="AS997" s="207"/>
      <c r="AT997" s="207"/>
      <c r="AU997" s="207"/>
      <c r="AV997" s="207"/>
      <c r="AW997" s="207"/>
      <c r="AX997" s="207"/>
      <c r="AY997" s="207"/>
      <c r="AZ997" s="207"/>
      <c r="BA997" s="207"/>
    </row>
    <row r="998" ht="18.75" hidden="1" customHeight="1">
      <c r="A998" s="207"/>
      <c r="B998" s="207"/>
      <c r="C998" s="207"/>
      <c r="D998" s="207"/>
      <c r="E998" s="207"/>
      <c r="F998" s="207"/>
      <c r="G998" s="207"/>
      <c r="H998" s="207"/>
      <c r="I998" s="207"/>
      <c r="J998" s="207"/>
      <c r="K998" s="207"/>
      <c r="L998" s="207"/>
      <c r="M998" s="207"/>
      <c r="N998" s="207"/>
      <c r="O998" s="207"/>
      <c r="P998" s="207"/>
      <c r="Q998" s="207"/>
      <c r="R998" s="207"/>
      <c r="S998" s="207"/>
      <c r="T998" s="207"/>
      <c r="U998" s="207"/>
      <c r="V998" s="207"/>
      <c r="W998" s="207"/>
      <c r="X998" s="207"/>
      <c r="Y998" s="207"/>
      <c r="Z998" s="207"/>
      <c r="AA998" s="207"/>
      <c r="AB998" s="207"/>
      <c r="AC998" s="207"/>
      <c r="AD998" s="207"/>
      <c r="AE998" s="207"/>
      <c r="AF998" s="207"/>
      <c r="AG998" s="207"/>
      <c r="AH998" s="207"/>
      <c r="AI998" s="207"/>
      <c r="AJ998" s="207"/>
      <c r="AK998" s="207"/>
      <c r="AL998" s="207"/>
      <c r="AM998" s="207"/>
      <c r="AN998" s="207"/>
      <c r="AO998" s="207"/>
      <c r="AP998" s="207"/>
      <c r="AQ998" s="207"/>
      <c r="AR998" s="207"/>
      <c r="AS998" s="207"/>
      <c r="AT998" s="207"/>
      <c r="AU998" s="207"/>
      <c r="AV998" s="207"/>
      <c r="AW998" s="207"/>
      <c r="AX998" s="207"/>
      <c r="AY998" s="207"/>
      <c r="AZ998" s="207"/>
      <c r="BA998" s="207"/>
    </row>
    <row r="999" ht="18.75" hidden="1" customHeight="1">
      <c r="A999" s="207"/>
      <c r="B999" s="207"/>
      <c r="C999" s="207"/>
      <c r="D999" s="207"/>
      <c r="E999" s="207"/>
      <c r="F999" s="207"/>
      <c r="G999" s="207"/>
      <c r="H999" s="207"/>
      <c r="I999" s="207"/>
      <c r="J999" s="207"/>
      <c r="K999" s="207"/>
      <c r="L999" s="207"/>
      <c r="M999" s="207"/>
      <c r="N999" s="207"/>
      <c r="O999" s="207"/>
      <c r="P999" s="207"/>
      <c r="Q999" s="207"/>
      <c r="R999" s="207"/>
      <c r="S999" s="207"/>
      <c r="T999" s="207"/>
      <c r="U999" s="207"/>
      <c r="V999" s="207"/>
      <c r="W999" s="207"/>
      <c r="X999" s="207"/>
      <c r="Y999" s="207"/>
      <c r="Z999" s="207"/>
      <c r="AA999" s="207"/>
      <c r="AB999" s="207"/>
      <c r="AC999" s="207"/>
      <c r="AD999" s="207"/>
      <c r="AE999" s="207"/>
      <c r="AF999" s="207"/>
      <c r="AG999" s="207"/>
      <c r="AH999" s="207"/>
      <c r="AI999" s="207"/>
      <c r="AJ999" s="207"/>
      <c r="AK999" s="207"/>
      <c r="AL999" s="207"/>
      <c r="AM999" s="207"/>
      <c r="AN999" s="207"/>
      <c r="AO999" s="207"/>
      <c r="AP999" s="207"/>
      <c r="AQ999" s="207"/>
      <c r="AR999" s="207"/>
      <c r="AS999" s="207"/>
      <c r="AT999" s="207"/>
      <c r="AU999" s="207"/>
      <c r="AV999" s="207"/>
      <c r="AW999" s="207"/>
      <c r="AX999" s="207"/>
      <c r="AY999" s="207"/>
      <c r="AZ999" s="207"/>
      <c r="BA999" s="207"/>
    </row>
    <row r="1000" ht="18.75" hidden="1" customHeight="1">
      <c r="A1000" s="207"/>
      <c r="B1000" s="207"/>
      <c r="C1000" s="207"/>
      <c r="D1000" s="207"/>
      <c r="E1000" s="207"/>
      <c r="F1000" s="207"/>
      <c r="G1000" s="207"/>
      <c r="H1000" s="207"/>
      <c r="I1000" s="207"/>
      <c r="J1000" s="207"/>
      <c r="K1000" s="207"/>
      <c r="L1000" s="207"/>
      <c r="M1000" s="207"/>
      <c r="N1000" s="207"/>
      <c r="O1000" s="207"/>
      <c r="P1000" s="207"/>
      <c r="Q1000" s="207"/>
      <c r="R1000" s="207"/>
      <c r="S1000" s="207"/>
      <c r="T1000" s="207"/>
      <c r="U1000" s="207"/>
      <c r="V1000" s="207"/>
      <c r="W1000" s="207"/>
      <c r="X1000" s="207"/>
      <c r="Y1000" s="207"/>
      <c r="Z1000" s="207"/>
      <c r="AA1000" s="207"/>
      <c r="AB1000" s="207"/>
      <c r="AC1000" s="207"/>
      <c r="AD1000" s="207"/>
      <c r="AE1000" s="207"/>
      <c r="AF1000" s="207"/>
      <c r="AG1000" s="207"/>
      <c r="AH1000" s="207"/>
      <c r="AI1000" s="207"/>
      <c r="AJ1000" s="207"/>
      <c r="AK1000" s="207"/>
      <c r="AL1000" s="207"/>
      <c r="AM1000" s="207"/>
      <c r="AN1000" s="207"/>
      <c r="AO1000" s="207"/>
      <c r="AP1000" s="207"/>
      <c r="AQ1000" s="207"/>
      <c r="AR1000" s="207"/>
      <c r="AS1000" s="207"/>
      <c r="AT1000" s="207"/>
      <c r="AU1000" s="207"/>
      <c r="AV1000" s="207"/>
      <c r="AW1000" s="207"/>
      <c r="AX1000" s="207"/>
      <c r="AY1000" s="207"/>
      <c r="AZ1000" s="207"/>
      <c r="BA1000" s="207"/>
    </row>
    <row r="1001" ht="18.75" hidden="1" customHeight="1">
      <c r="A1001" s="207"/>
      <c r="B1001" s="207"/>
      <c r="C1001" s="207"/>
      <c r="D1001" s="207"/>
      <c r="E1001" s="207"/>
      <c r="F1001" s="207"/>
      <c r="G1001" s="207"/>
      <c r="H1001" s="207"/>
      <c r="I1001" s="207"/>
      <c r="J1001" s="207"/>
      <c r="K1001" s="207"/>
      <c r="L1001" s="207"/>
      <c r="M1001" s="207"/>
      <c r="N1001" s="207"/>
      <c r="O1001" s="207"/>
      <c r="P1001" s="207"/>
      <c r="Q1001" s="207"/>
      <c r="R1001" s="207"/>
      <c r="S1001" s="207"/>
      <c r="T1001" s="207"/>
      <c r="U1001" s="207"/>
      <c r="V1001" s="207"/>
      <c r="W1001" s="207"/>
      <c r="X1001" s="207"/>
      <c r="Y1001" s="207"/>
      <c r="Z1001" s="207"/>
      <c r="AA1001" s="207"/>
      <c r="AB1001" s="207"/>
      <c r="AC1001" s="207"/>
      <c r="AD1001" s="207"/>
      <c r="AE1001" s="207"/>
      <c r="AF1001" s="207"/>
      <c r="AG1001" s="207"/>
      <c r="AH1001" s="207"/>
      <c r="AI1001" s="207"/>
      <c r="AJ1001" s="207"/>
      <c r="AK1001" s="207"/>
      <c r="AL1001" s="207"/>
      <c r="AM1001" s="207"/>
      <c r="AN1001" s="207"/>
      <c r="AO1001" s="207"/>
      <c r="AP1001" s="207"/>
      <c r="AQ1001" s="207"/>
      <c r="AR1001" s="207"/>
      <c r="AS1001" s="207"/>
      <c r="AT1001" s="207"/>
      <c r="AU1001" s="207"/>
      <c r="AV1001" s="207"/>
      <c r="AW1001" s="207"/>
      <c r="AX1001" s="207"/>
      <c r="AY1001" s="207"/>
      <c r="AZ1001" s="207"/>
      <c r="BA1001" s="207"/>
    </row>
  </sheetData>
  <mergeCells count="40">
    <mergeCell ref="AC3:AF3"/>
    <mergeCell ref="AG3:AJ3"/>
    <mergeCell ref="AK3:AN3"/>
    <mergeCell ref="AO3:AR3"/>
    <mergeCell ref="AS3:AV3"/>
    <mergeCell ref="AW3:AZ3"/>
    <mergeCell ref="B3:D3"/>
    <mergeCell ref="E3:H3"/>
    <mergeCell ref="I3:L3"/>
    <mergeCell ref="M3:P3"/>
    <mergeCell ref="Q3:T3"/>
    <mergeCell ref="U3:X3"/>
    <mergeCell ref="Y3:AB3"/>
    <mergeCell ref="B4:B5"/>
    <mergeCell ref="C4:C5"/>
    <mergeCell ref="D4:D5"/>
    <mergeCell ref="E4:E5"/>
    <mergeCell ref="F4:H4"/>
    <mergeCell ref="I4:I5"/>
    <mergeCell ref="M4:M5"/>
    <mergeCell ref="AL4:AN4"/>
    <mergeCell ref="AP4:AR4"/>
    <mergeCell ref="AT4:AV4"/>
    <mergeCell ref="AX4:AZ4"/>
    <mergeCell ref="J4:L4"/>
    <mergeCell ref="N4:P4"/>
    <mergeCell ref="R4:T4"/>
    <mergeCell ref="V4:X4"/>
    <mergeCell ref="Z4:AB4"/>
    <mergeCell ref="AD4:AF4"/>
    <mergeCell ref="AH4:AJ4"/>
    <mergeCell ref="AS4:AS5"/>
    <mergeCell ref="AW4:AW5"/>
    <mergeCell ref="Q4:Q5"/>
    <mergeCell ref="U4:U5"/>
    <mergeCell ref="Y4:Y5"/>
    <mergeCell ref="AC4:AC5"/>
    <mergeCell ref="AG4:AG5"/>
    <mergeCell ref="AK4:AK5"/>
    <mergeCell ref="AO4:AO5"/>
  </mergeCells>
  <hyperlinks>
    <hyperlink r:id="rId1" location="gid=2096763933" ref="B1"/>
  </hyperlinks>
  <printOptions/>
  <pageMargins bottom="0.75" footer="0.0" header="0.0" left="0.7" right="0.7" top="0.75"/>
  <pageSetup orientation="landscape"/>
  <drawing r:id="rId2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showGridLines="0" workbookViewId="0">
      <pane xSplit="4.0" ySplit="6.0" topLeftCell="E7" activePane="bottomRight" state="frozen"/>
      <selection activeCell="E1" sqref="E1" pane="topRight"/>
      <selection activeCell="A7" sqref="A7" pane="bottomLeft"/>
      <selection activeCell="E7" sqref="E7" pane="bottomRight"/>
    </sheetView>
  </sheetViews>
  <sheetFormatPr customHeight="1" defaultColWidth="12.63" defaultRowHeight="15.0"/>
  <cols>
    <col customWidth="1" min="1" max="1" width="0.38"/>
    <col customWidth="1" min="2" max="2" width="29.25"/>
    <col customWidth="1" min="3" max="3" width="6.75"/>
    <col customWidth="1" min="4" max="4" width="5.88"/>
    <col customWidth="1" min="5" max="5" width="7.0"/>
    <col customWidth="1" min="6" max="6" width="6.88"/>
    <col customWidth="1" min="7" max="7" width="6.0"/>
    <col customWidth="1" min="8" max="8" width="6.13"/>
    <col customWidth="1" min="9" max="9" width="7.0"/>
    <col customWidth="1" min="10" max="10" width="6.88"/>
    <col customWidth="1" min="11" max="11" width="6.0"/>
    <col customWidth="1" min="12" max="12" width="6.13"/>
    <col customWidth="1" min="13" max="13" width="7.0"/>
    <col customWidth="1" min="14" max="14" width="6.88"/>
    <col customWidth="1" min="15" max="15" width="6.0"/>
    <col customWidth="1" min="16" max="16" width="6.13"/>
    <col customWidth="1" min="17" max="17" width="7.0"/>
    <col customWidth="1" min="18" max="18" width="6.88"/>
    <col customWidth="1" min="19" max="19" width="6.0"/>
    <col customWidth="1" min="20" max="20" width="6.13"/>
    <col customWidth="1" min="21" max="21" width="7.0"/>
    <col customWidth="1" min="22" max="22" width="6.88"/>
    <col customWidth="1" min="23" max="23" width="6.0"/>
    <col customWidth="1" min="24" max="24" width="6.13"/>
    <col customWidth="1" min="25" max="25" width="7.0"/>
    <col customWidth="1" min="26" max="26" width="6.88"/>
    <col customWidth="1" min="27" max="27" width="6.0"/>
    <col customWidth="1" min="28" max="28" width="6.13"/>
    <col customWidth="1" min="29" max="29" width="7.0"/>
    <col customWidth="1" min="30" max="30" width="6.88"/>
    <col customWidth="1" min="31" max="31" width="6.0"/>
    <col customWidth="1" min="32" max="32" width="6.13"/>
    <col customWidth="1" min="33" max="33" width="7.0"/>
    <col customWidth="1" min="34" max="34" width="6.88"/>
    <col customWidth="1" min="35" max="35" width="6.0"/>
    <col customWidth="1" min="36" max="36" width="6.13"/>
    <col customWidth="1" min="37" max="37" width="7.0"/>
    <col customWidth="1" min="38" max="38" width="6.88"/>
    <col customWidth="1" min="39" max="39" width="6.0"/>
    <col customWidth="1" min="40" max="40" width="6.13"/>
    <col customWidth="1" min="41" max="41" width="7.0"/>
    <col customWidth="1" min="42" max="42" width="6.88"/>
    <col customWidth="1" min="43" max="43" width="6.0"/>
    <col customWidth="1" min="44" max="44" width="6.13"/>
    <col customWidth="1" min="45" max="45" width="7.0"/>
    <col customWidth="1" min="46" max="46" width="6.88"/>
    <col customWidth="1" min="47" max="47" width="6.0"/>
    <col customWidth="1" min="48" max="48" width="6.13"/>
    <col customWidth="1" min="49" max="49" width="7.0"/>
    <col customWidth="1" min="50" max="50" width="6.88"/>
    <col customWidth="1" min="51" max="51" width="6.0"/>
    <col customWidth="1" min="52" max="52" width="6.13"/>
    <col customWidth="1" min="53" max="53" width="0.38"/>
  </cols>
  <sheetData>
    <row r="1">
      <c r="A1" s="234"/>
      <c r="B1" s="242" t="s">
        <v>164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</row>
    <row r="2" ht="13.5" hidden="1" customHeight="1">
      <c r="A2" s="253" t="str">
        <f>IFERROR(__xludf.DUMMYFUNCTION("IMPORTRANGE(""https://docs.google.com/spreadsheets/d/1fOHaCQXf2nJnjrxRvsqvc48uPyywnHYKJp78RcYi8NM/edit#gid=1548561530"",""TONG!A1:AZ98"")"),"")</f>
        <v/>
      </c>
      <c r="B2" s="243" t="str">
        <f>IFERROR(__xludf.DUMMYFUNCTION("""COMPUTED_VALUE"""),"Ngày báo cáo:[15 hàng tháng]")</f>
        <v>Ngày báo cáo:[15 hàng tháng]</v>
      </c>
      <c r="C2" s="243"/>
      <c r="D2" s="243"/>
      <c r="E2" s="254" t="str">
        <f>IFERROR(__xludf.DUMMYFUNCTION("""COMPUTED_VALUE"""),"* Lưu ý: chỉ nhập số liệu vào các ô tô màu vàng")</f>
        <v>* Lưu ý: chỉ nhập số liệu vào các ô tô màu vàng</v>
      </c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6"/>
      <c r="BA2" s="253"/>
    </row>
    <row r="3" ht="18.75" customHeight="1">
      <c r="A3" s="6"/>
      <c r="B3" s="257" t="str">
        <f>IFERROR(__xludf.DUMMYFUNCTION("""COMPUTED_VALUE"""),"BIỂU THỐNG KÊ SỐ LIỆU GIÁO DỤC THCS VÀ THPT")</f>
        <v>BIỂU THỐNG KÊ SỐ LIỆU GIÁO DỤC THCS VÀ THPT</v>
      </c>
      <c r="C3" s="8"/>
      <c r="D3" s="9"/>
      <c r="E3" s="11" t="str">
        <f>IFERROR(__xludf.DUMMYFUNCTION("""COMPUTED_VALUE"""),"Kỳ tháng 10/2023")</f>
        <v>Kỳ tháng 10/2023</v>
      </c>
      <c r="F3" s="8"/>
      <c r="G3" s="8"/>
      <c r="H3" s="9"/>
      <c r="I3" s="11" t="str">
        <f>IFERROR(__xludf.DUMMYFUNCTION("""COMPUTED_VALUE"""),"Kỳ tháng 11/2023")</f>
        <v>Kỳ tháng 11/2023</v>
      </c>
      <c r="J3" s="8"/>
      <c r="K3" s="8"/>
      <c r="L3" s="9"/>
      <c r="M3" s="11" t="str">
        <f>IFERROR(__xludf.DUMMYFUNCTION("""COMPUTED_VALUE"""),"Kỳ tháng 12/2023")</f>
        <v>Kỳ tháng 12/2023</v>
      </c>
      <c r="N3" s="8"/>
      <c r="O3" s="8"/>
      <c r="P3" s="9"/>
      <c r="Q3" s="12" t="str">
        <f>IFERROR(__xludf.DUMMYFUNCTION("""COMPUTED_VALUE"""),"Kỳ tháng 1/2024")</f>
        <v>Kỳ tháng 1/2024</v>
      </c>
      <c r="R3" s="8"/>
      <c r="S3" s="8"/>
      <c r="T3" s="9"/>
      <c r="U3" s="12" t="str">
        <f>IFERROR(__xludf.DUMMYFUNCTION("""COMPUTED_VALUE"""),"Kỳ tháng 2/2024")</f>
        <v>Kỳ tháng 2/2024</v>
      </c>
      <c r="V3" s="8"/>
      <c r="W3" s="8"/>
      <c r="X3" s="9"/>
      <c r="Y3" s="12" t="str">
        <f>IFERROR(__xludf.DUMMYFUNCTION("""COMPUTED_VALUE"""),"Kỳ tháng 3/2024")</f>
        <v>Kỳ tháng 3/2024</v>
      </c>
      <c r="Z3" s="8"/>
      <c r="AA3" s="8"/>
      <c r="AB3" s="9"/>
      <c r="AC3" s="13" t="str">
        <f>IFERROR(__xludf.DUMMYFUNCTION("""COMPUTED_VALUE"""),"Kỳ tháng 4/2024")</f>
        <v>Kỳ tháng 4/2024</v>
      </c>
      <c r="AD3" s="8"/>
      <c r="AE3" s="8"/>
      <c r="AF3" s="9"/>
      <c r="AG3" s="13" t="str">
        <f>IFERROR(__xludf.DUMMYFUNCTION("""COMPUTED_VALUE"""),"Kỳ tháng 5/2024")</f>
        <v>Kỳ tháng 5/2024</v>
      </c>
      <c r="AH3" s="8"/>
      <c r="AI3" s="8"/>
      <c r="AJ3" s="9"/>
      <c r="AK3" s="13" t="str">
        <f>IFERROR(__xludf.DUMMYFUNCTION("""COMPUTED_VALUE"""),"Kỳ tháng 6/2024")</f>
        <v>Kỳ tháng 6/2024</v>
      </c>
      <c r="AL3" s="8"/>
      <c r="AM3" s="8"/>
      <c r="AN3" s="9"/>
      <c r="AO3" s="14" t="str">
        <f>IFERROR(__xludf.DUMMYFUNCTION("""COMPUTED_VALUE"""),"Kỳ tháng 7/2024")</f>
        <v>Kỳ tháng 7/2024</v>
      </c>
      <c r="AP3" s="8"/>
      <c r="AQ3" s="8"/>
      <c r="AR3" s="9"/>
      <c r="AS3" s="14" t="str">
        <f>IFERROR(__xludf.DUMMYFUNCTION("""COMPUTED_VALUE"""),"Kỳ tháng 8/2024")</f>
        <v>Kỳ tháng 8/2024</v>
      </c>
      <c r="AT3" s="8"/>
      <c r="AU3" s="8"/>
      <c r="AV3" s="9"/>
      <c r="AW3" s="14" t="str">
        <f>IFERROR(__xludf.DUMMYFUNCTION("""COMPUTED_VALUE"""),"Kỳ tháng 9/2024")</f>
        <v>Kỳ tháng 9/2024</v>
      </c>
      <c r="AX3" s="8"/>
      <c r="AY3" s="8"/>
      <c r="AZ3" s="15"/>
      <c r="BA3" s="16"/>
    </row>
    <row r="4" ht="14.25" customHeight="1">
      <c r="A4" s="6"/>
      <c r="B4" s="17" t="str">
        <f>IFERROR(__xludf.DUMMYFUNCTION("""COMPUTED_VALUE"""),"TOÀN TỈNH")</f>
        <v>TOÀN TỈNH</v>
      </c>
      <c r="C4" s="18" t="str">
        <f>IFERROR(__xludf.DUMMYFUNCTION("""COMPUTED_VALUE"""),"Tần suất
báo cáo")</f>
        <v>Tần suất
báo cáo</v>
      </c>
      <c r="D4" s="18" t="str">
        <f>IFERROR(__xludf.DUMMYFUNCTION("""COMPUTED_VALUE"""),"Đơn vị
tính")</f>
        <v>Đơn vị
tính</v>
      </c>
      <c r="E4" s="19" t="str">
        <f>IFERROR(__xludf.DUMMYFUNCTION("""COMPUTED_VALUE"""),"Tổng số")</f>
        <v>Tổng số</v>
      </c>
      <c r="F4" s="20" t="str">
        <f>IFERROR(__xludf.DUMMYFUNCTION("""COMPUTED_VALUE"""),"Trong đó")</f>
        <v>Trong đó</v>
      </c>
      <c r="G4" s="21"/>
      <c r="H4" s="22"/>
      <c r="I4" s="19" t="str">
        <f>IFERROR(__xludf.DUMMYFUNCTION("""COMPUTED_VALUE"""),"Tổng số")</f>
        <v>Tổng số</v>
      </c>
      <c r="J4" s="20" t="str">
        <f>IFERROR(__xludf.DUMMYFUNCTION("""COMPUTED_VALUE"""),"Trong đó")</f>
        <v>Trong đó</v>
      </c>
      <c r="K4" s="21"/>
      <c r="L4" s="22"/>
      <c r="M4" s="19" t="str">
        <f>IFERROR(__xludf.DUMMYFUNCTION("""COMPUTED_VALUE"""),"Tổng số")</f>
        <v>Tổng số</v>
      </c>
      <c r="N4" s="20" t="str">
        <f>IFERROR(__xludf.DUMMYFUNCTION("""COMPUTED_VALUE"""),"Trong đó")</f>
        <v>Trong đó</v>
      </c>
      <c r="O4" s="21"/>
      <c r="P4" s="22"/>
      <c r="Q4" s="19" t="str">
        <f>IFERROR(__xludf.DUMMYFUNCTION("""COMPUTED_VALUE"""),"Tổng số")</f>
        <v>Tổng số</v>
      </c>
      <c r="R4" s="20" t="str">
        <f>IFERROR(__xludf.DUMMYFUNCTION("""COMPUTED_VALUE"""),"Trong đó")</f>
        <v>Trong đó</v>
      </c>
      <c r="S4" s="21"/>
      <c r="T4" s="22"/>
      <c r="U4" s="19" t="str">
        <f>IFERROR(__xludf.DUMMYFUNCTION("""COMPUTED_VALUE"""),"Tổng số")</f>
        <v>Tổng số</v>
      </c>
      <c r="V4" s="20" t="str">
        <f>IFERROR(__xludf.DUMMYFUNCTION("""COMPUTED_VALUE"""),"Trong đó")</f>
        <v>Trong đó</v>
      </c>
      <c r="W4" s="21"/>
      <c r="X4" s="22"/>
      <c r="Y4" s="19" t="str">
        <f>IFERROR(__xludf.DUMMYFUNCTION("""COMPUTED_VALUE"""),"Tổng số")</f>
        <v>Tổng số</v>
      </c>
      <c r="Z4" s="20" t="str">
        <f>IFERROR(__xludf.DUMMYFUNCTION("""COMPUTED_VALUE"""),"Trong đó")</f>
        <v>Trong đó</v>
      </c>
      <c r="AA4" s="21"/>
      <c r="AB4" s="22"/>
      <c r="AC4" s="19" t="str">
        <f>IFERROR(__xludf.DUMMYFUNCTION("""COMPUTED_VALUE"""),"Tổng số")</f>
        <v>Tổng số</v>
      </c>
      <c r="AD4" s="20" t="str">
        <f>IFERROR(__xludf.DUMMYFUNCTION("""COMPUTED_VALUE"""),"Trong đó")</f>
        <v>Trong đó</v>
      </c>
      <c r="AE4" s="21"/>
      <c r="AF4" s="22"/>
      <c r="AG4" s="19" t="str">
        <f>IFERROR(__xludf.DUMMYFUNCTION("""COMPUTED_VALUE"""),"Tổng số")</f>
        <v>Tổng số</v>
      </c>
      <c r="AH4" s="20" t="str">
        <f>IFERROR(__xludf.DUMMYFUNCTION("""COMPUTED_VALUE"""),"Trong đó")</f>
        <v>Trong đó</v>
      </c>
      <c r="AI4" s="21"/>
      <c r="AJ4" s="22"/>
      <c r="AK4" s="19" t="str">
        <f>IFERROR(__xludf.DUMMYFUNCTION("""COMPUTED_VALUE"""),"Tổng số")</f>
        <v>Tổng số</v>
      </c>
      <c r="AL4" s="20" t="str">
        <f>IFERROR(__xludf.DUMMYFUNCTION("""COMPUTED_VALUE"""),"Trong đó")</f>
        <v>Trong đó</v>
      </c>
      <c r="AM4" s="21"/>
      <c r="AN4" s="22"/>
      <c r="AO4" s="19" t="str">
        <f>IFERROR(__xludf.DUMMYFUNCTION("""COMPUTED_VALUE"""),"Tổng số")</f>
        <v>Tổng số</v>
      </c>
      <c r="AP4" s="20" t="str">
        <f>IFERROR(__xludf.DUMMYFUNCTION("""COMPUTED_VALUE"""),"Trong đó")</f>
        <v>Trong đó</v>
      </c>
      <c r="AQ4" s="21"/>
      <c r="AR4" s="22"/>
      <c r="AS4" s="19" t="str">
        <f>IFERROR(__xludf.DUMMYFUNCTION("""COMPUTED_VALUE"""),"Tổng số")</f>
        <v>Tổng số</v>
      </c>
      <c r="AT4" s="20" t="str">
        <f>IFERROR(__xludf.DUMMYFUNCTION("""COMPUTED_VALUE"""),"Trong đó")</f>
        <v>Trong đó</v>
      </c>
      <c r="AU4" s="21"/>
      <c r="AV4" s="22"/>
      <c r="AW4" s="19" t="str">
        <f>IFERROR(__xludf.DUMMYFUNCTION("""COMPUTED_VALUE"""),"Tổng số")</f>
        <v>Tổng số</v>
      </c>
      <c r="AX4" s="20" t="str">
        <f>IFERROR(__xludf.DUMMYFUNCTION("""COMPUTED_VALUE"""),"Trong đó")</f>
        <v>Trong đó</v>
      </c>
      <c r="AY4" s="21"/>
      <c r="AZ4" s="23"/>
      <c r="BA4" s="16"/>
    </row>
    <row r="5" ht="14.25" customHeight="1">
      <c r="A5" s="6"/>
      <c r="B5" s="24"/>
      <c r="C5" s="25"/>
      <c r="D5" s="25"/>
      <c r="E5" s="25"/>
      <c r="F5" s="26" t="str">
        <f>IFERROR(__xludf.DUMMYFUNCTION("""COMPUTED_VALUE"""),"Công lập")</f>
        <v>Công lập</v>
      </c>
      <c r="G5" s="26" t="str">
        <f>IFERROR(__xludf.DUMMYFUNCTION("""COMPUTED_VALUE"""),"Dân lập")</f>
        <v>Dân lập</v>
      </c>
      <c r="H5" s="26" t="str">
        <f>IFERROR(__xludf.DUMMYFUNCTION("""COMPUTED_VALUE"""),"Tư thục")</f>
        <v>Tư thục</v>
      </c>
      <c r="I5" s="25"/>
      <c r="J5" s="26" t="str">
        <f>IFERROR(__xludf.DUMMYFUNCTION("""COMPUTED_VALUE"""),"Công lập")</f>
        <v>Công lập</v>
      </c>
      <c r="K5" s="26" t="str">
        <f>IFERROR(__xludf.DUMMYFUNCTION("""COMPUTED_VALUE"""),"Dân lập")</f>
        <v>Dân lập</v>
      </c>
      <c r="L5" s="26" t="str">
        <f>IFERROR(__xludf.DUMMYFUNCTION("""COMPUTED_VALUE"""),"Tư thục")</f>
        <v>Tư thục</v>
      </c>
      <c r="M5" s="25"/>
      <c r="N5" s="26" t="str">
        <f>IFERROR(__xludf.DUMMYFUNCTION("""COMPUTED_VALUE"""),"Công lập")</f>
        <v>Công lập</v>
      </c>
      <c r="O5" s="26" t="str">
        <f>IFERROR(__xludf.DUMMYFUNCTION("""COMPUTED_VALUE"""),"Dân lập")</f>
        <v>Dân lập</v>
      </c>
      <c r="P5" s="26" t="str">
        <f>IFERROR(__xludf.DUMMYFUNCTION("""COMPUTED_VALUE"""),"Tư thục")</f>
        <v>Tư thục</v>
      </c>
      <c r="Q5" s="25"/>
      <c r="R5" s="26" t="str">
        <f>IFERROR(__xludf.DUMMYFUNCTION("""COMPUTED_VALUE"""),"Công lập")</f>
        <v>Công lập</v>
      </c>
      <c r="S5" s="26" t="str">
        <f>IFERROR(__xludf.DUMMYFUNCTION("""COMPUTED_VALUE"""),"Dân lập")</f>
        <v>Dân lập</v>
      </c>
      <c r="T5" s="26" t="str">
        <f>IFERROR(__xludf.DUMMYFUNCTION("""COMPUTED_VALUE"""),"Tư thục")</f>
        <v>Tư thục</v>
      </c>
      <c r="U5" s="25"/>
      <c r="V5" s="26" t="str">
        <f>IFERROR(__xludf.DUMMYFUNCTION("""COMPUTED_VALUE"""),"Công lập")</f>
        <v>Công lập</v>
      </c>
      <c r="W5" s="26" t="str">
        <f>IFERROR(__xludf.DUMMYFUNCTION("""COMPUTED_VALUE"""),"Dân lập")</f>
        <v>Dân lập</v>
      </c>
      <c r="X5" s="26" t="str">
        <f>IFERROR(__xludf.DUMMYFUNCTION("""COMPUTED_VALUE"""),"Tư thục")</f>
        <v>Tư thục</v>
      </c>
      <c r="Y5" s="25"/>
      <c r="Z5" s="26" t="str">
        <f>IFERROR(__xludf.DUMMYFUNCTION("""COMPUTED_VALUE"""),"Công lập")</f>
        <v>Công lập</v>
      </c>
      <c r="AA5" s="26" t="str">
        <f>IFERROR(__xludf.DUMMYFUNCTION("""COMPUTED_VALUE"""),"Dân lập")</f>
        <v>Dân lập</v>
      </c>
      <c r="AB5" s="26" t="str">
        <f>IFERROR(__xludf.DUMMYFUNCTION("""COMPUTED_VALUE"""),"Tư thục")</f>
        <v>Tư thục</v>
      </c>
      <c r="AC5" s="25"/>
      <c r="AD5" s="26" t="str">
        <f>IFERROR(__xludf.DUMMYFUNCTION("""COMPUTED_VALUE"""),"Công lập")</f>
        <v>Công lập</v>
      </c>
      <c r="AE5" s="26" t="str">
        <f>IFERROR(__xludf.DUMMYFUNCTION("""COMPUTED_VALUE"""),"Dân lập")</f>
        <v>Dân lập</v>
      </c>
      <c r="AF5" s="26" t="str">
        <f>IFERROR(__xludf.DUMMYFUNCTION("""COMPUTED_VALUE"""),"Tư thục")</f>
        <v>Tư thục</v>
      </c>
      <c r="AG5" s="25"/>
      <c r="AH5" s="26" t="str">
        <f>IFERROR(__xludf.DUMMYFUNCTION("""COMPUTED_VALUE"""),"Công lập")</f>
        <v>Công lập</v>
      </c>
      <c r="AI5" s="26" t="str">
        <f>IFERROR(__xludf.DUMMYFUNCTION("""COMPUTED_VALUE"""),"Dân lập")</f>
        <v>Dân lập</v>
      </c>
      <c r="AJ5" s="26" t="str">
        <f>IFERROR(__xludf.DUMMYFUNCTION("""COMPUTED_VALUE"""),"Tư thục")</f>
        <v>Tư thục</v>
      </c>
      <c r="AK5" s="25"/>
      <c r="AL5" s="26" t="str">
        <f>IFERROR(__xludf.DUMMYFUNCTION("""COMPUTED_VALUE"""),"Công lập")</f>
        <v>Công lập</v>
      </c>
      <c r="AM5" s="26" t="str">
        <f>IFERROR(__xludf.DUMMYFUNCTION("""COMPUTED_VALUE"""),"Dân lập")</f>
        <v>Dân lập</v>
      </c>
      <c r="AN5" s="26" t="str">
        <f>IFERROR(__xludf.DUMMYFUNCTION("""COMPUTED_VALUE"""),"Tư thục")</f>
        <v>Tư thục</v>
      </c>
      <c r="AO5" s="25"/>
      <c r="AP5" s="26" t="str">
        <f>IFERROR(__xludf.DUMMYFUNCTION("""COMPUTED_VALUE"""),"Công lập")</f>
        <v>Công lập</v>
      </c>
      <c r="AQ5" s="26" t="str">
        <f>IFERROR(__xludf.DUMMYFUNCTION("""COMPUTED_VALUE"""),"Dân lập")</f>
        <v>Dân lập</v>
      </c>
      <c r="AR5" s="26" t="str">
        <f>IFERROR(__xludf.DUMMYFUNCTION("""COMPUTED_VALUE"""),"Tư thục")</f>
        <v>Tư thục</v>
      </c>
      <c r="AS5" s="25"/>
      <c r="AT5" s="26" t="str">
        <f>IFERROR(__xludf.DUMMYFUNCTION("""COMPUTED_VALUE"""),"Công lập")</f>
        <v>Công lập</v>
      </c>
      <c r="AU5" s="26" t="str">
        <f>IFERROR(__xludf.DUMMYFUNCTION("""COMPUTED_VALUE"""),"Dân lập")</f>
        <v>Dân lập</v>
      </c>
      <c r="AV5" s="26" t="str">
        <f>IFERROR(__xludf.DUMMYFUNCTION("""COMPUTED_VALUE"""),"Tư thục")</f>
        <v>Tư thục</v>
      </c>
      <c r="AW5" s="25"/>
      <c r="AX5" s="26" t="str">
        <f>IFERROR(__xludf.DUMMYFUNCTION("""COMPUTED_VALUE"""),"Công lập")</f>
        <v>Công lập</v>
      </c>
      <c r="AY5" s="26" t="str">
        <f>IFERROR(__xludf.DUMMYFUNCTION("""COMPUTED_VALUE"""),"Dân lập")</f>
        <v>Dân lập</v>
      </c>
      <c r="AZ5" s="27" t="str">
        <f>IFERROR(__xludf.DUMMYFUNCTION("""COMPUTED_VALUE"""),"Tư thục")</f>
        <v>Tư thục</v>
      </c>
      <c r="BA5" s="16"/>
    </row>
    <row r="6" ht="13.5" customHeight="1">
      <c r="A6" s="6"/>
      <c r="B6" s="28" t="str">
        <f>IFERROR(__xludf.DUMMYFUNCTION("""COMPUTED_VALUE"""),"A")</f>
        <v>A</v>
      </c>
      <c r="C6" s="26" t="str">
        <f>IFERROR(__xludf.DUMMYFUNCTION("""COMPUTED_VALUE"""),"B")</f>
        <v>B</v>
      </c>
      <c r="D6" s="26" t="str">
        <f>IFERROR(__xludf.DUMMYFUNCTION("""COMPUTED_VALUE"""),"C")</f>
        <v>C</v>
      </c>
      <c r="E6" s="26" t="str">
        <f>IFERROR(__xludf.DUMMYFUNCTION("""COMPUTED_VALUE"""),"1=2+3+4")</f>
        <v>1=2+3+4</v>
      </c>
      <c r="F6" s="26">
        <f>IFERROR(__xludf.DUMMYFUNCTION("""COMPUTED_VALUE"""),2.0)</f>
        <v>2</v>
      </c>
      <c r="G6" s="26">
        <f>IFERROR(__xludf.DUMMYFUNCTION("""COMPUTED_VALUE"""),3.0)</f>
        <v>3</v>
      </c>
      <c r="H6" s="26">
        <f>IFERROR(__xludf.DUMMYFUNCTION("""COMPUTED_VALUE"""),4.0)</f>
        <v>4</v>
      </c>
      <c r="I6" s="26" t="str">
        <f>IFERROR(__xludf.DUMMYFUNCTION("""COMPUTED_VALUE"""),"1=2+3+4")</f>
        <v>1=2+3+4</v>
      </c>
      <c r="J6" s="26">
        <f>IFERROR(__xludf.DUMMYFUNCTION("""COMPUTED_VALUE"""),2.0)</f>
        <v>2</v>
      </c>
      <c r="K6" s="26">
        <f>IFERROR(__xludf.DUMMYFUNCTION("""COMPUTED_VALUE"""),3.0)</f>
        <v>3</v>
      </c>
      <c r="L6" s="26">
        <f>IFERROR(__xludf.DUMMYFUNCTION("""COMPUTED_VALUE"""),4.0)</f>
        <v>4</v>
      </c>
      <c r="M6" s="26" t="str">
        <f>IFERROR(__xludf.DUMMYFUNCTION("""COMPUTED_VALUE"""),"1=2+3+4")</f>
        <v>1=2+3+4</v>
      </c>
      <c r="N6" s="26">
        <f>IFERROR(__xludf.DUMMYFUNCTION("""COMPUTED_VALUE"""),2.0)</f>
        <v>2</v>
      </c>
      <c r="O6" s="26">
        <f>IFERROR(__xludf.DUMMYFUNCTION("""COMPUTED_VALUE"""),3.0)</f>
        <v>3</v>
      </c>
      <c r="P6" s="26">
        <f>IFERROR(__xludf.DUMMYFUNCTION("""COMPUTED_VALUE"""),4.0)</f>
        <v>4</v>
      </c>
      <c r="Q6" s="26" t="str">
        <f>IFERROR(__xludf.DUMMYFUNCTION("""COMPUTED_VALUE"""),"1=2+3+4")</f>
        <v>1=2+3+4</v>
      </c>
      <c r="R6" s="26">
        <f>IFERROR(__xludf.DUMMYFUNCTION("""COMPUTED_VALUE"""),2.0)</f>
        <v>2</v>
      </c>
      <c r="S6" s="26">
        <f>IFERROR(__xludf.DUMMYFUNCTION("""COMPUTED_VALUE"""),3.0)</f>
        <v>3</v>
      </c>
      <c r="T6" s="26">
        <f>IFERROR(__xludf.DUMMYFUNCTION("""COMPUTED_VALUE"""),4.0)</f>
        <v>4</v>
      </c>
      <c r="U6" s="26" t="str">
        <f>IFERROR(__xludf.DUMMYFUNCTION("""COMPUTED_VALUE"""),"1=2+3+4")</f>
        <v>1=2+3+4</v>
      </c>
      <c r="V6" s="26">
        <f>IFERROR(__xludf.DUMMYFUNCTION("""COMPUTED_VALUE"""),2.0)</f>
        <v>2</v>
      </c>
      <c r="W6" s="26">
        <f>IFERROR(__xludf.DUMMYFUNCTION("""COMPUTED_VALUE"""),3.0)</f>
        <v>3</v>
      </c>
      <c r="X6" s="26">
        <f>IFERROR(__xludf.DUMMYFUNCTION("""COMPUTED_VALUE"""),4.0)</f>
        <v>4</v>
      </c>
      <c r="Y6" s="26" t="str">
        <f>IFERROR(__xludf.DUMMYFUNCTION("""COMPUTED_VALUE"""),"1=2+3+4")</f>
        <v>1=2+3+4</v>
      </c>
      <c r="Z6" s="26">
        <f>IFERROR(__xludf.DUMMYFUNCTION("""COMPUTED_VALUE"""),2.0)</f>
        <v>2</v>
      </c>
      <c r="AA6" s="26">
        <f>IFERROR(__xludf.DUMMYFUNCTION("""COMPUTED_VALUE"""),3.0)</f>
        <v>3</v>
      </c>
      <c r="AB6" s="26">
        <f>IFERROR(__xludf.DUMMYFUNCTION("""COMPUTED_VALUE"""),4.0)</f>
        <v>4</v>
      </c>
      <c r="AC6" s="26" t="str">
        <f>IFERROR(__xludf.DUMMYFUNCTION("""COMPUTED_VALUE"""),"1=2+3+4")</f>
        <v>1=2+3+4</v>
      </c>
      <c r="AD6" s="26">
        <f>IFERROR(__xludf.DUMMYFUNCTION("""COMPUTED_VALUE"""),2.0)</f>
        <v>2</v>
      </c>
      <c r="AE6" s="26">
        <f>IFERROR(__xludf.DUMMYFUNCTION("""COMPUTED_VALUE"""),3.0)</f>
        <v>3</v>
      </c>
      <c r="AF6" s="26">
        <f>IFERROR(__xludf.DUMMYFUNCTION("""COMPUTED_VALUE"""),4.0)</f>
        <v>4</v>
      </c>
      <c r="AG6" s="26" t="str">
        <f>IFERROR(__xludf.DUMMYFUNCTION("""COMPUTED_VALUE"""),"1=2+3+4")</f>
        <v>1=2+3+4</v>
      </c>
      <c r="AH6" s="26">
        <f>IFERROR(__xludf.DUMMYFUNCTION("""COMPUTED_VALUE"""),2.0)</f>
        <v>2</v>
      </c>
      <c r="AI6" s="26">
        <f>IFERROR(__xludf.DUMMYFUNCTION("""COMPUTED_VALUE"""),3.0)</f>
        <v>3</v>
      </c>
      <c r="AJ6" s="26">
        <f>IFERROR(__xludf.DUMMYFUNCTION("""COMPUTED_VALUE"""),4.0)</f>
        <v>4</v>
      </c>
      <c r="AK6" s="26" t="str">
        <f>IFERROR(__xludf.DUMMYFUNCTION("""COMPUTED_VALUE"""),"1=2+3+4")</f>
        <v>1=2+3+4</v>
      </c>
      <c r="AL6" s="26">
        <f>IFERROR(__xludf.DUMMYFUNCTION("""COMPUTED_VALUE"""),2.0)</f>
        <v>2</v>
      </c>
      <c r="AM6" s="26">
        <f>IFERROR(__xludf.DUMMYFUNCTION("""COMPUTED_VALUE"""),3.0)</f>
        <v>3</v>
      </c>
      <c r="AN6" s="26">
        <f>IFERROR(__xludf.DUMMYFUNCTION("""COMPUTED_VALUE"""),4.0)</f>
        <v>4</v>
      </c>
      <c r="AO6" s="26" t="str">
        <f>IFERROR(__xludf.DUMMYFUNCTION("""COMPUTED_VALUE"""),"1=2+3+4")</f>
        <v>1=2+3+4</v>
      </c>
      <c r="AP6" s="26">
        <f>IFERROR(__xludf.DUMMYFUNCTION("""COMPUTED_VALUE"""),2.0)</f>
        <v>2</v>
      </c>
      <c r="AQ6" s="26">
        <f>IFERROR(__xludf.DUMMYFUNCTION("""COMPUTED_VALUE"""),3.0)</f>
        <v>3</v>
      </c>
      <c r="AR6" s="26">
        <f>IFERROR(__xludf.DUMMYFUNCTION("""COMPUTED_VALUE"""),4.0)</f>
        <v>4</v>
      </c>
      <c r="AS6" s="26" t="str">
        <f>IFERROR(__xludf.DUMMYFUNCTION("""COMPUTED_VALUE"""),"1=2+3+4")</f>
        <v>1=2+3+4</v>
      </c>
      <c r="AT6" s="26">
        <f>IFERROR(__xludf.DUMMYFUNCTION("""COMPUTED_VALUE"""),2.0)</f>
        <v>2</v>
      </c>
      <c r="AU6" s="26">
        <f>IFERROR(__xludf.DUMMYFUNCTION("""COMPUTED_VALUE"""),3.0)</f>
        <v>3</v>
      </c>
      <c r="AV6" s="26">
        <f>IFERROR(__xludf.DUMMYFUNCTION("""COMPUTED_VALUE"""),4.0)</f>
        <v>4</v>
      </c>
      <c r="AW6" s="26" t="str">
        <f>IFERROR(__xludf.DUMMYFUNCTION("""COMPUTED_VALUE"""),"1=2+3+4")</f>
        <v>1=2+3+4</v>
      </c>
      <c r="AX6" s="26">
        <f>IFERROR(__xludf.DUMMYFUNCTION("""COMPUTED_VALUE"""),2.0)</f>
        <v>2</v>
      </c>
      <c r="AY6" s="26">
        <f>IFERROR(__xludf.DUMMYFUNCTION("""COMPUTED_VALUE"""),3.0)</f>
        <v>3</v>
      </c>
      <c r="AZ6" s="27">
        <f>IFERROR(__xludf.DUMMYFUNCTION("""COMPUTED_VALUE"""),4.0)</f>
        <v>4</v>
      </c>
      <c r="BA6" s="16"/>
    </row>
    <row r="7" ht="15.75" customHeight="1">
      <c r="A7" s="29"/>
      <c r="B7" s="30" t="str">
        <f>IFERROR(__xludf.DUMMYFUNCTION("""COMPUTED_VALUE"""),"1. TRƯỜNG")</f>
        <v>1. TRƯỜNG</v>
      </c>
      <c r="C7" s="31" t="str">
        <f>IFERROR(__xludf.DUMMYFUNCTION("""COMPUTED_VALUE"""),"Tháng")</f>
        <v>Tháng</v>
      </c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3"/>
      <c r="BA7" s="34"/>
    </row>
    <row r="8" ht="15.75" customHeight="1">
      <c r="A8" s="29"/>
      <c r="B8" s="196" t="str">
        <f>IFERROR(__xludf.DUMMYFUNCTION("""COMPUTED_VALUE"""),"1.1. Tổng số")</f>
        <v>1.1. Tổng số</v>
      </c>
      <c r="C8" s="57"/>
      <c r="D8" s="57" t="str">
        <f>IFERROR(__xludf.DUMMYFUNCTION("""COMPUTED_VALUE"""),"Trường")</f>
        <v>Trường</v>
      </c>
      <c r="E8" s="125">
        <f>IFERROR(__xludf.DUMMYFUNCTION("""COMPUTED_VALUE"""),16.0)</f>
        <v>16</v>
      </c>
      <c r="F8" s="201">
        <f>IFERROR(__xludf.DUMMYFUNCTION("""COMPUTED_VALUE"""),15.0)</f>
        <v>15</v>
      </c>
      <c r="G8" s="201">
        <f>IFERROR(__xludf.DUMMYFUNCTION("""COMPUTED_VALUE"""),0.0)</f>
        <v>0</v>
      </c>
      <c r="H8" s="201">
        <f>IFERROR(__xludf.DUMMYFUNCTION("""COMPUTED_VALUE"""),1.0)</f>
        <v>1</v>
      </c>
      <c r="I8" s="125">
        <f>IFERROR(__xludf.DUMMYFUNCTION("""COMPUTED_VALUE"""),16.0)</f>
        <v>16</v>
      </c>
      <c r="J8" s="201">
        <f>IFERROR(__xludf.DUMMYFUNCTION("""COMPUTED_VALUE"""),15.0)</f>
        <v>15</v>
      </c>
      <c r="K8" s="201">
        <f>IFERROR(__xludf.DUMMYFUNCTION("""COMPUTED_VALUE"""),0.0)</f>
        <v>0</v>
      </c>
      <c r="L8" s="201">
        <f>IFERROR(__xludf.DUMMYFUNCTION("""COMPUTED_VALUE"""),1.0)</f>
        <v>1</v>
      </c>
      <c r="M8" s="125">
        <f>IFERROR(__xludf.DUMMYFUNCTION("""COMPUTED_VALUE"""),16.0)</f>
        <v>16</v>
      </c>
      <c r="N8" s="201">
        <f>IFERROR(__xludf.DUMMYFUNCTION("""COMPUTED_VALUE"""),15.0)</f>
        <v>15</v>
      </c>
      <c r="O8" s="201">
        <f>IFERROR(__xludf.DUMMYFUNCTION("""COMPUTED_VALUE"""),0.0)</f>
        <v>0</v>
      </c>
      <c r="P8" s="201">
        <f>IFERROR(__xludf.DUMMYFUNCTION("""COMPUTED_VALUE"""),1.0)</f>
        <v>1</v>
      </c>
      <c r="Q8" s="125">
        <f>IFERROR(__xludf.DUMMYFUNCTION("""COMPUTED_VALUE"""),16.0)</f>
        <v>16</v>
      </c>
      <c r="R8" s="201">
        <f>IFERROR(__xludf.DUMMYFUNCTION("""COMPUTED_VALUE"""),15.0)</f>
        <v>15</v>
      </c>
      <c r="S8" s="201">
        <f>IFERROR(__xludf.DUMMYFUNCTION("""COMPUTED_VALUE"""),0.0)</f>
        <v>0</v>
      </c>
      <c r="T8" s="201">
        <f>IFERROR(__xludf.DUMMYFUNCTION("""COMPUTED_VALUE"""),1.0)</f>
        <v>1</v>
      </c>
      <c r="U8" s="125">
        <f>IFERROR(__xludf.DUMMYFUNCTION("""COMPUTED_VALUE"""),16.0)</f>
        <v>16</v>
      </c>
      <c r="V8" s="201">
        <f>IFERROR(__xludf.DUMMYFUNCTION("""COMPUTED_VALUE"""),15.0)</f>
        <v>15</v>
      </c>
      <c r="W8" s="201">
        <f>IFERROR(__xludf.DUMMYFUNCTION("""COMPUTED_VALUE"""),0.0)</f>
        <v>0</v>
      </c>
      <c r="X8" s="201">
        <f>IFERROR(__xludf.DUMMYFUNCTION("""COMPUTED_VALUE"""),1.0)</f>
        <v>1</v>
      </c>
      <c r="Y8" s="125">
        <f>IFERROR(__xludf.DUMMYFUNCTION("""COMPUTED_VALUE"""),16.0)</f>
        <v>16</v>
      </c>
      <c r="Z8" s="201">
        <f>IFERROR(__xludf.DUMMYFUNCTION("""COMPUTED_VALUE"""),15.0)</f>
        <v>15</v>
      </c>
      <c r="AA8" s="201">
        <f>IFERROR(__xludf.DUMMYFUNCTION("""COMPUTED_VALUE"""),0.0)</f>
        <v>0</v>
      </c>
      <c r="AB8" s="201">
        <f>IFERROR(__xludf.DUMMYFUNCTION("""COMPUTED_VALUE"""),1.0)</f>
        <v>1</v>
      </c>
      <c r="AC8" s="125">
        <f>IFERROR(__xludf.DUMMYFUNCTION("""COMPUTED_VALUE"""),16.0)</f>
        <v>16</v>
      </c>
      <c r="AD8" s="201">
        <f>IFERROR(__xludf.DUMMYFUNCTION("""COMPUTED_VALUE"""),15.0)</f>
        <v>15</v>
      </c>
      <c r="AE8" s="201">
        <f>IFERROR(__xludf.DUMMYFUNCTION("""COMPUTED_VALUE"""),0.0)</f>
        <v>0</v>
      </c>
      <c r="AF8" s="201">
        <f>IFERROR(__xludf.DUMMYFUNCTION("""COMPUTED_VALUE"""),1.0)</f>
        <v>1</v>
      </c>
      <c r="AG8" s="125">
        <f>IFERROR(__xludf.DUMMYFUNCTION("""COMPUTED_VALUE"""),16.0)</f>
        <v>16</v>
      </c>
      <c r="AH8" s="201">
        <f>IFERROR(__xludf.DUMMYFUNCTION("""COMPUTED_VALUE"""),15.0)</f>
        <v>15</v>
      </c>
      <c r="AI8" s="201">
        <f>IFERROR(__xludf.DUMMYFUNCTION("""COMPUTED_VALUE"""),0.0)</f>
        <v>0</v>
      </c>
      <c r="AJ8" s="201">
        <f>IFERROR(__xludf.DUMMYFUNCTION("""COMPUTED_VALUE"""),1.0)</f>
        <v>1</v>
      </c>
      <c r="AK8" s="125">
        <f>IFERROR(__xludf.DUMMYFUNCTION("""COMPUTED_VALUE"""),15.0)</f>
        <v>15</v>
      </c>
      <c r="AL8" s="201">
        <f>IFERROR(__xludf.DUMMYFUNCTION("""COMPUTED_VALUE"""),14.0)</f>
        <v>14</v>
      </c>
      <c r="AM8" s="201">
        <f>IFERROR(__xludf.DUMMYFUNCTION("""COMPUTED_VALUE"""),0.0)</f>
        <v>0</v>
      </c>
      <c r="AN8" s="201">
        <f>IFERROR(__xludf.DUMMYFUNCTION("""COMPUTED_VALUE"""),1.0)</f>
        <v>1</v>
      </c>
      <c r="AO8" s="125">
        <f>IFERROR(__xludf.DUMMYFUNCTION("""COMPUTED_VALUE"""),15.0)</f>
        <v>15</v>
      </c>
      <c r="AP8" s="201">
        <f>IFERROR(__xludf.DUMMYFUNCTION("""COMPUTED_VALUE"""),14.0)</f>
        <v>14</v>
      </c>
      <c r="AQ8" s="201">
        <f>IFERROR(__xludf.DUMMYFUNCTION("""COMPUTED_VALUE"""),0.0)</f>
        <v>0</v>
      </c>
      <c r="AR8" s="201">
        <f>IFERROR(__xludf.DUMMYFUNCTION("""COMPUTED_VALUE"""),1.0)</f>
        <v>1</v>
      </c>
      <c r="AS8" s="125">
        <f>IFERROR(__xludf.DUMMYFUNCTION("""COMPUTED_VALUE"""),15.0)</f>
        <v>15</v>
      </c>
      <c r="AT8" s="201">
        <f>IFERROR(__xludf.DUMMYFUNCTION("""COMPUTED_VALUE"""),14.0)</f>
        <v>14</v>
      </c>
      <c r="AU8" s="201">
        <f>IFERROR(__xludf.DUMMYFUNCTION("""COMPUTED_VALUE"""),0.0)</f>
        <v>0</v>
      </c>
      <c r="AV8" s="201">
        <f>IFERROR(__xludf.DUMMYFUNCTION("""COMPUTED_VALUE"""),1.0)</f>
        <v>1</v>
      </c>
      <c r="AW8" s="125">
        <f>IFERROR(__xludf.DUMMYFUNCTION("""COMPUTED_VALUE"""),15.0)</f>
        <v>15</v>
      </c>
      <c r="AX8" s="201">
        <f>IFERROR(__xludf.DUMMYFUNCTION("""COMPUTED_VALUE"""),14.0)</f>
        <v>14</v>
      </c>
      <c r="AY8" s="201">
        <f>IFERROR(__xludf.DUMMYFUNCTION("""COMPUTED_VALUE"""),0.0)</f>
        <v>0</v>
      </c>
      <c r="AZ8" s="202">
        <f>IFERROR(__xludf.DUMMYFUNCTION("""COMPUTED_VALUE"""),1.0)</f>
        <v>1</v>
      </c>
      <c r="BA8" s="34"/>
    </row>
    <row r="9" ht="15.75" customHeight="1">
      <c r="A9" s="29"/>
      <c r="B9" s="48" t="str">
        <f>IFERROR(__xludf.DUMMYFUNCTION("""COMPUTED_VALUE"""),"Trong tổng số có:")</f>
        <v>Trong tổng số có:</v>
      </c>
      <c r="C9" s="49"/>
      <c r="D9" s="3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50"/>
      <c r="BA9" s="34"/>
    </row>
    <row r="10" ht="15.75" customHeight="1">
      <c r="A10" s="29"/>
      <c r="B10" s="67" t="str">
        <f>IFERROR(__xludf.DUMMYFUNCTION("""COMPUTED_VALUE"""),"1.2. Số trường có điểm lẻ")</f>
        <v>1.2. Số trường có điểm lẻ</v>
      </c>
      <c r="C10" s="31"/>
      <c r="D10" s="31" t="str">
        <f>IFERROR(__xludf.DUMMYFUNCTION("""COMPUTED_VALUE"""),"Trường")</f>
        <v>Trường</v>
      </c>
      <c r="E10" s="41">
        <f>IFERROR(__xludf.DUMMYFUNCTION("""COMPUTED_VALUE"""),3.0)</f>
        <v>3</v>
      </c>
      <c r="F10" s="42">
        <f>IFERROR(__xludf.DUMMYFUNCTION("""COMPUTED_VALUE"""),3.0)</f>
        <v>3</v>
      </c>
      <c r="G10" s="42">
        <f>IFERROR(__xludf.DUMMYFUNCTION("""COMPUTED_VALUE"""),0.0)</f>
        <v>0</v>
      </c>
      <c r="H10" s="42">
        <f>IFERROR(__xludf.DUMMYFUNCTION("""COMPUTED_VALUE"""),0.0)</f>
        <v>0</v>
      </c>
      <c r="I10" s="41">
        <f>IFERROR(__xludf.DUMMYFUNCTION("""COMPUTED_VALUE"""),2.0)</f>
        <v>2</v>
      </c>
      <c r="J10" s="42">
        <f>IFERROR(__xludf.DUMMYFUNCTION("""COMPUTED_VALUE"""),2.0)</f>
        <v>2</v>
      </c>
      <c r="K10" s="42">
        <f>IFERROR(__xludf.DUMMYFUNCTION("""COMPUTED_VALUE"""),0.0)</f>
        <v>0</v>
      </c>
      <c r="L10" s="42">
        <f>IFERROR(__xludf.DUMMYFUNCTION("""COMPUTED_VALUE"""),0.0)</f>
        <v>0</v>
      </c>
      <c r="M10" s="41">
        <f>IFERROR(__xludf.DUMMYFUNCTION("""COMPUTED_VALUE"""),2.0)</f>
        <v>2</v>
      </c>
      <c r="N10" s="42">
        <f>IFERROR(__xludf.DUMMYFUNCTION("""COMPUTED_VALUE"""),2.0)</f>
        <v>2</v>
      </c>
      <c r="O10" s="42">
        <f>IFERROR(__xludf.DUMMYFUNCTION("""COMPUTED_VALUE"""),0.0)</f>
        <v>0</v>
      </c>
      <c r="P10" s="42">
        <f>IFERROR(__xludf.DUMMYFUNCTION("""COMPUTED_VALUE"""),0.0)</f>
        <v>0</v>
      </c>
      <c r="Q10" s="41">
        <f>IFERROR(__xludf.DUMMYFUNCTION("""COMPUTED_VALUE"""),2.0)</f>
        <v>2</v>
      </c>
      <c r="R10" s="42">
        <f>IFERROR(__xludf.DUMMYFUNCTION("""COMPUTED_VALUE"""),2.0)</f>
        <v>2</v>
      </c>
      <c r="S10" s="42">
        <f>IFERROR(__xludf.DUMMYFUNCTION("""COMPUTED_VALUE"""),0.0)</f>
        <v>0</v>
      </c>
      <c r="T10" s="42">
        <f>IFERROR(__xludf.DUMMYFUNCTION("""COMPUTED_VALUE"""),0.0)</f>
        <v>0</v>
      </c>
      <c r="U10" s="41">
        <f>IFERROR(__xludf.DUMMYFUNCTION("""COMPUTED_VALUE"""),1.0)</f>
        <v>1</v>
      </c>
      <c r="V10" s="42">
        <f>IFERROR(__xludf.DUMMYFUNCTION("""COMPUTED_VALUE"""),1.0)</f>
        <v>1</v>
      </c>
      <c r="W10" s="42">
        <f>IFERROR(__xludf.DUMMYFUNCTION("""COMPUTED_VALUE"""),0.0)</f>
        <v>0</v>
      </c>
      <c r="X10" s="42">
        <f>IFERROR(__xludf.DUMMYFUNCTION("""COMPUTED_VALUE"""),0.0)</f>
        <v>0</v>
      </c>
      <c r="Y10" s="41">
        <f>IFERROR(__xludf.DUMMYFUNCTION("""COMPUTED_VALUE"""),1.0)</f>
        <v>1</v>
      </c>
      <c r="Z10" s="42">
        <f>IFERROR(__xludf.DUMMYFUNCTION("""COMPUTED_VALUE"""),1.0)</f>
        <v>1</v>
      </c>
      <c r="AA10" s="42">
        <f>IFERROR(__xludf.DUMMYFUNCTION("""COMPUTED_VALUE"""),0.0)</f>
        <v>0</v>
      </c>
      <c r="AB10" s="42">
        <f>IFERROR(__xludf.DUMMYFUNCTION("""COMPUTED_VALUE"""),0.0)</f>
        <v>0</v>
      </c>
      <c r="AC10" s="41">
        <f>IFERROR(__xludf.DUMMYFUNCTION("""COMPUTED_VALUE"""),1.0)</f>
        <v>1</v>
      </c>
      <c r="AD10" s="42">
        <f>IFERROR(__xludf.DUMMYFUNCTION("""COMPUTED_VALUE"""),1.0)</f>
        <v>1</v>
      </c>
      <c r="AE10" s="42">
        <f>IFERROR(__xludf.DUMMYFUNCTION("""COMPUTED_VALUE"""),0.0)</f>
        <v>0</v>
      </c>
      <c r="AF10" s="42">
        <f>IFERROR(__xludf.DUMMYFUNCTION("""COMPUTED_VALUE"""),0.0)</f>
        <v>0</v>
      </c>
      <c r="AG10" s="41">
        <f>IFERROR(__xludf.DUMMYFUNCTION("""COMPUTED_VALUE"""),0.0)</f>
        <v>0</v>
      </c>
      <c r="AH10" s="42">
        <f>IFERROR(__xludf.DUMMYFUNCTION("""COMPUTED_VALUE"""),0.0)</f>
        <v>0</v>
      </c>
      <c r="AI10" s="42">
        <f>IFERROR(__xludf.DUMMYFUNCTION("""COMPUTED_VALUE"""),0.0)</f>
        <v>0</v>
      </c>
      <c r="AJ10" s="42">
        <f>IFERROR(__xludf.DUMMYFUNCTION("""COMPUTED_VALUE"""),0.0)</f>
        <v>0</v>
      </c>
      <c r="AK10" s="41">
        <f>IFERROR(__xludf.DUMMYFUNCTION("""COMPUTED_VALUE"""),0.0)</f>
        <v>0</v>
      </c>
      <c r="AL10" s="42">
        <f>IFERROR(__xludf.DUMMYFUNCTION("""COMPUTED_VALUE"""),0.0)</f>
        <v>0</v>
      </c>
      <c r="AM10" s="42">
        <f>IFERROR(__xludf.DUMMYFUNCTION("""COMPUTED_VALUE"""),0.0)</f>
        <v>0</v>
      </c>
      <c r="AN10" s="42">
        <f>IFERROR(__xludf.DUMMYFUNCTION("""COMPUTED_VALUE"""),0.0)</f>
        <v>0</v>
      </c>
      <c r="AO10" s="41">
        <f>IFERROR(__xludf.DUMMYFUNCTION("""COMPUTED_VALUE"""),0.0)</f>
        <v>0</v>
      </c>
      <c r="AP10" s="42">
        <f>IFERROR(__xludf.DUMMYFUNCTION("""COMPUTED_VALUE"""),0.0)</f>
        <v>0</v>
      </c>
      <c r="AQ10" s="42">
        <f>IFERROR(__xludf.DUMMYFUNCTION("""COMPUTED_VALUE"""),0.0)</f>
        <v>0</v>
      </c>
      <c r="AR10" s="42">
        <f>IFERROR(__xludf.DUMMYFUNCTION("""COMPUTED_VALUE"""),0.0)</f>
        <v>0</v>
      </c>
      <c r="AS10" s="41">
        <f>IFERROR(__xludf.DUMMYFUNCTION("""COMPUTED_VALUE"""),0.0)</f>
        <v>0</v>
      </c>
      <c r="AT10" s="42">
        <f>IFERROR(__xludf.DUMMYFUNCTION("""COMPUTED_VALUE"""),0.0)</f>
        <v>0</v>
      </c>
      <c r="AU10" s="42">
        <f>IFERROR(__xludf.DUMMYFUNCTION("""COMPUTED_VALUE"""),0.0)</f>
        <v>0</v>
      </c>
      <c r="AV10" s="42">
        <f>IFERROR(__xludf.DUMMYFUNCTION("""COMPUTED_VALUE"""),0.0)</f>
        <v>0</v>
      </c>
      <c r="AW10" s="41">
        <f>IFERROR(__xludf.DUMMYFUNCTION("""COMPUTED_VALUE"""),0.0)</f>
        <v>0</v>
      </c>
      <c r="AX10" s="42">
        <f>IFERROR(__xludf.DUMMYFUNCTION("""COMPUTED_VALUE"""),0.0)</f>
        <v>0</v>
      </c>
      <c r="AY10" s="42">
        <f>IFERROR(__xludf.DUMMYFUNCTION("""COMPUTED_VALUE"""),0.0)</f>
        <v>0</v>
      </c>
      <c r="AZ10" s="43">
        <f>IFERROR(__xludf.DUMMYFUNCTION("""COMPUTED_VALUE"""),0.0)</f>
        <v>0</v>
      </c>
      <c r="BA10" s="34"/>
    </row>
    <row r="11" ht="15.75" customHeight="1">
      <c r="A11" s="29"/>
      <c r="B11" s="52" t="str">
        <f>IFERROR(__xludf.DUMMYFUNCTION("""COMPUTED_VALUE"""),"Tổng số điểm lẻ")</f>
        <v>Tổng số điểm lẻ</v>
      </c>
      <c r="C11" s="49"/>
      <c r="D11" s="31" t="str">
        <f>IFERROR(__xludf.DUMMYFUNCTION("""COMPUTED_VALUE"""),"Điểm")</f>
        <v>Điểm</v>
      </c>
      <c r="E11" s="41">
        <f>IFERROR(__xludf.DUMMYFUNCTION("""COMPUTED_VALUE"""),3.0)</f>
        <v>3</v>
      </c>
      <c r="F11" s="42">
        <f>IFERROR(__xludf.DUMMYFUNCTION("""COMPUTED_VALUE"""),3.0)</f>
        <v>3</v>
      </c>
      <c r="G11" s="42">
        <f>IFERROR(__xludf.DUMMYFUNCTION("""COMPUTED_VALUE"""),0.0)</f>
        <v>0</v>
      </c>
      <c r="H11" s="42">
        <f>IFERROR(__xludf.DUMMYFUNCTION("""COMPUTED_VALUE"""),0.0)</f>
        <v>0</v>
      </c>
      <c r="I11" s="41">
        <f>IFERROR(__xludf.DUMMYFUNCTION("""COMPUTED_VALUE"""),2.0)</f>
        <v>2</v>
      </c>
      <c r="J11" s="42">
        <f>IFERROR(__xludf.DUMMYFUNCTION("""COMPUTED_VALUE"""),2.0)</f>
        <v>2</v>
      </c>
      <c r="K11" s="42">
        <f>IFERROR(__xludf.DUMMYFUNCTION("""COMPUTED_VALUE"""),0.0)</f>
        <v>0</v>
      </c>
      <c r="L11" s="42">
        <f>IFERROR(__xludf.DUMMYFUNCTION("""COMPUTED_VALUE"""),0.0)</f>
        <v>0</v>
      </c>
      <c r="M11" s="41">
        <f>IFERROR(__xludf.DUMMYFUNCTION("""COMPUTED_VALUE"""),2.0)</f>
        <v>2</v>
      </c>
      <c r="N11" s="42">
        <f>IFERROR(__xludf.DUMMYFUNCTION("""COMPUTED_VALUE"""),2.0)</f>
        <v>2</v>
      </c>
      <c r="O11" s="42">
        <f>IFERROR(__xludf.DUMMYFUNCTION("""COMPUTED_VALUE"""),0.0)</f>
        <v>0</v>
      </c>
      <c r="P11" s="42">
        <f>IFERROR(__xludf.DUMMYFUNCTION("""COMPUTED_VALUE"""),0.0)</f>
        <v>0</v>
      </c>
      <c r="Q11" s="41">
        <f>IFERROR(__xludf.DUMMYFUNCTION("""COMPUTED_VALUE"""),2.0)</f>
        <v>2</v>
      </c>
      <c r="R11" s="42">
        <f>IFERROR(__xludf.DUMMYFUNCTION("""COMPUTED_VALUE"""),2.0)</f>
        <v>2</v>
      </c>
      <c r="S11" s="42">
        <f>IFERROR(__xludf.DUMMYFUNCTION("""COMPUTED_VALUE"""),0.0)</f>
        <v>0</v>
      </c>
      <c r="T11" s="42">
        <f>IFERROR(__xludf.DUMMYFUNCTION("""COMPUTED_VALUE"""),0.0)</f>
        <v>0</v>
      </c>
      <c r="U11" s="41">
        <f>IFERROR(__xludf.DUMMYFUNCTION("""COMPUTED_VALUE"""),1.0)</f>
        <v>1</v>
      </c>
      <c r="V11" s="42">
        <f>IFERROR(__xludf.DUMMYFUNCTION("""COMPUTED_VALUE"""),1.0)</f>
        <v>1</v>
      </c>
      <c r="W11" s="42">
        <f>IFERROR(__xludf.DUMMYFUNCTION("""COMPUTED_VALUE"""),0.0)</f>
        <v>0</v>
      </c>
      <c r="X11" s="42">
        <f>IFERROR(__xludf.DUMMYFUNCTION("""COMPUTED_VALUE"""),0.0)</f>
        <v>0</v>
      </c>
      <c r="Y11" s="41">
        <f>IFERROR(__xludf.DUMMYFUNCTION("""COMPUTED_VALUE"""),1.0)</f>
        <v>1</v>
      </c>
      <c r="Z11" s="42">
        <f>IFERROR(__xludf.DUMMYFUNCTION("""COMPUTED_VALUE"""),1.0)</f>
        <v>1</v>
      </c>
      <c r="AA11" s="42">
        <f>IFERROR(__xludf.DUMMYFUNCTION("""COMPUTED_VALUE"""),0.0)</f>
        <v>0</v>
      </c>
      <c r="AB11" s="42">
        <f>IFERROR(__xludf.DUMMYFUNCTION("""COMPUTED_VALUE"""),0.0)</f>
        <v>0</v>
      </c>
      <c r="AC11" s="41">
        <f>IFERROR(__xludf.DUMMYFUNCTION("""COMPUTED_VALUE"""),1.0)</f>
        <v>1</v>
      </c>
      <c r="AD11" s="42">
        <f>IFERROR(__xludf.DUMMYFUNCTION("""COMPUTED_VALUE"""),1.0)</f>
        <v>1</v>
      </c>
      <c r="AE11" s="42">
        <f>IFERROR(__xludf.DUMMYFUNCTION("""COMPUTED_VALUE"""),0.0)</f>
        <v>0</v>
      </c>
      <c r="AF11" s="42">
        <f>IFERROR(__xludf.DUMMYFUNCTION("""COMPUTED_VALUE"""),0.0)</f>
        <v>0</v>
      </c>
      <c r="AG11" s="41">
        <f>IFERROR(__xludf.DUMMYFUNCTION("""COMPUTED_VALUE"""),0.0)</f>
        <v>0</v>
      </c>
      <c r="AH11" s="42">
        <f>IFERROR(__xludf.DUMMYFUNCTION("""COMPUTED_VALUE"""),0.0)</f>
        <v>0</v>
      </c>
      <c r="AI11" s="42">
        <f>IFERROR(__xludf.DUMMYFUNCTION("""COMPUTED_VALUE"""),0.0)</f>
        <v>0</v>
      </c>
      <c r="AJ11" s="42">
        <f>IFERROR(__xludf.DUMMYFUNCTION("""COMPUTED_VALUE"""),0.0)</f>
        <v>0</v>
      </c>
      <c r="AK11" s="41">
        <f>IFERROR(__xludf.DUMMYFUNCTION("""COMPUTED_VALUE"""),0.0)</f>
        <v>0</v>
      </c>
      <c r="AL11" s="42">
        <f>IFERROR(__xludf.DUMMYFUNCTION("""COMPUTED_VALUE"""),0.0)</f>
        <v>0</v>
      </c>
      <c r="AM11" s="42">
        <f>IFERROR(__xludf.DUMMYFUNCTION("""COMPUTED_VALUE"""),0.0)</f>
        <v>0</v>
      </c>
      <c r="AN11" s="42">
        <f>IFERROR(__xludf.DUMMYFUNCTION("""COMPUTED_VALUE"""),0.0)</f>
        <v>0</v>
      </c>
      <c r="AO11" s="41">
        <f>IFERROR(__xludf.DUMMYFUNCTION("""COMPUTED_VALUE"""),0.0)</f>
        <v>0</v>
      </c>
      <c r="AP11" s="42">
        <f>IFERROR(__xludf.DUMMYFUNCTION("""COMPUTED_VALUE"""),0.0)</f>
        <v>0</v>
      </c>
      <c r="AQ11" s="42">
        <f>IFERROR(__xludf.DUMMYFUNCTION("""COMPUTED_VALUE"""),0.0)</f>
        <v>0</v>
      </c>
      <c r="AR11" s="42">
        <f>IFERROR(__xludf.DUMMYFUNCTION("""COMPUTED_VALUE"""),0.0)</f>
        <v>0</v>
      </c>
      <c r="AS11" s="41">
        <f>IFERROR(__xludf.DUMMYFUNCTION("""COMPUTED_VALUE"""),0.0)</f>
        <v>0</v>
      </c>
      <c r="AT11" s="42">
        <f>IFERROR(__xludf.DUMMYFUNCTION("""COMPUTED_VALUE"""),0.0)</f>
        <v>0</v>
      </c>
      <c r="AU11" s="42">
        <f>IFERROR(__xludf.DUMMYFUNCTION("""COMPUTED_VALUE"""),0.0)</f>
        <v>0</v>
      </c>
      <c r="AV11" s="42">
        <f>IFERROR(__xludf.DUMMYFUNCTION("""COMPUTED_VALUE"""),0.0)</f>
        <v>0</v>
      </c>
      <c r="AW11" s="41">
        <f>IFERROR(__xludf.DUMMYFUNCTION("""COMPUTED_VALUE"""),0.0)</f>
        <v>0</v>
      </c>
      <c r="AX11" s="42">
        <f>IFERROR(__xludf.DUMMYFUNCTION("""COMPUTED_VALUE"""),0.0)</f>
        <v>0</v>
      </c>
      <c r="AY11" s="42">
        <f>IFERROR(__xludf.DUMMYFUNCTION("""COMPUTED_VALUE"""),0.0)</f>
        <v>0</v>
      </c>
      <c r="AZ11" s="43">
        <f>IFERROR(__xludf.DUMMYFUNCTION("""COMPUTED_VALUE"""),0.0)</f>
        <v>0</v>
      </c>
      <c r="BA11" s="34"/>
    </row>
    <row r="12" ht="15.75" customHeight="1">
      <c r="A12" s="29"/>
      <c r="B12" s="67" t="str">
        <f>IFERROR(__xludf.DUMMYFUNCTION("""COMPUTED_VALUE"""),"1.3. Số trường đạt chuẩn quốc gia")</f>
        <v>1.3. Số trường đạt chuẩn quốc gia</v>
      </c>
      <c r="C12" s="31"/>
      <c r="D12" s="31" t="str">
        <f>IFERROR(__xludf.DUMMYFUNCTION("""COMPUTED_VALUE"""),"Trường")</f>
        <v>Trường</v>
      </c>
      <c r="E12" s="41">
        <f>IFERROR(__xludf.DUMMYFUNCTION("""COMPUTED_VALUE"""),10.0)</f>
        <v>10</v>
      </c>
      <c r="F12" s="42">
        <f>IFERROR(__xludf.DUMMYFUNCTION("""COMPUTED_VALUE"""),10.0)</f>
        <v>10</v>
      </c>
      <c r="G12" s="42">
        <f>IFERROR(__xludf.DUMMYFUNCTION("""COMPUTED_VALUE"""),0.0)</f>
        <v>0</v>
      </c>
      <c r="H12" s="42">
        <f>IFERROR(__xludf.DUMMYFUNCTION("""COMPUTED_VALUE"""),0.0)</f>
        <v>0</v>
      </c>
      <c r="I12" s="41">
        <f>IFERROR(__xludf.DUMMYFUNCTION("""COMPUTED_VALUE"""),9.0)</f>
        <v>9</v>
      </c>
      <c r="J12" s="42">
        <f>IFERROR(__xludf.DUMMYFUNCTION("""COMPUTED_VALUE"""),9.0)</f>
        <v>9</v>
      </c>
      <c r="K12" s="42">
        <f>IFERROR(__xludf.DUMMYFUNCTION("""COMPUTED_VALUE"""),0.0)</f>
        <v>0</v>
      </c>
      <c r="L12" s="42">
        <f>IFERROR(__xludf.DUMMYFUNCTION("""COMPUTED_VALUE"""),0.0)</f>
        <v>0</v>
      </c>
      <c r="M12" s="41">
        <f>IFERROR(__xludf.DUMMYFUNCTION("""COMPUTED_VALUE"""),9.0)</f>
        <v>9</v>
      </c>
      <c r="N12" s="42">
        <f>IFERROR(__xludf.DUMMYFUNCTION("""COMPUTED_VALUE"""),9.0)</f>
        <v>9</v>
      </c>
      <c r="O12" s="42">
        <f>IFERROR(__xludf.DUMMYFUNCTION("""COMPUTED_VALUE"""),0.0)</f>
        <v>0</v>
      </c>
      <c r="P12" s="42">
        <f>IFERROR(__xludf.DUMMYFUNCTION("""COMPUTED_VALUE"""),0.0)</f>
        <v>0</v>
      </c>
      <c r="Q12" s="41">
        <f>IFERROR(__xludf.DUMMYFUNCTION("""COMPUTED_VALUE"""),10.0)</f>
        <v>10</v>
      </c>
      <c r="R12" s="42">
        <f>IFERROR(__xludf.DUMMYFUNCTION("""COMPUTED_VALUE"""),10.0)</f>
        <v>10</v>
      </c>
      <c r="S12" s="42">
        <f>IFERROR(__xludf.DUMMYFUNCTION("""COMPUTED_VALUE"""),0.0)</f>
        <v>0</v>
      </c>
      <c r="T12" s="42">
        <f>IFERROR(__xludf.DUMMYFUNCTION("""COMPUTED_VALUE"""),0.0)</f>
        <v>0</v>
      </c>
      <c r="U12" s="41">
        <f>IFERROR(__xludf.DUMMYFUNCTION("""COMPUTED_VALUE"""),9.0)</f>
        <v>9</v>
      </c>
      <c r="V12" s="42">
        <f>IFERROR(__xludf.DUMMYFUNCTION("""COMPUTED_VALUE"""),9.0)</f>
        <v>9</v>
      </c>
      <c r="W12" s="42">
        <f>IFERROR(__xludf.DUMMYFUNCTION("""COMPUTED_VALUE"""),0.0)</f>
        <v>0</v>
      </c>
      <c r="X12" s="42">
        <f>IFERROR(__xludf.DUMMYFUNCTION("""COMPUTED_VALUE"""),0.0)</f>
        <v>0</v>
      </c>
      <c r="Y12" s="41">
        <f>IFERROR(__xludf.DUMMYFUNCTION("""COMPUTED_VALUE"""),8.0)</f>
        <v>8</v>
      </c>
      <c r="Z12" s="42">
        <f>IFERROR(__xludf.DUMMYFUNCTION("""COMPUTED_VALUE"""),8.0)</f>
        <v>8</v>
      </c>
      <c r="AA12" s="42">
        <f>IFERROR(__xludf.DUMMYFUNCTION("""COMPUTED_VALUE"""),0.0)</f>
        <v>0</v>
      </c>
      <c r="AB12" s="42">
        <f>IFERROR(__xludf.DUMMYFUNCTION("""COMPUTED_VALUE"""),0.0)</f>
        <v>0</v>
      </c>
      <c r="AC12" s="41">
        <f>IFERROR(__xludf.DUMMYFUNCTION("""COMPUTED_VALUE"""),8.0)</f>
        <v>8</v>
      </c>
      <c r="AD12" s="42">
        <f>IFERROR(__xludf.DUMMYFUNCTION("""COMPUTED_VALUE"""),8.0)</f>
        <v>8</v>
      </c>
      <c r="AE12" s="42">
        <f>IFERROR(__xludf.DUMMYFUNCTION("""COMPUTED_VALUE"""),0.0)</f>
        <v>0</v>
      </c>
      <c r="AF12" s="42">
        <f>IFERROR(__xludf.DUMMYFUNCTION("""COMPUTED_VALUE"""),0.0)</f>
        <v>0</v>
      </c>
      <c r="AG12" s="41">
        <f>IFERROR(__xludf.DUMMYFUNCTION("""COMPUTED_VALUE"""),3.0)</f>
        <v>3</v>
      </c>
      <c r="AH12" s="42">
        <f>IFERROR(__xludf.DUMMYFUNCTION("""COMPUTED_VALUE"""),3.0)</f>
        <v>3</v>
      </c>
      <c r="AI12" s="42">
        <f>IFERROR(__xludf.DUMMYFUNCTION("""COMPUTED_VALUE"""),0.0)</f>
        <v>0</v>
      </c>
      <c r="AJ12" s="42">
        <f>IFERROR(__xludf.DUMMYFUNCTION("""COMPUTED_VALUE"""),0.0)</f>
        <v>0</v>
      </c>
      <c r="AK12" s="41">
        <f>IFERROR(__xludf.DUMMYFUNCTION("""COMPUTED_VALUE"""),1.0)</f>
        <v>1</v>
      </c>
      <c r="AL12" s="42">
        <f>IFERROR(__xludf.DUMMYFUNCTION("""COMPUTED_VALUE"""),1.0)</f>
        <v>1</v>
      </c>
      <c r="AM12" s="42">
        <f>IFERROR(__xludf.DUMMYFUNCTION("""COMPUTED_VALUE"""),0.0)</f>
        <v>0</v>
      </c>
      <c r="AN12" s="42">
        <f>IFERROR(__xludf.DUMMYFUNCTION("""COMPUTED_VALUE"""),0.0)</f>
        <v>0</v>
      </c>
      <c r="AO12" s="41">
        <f>IFERROR(__xludf.DUMMYFUNCTION("""COMPUTED_VALUE"""),1.0)</f>
        <v>1</v>
      </c>
      <c r="AP12" s="42">
        <f>IFERROR(__xludf.DUMMYFUNCTION("""COMPUTED_VALUE"""),1.0)</f>
        <v>1</v>
      </c>
      <c r="AQ12" s="42">
        <f>IFERROR(__xludf.DUMMYFUNCTION("""COMPUTED_VALUE"""),0.0)</f>
        <v>0</v>
      </c>
      <c r="AR12" s="42">
        <f>IFERROR(__xludf.DUMMYFUNCTION("""COMPUTED_VALUE"""),0.0)</f>
        <v>0</v>
      </c>
      <c r="AS12" s="41">
        <f>IFERROR(__xludf.DUMMYFUNCTION("""COMPUTED_VALUE"""),1.0)</f>
        <v>1</v>
      </c>
      <c r="AT12" s="42">
        <f>IFERROR(__xludf.DUMMYFUNCTION("""COMPUTED_VALUE"""),1.0)</f>
        <v>1</v>
      </c>
      <c r="AU12" s="42">
        <f>IFERROR(__xludf.DUMMYFUNCTION("""COMPUTED_VALUE"""),0.0)</f>
        <v>0</v>
      </c>
      <c r="AV12" s="42">
        <f>IFERROR(__xludf.DUMMYFUNCTION("""COMPUTED_VALUE"""),0.0)</f>
        <v>0</v>
      </c>
      <c r="AW12" s="41">
        <f>IFERROR(__xludf.DUMMYFUNCTION("""COMPUTED_VALUE"""),1.0)</f>
        <v>1</v>
      </c>
      <c r="AX12" s="42">
        <f>IFERROR(__xludf.DUMMYFUNCTION("""COMPUTED_VALUE"""),1.0)</f>
        <v>1</v>
      </c>
      <c r="AY12" s="42">
        <f>IFERROR(__xludf.DUMMYFUNCTION("""COMPUTED_VALUE"""),0.0)</f>
        <v>0</v>
      </c>
      <c r="AZ12" s="43">
        <f>IFERROR(__xludf.DUMMYFUNCTION("""COMPUTED_VALUE"""),0.0)</f>
        <v>0</v>
      </c>
      <c r="BA12" s="34"/>
    </row>
    <row r="13" ht="15.75" customHeight="1">
      <c r="A13" s="29"/>
      <c r="B13" s="67" t="str">
        <f>IFERROR(__xludf.DUMMYFUNCTION("""COMPUTED_VALUE"""),"1.4. Số trường ở vùng đặc biệt khó khăn")</f>
        <v>1.4. Số trường ở vùng đặc biệt khó khăn</v>
      </c>
      <c r="C13" s="31"/>
      <c r="D13" s="31" t="str">
        <f>IFERROR(__xludf.DUMMYFUNCTION("""COMPUTED_VALUE"""),"Trường")</f>
        <v>Trường</v>
      </c>
      <c r="E13" s="41">
        <f>IFERROR(__xludf.DUMMYFUNCTION("""COMPUTED_VALUE"""),3.0)</f>
        <v>3</v>
      </c>
      <c r="F13" s="42">
        <f>IFERROR(__xludf.DUMMYFUNCTION("""COMPUTED_VALUE"""),3.0)</f>
        <v>3</v>
      </c>
      <c r="G13" s="42">
        <f>IFERROR(__xludf.DUMMYFUNCTION("""COMPUTED_VALUE"""),0.0)</f>
        <v>0</v>
      </c>
      <c r="H13" s="42">
        <f>IFERROR(__xludf.DUMMYFUNCTION("""COMPUTED_VALUE"""),0.0)</f>
        <v>0</v>
      </c>
      <c r="I13" s="41">
        <f>IFERROR(__xludf.DUMMYFUNCTION("""COMPUTED_VALUE"""),3.0)</f>
        <v>3</v>
      </c>
      <c r="J13" s="42">
        <f>IFERROR(__xludf.DUMMYFUNCTION("""COMPUTED_VALUE"""),3.0)</f>
        <v>3</v>
      </c>
      <c r="K13" s="42">
        <f>IFERROR(__xludf.DUMMYFUNCTION("""COMPUTED_VALUE"""),0.0)</f>
        <v>0</v>
      </c>
      <c r="L13" s="42">
        <f>IFERROR(__xludf.DUMMYFUNCTION("""COMPUTED_VALUE"""),0.0)</f>
        <v>0</v>
      </c>
      <c r="M13" s="41">
        <f>IFERROR(__xludf.DUMMYFUNCTION("""COMPUTED_VALUE"""),3.0)</f>
        <v>3</v>
      </c>
      <c r="N13" s="42">
        <f>IFERROR(__xludf.DUMMYFUNCTION("""COMPUTED_VALUE"""),3.0)</f>
        <v>3</v>
      </c>
      <c r="O13" s="42">
        <f>IFERROR(__xludf.DUMMYFUNCTION("""COMPUTED_VALUE"""),0.0)</f>
        <v>0</v>
      </c>
      <c r="P13" s="42">
        <f>IFERROR(__xludf.DUMMYFUNCTION("""COMPUTED_VALUE"""),0.0)</f>
        <v>0</v>
      </c>
      <c r="Q13" s="41">
        <f>IFERROR(__xludf.DUMMYFUNCTION("""COMPUTED_VALUE"""),2.0)</f>
        <v>2</v>
      </c>
      <c r="R13" s="42">
        <f>IFERROR(__xludf.DUMMYFUNCTION("""COMPUTED_VALUE"""),2.0)</f>
        <v>2</v>
      </c>
      <c r="S13" s="42">
        <f>IFERROR(__xludf.DUMMYFUNCTION("""COMPUTED_VALUE"""),0.0)</f>
        <v>0</v>
      </c>
      <c r="T13" s="42">
        <f>IFERROR(__xludf.DUMMYFUNCTION("""COMPUTED_VALUE"""),0.0)</f>
        <v>0</v>
      </c>
      <c r="U13" s="41">
        <f>IFERROR(__xludf.DUMMYFUNCTION("""COMPUTED_VALUE"""),2.0)</f>
        <v>2</v>
      </c>
      <c r="V13" s="42">
        <f>IFERROR(__xludf.DUMMYFUNCTION("""COMPUTED_VALUE"""),2.0)</f>
        <v>2</v>
      </c>
      <c r="W13" s="42">
        <f>IFERROR(__xludf.DUMMYFUNCTION("""COMPUTED_VALUE"""),0.0)</f>
        <v>0</v>
      </c>
      <c r="X13" s="42">
        <f>IFERROR(__xludf.DUMMYFUNCTION("""COMPUTED_VALUE"""),0.0)</f>
        <v>0</v>
      </c>
      <c r="Y13" s="41">
        <f>IFERROR(__xludf.DUMMYFUNCTION("""COMPUTED_VALUE"""),2.0)</f>
        <v>2</v>
      </c>
      <c r="Z13" s="42">
        <f>IFERROR(__xludf.DUMMYFUNCTION("""COMPUTED_VALUE"""),2.0)</f>
        <v>2</v>
      </c>
      <c r="AA13" s="42">
        <f>IFERROR(__xludf.DUMMYFUNCTION("""COMPUTED_VALUE"""),0.0)</f>
        <v>0</v>
      </c>
      <c r="AB13" s="42">
        <f>IFERROR(__xludf.DUMMYFUNCTION("""COMPUTED_VALUE"""),0.0)</f>
        <v>0</v>
      </c>
      <c r="AC13" s="41">
        <f>IFERROR(__xludf.DUMMYFUNCTION("""COMPUTED_VALUE"""),2.0)</f>
        <v>2</v>
      </c>
      <c r="AD13" s="42">
        <f>IFERROR(__xludf.DUMMYFUNCTION("""COMPUTED_VALUE"""),2.0)</f>
        <v>2</v>
      </c>
      <c r="AE13" s="42">
        <f>IFERROR(__xludf.DUMMYFUNCTION("""COMPUTED_VALUE"""),0.0)</f>
        <v>0</v>
      </c>
      <c r="AF13" s="42">
        <f>IFERROR(__xludf.DUMMYFUNCTION("""COMPUTED_VALUE"""),0.0)</f>
        <v>0</v>
      </c>
      <c r="AG13" s="41">
        <f>IFERROR(__xludf.DUMMYFUNCTION("""COMPUTED_VALUE"""),1.0)</f>
        <v>1</v>
      </c>
      <c r="AH13" s="42">
        <f>IFERROR(__xludf.DUMMYFUNCTION("""COMPUTED_VALUE"""),1.0)</f>
        <v>1</v>
      </c>
      <c r="AI13" s="42">
        <f>IFERROR(__xludf.DUMMYFUNCTION("""COMPUTED_VALUE"""),0.0)</f>
        <v>0</v>
      </c>
      <c r="AJ13" s="42">
        <f>IFERROR(__xludf.DUMMYFUNCTION("""COMPUTED_VALUE"""),0.0)</f>
        <v>0</v>
      </c>
      <c r="AK13" s="41">
        <f>IFERROR(__xludf.DUMMYFUNCTION("""COMPUTED_VALUE"""),1.0)</f>
        <v>1</v>
      </c>
      <c r="AL13" s="42">
        <f>IFERROR(__xludf.DUMMYFUNCTION("""COMPUTED_VALUE"""),1.0)</f>
        <v>1</v>
      </c>
      <c r="AM13" s="42">
        <f>IFERROR(__xludf.DUMMYFUNCTION("""COMPUTED_VALUE"""),0.0)</f>
        <v>0</v>
      </c>
      <c r="AN13" s="42">
        <f>IFERROR(__xludf.DUMMYFUNCTION("""COMPUTED_VALUE"""),0.0)</f>
        <v>0</v>
      </c>
      <c r="AO13" s="41">
        <f>IFERROR(__xludf.DUMMYFUNCTION("""COMPUTED_VALUE"""),1.0)</f>
        <v>1</v>
      </c>
      <c r="AP13" s="42">
        <f>IFERROR(__xludf.DUMMYFUNCTION("""COMPUTED_VALUE"""),1.0)</f>
        <v>1</v>
      </c>
      <c r="AQ13" s="42">
        <f>IFERROR(__xludf.DUMMYFUNCTION("""COMPUTED_VALUE"""),0.0)</f>
        <v>0</v>
      </c>
      <c r="AR13" s="42">
        <f>IFERROR(__xludf.DUMMYFUNCTION("""COMPUTED_VALUE"""),0.0)</f>
        <v>0</v>
      </c>
      <c r="AS13" s="41">
        <f>IFERROR(__xludf.DUMMYFUNCTION("""COMPUTED_VALUE"""),1.0)</f>
        <v>1</v>
      </c>
      <c r="AT13" s="42">
        <f>IFERROR(__xludf.DUMMYFUNCTION("""COMPUTED_VALUE"""),1.0)</f>
        <v>1</v>
      </c>
      <c r="AU13" s="42">
        <f>IFERROR(__xludf.DUMMYFUNCTION("""COMPUTED_VALUE"""),0.0)</f>
        <v>0</v>
      </c>
      <c r="AV13" s="42">
        <f>IFERROR(__xludf.DUMMYFUNCTION("""COMPUTED_VALUE"""),0.0)</f>
        <v>0</v>
      </c>
      <c r="AW13" s="41">
        <f>IFERROR(__xludf.DUMMYFUNCTION("""COMPUTED_VALUE"""),1.0)</f>
        <v>1</v>
      </c>
      <c r="AX13" s="42">
        <f>IFERROR(__xludf.DUMMYFUNCTION("""COMPUTED_VALUE"""),1.0)</f>
        <v>1</v>
      </c>
      <c r="AY13" s="42">
        <f>IFERROR(__xludf.DUMMYFUNCTION("""COMPUTED_VALUE"""),0.0)</f>
        <v>0</v>
      </c>
      <c r="AZ13" s="43">
        <f>IFERROR(__xludf.DUMMYFUNCTION("""COMPUTED_VALUE"""),0.0)</f>
        <v>0</v>
      </c>
      <c r="BA13" s="34"/>
    </row>
    <row r="14" ht="15.75" customHeight="1">
      <c r="A14" s="29"/>
      <c r="B14" s="30" t="str">
        <f>IFERROR(__xludf.DUMMYFUNCTION("""COMPUTED_VALUE"""),"2. LỚP")</f>
        <v>2. LỚP</v>
      </c>
      <c r="C14" s="31" t="str">
        <f>IFERROR(__xludf.DUMMYFUNCTION("""COMPUTED_VALUE"""),"Tháng")</f>
        <v>Tháng</v>
      </c>
      <c r="D14" s="3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50"/>
      <c r="BA14" s="34"/>
    </row>
    <row r="15" ht="15.75" customHeight="1">
      <c r="A15" s="29"/>
      <c r="B15" s="196" t="str">
        <f>IFERROR(__xludf.DUMMYFUNCTION("""COMPUTED_VALUE"""),"Tổng số")</f>
        <v>Tổng số</v>
      </c>
      <c r="C15" s="57"/>
      <c r="D15" s="57" t="str">
        <f>IFERROR(__xludf.DUMMYFUNCTION("""COMPUTED_VALUE"""),"Lớp")</f>
        <v>Lớp</v>
      </c>
      <c r="E15" s="125">
        <f>IFERROR(__xludf.DUMMYFUNCTION("""COMPUTED_VALUE"""),473.0)</f>
        <v>473</v>
      </c>
      <c r="F15" s="125">
        <f>IFERROR(__xludf.DUMMYFUNCTION("""COMPUTED_VALUE"""),463.0)</f>
        <v>463</v>
      </c>
      <c r="G15" s="125">
        <f>IFERROR(__xludf.DUMMYFUNCTION("""COMPUTED_VALUE"""),0.0)</f>
        <v>0</v>
      </c>
      <c r="H15" s="125">
        <f>IFERROR(__xludf.DUMMYFUNCTION("""COMPUTED_VALUE"""),10.0)</f>
        <v>10</v>
      </c>
      <c r="I15" s="125">
        <f>IFERROR(__xludf.DUMMYFUNCTION("""COMPUTED_VALUE"""),416.0)</f>
        <v>416</v>
      </c>
      <c r="J15" s="125">
        <f>IFERROR(__xludf.DUMMYFUNCTION("""COMPUTED_VALUE"""),414.0)</f>
        <v>414</v>
      </c>
      <c r="K15" s="125">
        <f>IFERROR(__xludf.DUMMYFUNCTION("""COMPUTED_VALUE"""),0.0)</f>
        <v>0</v>
      </c>
      <c r="L15" s="125">
        <f>IFERROR(__xludf.DUMMYFUNCTION("""COMPUTED_VALUE"""),2.0)</f>
        <v>2</v>
      </c>
      <c r="M15" s="125">
        <f>IFERROR(__xludf.DUMMYFUNCTION("""COMPUTED_VALUE"""),416.0)</f>
        <v>416</v>
      </c>
      <c r="N15" s="125">
        <f>IFERROR(__xludf.DUMMYFUNCTION("""COMPUTED_VALUE"""),414.0)</f>
        <v>414</v>
      </c>
      <c r="O15" s="125">
        <f>IFERROR(__xludf.DUMMYFUNCTION("""COMPUTED_VALUE"""),0.0)</f>
        <v>0</v>
      </c>
      <c r="P15" s="125">
        <f>IFERROR(__xludf.DUMMYFUNCTION("""COMPUTED_VALUE"""),2.0)</f>
        <v>2</v>
      </c>
      <c r="Q15" s="125">
        <f>IFERROR(__xludf.DUMMYFUNCTION("""COMPUTED_VALUE"""),424.0)</f>
        <v>424</v>
      </c>
      <c r="R15" s="125">
        <f>IFERROR(__xludf.DUMMYFUNCTION("""COMPUTED_VALUE"""),414.0)</f>
        <v>414</v>
      </c>
      <c r="S15" s="125">
        <f>IFERROR(__xludf.DUMMYFUNCTION("""COMPUTED_VALUE"""),0.0)</f>
        <v>0</v>
      </c>
      <c r="T15" s="125">
        <f>IFERROR(__xludf.DUMMYFUNCTION("""COMPUTED_VALUE"""),10.0)</f>
        <v>10</v>
      </c>
      <c r="U15" s="125">
        <f>IFERROR(__xludf.DUMMYFUNCTION("""COMPUTED_VALUE"""),424.0)</f>
        <v>424</v>
      </c>
      <c r="V15" s="125">
        <f>IFERROR(__xludf.DUMMYFUNCTION("""COMPUTED_VALUE"""),414.0)</f>
        <v>414</v>
      </c>
      <c r="W15" s="125">
        <f>IFERROR(__xludf.DUMMYFUNCTION("""COMPUTED_VALUE"""),0.0)</f>
        <v>0</v>
      </c>
      <c r="X15" s="125">
        <f>IFERROR(__xludf.DUMMYFUNCTION("""COMPUTED_VALUE"""),10.0)</f>
        <v>10</v>
      </c>
      <c r="Y15" s="125">
        <f>IFERROR(__xludf.DUMMYFUNCTION("""COMPUTED_VALUE"""),424.0)</f>
        <v>424</v>
      </c>
      <c r="Z15" s="125">
        <f>IFERROR(__xludf.DUMMYFUNCTION("""COMPUTED_VALUE"""),414.0)</f>
        <v>414</v>
      </c>
      <c r="AA15" s="125">
        <f>IFERROR(__xludf.DUMMYFUNCTION("""COMPUTED_VALUE"""),0.0)</f>
        <v>0</v>
      </c>
      <c r="AB15" s="125">
        <f>IFERROR(__xludf.DUMMYFUNCTION("""COMPUTED_VALUE"""),10.0)</f>
        <v>10</v>
      </c>
      <c r="AC15" s="125">
        <f>IFERROR(__xludf.DUMMYFUNCTION("""COMPUTED_VALUE"""),424.0)</f>
        <v>424</v>
      </c>
      <c r="AD15" s="125">
        <f>IFERROR(__xludf.DUMMYFUNCTION("""COMPUTED_VALUE"""),414.0)</f>
        <v>414</v>
      </c>
      <c r="AE15" s="125">
        <f>IFERROR(__xludf.DUMMYFUNCTION("""COMPUTED_VALUE"""),0.0)</f>
        <v>0</v>
      </c>
      <c r="AF15" s="125">
        <f>IFERROR(__xludf.DUMMYFUNCTION("""COMPUTED_VALUE"""),10.0)</f>
        <v>10</v>
      </c>
      <c r="AG15" s="125">
        <f>IFERROR(__xludf.DUMMYFUNCTION("""COMPUTED_VALUE"""),88.0)</f>
        <v>88</v>
      </c>
      <c r="AH15" s="125">
        <f>IFERROR(__xludf.DUMMYFUNCTION("""COMPUTED_VALUE"""),78.0)</f>
        <v>78</v>
      </c>
      <c r="AI15" s="125">
        <f>IFERROR(__xludf.DUMMYFUNCTION("""COMPUTED_VALUE"""),10.0)</f>
        <v>10</v>
      </c>
      <c r="AJ15" s="125">
        <f>IFERROR(__xludf.DUMMYFUNCTION("""COMPUTED_VALUE"""),0.0)</f>
        <v>0</v>
      </c>
      <c r="AK15" s="125">
        <f>IFERROR(__xludf.DUMMYFUNCTION("""COMPUTED_VALUE"""),24.0)</f>
        <v>24</v>
      </c>
      <c r="AL15" s="125">
        <f>IFERROR(__xludf.DUMMYFUNCTION("""COMPUTED_VALUE"""),14.0)</f>
        <v>14</v>
      </c>
      <c r="AM15" s="125">
        <f>IFERROR(__xludf.DUMMYFUNCTION("""COMPUTED_VALUE"""),0.0)</f>
        <v>0</v>
      </c>
      <c r="AN15" s="125">
        <f>IFERROR(__xludf.DUMMYFUNCTION("""COMPUTED_VALUE"""),10.0)</f>
        <v>10</v>
      </c>
      <c r="AO15" s="125">
        <f>IFERROR(__xludf.DUMMYFUNCTION("""COMPUTED_VALUE"""),24.0)</f>
        <v>24</v>
      </c>
      <c r="AP15" s="125">
        <f>IFERROR(__xludf.DUMMYFUNCTION("""COMPUTED_VALUE"""),14.0)</f>
        <v>14</v>
      </c>
      <c r="AQ15" s="125">
        <f>IFERROR(__xludf.DUMMYFUNCTION("""COMPUTED_VALUE"""),0.0)</f>
        <v>0</v>
      </c>
      <c r="AR15" s="125">
        <f>IFERROR(__xludf.DUMMYFUNCTION("""COMPUTED_VALUE"""),10.0)</f>
        <v>10</v>
      </c>
      <c r="AS15" s="125">
        <f>IFERROR(__xludf.DUMMYFUNCTION("""COMPUTED_VALUE"""),24.0)</f>
        <v>24</v>
      </c>
      <c r="AT15" s="125">
        <f>IFERROR(__xludf.DUMMYFUNCTION("""COMPUTED_VALUE"""),14.0)</f>
        <v>14</v>
      </c>
      <c r="AU15" s="125">
        <f>IFERROR(__xludf.DUMMYFUNCTION("""COMPUTED_VALUE"""),0.0)</f>
        <v>0</v>
      </c>
      <c r="AV15" s="125">
        <f>IFERROR(__xludf.DUMMYFUNCTION("""COMPUTED_VALUE"""),10.0)</f>
        <v>10</v>
      </c>
      <c r="AW15" s="125">
        <f>IFERROR(__xludf.DUMMYFUNCTION("""COMPUTED_VALUE"""),24.0)</f>
        <v>24</v>
      </c>
      <c r="AX15" s="125">
        <f>IFERROR(__xludf.DUMMYFUNCTION("""COMPUTED_VALUE"""),14.0)</f>
        <v>14</v>
      </c>
      <c r="AY15" s="125">
        <f>IFERROR(__xludf.DUMMYFUNCTION("""COMPUTED_VALUE"""),0.0)</f>
        <v>0</v>
      </c>
      <c r="AZ15" s="127">
        <f>IFERROR(__xludf.DUMMYFUNCTION("""COMPUTED_VALUE"""),10.0)</f>
        <v>10</v>
      </c>
      <c r="BA15" s="34"/>
    </row>
    <row r="16" ht="15.75" customHeight="1">
      <c r="A16" s="29"/>
      <c r="B16" s="48" t="str">
        <f>IFERROR(__xludf.DUMMYFUNCTION("""COMPUTED_VALUE"""),"Chia ra:")</f>
        <v>Chia ra:</v>
      </c>
      <c r="C16" s="49"/>
      <c r="D16" s="3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50"/>
      <c r="BA16" s="34"/>
    </row>
    <row r="17" ht="15.75" customHeight="1">
      <c r="A17" s="29"/>
      <c r="B17" s="67" t="str">
        <f>IFERROR(__xludf.DUMMYFUNCTION("""COMPUTED_VALUE""")," + Số lớp 6")</f>
        <v> + Số lớp 6</v>
      </c>
      <c r="C17" s="31"/>
      <c r="D17" s="31" t="str">
        <f>IFERROR(__xludf.DUMMYFUNCTION("""COMPUTED_VALUE"""),"""")</f>
        <v>"</v>
      </c>
      <c r="E17" s="41">
        <f>IFERROR(__xludf.DUMMYFUNCTION("""COMPUTED_VALUE"""),85.0)</f>
        <v>85</v>
      </c>
      <c r="F17" s="42">
        <f>IFERROR(__xludf.DUMMYFUNCTION("""COMPUTED_VALUE"""),83.0)</f>
        <v>83</v>
      </c>
      <c r="G17" s="42">
        <f>IFERROR(__xludf.DUMMYFUNCTION("""COMPUTED_VALUE"""),0.0)</f>
        <v>0</v>
      </c>
      <c r="H17" s="42">
        <f>IFERROR(__xludf.DUMMYFUNCTION("""COMPUTED_VALUE"""),2.0)</f>
        <v>2</v>
      </c>
      <c r="I17" s="41">
        <f>IFERROR(__xludf.DUMMYFUNCTION("""COMPUTED_VALUE"""),76.0)</f>
        <v>76</v>
      </c>
      <c r="J17" s="42">
        <f>IFERROR(__xludf.DUMMYFUNCTION("""COMPUTED_VALUE"""),74.0)</f>
        <v>74</v>
      </c>
      <c r="K17" s="42">
        <f>IFERROR(__xludf.DUMMYFUNCTION("""COMPUTED_VALUE"""),0.0)</f>
        <v>0</v>
      </c>
      <c r="L17" s="42">
        <f>IFERROR(__xludf.DUMMYFUNCTION("""COMPUTED_VALUE"""),2.0)</f>
        <v>2</v>
      </c>
      <c r="M17" s="41">
        <f>IFERROR(__xludf.DUMMYFUNCTION("""COMPUTED_VALUE"""),76.0)</f>
        <v>76</v>
      </c>
      <c r="N17" s="42">
        <f>IFERROR(__xludf.DUMMYFUNCTION("""COMPUTED_VALUE"""),74.0)</f>
        <v>74</v>
      </c>
      <c r="O17" s="42">
        <f>IFERROR(__xludf.DUMMYFUNCTION("""COMPUTED_VALUE"""),0.0)</f>
        <v>0</v>
      </c>
      <c r="P17" s="42">
        <f>IFERROR(__xludf.DUMMYFUNCTION("""COMPUTED_VALUE"""),2.0)</f>
        <v>2</v>
      </c>
      <c r="Q17" s="41">
        <f>IFERROR(__xludf.DUMMYFUNCTION("""COMPUTED_VALUE"""),76.0)</f>
        <v>76</v>
      </c>
      <c r="R17" s="42">
        <f>IFERROR(__xludf.DUMMYFUNCTION("""COMPUTED_VALUE"""),74.0)</f>
        <v>74</v>
      </c>
      <c r="S17" s="42">
        <f>IFERROR(__xludf.DUMMYFUNCTION("""COMPUTED_VALUE"""),0.0)</f>
        <v>0</v>
      </c>
      <c r="T17" s="42">
        <f>IFERROR(__xludf.DUMMYFUNCTION("""COMPUTED_VALUE"""),2.0)</f>
        <v>2</v>
      </c>
      <c r="U17" s="41">
        <f>IFERROR(__xludf.DUMMYFUNCTION("""COMPUTED_VALUE"""),76.0)</f>
        <v>76</v>
      </c>
      <c r="V17" s="42">
        <f>IFERROR(__xludf.DUMMYFUNCTION("""COMPUTED_VALUE"""),74.0)</f>
        <v>74</v>
      </c>
      <c r="W17" s="42">
        <f>IFERROR(__xludf.DUMMYFUNCTION("""COMPUTED_VALUE"""),0.0)</f>
        <v>0</v>
      </c>
      <c r="X17" s="42">
        <f>IFERROR(__xludf.DUMMYFUNCTION("""COMPUTED_VALUE"""),2.0)</f>
        <v>2</v>
      </c>
      <c r="Y17" s="41">
        <f>IFERROR(__xludf.DUMMYFUNCTION("""COMPUTED_VALUE"""),76.0)</f>
        <v>76</v>
      </c>
      <c r="Z17" s="42">
        <f>IFERROR(__xludf.DUMMYFUNCTION("""COMPUTED_VALUE"""),74.0)</f>
        <v>74</v>
      </c>
      <c r="AA17" s="42">
        <f>IFERROR(__xludf.DUMMYFUNCTION("""COMPUTED_VALUE"""),0.0)</f>
        <v>0</v>
      </c>
      <c r="AB17" s="42">
        <f>IFERROR(__xludf.DUMMYFUNCTION("""COMPUTED_VALUE"""),2.0)</f>
        <v>2</v>
      </c>
      <c r="AC17" s="41">
        <f>IFERROR(__xludf.DUMMYFUNCTION("""COMPUTED_VALUE"""),76.0)</f>
        <v>76</v>
      </c>
      <c r="AD17" s="42">
        <f>IFERROR(__xludf.DUMMYFUNCTION("""COMPUTED_VALUE"""),74.0)</f>
        <v>74</v>
      </c>
      <c r="AE17" s="42">
        <f>IFERROR(__xludf.DUMMYFUNCTION("""COMPUTED_VALUE"""),0.0)</f>
        <v>0</v>
      </c>
      <c r="AF17" s="42">
        <f>IFERROR(__xludf.DUMMYFUNCTION("""COMPUTED_VALUE"""),2.0)</f>
        <v>2</v>
      </c>
      <c r="AG17" s="41">
        <f>IFERROR(__xludf.DUMMYFUNCTION("""COMPUTED_VALUE"""),17.0)</f>
        <v>17</v>
      </c>
      <c r="AH17" s="42">
        <f>IFERROR(__xludf.DUMMYFUNCTION("""COMPUTED_VALUE"""),15.0)</f>
        <v>15</v>
      </c>
      <c r="AI17" s="42">
        <f>IFERROR(__xludf.DUMMYFUNCTION("""COMPUTED_VALUE"""),2.0)</f>
        <v>2</v>
      </c>
      <c r="AJ17" s="42">
        <f>IFERROR(__xludf.DUMMYFUNCTION("""COMPUTED_VALUE"""),0.0)</f>
        <v>0</v>
      </c>
      <c r="AK17" s="41">
        <f>IFERROR(__xludf.DUMMYFUNCTION("""COMPUTED_VALUE"""),4.0)</f>
        <v>4</v>
      </c>
      <c r="AL17" s="42">
        <f>IFERROR(__xludf.DUMMYFUNCTION("""COMPUTED_VALUE"""),2.0)</f>
        <v>2</v>
      </c>
      <c r="AM17" s="42">
        <f>IFERROR(__xludf.DUMMYFUNCTION("""COMPUTED_VALUE"""),0.0)</f>
        <v>0</v>
      </c>
      <c r="AN17" s="42">
        <f>IFERROR(__xludf.DUMMYFUNCTION("""COMPUTED_VALUE"""),2.0)</f>
        <v>2</v>
      </c>
      <c r="AO17" s="41">
        <f>IFERROR(__xludf.DUMMYFUNCTION("""COMPUTED_VALUE"""),4.0)</f>
        <v>4</v>
      </c>
      <c r="AP17" s="42">
        <f>IFERROR(__xludf.DUMMYFUNCTION("""COMPUTED_VALUE"""),2.0)</f>
        <v>2</v>
      </c>
      <c r="AQ17" s="42">
        <f>IFERROR(__xludf.DUMMYFUNCTION("""COMPUTED_VALUE"""),0.0)</f>
        <v>0</v>
      </c>
      <c r="AR17" s="42">
        <f>IFERROR(__xludf.DUMMYFUNCTION("""COMPUTED_VALUE"""),2.0)</f>
        <v>2</v>
      </c>
      <c r="AS17" s="41">
        <f>IFERROR(__xludf.DUMMYFUNCTION("""COMPUTED_VALUE"""),4.0)</f>
        <v>4</v>
      </c>
      <c r="AT17" s="42">
        <f>IFERROR(__xludf.DUMMYFUNCTION("""COMPUTED_VALUE"""),2.0)</f>
        <v>2</v>
      </c>
      <c r="AU17" s="42">
        <f>IFERROR(__xludf.DUMMYFUNCTION("""COMPUTED_VALUE"""),0.0)</f>
        <v>0</v>
      </c>
      <c r="AV17" s="42">
        <f>IFERROR(__xludf.DUMMYFUNCTION("""COMPUTED_VALUE"""),2.0)</f>
        <v>2</v>
      </c>
      <c r="AW17" s="41">
        <f>IFERROR(__xludf.DUMMYFUNCTION("""COMPUTED_VALUE"""),4.0)</f>
        <v>4</v>
      </c>
      <c r="AX17" s="42">
        <f>IFERROR(__xludf.DUMMYFUNCTION("""COMPUTED_VALUE"""),2.0)</f>
        <v>2</v>
      </c>
      <c r="AY17" s="42">
        <f>IFERROR(__xludf.DUMMYFUNCTION("""COMPUTED_VALUE"""),0.0)</f>
        <v>0</v>
      </c>
      <c r="AZ17" s="43">
        <f>IFERROR(__xludf.DUMMYFUNCTION("""COMPUTED_VALUE"""),2.0)</f>
        <v>2</v>
      </c>
      <c r="BA17" s="34"/>
    </row>
    <row r="18" ht="15.75" customHeight="1">
      <c r="A18" s="29"/>
      <c r="B18" s="67" t="str">
        <f>IFERROR(__xludf.DUMMYFUNCTION("""COMPUTED_VALUE""")," + Số lớp 7")</f>
        <v> + Số lớp 7</v>
      </c>
      <c r="C18" s="31"/>
      <c r="D18" s="31" t="str">
        <f>IFERROR(__xludf.DUMMYFUNCTION("""COMPUTED_VALUE"""),"""")</f>
        <v>"</v>
      </c>
      <c r="E18" s="41">
        <f>IFERROR(__xludf.DUMMYFUNCTION("""COMPUTED_VALUE"""),71.0)</f>
        <v>71</v>
      </c>
      <c r="F18" s="42">
        <f>IFERROR(__xludf.DUMMYFUNCTION("""COMPUTED_VALUE"""),70.0)</f>
        <v>70</v>
      </c>
      <c r="G18" s="42">
        <f>IFERROR(__xludf.DUMMYFUNCTION("""COMPUTED_VALUE"""),0.0)</f>
        <v>0</v>
      </c>
      <c r="H18" s="42">
        <f>IFERROR(__xludf.DUMMYFUNCTION("""COMPUTED_VALUE"""),1.0)</f>
        <v>1</v>
      </c>
      <c r="I18" s="41">
        <f>IFERROR(__xludf.DUMMYFUNCTION("""COMPUTED_VALUE"""),64.0)</f>
        <v>64</v>
      </c>
      <c r="J18" s="42">
        <f>IFERROR(__xludf.DUMMYFUNCTION("""COMPUTED_VALUE"""),64.0)</f>
        <v>64</v>
      </c>
      <c r="K18" s="42">
        <f>IFERROR(__xludf.DUMMYFUNCTION("""COMPUTED_VALUE"""),0.0)</f>
        <v>0</v>
      </c>
      <c r="L18" s="42">
        <f>IFERROR(__xludf.DUMMYFUNCTION("""COMPUTED_VALUE"""),0.0)</f>
        <v>0</v>
      </c>
      <c r="M18" s="41">
        <f>IFERROR(__xludf.DUMMYFUNCTION("""COMPUTED_VALUE"""),64.0)</f>
        <v>64</v>
      </c>
      <c r="N18" s="42">
        <f>IFERROR(__xludf.DUMMYFUNCTION("""COMPUTED_VALUE"""),64.0)</f>
        <v>64</v>
      </c>
      <c r="O18" s="42">
        <f>IFERROR(__xludf.DUMMYFUNCTION("""COMPUTED_VALUE"""),0.0)</f>
        <v>0</v>
      </c>
      <c r="P18" s="42">
        <f>IFERROR(__xludf.DUMMYFUNCTION("""COMPUTED_VALUE"""),0.0)</f>
        <v>0</v>
      </c>
      <c r="Q18" s="41">
        <f>IFERROR(__xludf.DUMMYFUNCTION("""COMPUTED_VALUE"""),65.0)</f>
        <v>65</v>
      </c>
      <c r="R18" s="42">
        <f>IFERROR(__xludf.DUMMYFUNCTION("""COMPUTED_VALUE"""),64.0)</f>
        <v>64</v>
      </c>
      <c r="S18" s="42">
        <f>IFERROR(__xludf.DUMMYFUNCTION("""COMPUTED_VALUE"""),0.0)</f>
        <v>0</v>
      </c>
      <c r="T18" s="42">
        <f>IFERROR(__xludf.DUMMYFUNCTION("""COMPUTED_VALUE"""),1.0)</f>
        <v>1</v>
      </c>
      <c r="U18" s="41">
        <f>IFERROR(__xludf.DUMMYFUNCTION("""COMPUTED_VALUE"""),65.0)</f>
        <v>65</v>
      </c>
      <c r="V18" s="42">
        <f>IFERROR(__xludf.DUMMYFUNCTION("""COMPUTED_VALUE"""),64.0)</f>
        <v>64</v>
      </c>
      <c r="W18" s="42">
        <f>IFERROR(__xludf.DUMMYFUNCTION("""COMPUTED_VALUE"""),0.0)</f>
        <v>0</v>
      </c>
      <c r="X18" s="42">
        <f>IFERROR(__xludf.DUMMYFUNCTION("""COMPUTED_VALUE"""),1.0)</f>
        <v>1</v>
      </c>
      <c r="Y18" s="41">
        <f>IFERROR(__xludf.DUMMYFUNCTION("""COMPUTED_VALUE"""),65.0)</f>
        <v>65</v>
      </c>
      <c r="Z18" s="42">
        <f>IFERROR(__xludf.DUMMYFUNCTION("""COMPUTED_VALUE"""),64.0)</f>
        <v>64</v>
      </c>
      <c r="AA18" s="42">
        <f>IFERROR(__xludf.DUMMYFUNCTION("""COMPUTED_VALUE"""),0.0)</f>
        <v>0</v>
      </c>
      <c r="AB18" s="42">
        <f>IFERROR(__xludf.DUMMYFUNCTION("""COMPUTED_VALUE"""),1.0)</f>
        <v>1</v>
      </c>
      <c r="AC18" s="41">
        <f>IFERROR(__xludf.DUMMYFUNCTION("""COMPUTED_VALUE"""),65.0)</f>
        <v>65</v>
      </c>
      <c r="AD18" s="42">
        <f>IFERROR(__xludf.DUMMYFUNCTION("""COMPUTED_VALUE"""),64.0)</f>
        <v>64</v>
      </c>
      <c r="AE18" s="42">
        <f>IFERROR(__xludf.DUMMYFUNCTION("""COMPUTED_VALUE"""),0.0)</f>
        <v>0</v>
      </c>
      <c r="AF18" s="42">
        <f>IFERROR(__xludf.DUMMYFUNCTION("""COMPUTED_VALUE"""),1.0)</f>
        <v>1</v>
      </c>
      <c r="AG18" s="41">
        <f>IFERROR(__xludf.DUMMYFUNCTION("""COMPUTED_VALUE"""),13.0)</f>
        <v>13</v>
      </c>
      <c r="AH18" s="42">
        <f>IFERROR(__xludf.DUMMYFUNCTION("""COMPUTED_VALUE"""),12.0)</f>
        <v>12</v>
      </c>
      <c r="AI18" s="42">
        <f>IFERROR(__xludf.DUMMYFUNCTION("""COMPUTED_VALUE"""),1.0)</f>
        <v>1</v>
      </c>
      <c r="AJ18" s="42">
        <f>IFERROR(__xludf.DUMMYFUNCTION("""COMPUTED_VALUE"""),0.0)</f>
        <v>0</v>
      </c>
      <c r="AK18" s="41">
        <f>IFERROR(__xludf.DUMMYFUNCTION("""COMPUTED_VALUE"""),3.0)</f>
        <v>3</v>
      </c>
      <c r="AL18" s="42">
        <f>IFERROR(__xludf.DUMMYFUNCTION("""COMPUTED_VALUE"""),2.0)</f>
        <v>2</v>
      </c>
      <c r="AM18" s="42">
        <f>IFERROR(__xludf.DUMMYFUNCTION("""COMPUTED_VALUE"""),0.0)</f>
        <v>0</v>
      </c>
      <c r="AN18" s="42">
        <f>IFERROR(__xludf.DUMMYFUNCTION("""COMPUTED_VALUE"""),1.0)</f>
        <v>1</v>
      </c>
      <c r="AO18" s="41">
        <f>IFERROR(__xludf.DUMMYFUNCTION("""COMPUTED_VALUE"""),3.0)</f>
        <v>3</v>
      </c>
      <c r="AP18" s="42">
        <f>IFERROR(__xludf.DUMMYFUNCTION("""COMPUTED_VALUE"""),2.0)</f>
        <v>2</v>
      </c>
      <c r="AQ18" s="42">
        <f>IFERROR(__xludf.DUMMYFUNCTION("""COMPUTED_VALUE"""),0.0)</f>
        <v>0</v>
      </c>
      <c r="AR18" s="42">
        <f>IFERROR(__xludf.DUMMYFUNCTION("""COMPUTED_VALUE"""),1.0)</f>
        <v>1</v>
      </c>
      <c r="AS18" s="41">
        <f>IFERROR(__xludf.DUMMYFUNCTION("""COMPUTED_VALUE"""),3.0)</f>
        <v>3</v>
      </c>
      <c r="AT18" s="42">
        <f>IFERROR(__xludf.DUMMYFUNCTION("""COMPUTED_VALUE"""),2.0)</f>
        <v>2</v>
      </c>
      <c r="AU18" s="42">
        <f>IFERROR(__xludf.DUMMYFUNCTION("""COMPUTED_VALUE"""),0.0)</f>
        <v>0</v>
      </c>
      <c r="AV18" s="42">
        <f>IFERROR(__xludf.DUMMYFUNCTION("""COMPUTED_VALUE"""),1.0)</f>
        <v>1</v>
      </c>
      <c r="AW18" s="41">
        <f>IFERROR(__xludf.DUMMYFUNCTION("""COMPUTED_VALUE"""),3.0)</f>
        <v>3</v>
      </c>
      <c r="AX18" s="42">
        <f>IFERROR(__xludf.DUMMYFUNCTION("""COMPUTED_VALUE"""),2.0)</f>
        <v>2</v>
      </c>
      <c r="AY18" s="42">
        <f>IFERROR(__xludf.DUMMYFUNCTION("""COMPUTED_VALUE"""),0.0)</f>
        <v>0</v>
      </c>
      <c r="AZ18" s="43">
        <f>IFERROR(__xludf.DUMMYFUNCTION("""COMPUTED_VALUE"""),1.0)</f>
        <v>1</v>
      </c>
      <c r="BA18" s="34"/>
    </row>
    <row r="19" ht="15.75" customHeight="1">
      <c r="A19" s="29"/>
      <c r="B19" s="67" t="str">
        <f>IFERROR(__xludf.DUMMYFUNCTION("""COMPUTED_VALUE""")," + Số lớp 8")</f>
        <v> + Số lớp 8</v>
      </c>
      <c r="C19" s="31"/>
      <c r="D19" s="31" t="str">
        <f>IFERROR(__xludf.DUMMYFUNCTION("""COMPUTED_VALUE"""),"""")</f>
        <v>"</v>
      </c>
      <c r="E19" s="41">
        <f>IFERROR(__xludf.DUMMYFUNCTION("""COMPUTED_VALUE"""),54.0)</f>
        <v>54</v>
      </c>
      <c r="F19" s="42">
        <f>IFERROR(__xludf.DUMMYFUNCTION("""COMPUTED_VALUE"""),53.0)</f>
        <v>53</v>
      </c>
      <c r="G19" s="42">
        <f>IFERROR(__xludf.DUMMYFUNCTION("""COMPUTED_VALUE"""),0.0)</f>
        <v>0</v>
      </c>
      <c r="H19" s="42">
        <f>IFERROR(__xludf.DUMMYFUNCTION("""COMPUTED_VALUE"""),1.0)</f>
        <v>1</v>
      </c>
      <c r="I19" s="41">
        <f>IFERROR(__xludf.DUMMYFUNCTION("""COMPUTED_VALUE"""),48.0)</f>
        <v>48</v>
      </c>
      <c r="J19" s="42">
        <f>IFERROR(__xludf.DUMMYFUNCTION("""COMPUTED_VALUE"""),48.0)</f>
        <v>48</v>
      </c>
      <c r="K19" s="42">
        <f>IFERROR(__xludf.DUMMYFUNCTION("""COMPUTED_VALUE"""),0.0)</f>
        <v>0</v>
      </c>
      <c r="L19" s="42">
        <f>IFERROR(__xludf.DUMMYFUNCTION("""COMPUTED_VALUE"""),0.0)</f>
        <v>0</v>
      </c>
      <c r="M19" s="41">
        <f>IFERROR(__xludf.DUMMYFUNCTION("""COMPUTED_VALUE"""),48.0)</f>
        <v>48</v>
      </c>
      <c r="N19" s="42">
        <f>IFERROR(__xludf.DUMMYFUNCTION("""COMPUTED_VALUE"""),48.0)</f>
        <v>48</v>
      </c>
      <c r="O19" s="42">
        <f>IFERROR(__xludf.DUMMYFUNCTION("""COMPUTED_VALUE"""),0.0)</f>
        <v>0</v>
      </c>
      <c r="P19" s="42">
        <f>IFERROR(__xludf.DUMMYFUNCTION("""COMPUTED_VALUE"""),0.0)</f>
        <v>0</v>
      </c>
      <c r="Q19" s="41">
        <f>IFERROR(__xludf.DUMMYFUNCTION("""COMPUTED_VALUE"""),49.0)</f>
        <v>49</v>
      </c>
      <c r="R19" s="42">
        <f>IFERROR(__xludf.DUMMYFUNCTION("""COMPUTED_VALUE"""),48.0)</f>
        <v>48</v>
      </c>
      <c r="S19" s="42">
        <f>IFERROR(__xludf.DUMMYFUNCTION("""COMPUTED_VALUE"""),0.0)</f>
        <v>0</v>
      </c>
      <c r="T19" s="42">
        <f>IFERROR(__xludf.DUMMYFUNCTION("""COMPUTED_VALUE"""),1.0)</f>
        <v>1</v>
      </c>
      <c r="U19" s="41">
        <f>IFERROR(__xludf.DUMMYFUNCTION("""COMPUTED_VALUE"""),49.0)</f>
        <v>49</v>
      </c>
      <c r="V19" s="42">
        <f>IFERROR(__xludf.DUMMYFUNCTION("""COMPUTED_VALUE"""),48.0)</f>
        <v>48</v>
      </c>
      <c r="W19" s="42">
        <f>IFERROR(__xludf.DUMMYFUNCTION("""COMPUTED_VALUE"""),0.0)</f>
        <v>0</v>
      </c>
      <c r="X19" s="42">
        <f>IFERROR(__xludf.DUMMYFUNCTION("""COMPUTED_VALUE"""),1.0)</f>
        <v>1</v>
      </c>
      <c r="Y19" s="41">
        <f>IFERROR(__xludf.DUMMYFUNCTION("""COMPUTED_VALUE"""),49.0)</f>
        <v>49</v>
      </c>
      <c r="Z19" s="42">
        <f>IFERROR(__xludf.DUMMYFUNCTION("""COMPUTED_VALUE"""),48.0)</f>
        <v>48</v>
      </c>
      <c r="AA19" s="42">
        <f>IFERROR(__xludf.DUMMYFUNCTION("""COMPUTED_VALUE"""),0.0)</f>
        <v>0</v>
      </c>
      <c r="AB19" s="42">
        <f>IFERROR(__xludf.DUMMYFUNCTION("""COMPUTED_VALUE"""),1.0)</f>
        <v>1</v>
      </c>
      <c r="AC19" s="41">
        <f>IFERROR(__xludf.DUMMYFUNCTION("""COMPUTED_VALUE"""),49.0)</f>
        <v>49</v>
      </c>
      <c r="AD19" s="42">
        <f>IFERROR(__xludf.DUMMYFUNCTION("""COMPUTED_VALUE"""),48.0)</f>
        <v>48</v>
      </c>
      <c r="AE19" s="42">
        <f>IFERROR(__xludf.DUMMYFUNCTION("""COMPUTED_VALUE"""),0.0)</f>
        <v>0</v>
      </c>
      <c r="AF19" s="42">
        <f>IFERROR(__xludf.DUMMYFUNCTION("""COMPUTED_VALUE"""),1.0)</f>
        <v>1</v>
      </c>
      <c r="AG19" s="41">
        <f>IFERROR(__xludf.DUMMYFUNCTION("""COMPUTED_VALUE"""),10.0)</f>
        <v>10</v>
      </c>
      <c r="AH19" s="42">
        <f>IFERROR(__xludf.DUMMYFUNCTION("""COMPUTED_VALUE"""),9.0)</f>
        <v>9</v>
      </c>
      <c r="AI19" s="42">
        <f>IFERROR(__xludf.DUMMYFUNCTION("""COMPUTED_VALUE"""),1.0)</f>
        <v>1</v>
      </c>
      <c r="AJ19" s="42">
        <f>IFERROR(__xludf.DUMMYFUNCTION("""COMPUTED_VALUE"""),0.0)</f>
        <v>0</v>
      </c>
      <c r="AK19" s="41">
        <f>IFERROR(__xludf.DUMMYFUNCTION("""COMPUTED_VALUE"""),3.0)</f>
        <v>3</v>
      </c>
      <c r="AL19" s="42">
        <f>IFERROR(__xludf.DUMMYFUNCTION("""COMPUTED_VALUE"""),2.0)</f>
        <v>2</v>
      </c>
      <c r="AM19" s="42">
        <f>IFERROR(__xludf.DUMMYFUNCTION("""COMPUTED_VALUE"""),0.0)</f>
        <v>0</v>
      </c>
      <c r="AN19" s="42">
        <f>IFERROR(__xludf.DUMMYFUNCTION("""COMPUTED_VALUE"""),1.0)</f>
        <v>1</v>
      </c>
      <c r="AO19" s="41">
        <f>IFERROR(__xludf.DUMMYFUNCTION("""COMPUTED_VALUE"""),3.0)</f>
        <v>3</v>
      </c>
      <c r="AP19" s="42">
        <f>IFERROR(__xludf.DUMMYFUNCTION("""COMPUTED_VALUE"""),2.0)</f>
        <v>2</v>
      </c>
      <c r="AQ19" s="42">
        <f>IFERROR(__xludf.DUMMYFUNCTION("""COMPUTED_VALUE"""),0.0)</f>
        <v>0</v>
      </c>
      <c r="AR19" s="42">
        <f>IFERROR(__xludf.DUMMYFUNCTION("""COMPUTED_VALUE"""),1.0)</f>
        <v>1</v>
      </c>
      <c r="AS19" s="41">
        <f>IFERROR(__xludf.DUMMYFUNCTION("""COMPUTED_VALUE"""),3.0)</f>
        <v>3</v>
      </c>
      <c r="AT19" s="42">
        <f>IFERROR(__xludf.DUMMYFUNCTION("""COMPUTED_VALUE"""),2.0)</f>
        <v>2</v>
      </c>
      <c r="AU19" s="42">
        <f>IFERROR(__xludf.DUMMYFUNCTION("""COMPUTED_VALUE"""),0.0)</f>
        <v>0</v>
      </c>
      <c r="AV19" s="42">
        <f>IFERROR(__xludf.DUMMYFUNCTION("""COMPUTED_VALUE"""),1.0)</f>
        <v>1</v>
      </c>
      <c r="AW19" s="41">
        <f>IFERROR(__xludf.DUMMYFUNCTION("""COMPUTED_VALUE"""),3.0)</f>
        <v>3</v>
      </c>
      <c r="AX19" s="42">
        <f>IFERROR(__xludf.DUMMYFUNCTION("""COMPUTED_VALUE"""),2.0)</f>
        <v>2</v>
      </c>
      <c r="AY19" s="42">
        <f>IFERROR(__xludf.DUMMYFUNCTION("""COMPUTED_VALUE"""),0.0)</f>
        <v>0</v>
      </c>
      <c r="AZ19" s="43">
        <f>IFERROR(__xludf.DUMMYFUNCTION("""COMPUTED_VALUE"""),1.0)</f>
        <v>1</v>
      </c>
      <c r="BA19" s="34"/>
    </row>
    <row r="20" ht="15.75" customHeight="1">
      <c r="A20" s="29"/>
      <c r="B20" s="67" t="str">
        <f>IFERROR(__xludf.DUMMYFUNCTION("""COMPUTED_VALUE""")," + Số lớp 9")</f>
        <v> + Số lớp 9</v>
      </c>
      <c r="C20" s="31"/>
      <c r="D20" s="31" t="str">
        <f>IFERROR(__xludf.DUMMYFUNCTION("""COMPUTED_VALUE"""),"""")</f>
        <v>"</v>
      </c>
      <c r="E20" s="41">
        <f>IFERROR(__xludf.DUMMYFUNCTION("""COMPUTED_VALUE"""),59.0)</f>
        <v>59</v>
      </c>
      <c r="F20" s="42">
        <f>IFERROR(__xludf.DUMMYFUNCTION("""COMPUTED_VALUE"""),58.0)</f>
        <v>58</v>
      </c>
      <c r="G20" s="42">
        <f>IFERROR(__xludf.DUMMYFUNCTION("""COMPUTED_VALUE"""),0.0)</f>
        <v>0</v>
      </c>
      <c r="H20" s="42">
        <f>IFERROR(__xludf.DUMMYFUNCTION("""COMPUTED_VALUE"""),1.0)</f>
        <v>1</v>
      </c>
      <c r="I20" s="41">
        <f>IFERROR(__xludf.DUMMYFUNCTION("""COMPUTED_VALUE"""),52.0)</f>
        <v>52</v>
      </c>
      <c r="J20" s="42">
        <f>IFERROR(__xludf.DUMMYFUNCTION("""COMPUTED_VALUE"""),52.0)</f>
        <v>52</v>
      </c>
      <c r="K20" s="42">
        <f>IFERROR(__xludf.DUMMYFUNCTION("""COMPUTED_VALUE"""),0.0)</f>
        <v>0</v>
      </c>
      <c r="L20" s="42">
        <f>IFERROR(__xludf.DUMMYFUNCTION("""COMPUTED_VALUE"""),0.0)</f>
        <v>0</v>
      </c>
      <c r="M20" s="41">
        <f>IFERROR(__xludf.DUMMYFUNCTION("""COMPUTED_VALUE"""),52.0)</f>
        <v>52</v>
      </c>
      <c r="N20" s="42">
        <f>IFERROR(__xludf.DUMMYFUNCTION("""COMPUTED_VALUE"""),52.0)</f>
        <v>52</v>
      </c>
      <c r="O20" s="42">
        <f>IFERROR(__xludf.DUMMYFUNCTION("""COMPUTED_VALUE"""),0.0)</f>
        <v>0</v>
      </c>
      <c r="P20" s="42">
        <f>IFERROR(__xludf.DUMMYFUNCTION("""COMPUTED_VALUE"""),0.0)</f>
        <v>0</v>
      </c>
      <c r="Q20" s="41">
        <f>IFERROR(__xludf.DUMMYFUNCTION("""COMPUTED_VALUE"""),53.0)</f>
        <v>53</v>
      </c>
      <c r="R20" s="42">
        <f>IFERROR(__xludf.DUMMYFUNCTION("""COMPUTED_VALUE"""),52.0)</f>
        <v>52</v>
      </c>
      <c r="S20" s="42">
        <f>IFERROR(__xludf.DUMMYFUNCTION("""COMPUTED_VALUE"""),0.0)</f>
        <v>0</v>
      </c>
      <c r="T20" s="42">
        <f>IFERROR(__xludf.DUMMYFUNCTION("""COMPUTED_VALUE"""),1.0)</f>
        <v>1</v>
      </c>
      <c r="U20" s="41">
        <f>IFERROR(__xludf.DUMMYFUNCTION("""COMPUTED_VALUE"""),53.0)</f>
        <v>53</v>
      </c>
      <c r="V20" s="42">
        <f>IFERROR(__xludf.DUMMYFUNCTION("""COMPUTED_VALUE"""),52.0)</f>
        <v>52</v>
      </c>
      <c r="W20" s="42">
        <f>IFERROR(__xludf.DUMMYFUNCTION("""COMPUTED_VALUE"""),0.0)</f>
        <v>0</v>
      </c>
      <c r="X20" s="42">
        <f>IFERROR(__xludf.DUMMYFUNCTION("""COMPUTED_VALUE"""),1.0)</f>
        <v>1</v>
      </c>
      <c r="Y20" s="41">
        <f>IFERROR(__xludf.DUMMYFUNCTION("""COMPUTED_VALUE"""),53.0)</f>
        <v>53</v>
      </c>
      <c r="Z20" s="42">
        <f>IFERROR(__xludf.DUMMYFUNCTION("""COMPUTED_VALUE"""),52.0)</f>
        <v>52</v>
      </c>
      <c r="AA20" s="42">
        <f>IFERROR(__xludf.DUMMYFUNCTION("""COMPUTED_VALUE"""),0.0)</f>
        <v>0</v>
      </c>
      <c r="AB20" s="42">
        <f>IFERROR(__xludf.DUMMYFUNCTION("""COMPUTED_VALUE"""),1.0)</f>
        <v>1</v>
      </c>
      <c r="AC20" s="41">
        <f>IFERROR(__xludf.DUMMYFUNCTION("""COMPUTED_VALUE"""),53.0)</f>
        <v>53</v>
      </c>
      <c r="AD20" s="42">
        <f>IFERROR(__xludf.DUMMYFUNCTION("""COMPUTED_VALUE"""),52.0)</f>
        <v>52</v>
      </c>
      <c r="AE20" s="42">
        <f>IFERROR(__xludf.DUMMYFUNCTION("""COMPUTED_VALUE"""),0.0)</f>
        <v>0</v>
      </c>
      <c r="AF20" s="42">
        <f>IFERROR(__xludf.DUMMYFUNCTION("""COMPUTED_VALUE"""),1.0)</f>
        <v>1</v>
      </c>
      <c r="AG20" s="41">
        <f>IFERROR(__xludf.DUMMYFUNCTION("""COMPUTED_VALUE"""),11.0)</f>
        <v>11</v>
      </c>
      <c r="AH20" s="42">
        <f>IFERROR(__xludf.DUMMYFUNCTION("""COMPUTED_VALUE"""),10.0)</f>
        <v>10</v>
      </c>
      <c r="AI20" s="42">
        <f>IFERROR(__xludf.DUMMYFUNCTION("""COMPUTED_VALUE"""),1.0)</f>
        <v>1</v>
      </c>
      <c r="AJ20" s="42">
        <f>IFERROR(__xludf.DUMMYFUNCTION("""COMPUTED_VALUE"""),0.0)</f>
        <v>0</v>
      </c>
      <c r="AK20" s="41">
        <f>IFERROR(__xludf.DUMMYFUNCTION("""COMPUTED_VALUE"""),3.0)</f>
        <v>3</v>
      </c>
      <c r="AL20" s="42">
        <f>IFERROR(__xludf.DUMMYFUNCTION("""COMPUTED_VALUE"""),2.0)</f>
        <v>2</v>
      </c>
      <c r="AM20" s="42">
        <f>IFERROR(__xludf.DUMMYFUNCTION("""COMPUTED_VALUE"""),0.0)</f>
        <v>0</v>
      </c>
      <c r="AN20" s="42">
        <f>IFERROR(__xludf.DUMMYFUNCTION("""COMPUTED_VALUE"""),1.0)</f>
        <v>1</v>
      </c>
      <c r="AO20" s="41">
        <f>IFERROR(__xludf.DUMMYFUNCTION("""COMPUTED_VALUE"""),3.0)</f>
        <v>3</v>
      </c>
      <c r="AP20" s="42">
        <f>IFERROR(__xludf.DUMMYFUNCTION("""COMPUTED_VALUE"""),2.0)</f>
        <v>2</v>
      </c>
      <c r="AQ20" s="42">
        <f>IFERROR(__xludf.DUMMYFUNCTION("""COMPUTED_VALUE"""),0.0)</f>
        <v>0</v>
      </c>
      <c r="AR20" s="42">
        <f>IFERROR(__xludf.DUMMYFUNCTION("""COMPUTED_VALUE"""),1.0)</f>
        <v>1</v>
      </c>
      <c r="AS20" s="41">
        <f>IFERROR(__xludf.DUMMYFUNCTION("""COMPUTED_VALUE"""),3.0)</f>
        <v>3</v>
      </c>
      <c r="AT20" s="42">
        <f>IFERROR(__xludf.DUMMYFUNCTION("""COMPUTED_VALUE"""),2.0)</f>
        <v>2</v>
      </c>
      <c r="AU20" s="42">
        <f>IFERROR(__xludf.DUMMYFUNCTION("""COMPUTED_VALUE"""),0.0)</f>
        <v>0</v>
      </c>
      <c r="AV20" s="42">
        <f>IFERROR(__xludf.DUMMYFUNCTION("""COMPUTED_VALUE"""),1.0)</f>
        <v>1</v>
      </c>
      <c r="AW20" s="41">
        <f>IFERROR(__xludf.DUMMYFUNCTION("""COMPUTED_VALUE"""),3.0)</f>
        <v>3</v>
      </c>
      <c r="AX20" s="42">
        <f>IFERROR(__xludf.DUMMYFUNCTION("""COMPUTED_VALUE"""),2.0)</f>
        <v>2</v>
      </c>
      <c r="AY20" s="42">
        <f>IFERROR(__xludf.DUMMYFUNCTION("""COMPUTED_VALUE"""),0.0)</f>
        <v>0</v>
      </c>
      <c r="AZ20" s="43">
        <f>IFERROR(__xludf.DUMMYFUNCTION("""COMPUTED_VALUE"""),1.0)</f>
        <v>1</v>
      </c>
      <c r="BA20" s="34"/>
    </row>
    <row r="21" ht="15.75" customHeight="1">
      <c r="A21" s="29"/>
      <c r="B21" s="67" t="str">
        <f>IFERROR(__xludf.DUMMYFUNCTION("""COMPUTED_VALUE""")," + Số lớp 10")</f>
        <v> + Số lớp 10</v>
      </c>
      <c r="C21" s="31"/>
      <c r="D21" s="31" t="str">
        <f>IFERROR(__xludf.DUMMYFUNCTION("""COMPUTED_VALUE"""),"""")</f>
        <v>"</v>
      </c>
      <c r="E21" s="41">
        <f>IFERROR(__xludf.DUMMYFUNCTION("""COMPUTED_VALUE"""),75.0)</f>
        <v>75</v>
      </c>
      <c r="F21" s="42">
        <f>IFERROR(__xludf.DUMMYFUNCTION("""COMPUTED_VALUE"""),73.0)</f>
        <v>73</v>
      </c>
      <c r="G21" s="42">
        <f>IFERROR(__xludf.DUMMYFUNCTION("""COMPUTED_VALUE"""),0.0)</f>
        <v>0</v>
      </c>
      <c r="H21" s="42">
        <f>IFERROR(__xludf.DUMMYFUNCTION("""COMPUTED_VALUE"""),2.0)</f>
        <v>2</v>
      </c>
      <c r="I21" s="41">
        <f>IFERROR(__xludf.DUMMYFUNCTION("""COMPUTED_VALUE"""),65.0)</f>
        <v>65</v>
      </c>
      <c r="J21" s="42">
        <f>IFERROR(__xludf.DUMMYFUNCTION("""COMPUTED_VALUE"""),65.0)</f>
        <v>65</v>
      </c>
      <c r="K21" s="42">
        <f>IFERROR(__xludf.DUMMYFUNCTION("""COMPUTED_VALUE"""),0.0)</f>
        <v>0</v>
      </c>
      <c r="L21" s="42">
        <f>IFERROR(__xludf.DUMMYFUNCTION("""COMPUTED_VALUE"""),0.0)</f>
        <v>0</v>
      </c>
      <c r="M21" s="41">
        <f>IFERROR(__xludf.DUMMYFUNCTION("""COMPUTED_VALUE"""),65.0)</f>
        <v>65</v>
      </c>
      <c r="N21" s="42">
        <f>IFERROR(__xludf.DUMMYFUNCTION("""COMPUTED_VALUE"""),65.0)</f>
        <v>65</v>
      </c>
      <c r="O21" s="42">
        <f>IFERROR(__xludf.DUMMYFUNCTION("""COMPUTED_VALUE"""),0.0)</f>
        <v>0</v>
      </c>
      <c r="P21" s="42">
        <f>IFERROR(__xludf.DUMMYFUNCTION("""COMPUTED_VALUE"""),0.0)</f>
        <v>0</v>
      </c>
      <c r="Q21" s="41">
        <f>IFERROR(__xludf.DUMMYFUNCTION("""COMPUTED_VALUE"""),67.0)</f>
        <v>67</v>
      </c>
      <c r="R21" s="42">
        <f>IFERROR(__xludf.DUMMYFUNCTION("""COMPUTED_VALUE"""),65.0)</f>
        <v>65</v>
      </c>
      <c r="S21" s="42">
        <f>IFERROR(__xludf.DUMMYFUNCTION("""COMPUTED_VALUE"""),0.0)</f>
        <v>0</v>
      </c>
      <c r="T21" s="42">
        <f>IFERROR(__xludf.DUMMYFUNCTION("""COMPUTED_VALUE"""),2.0)</f>
        <v>2</v>
      </c>
      <c r="U21" s="41">
        <f>IFERROR(__xludf.DUMMYFUNCTION("""COMPUTED_VALUE"""),67.0)</f>
        <v>67</v>
      </c>
      <c r="V21" s="42">
        <f>IFERROR(__xludf.DUMMYFUNCTION("""COMPUTED_VALUE"""),65.0)</f>
        <v>65</v>
      </c>
      <c r="W21" s="42">
        <f>IFERROR(__xludf.DUMMYFUNCTION("""COMPUTED_VALUE"""),0.0)</f>
        <v>0</v>
      </c>
      <c r="X21" s="42">
        <f>IFERROR(__xludf.DUMMYFUNCTION("""COMPUTED_VALUE"""),2.0)</f>
        <v>2</v>
      </c>
      <c r="Y21" s="41">
        <f>IFERROR(__xludf.DUMMYFUNCTION("""COMPUTED_VALUE"""),67.0)</f>
        <v>67</v>
      </c>
      <c r="Z21" s="42">
        <f>IFERROR(__xludf.DUMMYFUNCTION("""COMPUTED_VALUE"""),65.0)</f>
        <v>65</v>
      </c>
      <c r="AA21" s="42">
        <f>IFERROR(__xludf.DUMMYFUNCTION("""COMPUTED_VALUE"""),0.0)</f>
        <v>0</v>
      </c>
      <c r="AB21" s="42">
        <f>IFERROR(__xludf.DUMMYFUNCTION("""COMPUTED_VALUE"""),2.0)</f>
        <v>2</v>
      </c>
      <c r="AC21" s="41">
        <f>IFERROR(__xludf.DUMMYFUNCTION("""COMPUTED_VALUE"""),67.0)</f>
        <v>67</v>
      </c>
      <c r="AD21" s="42">
        <f>IFERROR(__xludf.DUMMYFUNCTION("""COMPUTED_VALUE"""),65.0)</f>
        <v>65</v>
      </c>
      <c r="AE21" s="42">
        <f>IFERROR(__xludf.DUMMYFUNCTION("""COMPUTED_VALUE"""),0.0)</f>
        <v>0</v>
      </c>
      <c r="AF21" s="42">
        <f>IFERROR(__xludf.DUMMYFUNCTION("""COMPUTED_VALUE"""),2.0)</f>
        <v>2</v>
      </c>
      <c r="AG21" s="41">
        <f>IFERROR(__xludf.DUMMYFUNCTION("""COMPUTED_VALUE"""),14.0)</f>
        <v>14</v>
      </c>
      <c r="AH21" s="42">
        <f>IFERROR(__xludf.DUMMYFUNCTION("""COMPUTED_VALUE"""),12.0)</f>
        <v>12</v>
      </c>
      <c r="AI21" s="42">
        <f>IFERROR(__xludf.DUMMYFUNCTION("""COMPUTED_VALUE"""),2.0)</f>
        <v>2</v>
      </c>
      <c r="AJ21" s="42">
        <f>IFERROR(__xludf.DUMMYFUNCTION("""COMPUTED_VALUE"""),0.0)</f>
        <v>0</v>
      </c>
      <c r="AK21" s="41">
        <f>IFERROR(__xludf.DUMMYFUNCTION("""COMPUTED_VALUE"""),4.0)</f>
        <v>4</v>
      </c>
      <c r="AL21" s="42">
        <f>IFERROR(__xludf.DUMMYFUNCTION("""COMPUTED_VALUE"""),2.0)</f>
        <v>2</v>
      </c>
      <c r="AM21" s="42">
        <f>IFERROR(__xludf.DUMMYFUNCTION("""COMPUTED_VALUE"""),0.0)</f>
        <v>0</v>
      </c>
      <c r="AN21" s="42">
        <f>IFERROR(__xludf.DUMMYFUNCTION("""COMPUTED_VALUE"""),2.0)</f>
        <v>2</v>
      </c>
      <c r="AO21" s="41">
        <f>IFERROR(__xludf.DUMMYFUNCTION("""COMPUTED_VALUE"""),4.0)</f>
        <v>4</v>
      </c>
      <c r="AP21" s="42">
        <f>IFERROR(__xludf.DUMMYFUNCTION("""COMPUTED_VALUE"""),2.0)</f>
        <v>2</v>
      </c>
      <c r="AQ21" s="42">
        <f>IFERROR(__xludf.DUMMYFUNCTION("""COMPUTED_VALUE"""),0.0)</f>
        <v>0</v>
      </c>
      <c r="AR21" s="42">
        <f>IFERROR(__xludf.DUMMYFUNCTION("""COMPUTED_VALUE"""),2.0)</f>
        <v>2</v>
      </c>
      <c r="AS21" s="41">
        <f>IFERROR(__xludf.DUMMYFUNCTION("""COMPUTED_VALUE"""),4.0)</f>
        <v>4</v>
      </c>
      <c r="AT21" s="42">
        <f>IFERROR(__xludf.DUMMYFUNCTION("""COMPUTED_VALUE"""),2.0)</f>
        <v>2</v>
      </c>
      <c r="AU21" s="42">
        <f>IFERROR(__xludf.DUMMYFUNCTION("""COMPUTED_VALUE"""),0.0)</f>
        <v>0</v>
      </c>
      <c r="AV21" s="42">
        <f>IFERROR(__xludf.DUMMYFUNCTION("""COMPUTED_VALUE"""),2.0)</f>
        <v>2</v>
      </c>
      <c r="AW21" s="41">
        <f>IFERROR(__xludf.DUMMYFUNCTION("""COMPUTED_VALUE"""),4.0)</f>
        <v>4</v>
      </c>
      <c r="AX21" s="42">
        <f>IFERROR(__xludf.DUMMYFUNCTION("""COMPUTED_VALUE"""),2.0)</f>
        <v>2</v>
      </c>
      <c r="AY21" s="42">
        <f>IFERROR(__xludf.DUMMYFUNCTION("""COMPUTED_VALUE"""),0.0)</f>
        <v>0</v>
      </c>
      <c r="AZ21" s="43">
        <f>IFERROR(__xludf.DUMMYFUNCTION("""COMPUTED_VALUE"""),2.0)</f>
        <v>2</v>
      </c>
      <c r="BA21" s="34"/>
    </row>
    <row r="22" ht="15.75" customHeight="1">
      <c r="A22" s="29"/>
      <c r="B22" s="67" t="str">
        <f>IFERROR(__xludf.DUMMYFUNCTION("""COMPUTED_VALUE""")," + Số lớp 11")</f>
        <v> + Số lớp 11</v>
      </c>
      <c r="C22" s="31"/>
      <c r="D22" s="31" t="str">
        <f>IFERROR(__xludf.DUMMYFUNCTION("""COMPUTED_VALUE"""),"""")</f>
        <v>"</v>
      </c>
      <c r="E22" s="41">
        <f>IFERROR(__xludf.DUMMYFUNCTION("""COMPUTED_VALUE"""),69.0)</f>
        <v>69</v>
      </c>
      <c r="F22" s="42">
        <f>IFERROR(__xludf.DUMMYFUNCTION("""COMPUTED_VALUE"""),67.0)</f>
        <v>67</v>
      </c>
      <c r="G22" s="42">
        <f>IFERROR(__xludf.DUMMYFUNCTION("""COMPUTED_VALUE"""),0.0)</f>
        <v>0</v>
      </c>
      <c r="H22" s="42">
        <f>IFERROR(__xludf.DUMMYFUNCTION("""COMPUTED_VALUE"""),2.0)</f>
        <v>2</v>
      </c>
      <c r="I22" s="41">
        <f>IFERROR(__xludf.DUMMYFUNCTION("""COMPUTED_VALUE"""),59.0)</f>
        <v>59</v>
      </c>
      <c r="J22" s="42">
        <f>IFERROR(__xludf.DUMMYFUNCTION("""COMPUTED_VALUE"""),59.0)</f>
        <v>59</v>
      </c>
      <c r="K22" s="42">
        <f>IFERROR(__xludf.DUMMYFUNCTION("""COMPUTED_VALUE"""),0.0)</f>
        <v>0</v>
      </c>
      <c r="L22" s="42">
        <f>IFERROR(__xludf.DUMMYFUNCTION("""COMPUTED_VALUE"""),0.0)</f>
        <v>0</v>
      </c>
      <c r="M22" s="41">
        <f>IFERROR(__xludf.DUMMYFUNCTION("""COMPUTED_VALUE"""),59.0)</f>
        <v>59</v>
      </c>
      <c r="N22" s="42">
        <f>IFERROR(__xludf.DUMMYFUNCTION("""COMPUTED_VALUE"""),59.0)</f>
        <v>59</v>
      </c>
      <c r="O22" s="42">
        <f>IFERROR(__xludf.DUMMYFUNCTION("""COMPUTED_VALUE"""),0.0)</f>
        <v>0</v>
      </c>
      <c r="P22" s="42">
        <f>IFERROR(__xludf.DUMMYFUNCTION("""COMPUTED_VALUE"""),0.0)</f>
        <v>0</v>
      </c>
      <c r="Q22" s="41">
        <f>IFERROR(__xludf.DUMMYFUNCTION("""COMPUTED_VALUE"""),61.0)</f>
        <v>61</v>
      </c>
      <c r="R22" s="42">
        <f>IFERROR(__xludf.DUMMYFUNCTION("""COMPUTED_VALUE"""),59.0)</f>
        <v>59</v>
      </c>
      <c r="S22" s="42">
        <f>IFERROR(__xludf.DUMMYFUNCTION("""COMPUTED_VALUE"""),0.0)</f>
        <v>0</v>
      </c>
      <c r="T22" s="42">
        <f>IFERROR(__xludf.DUMMYFUNCTION("""COMPUTED_VALUE"""),2.0)</f>
        <v>2</v>
      </c>
      <c r="U22" s="41">
        <f>IFERROR(__xludf.DUMMYFUNCTION("""COMPUTED_VALUE"""),61.0)</f>
        <v>61</v>
      </c>
      <c r="V22" s="42">
        <f>IFERROR(__xludf.DUMMYFUNCTION("""COMPUTED_VALUE"""),59.0)</f>
        <v>59</v>
      </c>
      <c r="W22" s="42">
        <f>IFERROR(__xludf.DUMMYFUNCTION("""COMPUTED_VALUE"""),0.0)</f>
        <v>0</v>
      </c>
      <c r="X22" s="42">
        <f>IFERROR(__xludf.DUMMYFUNCTION("""COMPUTED_VALUE"""),2.0)</f>
        <v>2</v>
      </c>
      <c r="Y22" s="41">
        <f>IFERROR(__xludf.DUMMYFUNCTION("""COMPUTED_VALUE"""),61.0)</f>
        <v>61</v>
      </c>
      <c r="Z22" s="42">
        <f>IFERROR(__xludf.DUMMYFUNCTION("""COMPUTED_VALUE"""),59.0)</f>
        <v>59</v>
      </c>
      <c r="AA22" s="42">
        <f>IFERROR(__xludf.DUMMYFUNCTION("""COMPUTED_VALUE"""),0.0)</f>
        <v>0</v>
      </c>
      <c r="AB22" s="42">
        <f>IFERROR(__xludf.DUMMYFUNCTION("""COMPUTED_VALUE"""),2.0)</f>
        <v>2</v>
      </c>
      <c r="AC22" s="41">
        <f>IFERROR(__xludf.DUMMYFUNCTION("""COMPUTED_VALUE"""),61.0)</f>
        <v>61</v>
      </c>
      <c r="AD22" s="42">
        <f>IFERROR(__xludf.DUMMYFUNCTION("""COMPUTED_VALUE"""),59.0)</f>
        <v>59</v>
      </c>
      <c r="AE22" s="42">
        <f>IFERROR(__xludf.DUMMYFUNCTION("""COMPUTED_VALUE"""),0.0)</f>
        <v>0</v>
      </c>
      <c r="AF22" s="42">
        <f>IFERROR(__xludf.DUMMYFUNCTION("""COMPUTED_VALUE"""),2.0)</f>
        <v>2</v>
      </c>
      <c r="AG22" s="41">
        <f>IFERROR(__xludf.DUMMYFUNCTION("""COMPUTED_VALUE"""),13.0)</f>
        <v>13</v>
      </c>
      <c r="AH22" s="42">
        <f>IFERROR(__xludf.DUMMYFUNCTION("""COMPUTED_VALUE"""),11.0)</f>
        <v>11</v>
      </c>
      <c r="AI22" s="42">
        <f>IFERROR(__xludf.DUMMYFUNCTION("""COMPUTED_VALUE"""),2.0)</f>
        <v>2</v>
      </c>
      <c r="AJ22" s="42">
        <f>IFERROR(__xludf.DUMMYFUNCTION("""COMPUTED_VALUE"""),0.0)</f>
        <v>0</v>
      </c>
      <c r="AK22" s="41">
        <f>IFERROR(__xludf.DUMMYFUNCTION("""COMPUTED_VALUE"""),4.0)</f>
        <v>4</v>
      </c>
      <c r="AL22" s="42">
        <f>IFERROR(__xludf.DUMMYFUNCTION("""COMPUTED_VALUE"""),2.0)</f>
        <v>2</v>
      </c>
      <c r="AM22" s="42">
        <f>IFERROR(__xludf.DUMMYFUNCTION("""COMPUTED_VALUE"""),0.0)</f>
        <v>0</v>
      </c>
      <c r="AN22" s="42">
        <f>IFERROR(__xludf.DUMMYFUNCTION("""COMPUTED_VALUE"""),2.0)</f>
        <v>2</v>
      </c>
      <c r="AO22" s="41">
        <f>IFERROR(__xludf.DUMMYFUNCTION("""COMPUTED_VALUE"""),4.0)</f>
        <v>4</v>
      </c>
      <c r="AP22" s="42">
        <f>IFERROR(__xludf.DUMMYFUNCTION("""COMPUTED_VALUE"""),2.0)</f>
        <v>2</v>
      </c>
      <c r="AQ22" s="42">
        <f>IFERROR(__xludf.DUMMYFUNCTION("""COMPUTED_VALUE"""),0.0)</f>
        <v>0</v>
      </c>
      <c r="AR22" s="42">
        <f>IFERROR(__xludf.DUMMYFUNCTION("""COMPUTED_VALUE"""),2.0)</f>
        <v>2</v>
      </c>
      <c r="AS22" s="41">
        <f>IFERROR(__xludf.DUMMYFUNCTION("""COMPUTED_VALUE"""),4.0)</f>
        <v>4</v>
      </c>
      <c r="AT22" s="42">
        <f>IFERROR(__xludf.DUMMYFUNCTION("""COMPUTED_VALUE"""),2.0)</f>
        <v>2</v>
      </c>
      <c r="AU22" s="42">
        <f>IFERROR(__xludf.DUMMYFUNCTION("""COMPUTED_VALUE"""),0.0)</f>
        <v>0</v>
      </c>
      <c r="AV22" s="42">
        <f>IFERROR(__xludf.DUMMYFUNCTION("""COMPUTED_VALUE"""),2.0)</f>
        <v>2</v>
      </c>
      <c r="AW22" s="41">
        <f>IFERROR(__xludf.DUMMYFUNCTION("""COMPUTED_VALUE"""),4.0)</f>
        <v>4</v>
      </c>
      <c r="AX22" s="42">
        <f>IFERROR(__xludf.DUMMYFUNCTION("""COMPUTED_VALUE"""),2.0)</f>
        <v>2</v>
      </c>
      <c r="AY22" s="42">
        <f>IFERROR(__xludf.DUMMYFUNCTION("""COMPUTED_VALUE"""),0.0)</f>
        <v>0</v>
      </c>
      <c r="AZ22" s="43">
        <f>IFERROR(__xludf.DUMMYFUNCTION("""COMPUTED_VALUE"""),2.0)</f>
        <v>2</v>
      </c>
      <c r="BA22" s="34"/>
    </row>
    <row r="23" ht="15.75" customHeight="1">
      <c r="A23" s="29"/>
      <c r="B23" s="67" t="str">
        <f>IFERROR(__xludf.DUMMYFUNCTION("""COMPUTED_VALUE""")," + Số lớp 12")</f>
        <v> + Số lớp 12</v>
      </c>
      <c r="C23" s="31"/>
      <c r="D23" s="31" t="str">
        <f>IFERROR(__xludf.DUMMYFUNCTION("""COMPUTED_VALUE"""),"""")</f>
        <v>"</v>
      </c>
      <c r="E23" s="41">
        <f>IFERROR(__xludf.DUMMYFUNCTION("""COMPUTED_VALUE"""),60.0)</f>
        <v>60</v>
      </c>
      <c r="F23" s="42">
        <f>IFERROR(__xludf.DUMMYFUNCTION("""COMPUTED_VALUE"""),59.0)</f>
        <v>59</v>
      </c>
      <c r="G23" s="42">
        <f>IFERROR(__xludf.DUMMYFUNCTION("""COMPUTED_VALUE"""),0.0)</f>
        <v>0</v>
      </c>
      <c r="H23" s="42">
        <f>IFERROR(__xludf.DUMMYFUNCTION("""COMPUTED_VALUE"""),1.0)</f>
        <v>1</v>
      </c>
      <c r="I23" s="41">
        <f>IFERROR(__xludf.DUMMYFUNCTION("""COMPUTED_VALUE"""),52.0)</f>
        <v>52</v>
      </c>
      <c r="J23" s="42">
        <f>IFERROR(__xludf.DUMMYFUNCTION("""COMPUTED_VALUE"""),52.0)</f>
        <v>52</v>
      </c>
      <c r="K23" s="42">
        <f>IFERROR(__xludf.DUMMYFUNCTION("""COMPUTED_VALUE"""),0.0)</f>
        <v>0</v>
      </c>
      <c r="L23" s="42">
        <f>IFERROR(__xludf.DUMMYFUNCTION("""COMPUTED_VALUE"""),0.0)</f>
        <v>0</v>
      </c>
      <c r="M23" s="41">
        <f>IFERROR(__xludf.DUMMYFUNCTION("""COMPUTED_VALUE"""),52.0)</f>
        <v>52</v>
      </c>
      <c r="N23" s="42">
        <f>IFERROR(__xludf.DUMMYFUNCTION("""COMPUTED_VALUE"""),52.0)</f>
        <v>52</v>
      </c>
      <c r="O23" s="42">
        <f>IFERROR(__xludf.DUMMYFUNCTION("""COMPUTED_VALUE"""),0.0)</f>
        <v>0</v>
      </c>
      <c r="P23" s="42">
        <f>IFERROR(__xludf.DUMMYFUNCTION("""COMPUTED_VALUE"""),0.0)</f>
        <v>0</v>
      </c>
      <c r="Q23" s="41">
        <f>IFERROR(__xludf.DUMMYFUNCTION("""COMPUTED_VALUE"""),53.0)</f>
        <v>53</v>
      </c>
      <c r="R23" s="42">
        <f>IFERROR(__xludf.DUMMYFUNCTION("""COMPUTED_VALUE"""),52.0)</f>
        <v>52</v>
      </c>
      <c r="S23" s="42">
        <f>IFERROR(__xludf.DUMMYFUNCTION("""COMPUTED_VALUE"""),0.0)</f>
        <v>0</v>
      </c>
      <c r="T23" s="42">
        <f>IFERROR(__xludf.DUMMYFUNCTION("""COMPUTED_VALUE"""),1.0)</f>
        <v>1</v>
      </c>
      <c r="U23" s="41">
        <f>IFERROR(__xludf.DUMMYFUNCTION("""COMPUTED_VALUE"""),53.0)</f>
        <v>53</v>
      </c>
      <c r="V23" s="42">
        <f>IFERROR(__xludf.DUMMYFUNCTION("""COMPUTED_VALUE"""),52.0)</f>
        <v>52</v>
      </c>
      <c r="W23" s="42">
        <f>IFERROR(__xludf.DUMMYFUNCTION("""COMPUTED_VALUE"""),0.0)</f>
        <v>0</v>
      </c>
      <c r="X23" s="42">
        <f>IFERROR(__xludf.DUMMYFUNCTION("""COMPUTED_VALUE"""),1.0)</f>
        <v>1</v>
      </c>
      <c r="Y23" s="41">
        <f>IFERROR(__xludf.DUMMYFUNCTION("""COMPUTED_VALUE"""),53.0)</f>
        <v>53</v>
      </c>
      <c r="Z23" s="42">
        <f>IFERROR(__xludf.DUMMYFUNCTION("""COMPUTED_VALUE"""),52.0)</f>
        <v>52</v>
      </c>
      <c r="AA23" s="42">
        <f>IFERROR(__xludf.DUMMYFUNCTION("""COMPUTED_VALUE"""),0.0)</f>
        <v>0</v>
      </c>
      <c r="AB23" s="42">
        <f>IFERROR(__xludf.DUMMYFUNCTION("""COMPUTED_VALUE"""),1.0)</f>
        <v>1</v>
      </c>
      <c r="AC23" s="41">
        <f>IFERROR(__xludf.DUMMYFUNCTION("""COMPUTED_VALUE"""),53.0)</f>
        <v>53</v>
      </c>
      <c r="AD23" s="42">
        <f>IFERROR(__xludf.DUMMYFUNCTION("""COMPUTED_VALUE"""),52.0)</f>
        <v>52</v>
      </c>
      <c r="AE23" s="42">
        <f>IFERROR(__xludf.DUMMYFUNCTION("""COMPUTED_VALUE"""),0.0)</f>
        <v>0</v>
      </c>
      <c r="AF23" s="42">
        <f>IFERROR(__xludf.DUMMYFUNCTION("""COMPUTED_VALUE"""),1.0)</f>
        <v>1</v>
      </c>
      <c r="AG23" s="41">
        <f>IFERROR(__xludf.DUMMYFUNCTION("""COMPUTED_VALUE"""),10.0)</f>
        <v>10</v>
      </c>
      <c r="AH23" s="42">
        <f>IFERROR(__xludf.DUMMYFUNCTION("""COMPUTED_VALUE"""),9.0)</f>
        <v>9</v>
      </c>
      <c r="AI23" s="42">
        <f>IFERROR(__xludf.DUMMYFUNCTION("""COMPUTED_VALUE"""),1.0)</f>
        <v>1</v>
      </c>
      <c r="AJ23" s="42">
        <f>IFERROR(__xludf.DUMMYFUNCTION("""COMPUTED_VALUE"""),0.0)</f>
        <v>0</v>
      </c>
      <c r="AK23" s="41">
        <f>IFERROR(__xludf.DUMMYFUNCTION("""COMPUTED_VALUE"""),3.0)</f>
        <v>3</v>
      </c>
      <c r="AL23" s="42">
        <f>IFERROR(__xludf.DUMMYFUNCTION("""COMPUTED_VALUE"""),2.0)</f>
        <v>2</v>
      </c>
      <c r="AM23" s="42">
        <f>IFERROR(__xludf.DUMMYFUNCTION("""COMPUTED_VALUE"""),0.0)</f>
        <v>0</v>
      </c>
      <c r="AN23" s="42">
        <f>IFERROR(__xludf.DUMMYFUNCTION("""COMPUTED_VALUE"""),1.0)</f>
        <v>1</v>
      </c>
      <c r="AO23" s="41">
        <f>IFERROR(__xludf.DUMMYFUNCTION("""COMPUTED_VALUE"""),3.0)</f>
        <v>3</v>
      </c>
      <c r="AP23" s="42">
        <f>IFERROR(__xludf.DUMMYFUNCTION("""COMPUTED_VALUE"""),2.0)</f>
        <v>2</v>
      </c>
      <c r="AQ23" s="42">
        <f>IFERROR(__xludf.DUMMYFUNCTION("""COMPUTED_VALUE"""),0.0)</f>
        <v>0</v>
      </c>
      <c r="AR23" s="42">
        <f>IFERROR(__xludf.DUMMYFUNCTION("""COMPUTED_VALUE"""),1.0)</f>
        <v>1</v>
      </c>
      <c r="AS23" s="41">
        <f>IFERROR(__xludf.DUMMYFUNCTION("""COMPUTED_VALUE"""),3.0)</f>
        <v>3</v>
      </c>
      <c r="AT23" s="42">
        <f>IFERROR(__xludf.DUMMYFUNCTION("""COMPUTED_VALUE"""),2.0)</f>
        <v>2</v>
      </c>
      <c r="AU23" s="42">
        <f>IFERROR(__xludf.DUMMYFUNCTION("""COMPUTED_VALUE"""),0.0)</f>
        <v>0</v>
      </c>
      <c r="AV23" s="42">
        <f>IFERROR(__xludf.DUMMYFUNCTION("""COMPUTED_VALUE"""),1.0)</f>
        <v>1</v>
      </c>
      <c r="AW23" s="41">
        <f>IFERROR(__xludf.DUMMYFUNCTION("""COMPUTED_VALUE"""),3.0)</f>
        <v>3</v>
      </c>
      <c r="AX23" s="42">
        <f>IFERROR(__xludf.DUMMYFUNCTION("""COMPUTED_VALUE"""),2.0)</f>
        <v>2</v>
      </c>
      <c r="AY23" s="42">
        <f>IFERROR(__xludf.DUMMYFUNCTION("""COMPUTED_VALUE"""),0.0)</f>
        <v>0</v>
      </c>
      <c r="AZ23" s="43">
        <f>IFERROR(__xludf.DUMMYFUNCTION("""COMPUTED_VALUE"""),1.0)</f>
        <v>1</v>
      </c>
      <c r="BA23" s="34"/>
    </row>
    <row r="24" ht="15.75" customHeight="1">
      <c r="A24" s="29"/>
      <c r="B24" s="67" t="str">
        <f>IFERROR(__xludf.DUMMYFUNCTION("""COMPUTED_VALUE""")," + Số lớp ghép")</f>
        <v> + Số lớp ghép</v>
      </c>
      <c r="C24" s="31"/>
      <c r="D24" s="31" t="str">
        <f>IFERROR(__xludf.DUMMYFUNCTION("""COMPUTED_VALUE"""),"""")</f>
        <v>"</v>
      </c>
      <c r="E24" s="41">
        <f>IFERROR(__xludf.DUMMYFUNCTION("""COMPUTED_VALUE"""),0.0)</f>
        <v>0</v>
      </c>
      <c r="F24" s="42">
        <f>IFERROR(__xludf.DUMMYFUNCTION("""COMPUTED_VALUE"""),0.0)</f>
        <v>0</v>
      </c>
      <c r="G24" s="42">
        <f>IFERROR(__xludf.DUMMYFUNCTION("""COMPUTED_VALUE"""),0.0)</f>
        <v>0</v>
      </c>
      <c r="H24" s="42">
        <f>IFERROR(__xludf.DUMMYFUNCTION("""COMPUTED_VALUE"""),0.0)</f>
        <v>0</v>
      </c>
      <c r="I24" s="41">
        <f>IFERROR(__xludf.DUMMYFUNCTION("""COMPUTED_VALUE"""),0.0)</f>
        <v>0</v>
      </c>
      <c r="J24" s="42">
        <f>IFERROR(__xludf.DUMMYFUNCTION("""COMPUTED_VALUE"""),0.0)</f>
        <v>0</v>
      </c>
      <c r="K24" s="42">
        <f>IFERROR(__xludf.DUMMYFUNCTION("""COMPUTED_VALUE"""),0.0)</f>
        <v>0</v>
      </c>
      <c r="L24" s="42">
        <f>IFERROR(__xludf.DUMMYFUNCTION("""COMPUTED_VALUE"""),0.0)</f>
        <v>0</v>
      </c>
      <c r="M24" s="41">
        <f>IFERROR(__xludf.DUMMYFUNCTION("""COMPUTED_VALUE"""),0.0)</f>
        <v>0</v>
      </c>
      <c r="N24" s="42">
        <f>IFERROR(__xludf.DUMMYFUNCTION("""COMPUTED_VALUE"""),0.0)</f>
        <v>0</v>
      </c>
      <c r="O24" s="42">
        <f>IFERROR(__xludf.DUMMYFUNCTION("""COMPUTED_VALUE"""),0.0)</f>
        <v>0</v>
      </c>
      <c r="P24" s="42">
        <f>IFERROR(__xludf.DUMMYFUNCTION("""COMPUTED_VALUE"""),0.0)</f>
        <v>0</v>
      </c>
      <c r="Q24" s="41">
        <f>IFERROR(__xludf.DUMMYFUNCTION("""COMPUTED_VALUE"""),0.0)</f>
        <v>0</v>
      </c>
      <c r="R24" s="42">
        <f>IFERROR(__xludf.DUMMYFUNCTION("""COMPUTED_VALUE"""),0.0)</f>
        <v>0</v>
      </c>
      <c r="S24" s="42">
        <f>IFERROR(__xludf.DUMMYFUNCTION("""COMPUTED_VALUE"""),0.0)</f>
        <v>0</v>
      </c>
      <c r="T24" s="42">
        <f>IFERROR(__xludf.DUMMYFUNCTION("""COMPUTED_VALUE"""),0.0)</f>
        <v>0</v>
      </c>
      <c r="U24" s="41">
        <f>IFERROR(__xludf.DUMMYFUNCTION("""COMPUTED_VALUE"""),0.0)</f>
        <v>0</v>
      </c>
      <c r="V24" s="42">
        <f>IFERROR(__xludf.DUMMYFUNCTION("""COMPUTED_VALUE"""),0.0)</f>
        <v>0</v>
      </c>
      <c r="W24" s="42">
        <f>IFERROR(__xludf.DUMMYFUNCTION("""COMPUTED_VALUE"""),0.0)</f>
        <v>0</v>
      </c>
      <c r="X24" s="42">
        <f>IFERROR(__xludf.DUMMYFUNCTION("""COMPUTED_VALUE"""),0.0)</f>
        <v>0</v>
      </c>
      <c r="Y24" s="41">
        <f>IFERROR(__xludf.DUMMYFUNCTION("""COMPUTED_VALUE"""),0.0)</f>
        <v>0</v>
      </c>
      <c r="Z24" s="42">
        <f>IFERROR(__xludf.DUMMYFUNCTION("""COMPUTED_VALUE"""),0.0)</f>
        <v>0</v>
      </c>
      <c r="AA24" s="42">
        <f>IFERROR(__xludf.DUMMYFUNCTION("""COMPUTED_VALUE"""),0.0)</f>
        <v>0</v>
      </c>
      <c r="AB24" s="42">
        <f>IFERROR(__xludf.DUMMYFUNCTION("""COMPUTED_VALUE"""),0.0)</f>
        <v>0</v>
      </c>
      <c r="AC24" s="41">
        <f>IFERROR(__xludf.DUMMYFUNCTION("""COMPUTED_VALUE"""),0.0)</f>
        <v>0</v>
      </c>
      <c r="AD24" s="42">
        <f>IFERROR(__xludf.DUMMYFUNCTION("""COMPUTED_VALUE"""),0.0)</f>
        <v>0</v>
      </c>
      <c r="AE24" s="42">
        <f>IFERROR(__xludf.DUMMYFUNCTION("""COMPUTED_VALUE"""),0.0)</f>
        <v>0</v>
      </c>
      <c r="AF24" s="42">
        <f>IFERROR(__xludf.DUMMYFUNCTION("""COMPUTED_VALUE"""),0.0)</f>
        <v>0</v>
      </c>
      <c r="AG24" s="41">
        <f>IFERROR(__xludf.DUMMYFUNCTION("""COMPUTED_VALUE"""),0.0)</f>
        <v>0</v>
      </c>
      <c r="AH24" s="42">
        <f>IFERROR(__xludf.DUMMYFUNCTION("""COMPUTED_VALUE"""),0.0)</f>
        <v>0</v>
      </c>
      <c r="AI24" s="42">
        <f>IFERROR(__xludf.DUMMYFUNCTION("""COMPUTED_VALUE"""),0.0)</f>
        <v>0</v>
      </c>
      <c r="AJ24" s="42">
        <f>IFERROR(__xludf.DUMMYFUNCTION("""COMPUTED_VALUE"""),0.0)</f>
        <v>0</v>
      </c>
      <c r="AK24" s="41">
        <f>IFERROR(__xludf.DUMMYFUNCTION("""COMPUTED_VALUE"""),0.0)</f>
        <v>0</v>
      </c>
      <c r="AL24" s="42">
        <f>IFERROR(__xludf.DUMMYFUNCTION("""COMPUTED_VALUE"""),0.0)</f>
        <v>0</v>
      </c>
      <c r="AM24" s="42">
        <f>IFERROR(__xludf.DUMMYFUNCTION("""COMPUTED_VALUE"""),0.0)</f>
        <v>0</v>
      </c>
      <c r="AN24" s="42">
        <f>IFERROR(__xludf.DUMMYFUNCTION("""COMPUTED_VALUE"""),0.0)</f>
        <v>0</v>
      </c>
      <c r="AO24" s="41">
        <f>IFERROR(__xludf.DUMMYFUNCTION("""COMPUTED_VALUE"""),0.0)</f>
        <v>0</v>
      </c>
      <c r="AP24" s="42">
        <f>IFERROR(__xludf.DUMMYFUNCTION("""COMPUTED_VALUE"""),0.0)</f>
        <v>0</v>
      </c>
      <c r="AQ24" s="42">
        <f>IFERROR(__xludf.DUMMYFUNCTION("""COMPUTED_VALUE"""),0.0)</f>
        <v>0</v>
      </c>
      <c r="AR24" s="42">
        <f>IFERROR(__xludf.DUMMYFUNCTION("""COMPUTED_VALUE"""),0.0)</f>
        <v>0</v>
      </c>
      <c r="AS24" s="41">
        <f>IFERROR(__xludf.DUMMYFUNCTION("""COMPUTED_VALUE"""),0.0)</f>
        <v>0</v>
      </c>
      <c r="AT24" s="42">
        <f>IFERROR(__xludf.DUMMYFUNCTION("""COMPUTED_VALUE"""),0.0)</f>
        <v>0</v>
      </c>
      <c r="AU24" s="42">
        <f>IFERROR(__xludf.DUMMYFUNCTION("""COMPUTED_VALUE"""),0.0)</f>
        <v>0</v>
      </c>
      <c r="AV24" s="42">
        <f>IFERROR(__xludf.DUMMYFUNCTION("""COMPUTED_VALUE"""),0.0)</f>
        <v>0</v>
      </c>
      <c r="AW24" s="41">
        <f>IFERROR(__xludf.DUMMYFUNCTION("""COMPUTED_VALUE"""),0.0)</f>
        <v>0</v>
      </c>
      <c r="AX24" s="42">
        <f>IFERROR(__xludf.DUMMYFUNCTION("""COMPUTED_VALUE"""),0.0)</f>
        <v>0</v>
      </c>
      <c r="AY24" s="42">
        <f>IFERROR(__xludf.DUMMYFUNCTION("""COMPUTED_VALUE"""),0.0)</f>
        <v>0</v>
      </c>
      <c r="AZ24" s="43">
        <f>IFERROR(__xludf.DUMMYFUNCTION("""COMPUTED_VALUE"""),0.0)</f>
        <v>0</v>
      </c>
      <c r="BA24" s="34"/>
    </row>
    <row r="25" ht="15.75" customHeight="1">
      <c r="A25" s="29"/>
      <c r="B25" s="30" t="str">
        <f>IFERROR(__xludf.DUMMYFUNCTION("""COMPUTED_VALUE"""),"3. HỌC SINH")</f>
        <v>3. HỌC SINH</v>
      </c>
      <c r="C25" s="31" t="str">
        <f>IFERROR(__xludf.DUMMYFUNCTION("""COMPUTED_VALUE"""),"Tháng")</f>
        <v>Tháng</v>
      </c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3"/>
      <c r="BA25" s="34"/>
    </row>
    <row r="26" ht="15.75" customHeight="1">
      <c r="A26" s="29"/>
      <c r="B26" s="196" t="str">
        <f>IFERROR(__xludf.DUMMYFUNCTION("""COMPUTED_VALUE"""),"3.1. Tổng số")</f>
        <v>3.1. Tổng số</v>
      </c>
      <c r="C26" s="57"/>
      <c r="D26" s="57" t="str">
        <f>IFERROR(__xludf.DUMMYFUNCTION("""COMPUTED_VALUE"""),"Người")</f>
        <v>Người</v>
      </c>
      <c r="E26" s="125">
        <f>IFERROR(__xludf.DUMMYFUNCTION("""COMPUTED_VALUE"""),18313.0)</f>
        <v>18313</v>
      </c>
      <c r="F26" s="125">
        <f>IFERROR(__xludf.DUMMYFUNCTION("""COMPUTED_VALUE"""),18127.0)</f>
        <v>18127</v>
      </c>
      <c r="G26" s="125">
        <f>IFERROR(__xludf.DUMMYFUNCTION("""COMPUTED_VALUE"""),0.0)</f>
        <v>0</v>
      </c>
      <c r="H26" s="125">
        <f>IFERROR(__xludf.DUMMYFUNCTION("""COMPUTED_VALUE"""),186.0)</f>
        <v>186</v>
      </c>
      <c r="I26" s="125">
        <f>IFERROR(__xludf.DUMMYFUNCTION("""COMPUTED_VALUE"""),16032.0)</f>
        <v>16032</v>
      </c>
      <c r="J26" s="125">
        <f>IFERROR(__xludf.DUMMYFUNCTION("""COMPUTED_VALUE"""),16032.0)</f>
        <v>16032</v>
      </c>
      <c r="K26" s="125">
        <f>IFERROR(__xludf.DUMMYFUNCTION("""COMPUTED_VALUE"""),0.0)</f>
        <v>0</v>
      </c>
      <c r="L26" s="125">
        <f>IFERROR(__xludf.DUMMYFUNCTION("""COMPUTED_VALUE"""),0.0)</f>
        <v>0</v>
      </c>
      <c r="M26" s="125">
        <f>IFERROR(__xludf.DUMMYFUNCTION("""COMPUTED_VALUE"""),15990.0)</f>
        <v>15990</v>
      </c>
      <c r="N26" s="125">
        <f>IFERROR(__xludf.DUMMYFUNCTION("""COMPUTED_VALUE"""),15990.0)</f>
        <v>15990</v>
      </c>
      <c r="O26" s="125">
        <f>IFERROR(__xludf.DUMMYFUNCTION("""COMPUTED_VALUE"""),0.0)</f>
        <v>0</v>
      </c>
      <c r="P26" s="125">
        <f>IFERROR(__xludf.DUMMYFUNCTION("""COMPUTED_VALUE"""),0.0)</f>
        <v>0</v>
      </c>
      <c r="Q26" s="125">
        <f>IFERROR(__xludf.DUMMYFUNCTION("""COMPUTED_VALUE"""),16130.0)</f>
        <v>16130</v>
      </c>
      <c r="R26" s="125">
        <f>IFERROR(__xludf.DUMMYFUNCTION("""COMPUTED_VALUE"""),15929.0)</f>
        <v>15929</v>
      </c>
      <c r="S26" s="125">
        <f>IFERROR(__xludf.DUMMYFUNCTION("""COMPUTED_VALUE"""),0.0)</f>
        <v>0</v>
      </c>
      <c r="T26" s="125">
        <f>IFERROR(__xludf.DUMMYFUNCTION("""COMPUTED_VALUE"""),201.0)</f>
        <v>201</v>
      </c>
      <c r="U26" s="125">
        <f>IFERROR(__xludf.DUMMYFUNCTION("""COMPUTED_VALUE"""),16074.0)</f>
        <v>16074</v>
      </c>
      <c r="V26" s="125">
        <f>IFERROR(__xludf.DUMMYFUNCTION("""COMPUTED_VALUE"""),15873.0)</f>
        <v>15873</v>
      </c>
      <c r="W26" s="125">
        <f>IFERROR(__xludf.DUMMYFUNCTION("""COMPUTED_VALUE"""),0.0)</f>
        <v>0</v>
      </c>
      <c r="X26" s="125">
        <f>IFERROR(__xludf.DUMMYFUNCTION("""COMPUTED_VALUE"""),201.0)</f>
        <v>201</v>
      </c>
      <c r="Y26" s="125">
        <f>IFERROR(__xludf.DUMMYFUNCTION("""COMPUTED_VALUE"""),16002.0)</f>
        <v>16002</v>
      </c>
      <c r="Z26" s="125">
        <f>IFERROR(__xludf.DUMMYFUNCTION("""COMPUTED_VALUE"""),15800.0)</f>
        <v>15800</v>
      </c>
      <c r="AA26" s="125">
        <f>IFERROR(__xludf.DUMMYFUNCTION("""COMPUTED_VALUE"""),0.0)</f>
        <v>0</v>
      </c>
      <c r="AB26" s="125">
        <f>IFERROR(__xludf.DUMMYFUNCTION("""COMPUTED_VALUE"""),202.0)</f>
        <v>202</v>
      </c>
      <c r="AC26" s="125">
        <f>IFERROR(__xludf.DUMMYFUNCTION("""COMPUTED_VALUE"""),15946.0)</f>
        <v>15946</v>
      </c>
      <c r="AD26" s="125">
        <f>IFERROR(__xludf.DUMMYFUNCTION("""COMPUTED_VALUE"""),15743.0)</f>
        <v>15743</v>
      </c>
      <c r="AE26" s="125">
        <f>IFERROR(__xludf.DUMMYFUNCTION("""COMPUTED_VALUE"""),0.0)</f>
        <v>0</v>
      </c>
      <c r="AF26" s="125">
        <f>IFERROR(__xludf.DUMMYFUNCTION("""COMPUTED_VALUE"""),203.0)</f>
        <v>203</v>
      </c>
      <c r="AG26" s="125">
        <f>IFERROR(__xludf.DUMMYFUNCTION("""COMPUTED_VALUE"""),1108.0)</f>
        <v>1108</v>
      </c>
      <c r="AH26" s="125">
        <f>IFERROR(__xludf.DUMMYFUNCTION("""COMPUTED_VALUE"""),1108.0)</f>
        <v>1108</v>
      </c>
      <c r="AI26" s="125">
        <f>IFERROR(__xludf.DUMMYFUNCTION("""COMPUTED_VALUE"""),0.0)</f>
        <v>0</v>
      </c>
      <c r="AJ26" s="125">
        <f>IFERROR(__xludf.DUMMYFUNCTION("""COMPUTED_VALUE"""),0.0)</f>
        <v>0</v>
      </c>
      <c r="AK26" s="125">
        <f>IFERROR(__xludf.DUMMYFUNCTION("""COMPUTED_VALUE"""),476.0)</f>
        <v>476</v>
      </c>
      <c r="AL26" s="125">
        <f>IFERROR(__xludf.DUMMYFUNCTION("""COMPUTED_VALUE"""),476.0)</f>
        <v>476</v>
      </c>
      <c r="AM26" s="125">
        <f>IFERROR(__xludf.DUMMYFUNCTION("""COMPUTED_VALUE"""),0.0)</f>
        <v>0</v>
      </c>
      <c r="AN26" s="125">
        <f>IFERROR(__xludf.DUMMYFUNCTION("""COMPUTED_VALUE"""),0.0)</f>
        <v>0</v>
      </c>
      <c r="AO26" s="125">
        <f>IFERROR(__xludf.DUMMYFUNCTION("""COMPUTED_VALUE"""),0.0)</f>
        <v>0</v>
      </c>
      <c r="AP26" s="125">
        <f>IFERROR(__xludf.DUMMYFUNCTION("""COMPUTED_VALUE"""),0.0)</f>
        <v>0</v>
      </c>
      <c r="AQ26" s="125">
        <f>IFERROR(__xludf.DUMMYFUNCTION("""COMPUTED_VALUE"""),0.0)</f>
        <v>0</v>
      </c>
      <c r="AR26" s="125">
        <f>IFERROR(__xludf.DUMMYFUNCTION("""COMPUTED_VALUE"""),0.0)</f>
        <v>0</v>
      </c>
      <c r="AS26" s="125">
        <f>IFERROR(__xludf.DUMMYFUNCTION("""COMPUTED_VALUE"""),0.0)</f>
        <v>0</v>
      </c>
      <c r="AT26" s="125">
        <f>IFERROR(__xludf.DUMMYFUNCTION("""COMPUTED_VALUE"""),0.0)</f>
        <v>0</v>
      </c>
      <c r="AU26" s="125">
        <f>IFERROR(__xludf.DUMMYFUNCTION("""COMPUTED_VALUE"""),0.0)</f>
        <v>0</v>
      </c>
      <c r="AV26" s="125">
        <f>IFERROR(__xludf.DUMMYFUNCTION("""COMPUTED_VALUE"""),0.0)</f>
        <v>0</v>
      </c>
      <c r="AW26" s="125">
        <f>IFERROR(__xludf.DUMMYFUNCTION("""COMPUTED_VALUE"""),0.0)</f>
        <v>0</v>
      </c>
      <c r="AX26" s="125">
        <f>IFERROR(__xludf.DUMMYFUNCTION("""COMPUTED_VALUE"""),0.0)</f>
        <v>0</v>
      </c>
      <c r="AY26" s="125">
        <f>IFERROR(__xludf.DUMMYFUNCTION("""COMPUTED_VALUE"""),0.0)</f>
        <v>0</v>
      </c>
      <c r="AZ26" s="127">
        <f>IFERROR(__xludf.DUMMYFUNCTION("""COMPUTED_VALUE"""),0.0)</f>
        <v>0</v>
      </c>
      <c r="BA26" s="34"/>
    </row>
    <row r="27" ht="15.75" customHeight="1">
      <c r="A27" s="29"/>
      <c r="B27" s="48" t="str">
        <f>IFERROR(__xludf.DUMMYFUNCTION("""COMPUTED_VALUE"""),"Chia ra:")</f>
        <v>Chia ra:</v>
      </c>
      <c r="C27" s="49"/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3"/>
      <c r="BA27" s="34"/>
    </row>
    <row r="28" ht="15.75" customHeight="1">
      <c r="A28" s="29"/>
      <c r="B28" s="67" t="str">
        <f>IFERROR(__xludf.DUMMYFUNCTION("""COMPUTED_VALUE""")," + Lớp 6")</f>
        <v> + Lớp 6</v>
      </c>
      <c r="C28" s="31"/>
      <c r="D28" s="31" t="str">
        <f>IFERROR(__xludf.DUMMYFUNCTION("""COMPUTED_VALUE"""),"""")</f>
        <v>"</v>
      </c>
      <c r="E28" s="41">
        <f>IFERROR(__xludf.DUMMYFUNCTION("""COMPUTED_VALUE"""),3589.0)</f>
        <v>3589</v>
      </c>
      <c r="F28" s="42">
        <f>IFERROR(__xludf.DUMMYFUNCTION("""COMPUTED_VALUE"""),3550.0)</f>
        <v>3550</v>
      </c>
      <c r="G28" s="42">
        <f>IFERROR(__xludf.DUMMYFUNCTION("""COMPUTED_VALUE"""),0.0)</f>
        <v>0</v>
      </c>
      <c r="H28" s="42">
        <f>IFERROR(__xludf.DUMMYFUNCTION("""COMPUTED_VALUE"""),39.0)</f>
        <v>39</v>
      </c>
      <c r="I28" s="41">
        <f>IFERROR(__xludf.DUMMYFUNCTION("""COMPUTED_VALUE"""),3152.0)</f>
        <v>3152</v>
      </c>
      <c r="J28" s="42">
        <f>IFERROR(__xludf.DUMMYFUNCTION("""COMPUTED_VALUE"""),3152.0)</f>
        <v>3152</v>
      </c>
      <c r="K28" s="42">
        <f>IFERROR(__xludf.DUMMYFUNCTION("""COMPUTED_VALUE"""),0.0)</f>
        <v>0</v>
      </c>
      <c r="L28" s="42">
        <f>IFERROR(__xludf.DUMMYFUNCTION("""COMPUTED_VALUE"""),0.0)</f>
        <v>0</v>
      </c>
      <c r="M28" s="41">
        <f>IFERROR(__xludf.DUMMYFUNCTION("""COMPUTED_VALUE"""),3140.0)</f>
        <v>3140</v>
      </c>
      <c r="N28" s="42">
        <f>IFERROR(__xludf.DUMMYFUNCTION("""COMPUTED_VALUE"""),3140.0)</f>
        <v>3140</v>
      </c>
      <c r="O28" s="42">
        <f>IFERROR(__xludf.DUMMYFUNCTION("""COMPUTED_VALUE"""),0.0)</f>
        <v>0</v>
      </c>
      <c r="P28" s="42">
        <f>IFERROR(__xludf.DUMMYFUNCTION("""COMPUTED_VALUE"""),0.0)</f>
        <v>0</v>
      </c>
      <c r="Q28" s="41">
        <f>IFERROR(__xludf.DUMMYFUNCTION("""COMPUTED_VALUE"""),3162.0)</f>
        <v>3162</v>
      </c>
      <c r="R28" s="42">
        <f>IFERROR(__xludf.DUMMYFUNCTION("""COMPUTED_VALUE"""),3124.0)</f>
        <v>3124</v>
      </c>
      <c r="S28" s="42">
        <f>IFERROR(__xludf.DUMMYFUNCTION("""COMPUTED_VALUE"""),0.0)</f>
        <v>0</v>
      </c>
      <c r="T28" s="42">
        <f>IFERROR(__xludf.DUMMYFUNCTION("""COMPUTED_VALUE"""),38.0)</f>
        <v>38</v>
      </c>
      <c r="U28" s="41">
        <f>IFERROR(__xludf.DUMMYFUNCTION("""COMPUTED_VALUE"""),3147.0)</f>
        <v>3147</v>
      </c>
      <c r="V28" s="42">
        <f>IFERROR(__xludf.DUMMYFUNCTION("""COMPUTED_VALUE"""),3109.0)</f>
        <v>3109</v>
      </c>
      <c r="W28" s="42">
        <f>IFERROR(__xludf.DUMMYFUNCTION("""COMPUTED_VALUE"""),0.0)</f>
        <v>0</v>
      </c>
      <c r="X28" s="42">
        <f>IFERROR(__xludf.DUMMYFUNCTION("""COMPUTED_VALUE"""),38.0)</f>
        <v>38</v>
      </c>
      <c r="Y28" s="41">
        <f>IFERROR(__xludf.DUMMYFUNCTION("""COMPUTED_VALUE"""),3135.0)</f>
        <v>3135</v>
      </c>
      <c r="Z28" s="42">
        <f>IFERROR(__xludf.DUMMYFUNCTION("""COMPUTED_VALUE"""),3097.0)</f>
        <v>3097</v>
      </c>
      <c r="AA28" s="42">
        <f>IFERROR(__xludf.DUMMYFUNCTION("""COMPUTED_VALUE"""),0.0)</f>
        <v>0</v>
      </c>
      <c r="AB28" s="42">
        <f>IFERROR(__xludf.DUMMYFUNCTION("""COMPUTED_VALUE"""),38.0)</f>
        <v>38</v>
      </c>
      <c r="AC28" s="41">
        <f>IFERROR(__xludf.DUMMYFUNCTION("""COMPUTED_VALUE"""),3121.0)</f>
        <v>3121</v>
      </c>
      <c r="AD28" s="42">
        <f>IFERROR(__xludf.DUMMYFUNCTION("""COMPUTED_VALUE"""),3083.0)</f>
        <v>3083</v>
      </c>
      <c r="AE28" s="42">
        <f>IFERROR(__xludf.DUMMYFUNCTION("""COMPUTED_VALUE"""),0.0)</f>
        <v>0</v>
      </c>
      <c r="AF28" s="42">
        <f>IFERROR(__xludf.DUMMYFUNCTION("""COMPUTED_VALUE"""),38.0)</f>
        <v>38</v>
      </c>
      <c r="AG28" s="41">
        <f>IFERROR(__xludf.DUMMYFUNCTION("""COMPUTED_VALUE"""),232.0)</f>
        <v>232</v>
      </c>
      <c r="AH28" s="42">
        <f>IFERROR(__xludf.DUMMYFUNCTION("""COMPUTED_VALUE"""),232.0)</f>
        <v>232</v>
      </c>
      <c r="AI28" s="42">
        <f>IFERROR(__xludf.DUMMYFUNCTION("""COMPUTED_VALUE"""),0.0)</f>
        <v>0</v>
      </c>
      <c r="AJ28" s="42">
        <f>IFERROR(__xludf.DUMMYFUNCTION("""COMPUTED_VALUE"""),0.0)</f>
        <v>0</v>
      </c>
      <c r="AK28" s="41">
        <f>IFERROR(__xludf.DUMMYFUNCTION("""COMPUTED_VALUE"""),69.0)</f>
        <v>69</v>
      </c>
      <c r="AL28" s="42">
        <f>IFERROR(__xludf.DUMMYFUNCTION("""COMPUTED_VALUE"""),69.0)</f>
        <v>69</v>
      </c>
      <c r="AM28" s="42">
        <f>IFERROR(__xludf.DUMMYFUNCTION("""COMPUTED_VALUE"""),0.0)</f>
        <v>0</v>
      </c>
      <c r="AN28" s="42">
        <f>IFERROR(__xludf.DUMMYFUNCTION("""COMPUTED_VALUE"""),0.0)</f>
        <v>0</v>
      </c>
      <c r="AO28" s="41">
        <f>IFERROR(__xludf.DUMMYFUNCTION("""COMPUTED_VALUE"""),0.0)</f>
        <v>0</v>
      </c>
      <c r="AP28" s="42">
        <f>IFERROR(__xludf.DUMMYFUNCTION("""COMPUTED_VALUE"""),0.0)</f>
        <v>0</v>
      </c>
      <c r="AQ28" s="42">
        <f>IFERROR(__xludf.DUMMYFUNCTION("""COMPUTED_VALUE"""),0.0)</f>
        <v>0</v>
      </c>
      <c r="AR28" s="42">
        <f>IFERROR(__xludf.DUMMYFUNCTION("""COMPUTED_VALUE"""),0.0)</f>
        <v>0</v>
      </c>
      <c r="AS28" s="41">
        <f>IFERROR(__xludf.DUMMYFUNCTION("""COMPUTED_VALUE"""),0.0)</f>
        <v>0</v>
      </c>
      <c r="AT28" s="42">
        <f>IFERROR(__xludf.DUMMYFUNCTION("""COMPUTED_VALUE"""),0.0)</f>
        <v>0</v>
      </c>
      <c r="AU28" s="42">
        <f>IFERROR(__xludf.DUMMYFUNCTION("""COMPUTED_VALUE"""),0.0)</f>
        <v>0</v>
      </c>
      <c r="AV28" s="42">
        <f>IFERROR(__xludf.DUMMYFUNCTION("""COMPUTED_VALUE"""),0.0)</f>
        <v>0</v>
      </c>
      <c r="AW28" s="41">
        <f>IFERROR(__xludf.DUMMYFUNCTION("""COMPUTED_VALUE"""),0.0)</f>
        <v>0</v>
      </c>
      <c r="AX28" s="42">
        <f>IFERROR(__xludf.DUMMYFUNCTION("""COMPUTED_VALUE"""),0.0)</f>
        <v>0</v>
      </c>
      <c r="AY28" s="42">
        <f>IFERROR(__xludf.DUMMYFUNCTION("""COMPUTED_VALUE"""),0.0)</f>
        <v>0</v>
      </c>
      <c r="AZ28" s="43">
        <f>IFERROR(__xludf.DUMMYFUNCTION("""COMPUTED_VALUE"""),0.0)</f>
        <v>0</v>
      </c>
      <c r="BA28" s="34"/>
    </row>
    <row r="29" ht="15.75" customHeight="1">
      <c r="A29" s="29"/>
      <c r="B29" s="67" t="str">
        <f>IFERROR(__xludf.DUMMYFUNCTION("""COMPUTED_VALUE""")," + Lớp 7")</f>
        <v> + Lớp 7</v>
      </c>
      <c r="C29" s="31"/>
      <c r="D29" s="31" t="str">
        <f>IFERROR(__xludf.DUMMYFUNCTION("""COMPUTED_VALUE"""),"""")</f>
        <v>"</v>
      </c>
      <c r="E29" s="41">
        <f>IFERROR(__xludf.DUMMYFUNCTION("""COMPUTED_VALUE"""),2749.0)</f>
        <v>2749</v>
      </c>
      <c r="F29" s="42">
        <f>IFERROR(__xludf.DUMMYFUNCTION("""COMPUTED_VALUE"""),2727.0)</f>
        <v>2727</v>
      </c>
      <c r="G29" s="42">
        <f>IFERROR(__xludf.DUMMYFUNCTION("""COMPUTED_VALUE"""),0.0)</f>
        <v>0</v>
      </c>
      <c r="H29" s="42">
        <f>IFERROR(__xludf.DUMMYFUNCTION("""COMPUTED_VALUE"""),22.0)</f>
        <v>22</v>
      </c>
      <c r="I29" s="41">
        <f>IFERROR(__xludf.DUMMYFUNCTION("""COMPUTED_VALUE"""),2469.0)</f>
        <v>2469</v>
      </c>
      <c r="J29" s="42">
        <f>IFERROR(__xludf.DUMMYFUNCTION("""COMPUTED_VALUE"""),2469.0)</f>
        <v>2469</v>
      </c>
      <c r="K29" s="42">
        <f>IFERROR(__xludf.DUMMYFUNCTION("""COMPUTED_VALUE"""),0.0)</f>
        <v>0</v>
      </c>
      <c r="L29" s="42">
        <f>IFERROR(__xludf.DUMMYFUNCTION("""COMPUTED_VALUE"""),0.0)</f>
        <v>0</v>
      </c>
      <c r="M29" s="41">
        <f>IFERROR(__xludf.DUMMYFUNCTION("""COMPUTED_VALUE"""),2462.0)</f>
        <v>2462</v>
      </c>
      <c r="N29" s="42">
        <f>IFERROR(__xludf.DUMMYFUNCTION("""COMPUTED_VALUE"""),2462.0)</f>
        <v>2462</v>
      </c>
      <c r="O29" s="42">
        <f>IFERROR(__xludf.DUMMYFUNCTION("""COMPUTED_VALUE"""),0.0)</f>
        <v>0</v>
      </c>
      <c r="P29" s="42">
        <f>IFERROR(__xludf.DUMMYFUNCTION("""COMPUTED_VALUE"""),0.0)</f>
        <v>0</v>
      </c>
      <c r="Q29" s="41">
        <f>IFERROR(__xludf.DUMMYFUNCTION("""COMPUTED_VALUE"""),2473.0)</f>
        <v>2473</v>
      </c>
      <c r="R29" s="42">
        <f>IFERROR(__xludf.DUMMYFUNCTION("""COMPUTED_VALUE"""),2451.0)</f>
        <v>2451</v>
      </c>
      <c r="S29" s="42">
        <f>IFERROR(__xludf.DUMMYFUNCTION("""COMPUTED_VALUE"""),0.0)</f>
        <v>0</v>
      </c>
      <c r="T29" s="42">
        <f>IFERROR(__xludf.DUMMYFUNCTION("""COMPUTED_VALUE"""),22.0)</f>
        <v>22</v>
      </c>
      <c r="U29" s="41">
        <f>IFERROR(__xludf.DUMMYFUNCTION("""COMPUTED_VALUE"""),2462.0)</f>
        <v>2462</v>
      </c>
      <c r="V29" s="42">
        <f>IFERROR(__xludf.DUMMYFUNCTION("""COMPUTED_VALUE"""),2440.0)</f>
        <v>2440</v>
      </c>
      <c r="W29" s="42">
        <f>IFERROR(__xludf.DUMMYFUNCTION("""COMPUTED_VALUE"""),0.0)</f>
        <v>0</v>
      </c>
      <c r="X29" s="42">
        <f>IFERROR(__xludf.DUMMYFUNCTION("""COMPUTED_VALUE"""),22.0)</f>
        <v>22</v>
      </c>
      <c r="Y29" s="41">
        <f>IFERROR(__xludf.DUMMYFUNCTION("""COMPUTED_VALUE"""),2441.0)</f>
        <v>2441</v>
      </c>
      <c r="Z29" s="42">
        <f>IFERROR(__xludf.DUMMYFUNCTION("""COMPUTED_VALUE"""),2419.0)</f>
        <v>2419</v>
      </c>
      <c r="AA29" s="42">
        <f>IFERROR(__xludf.DUMMYFUNCTION("""COMPUTED_VALUE"""),0.0)</f>
        <v>0</v>
      </c>
      <c r="AB29" s="42">
        <f>IFERROR(__xludf.DUMMYFUNCTION("""COMPUTED_VALUE"""),22.0)</f>
        <v>22</v>
      </c>
      <c r="AC29" s="41">
        <f>IFERROR(__xludf.DUMMYFUNCTION("""COMPUTED_VALUE"""),2434.0)</f>
        <v>2434</v>
      </c>
      <c r="AD29" s="42">
        <f>IFERROR(__xludf.DUMMYFUNCTION("""COMPUTED_VALUE"""),2411.0)</f>
        <v>2411</v>
      </c>
      <c r="AE29" s="42">
        <f>IFERROR(__xludf.DUMMYFUNCTION("""COMPUTED_VALUE"""),0.0)</f>
        <v>0</v>
      </c>
      <c r="AF29" s="42">
        <f>IFERROR(__xludf.DUMMYFUNCTION("""COMPUTED_VALUE"""),23.0)</f>
        <v>23</v>
      </c>
      <c r="AG29" s="41">
        <f>IFERROR(__xludf.DUMMYFUNCTION("""COMPUTED_VALUE"""),169.0)</f>
        <v>169</v>
      </c>
      <c r="AH29" s="42">
        <f>IFERROR(__xludf.DUMMYFUNCTION("""COMPUTED_VALUE"""),169.0)</f>
        <v>169</v>
      </c>
      <c r="AI29" s="42">
        <f>IFERROR(__xludf.DUMMYFUNCTION("""COMPUTED_VALUE"""),0.0)</f>
        <v>0</v>
      </c>
      <c r="AJ29" s="42">
        <f>IFERROR(__xludf.DUMMYFUNCTION("""COMPUTED_VALUE"""),0.0)</f>
        <v>0</v>
      </c>
      <c r="AK29" s="41">
        <f>IFERROR(__xludf.DUMMYFUNCTION("""COMPUTED_VALUE"""),69.0)</f>
        <v>69</v>
      </c>
      <c r="AL29" s="42">
        <f>IFERROR(__xludf.DUMMYFUNCTION("""COMPUTED_VALUE"""),69.0)</f>
        <v>69</v>
      </c>
      <c r="AM29" s="42">
        <f>IFERROR(__xludf.DUMMYFUNCTION("""COMPUTED_VALUE"""),0.0)</f>
        <v>0</v>
      </c>
      <c r="AN29" s="42">
        <f>IFERROR(__xludf.DUMMYFUNCTION("""COMPUTED_VALUE"""),0.0)</f>
        <v>0</v>
      </c>
      <c r="AO29" s="41">
        <f>IFERROR(__xludf.DUMMYFUNCTION("""COMPUTED_VALUE"""),0.0)</f>
        <v>0</v>
      </c>
      <c r="AP29" s="42">
        <f>IFERROR(__xludf.DUMMYFUNCTION("""COMPUTED_VALUE"""),0.0)</f>
        <v>0</v>
      </c>
      <c r="AQ29" s="42">
        <f>IFERROR(__xludf.DUMMYFUNCTION("""COMPUTED_VALUE"""),0.0)</f>
        <v>0</v>
      </c>
      <c r="AR29" s="42">
        <f>IFERROR(__xludf.DUMMYFUNCTION("""COMPUTED_VALUE"""),0.0)</f>
        <v>0</v>
      </c>
      <c r="AS29" s="41">
        <f>IFERROR(__xludf.DUMMYFUNCTION("""COMPUTED_VALUE"""),0.0)</f>
        <v>0</v>
      </c>
      <c r="AT29" s="42">
        <f>IFERROR(__xludf.DUMMYFUNCTION("""COMPUTED_VALUE"""),0.0)</f>
        <v>0</v>
      </c>
      <c r="AU29" s="42">
        <f>IFERROR(__xludf.DUMMYFUNCTION("""COMPUTED_VALUE"""),0.0)</f>
        <v>0</v>
      </c>
      <c r="AV29" s="42">
        <f>IFERROR(__xludf.DUMMYFUNCTION("""COMPUTED_VALUE"""),0.0)</f>
        <v>0</v>
      </c>
      <c r="AW29" s="41">
        <f>IFERROR(__xludf.DUMMYFUNCTION("""COMPUTED_VALUE"""),0.0)</f>
        <v>0</v>
      </c>
      <c r="AX29" s="42">
        <f>IFERROR(__xludf.DUMMYFUNCTION("""COMPUTED_VALUE"""),0.0)</f>
        <v>0</v>
      </c>
      <c r="AY29" s="42">
        <f>IFERROR(__xludf.DUMMYFUNCTION("""COMPUTED_VALUE"""),0.0)</f>
        <v>0</v>
      </c>
      <c r="AZ29" s="43">
        <f>IFERROR(__xludf.DUMMYFUNCTION("""COMPUTED_VALUE"""),0.0)</f>
        <v>0</v>
      </c>
      <c r="BA29" s="34"/>
    </row>
    <row r="30" ht="15.75" customHeight="1">
      <c r="A30" s="29"/>
      <c r="B30" s="67" t="str">
        <f>IFERROR(__xludf.DUMMYFUNCTION("""COMPUTED_VALUE""")," + Lớp 8")</f>
        <v> + Lớp 8</v>
      </c>
      <c r="C30" s="31"/>
      <c r="D30" s="31" t="str">
        <f>IFERROR(__xludf.DUMMYFUNCTION("""COMPUTED_VALUE"""),"""")</f>
        <v>"</v>
      </c>
      <c r="E30" s="41">
        <f>IFERROR(__xludf.DUMMYFUNCTION("""COMPUTED_VALUE"""),2000.0)</f>
        <v>2000</v>
      </c>
      <c r="F30" s="42">
        <f>IFERROR(__xludf.DUMMYFUNCTION("""COMPUTED_VALUE"""),1980.0)</f>
        <v>1980</v>
      </c>
      <c r="G30" s="42">
        <f>IFERROR(__xludf.DUMMYFUNCTION("""COMPUTED_VALUE"""),0.0)</f>
        <v>0</v>
      </c>
      <c r="H30" s="42">
        <f>IFERROR(__xludf.DUMMYFUNCTION("""COMPUTED_VALUE"""),20.0)</f>
        <v>20</v>
      </c>
      <c r="I30" s="41">
        <f>IFERROR(__xludf.DUMMYFUNCTION("""COMPUTED_VALUE"""),1776.0)</f>
        <v>1776</v>
      </c>
      <c r="J30" s="42">
        <f>IFERROR(__xludf.DUMMYFUNCTION("""COMPUTED_VALUE"""),1776.0)</f>
        <v>1776</v>
      </c>
      <c r="K30" s="42">
        <f>IFERROR(__xludf.DUMMYFUNCTION("""COMPUTED_VALUE"""),0.0)</f>
        <v>0</v>
      </c>
      <c r="L30" s="42">
        <f>IFERROR(__xludf.DUMMYFUNCTION("""COMPUTED_VALUE"""),0.0)</f>
        <v>0</v>
      </c>
      <c r="M30" s="41">
        <f>IFERROR(__xludf.DUMMYFUNCTION("""COMPUTED_VALUE"""),1769.0)</f>
        <v>1769</v>
      </c>
      <c r="N30" s="42">
        <f>IFERROR(__xludf.DUMMYFUNCTION("""COMPUTED_VALUE"""),1769.0)</f>
        <v>1769</v>
      </c>
      <c r="O30" s="42">
        <f>IFERROR(__xludf.DUMMYFUNCTION("""COMPUTED_VALUE"""),0.0)</f>
        <v>0</v>
      </c>
      <c r="P30" s="42">
        <f>IFERROR(__xludf.DUMMYFUNCTION("""COMPUTED_VALUE"""),0.0)</f>
        <v>0</v>
      </c>
      <c r="Q30" s="41">
        <f>IFERROR(__xludf.DUMMYFUNCTION("""COMPUTED_VALUE"""),1781.0)</f>
        <v>1781</v>
      </c>
      <c r="R30" s="42">
        <f>IFERROR(__xludf.DUMMYFUNCTION("""COMPUTED_VALUE"""),1762.0)</f>
        <v>1762</v>
      </c>
      <c r="S30" s="42">
        <f>IFERROR(__xludf.DUMMYFUNCTION("""COMPUTED_VALUE"""),0.0)</f>
        <v>0</v>
      </c>
      <c r="T30" s="42">
        <f>IFERROR(__xludf.DUMMYFUNCTION("""COMPUTED_VALUE"""),19.0)</f>
        <v>19</v>
      </c>
      <c r="U30" s="41">
        <f>IFERROR(__xludf.DUMMYFUNCTION("""COMPUTED_VALUE"""),1776.0)</f>
        <v>1776</v>
      </c>
      <c r="V30" s="42">
        <f>IFERROR(__xludf.DUMMYFUNCTION("""COMPUTED_VALUE"""),1757.0)</f>
        <v>1757</v>
      </c>
      <c r="W30" s="42">
        <f>IFERROR(__xludf.DUMMYFUNCTION("""COMPUTED_VALUE"""),0.0)</f>
        <v>0</v>
      </c>
      <c r="X30" s="42">
        <f>IFERROR(__xludf.DUMMYFUNCTION("""COMPUTED_VALUE"""),19.0)</f>
        <v>19</v>
      </c>
      <c r="Y30" s="41">
        <f>IFERROR(__xludf.DUMMYFUNCTION("""COMPUTED_VALUE"""),1759.0)</f>
        <v>1759</v>
      </c>
      <c r="Z30" s="42">
        <f>IFERROR(__xludf.DUMMYFUNCTION("""COMPUTED_VALUE"""),1740.0)</f>
        <v>1740</v>
      </c>
      <c r="AA30" s="42">
        <f>IFERROR(__xludf.DUMMYFUNCTION("""COMPUTED_VALUE"""),0.0)</f>
        <v>0</v>
      </c>
      <c r="AB30" s="42">
        <f>IFERROR(__xludf.DUMMYFUNCTION("""COMPUTED_VALUE"""),19.0)</f>
        <v>19</v>
      </c>
      <c r="AC30" s="41">
        <f>IFERROR(__xludf.DUMMYFUNCTION("""COMPUTED_VALUE"""),1745.0)</f>
        <v>1745</v>
      </c>
      <c r="AD30" s="42">
        <f>IFERROR(__xludf.DUMMYFUNCTION("""COMPUTED_VALUE"""),1726.0)</f>
        <v>1726</v>
      </c>
      <c r="AE30" s="42">
        <f>IFERROR(__xludf.DUMMYFUNCTION("""COMPUTED_VALUE"""),0.0)</f>
        <v>0</v>
      </c>
      <c r="AF30" s="42">
        <f>IFERROR(__xludf.DUMMYFUNCTION("""COMPUTED_VALUE"""),19.0)</f>
        <v>19</v>
      </c>
      <c r="AG30" s="41">
        <f>IFERROR(__xludf.DUMMYFUNCTION("""COMPUTED_VALUE"""),125.0)</f>
        <v>125</v>
      </c>
      <c r="AH30" s="42">
        <f>IFERROR(__xludf.DUMMYFUNCTION("""COMPUTED_VALUE"""),125.0)</f>
        <v>125</v>
      </c>
      <c r="AI30" s="42">
        <f>IFERROR(__xludf.DUMMYFUNCTION("""COMPUTED_VALUE"""),0.0)</f>
        <v>0</v>
      </c>
      <c r="AJ30" s="42">
        <f>IFERROR(__xludf.DUMMYFUNCTION("""COMPUTED_VALUE"""),0.0)</f>
        <v>0</v>
      </c>
      <c r="AK30" s="41">
        <f>IFERROR(__xludf.DUMMYFUNCTION("""COMPUTED_VALUE"""),68.0)</f>
        <v>68</v>
      </c>
      <c r="AL30" s="42">
        <f>IFERROR(__xludf.DUMMYFUNCTION("""COMPUTED_VALUE"""),68.0)</f>
        <v>68</v>
      </c>
      <c r="AM30" s="42">
        <f>IFERROR(__xludf.DUMMYFUNCTION("""COMPUTED_VALUE"""),0.0)</f>
        <v>0</v>
      </c>
      <c r="AN30" s="42">
        <f>IFERROR(__xludf.DUMMYFUNCTION("""COMPUTED_VALUE"""),0.0)</f>
        <v>0</v>
      </c>
      <c r="AO30" s="41">
        <f>IFERROR(__xludf.DUMMYFUNCTION("""COMPUTED_VALUE"""),0.0)</f>
        <v>0</v>
      </c>
      <c r="AP30" s="42">
        <f>IFERROR(__xludf.DUMMYFUNCTION("""COMPUTED_VALUE"""),0.0)</f>
        <v>0</v>
      </c>
      <c r="AQ30" s="42">
        <f>IFERROR(__xludf.DUMMYFUNCTION("""COMPUTED_VALUE"""),0.0)</f>
        <v>0</v>
      </c>
      <c r="AR30" s="42">
        <f>IFERROR(__xludf.DUMMYFUNCTION("""COMPUTED_VALUE"""),0.0)</f>
        <v>0</v>
      </c>
      <c r="AS30" s="41">
        <f>IFERROR(__xludf.DUMMYFUNCTION("""COMPUTED_VALUE"""),0.0)</f>
        <v>0</v>
      </c>
      <c r="AT30" s="42">
        <f>IFERROR(__xludf.DUMMYFUNCTION("""COMPUTED_VALUE"""),0.0)</f>
        <v>0</v>
      </c>
      <c r="AU30" s="42">
        <f>IFERROR(__xludf.DUMMYFUNCTION("""COMPUTED_VALUE"""),0.0)</f>
        <v>0</v>
      </c>
      <c r="AV30" s="42">
        <f>IFERROR(__xludf.DUMMYFUNCTION("""COMPUTED_VALUE"""),0.0)</f>
        <v>0</v>
      </c>
      <c r="AW30" s="41">
        <f>IFERROR(__xludf.DUMMYFUNCTION("""COMPUTED_VALUE"""),0.0)</f>
        <v>0</v>
      </c>
      <c r="AX30" s="42">
        <f>IFERROR(__xludf.DUMMYFUNCTION("""COMPUTED_VALUE"""),0.0)</f>
        <v>0</v>
      </c>
      <c r="AY30" s="42">
        <f>IFERROR(__xludf.DUMMYFUNCTION("""COMPUTED_VALUE"""),0.0)</f>
        <v>0</v>
      </c>
      <c r="AZ30" s="43">
        <f>IFERROR(__xludf.DUMMYFUNCTION("""COMPUTED_VALUE"""),0.0)</f>
        <v>0</v>
      </c>
      <c r="BA30" s="34"/>
    </row>
    <row r="31" ht="15.75" customHeight="1">
      <c r="A31" s="29"/>
      <c r="B31" s="67" t="str">
        <f>IFERROR(__xludf.DUMMYFUNCTION("""COMPUTED_VALUE""")," + Lớp 9")</f>
        <v> + Lớp 9</v>
      </c>
      <c r="C31" s="31"/>
      <c r="D31" s="31" t="str">
        <f>IFERROR(__xludf.DUMMYFUNCTION("""COMPUTED_VALUE"""),"""")</f>
        <v>"</v>
      </c>
      <c r="E31" s="41">
        <f>IFERROR(__xludf.DUMMYFUNCTION("""COMPUTED_VALUE"""),2227.0)</f>
        <v>2227</v>
      </c>
      <c r="F31" s="42">
        <f>IFERROR(__xludf.DUMMYFUNCTION("""COMPUTED_VALUE"""),2201.0)</f>
        <v>2201</v>
      </c>
      <c r="G31" s="42">
        <f>IFERROR(__xludf.DUMMYFUNCTION("""COMPUTED_VALUE"""),0.0)</f>
        <v>0</v>
      </c>
      <c r="H31" s="42">
        <f>IFERROR(__xludf.DUMMYFUNCTION("""COMPUTED_VALUE"""),26.0)</f>
        <v>26</v>
      </c>
      <c r="I31" s="41">
        <f>IFERROR(__xludf.DUMMYFUNCTION("""COMPUTED_VALUE"""),1935.0)</f>
        <v>1935</v>
      </c>
      <c r="J31" s="42">
        <f>IFERROR(__xludf.DUMMYFUNCTION("""COMPUTED_VALUE"""),1935.0)</f>
        <v>1935</v>
      </c>
      <c r="K31" s="42">
        <f>IFERROR(__xludf.DUMMYFUNCTION("""COMPUTED_VALUE"""),0.0)</f>
        <v>0</v>
      </c>
      <c r="L31" s="42">
        <f>IFERROR(__xludf.DUMMYFUNCTION("""COMPUTED_VALUE"""),0.0)</f>
        <v>0</v>
      </c>
      <c r="M31" s="41">
        <f>IFERROR(__xludf.DUMMYFUNCTION("""COMPUTED_VALUE"""),1931.0)</f>
        <v>1931</v>
      </c>
      <c r="N31" s="42">
        <f>IFERROR(__xludf.DUMMYFUNCTION("""COMPUTED_VALUE"""),1931.0)</f>
        <v>1931</v>
      </c>
      <c r="O31" s="42">
        <f>IFERROR(__xludf.DUMMYFUNCTION("""COMPUTED_VALUE"""),0.0)</f>
        <v>0</v>
      </c>
      <c r="P31" s="42">
        <f>IFERROR(__xludf.DUMMYFUNCTION("""COMPUTED_VALUE"""),0.0)</f>
        <v>0</v>
      </c>
      <c r="Q31" s="41">
        <f>IFERROR(__xludf.DUMMYFUNCTION("""COMPUTED_VALUE"""),1944.0)</f>
        <v>1944</v>
      </c>
      <c r="R31" s="42">
        <f>IFERROR(__xludf.DUMMYFUNCTION("""COMPUTED_VALUE"""),1922.0)</f>
        <v>1922</v>
      </c>
      <c r="S31" s="42">
        <f>IFERROR(__xludf.DUMMYFUNCTION("""COMPUTED_VALUE"""),0.0)</f>
        <v>0</v>
      </c>
      <c r="T31" s="42">
        <f>IFERROR(__xludf.DUMMYFUNCTION("""COMPUTED_VALUE"""),22.0)</f>
        <v>22</v>
      </c>
      <c r="U31" s="41">
        <f>IFERROR(__xludf.DUMMYFUNCTION("""COMPUTED_VALUE"""),1934.0)</f>
        <v>1934</v>
      </c>
      <c r="V31" s="42">
        <f>IFERROR(__xludf.DUMMYFUNCTION("""COMPUTED_VALUE"""),1912.0)</f>
        <v>1912</v>
      </c>
      <c r="W31" s="42">
        <f>IFERROR(__xludf.DUMMYFUNCTION("""COMPUTED_VALUE"""),0.0)</f>
        <v>0</v>
      </c>
      <c r="X31" s="42">
        <f>IFERROR(__xludf.DUMMYFUNCTION("""COMPUTED_VALUE"""),22.0)</f>
        <v>22</v>
      </c>
      <c r="Y31" s="41">
        <f>IFERROR(__xludf.DUMMYFUNCTION("""COMPUTED_VALUE"""),1928.0)</f>
        <v>1928</v>
      </c>
      <c r="Z31" s="42">
        <f>IFERROR(__xludf.DUMMYFUNCTION("""COMPUTED_VALUE"""),1906.0)</f>
        <v>1906</v>
      </c>
      <c r="AA31" s="42">
        <f>IFERROR(__xludf.DUMMYFUNCTION("""COMPUTED_VALUE"""),0.0)</f>
        <v>0</v>
      </c>
      <c r="AB31" s="42">
        <f>IFERROR(__xludf.DUMMYFUNCTION("""COMPUTED_VALUE"""),22.0)</f>
        <v>22</v>
      </c>
      <c r="AC31" s="41">
        <f>IFERROR(__xludf.DUMMYFUNCTION("""COMPUTED_VALUE"""),1922.0)</f>
        <v>1922</v>
      </c>
      <c r="AD31" s="42">
        <f>IFERROR(__xludf.DUMMYFUNCTION("""COMPUTED_VALUE"""),1900.0)</f>
        <v>1900</v>
      </c>
      <c r="AE31" s="42">
        <f>IFERROR(__xludf.DUMMYFUNCTION("""COMPUTED_VALUE"""),0.0)</f>
        <v>0</v>
      </c>
      <c r="AF31" s="42">
        <f>IFERROR(__xludf.DUMMYFUNCTION("""COMPUTED_VALUE"""),22.0)</f>
        <v>22</v>
      </c>
      <c r="AG31" s="41">
        <f>IFERROR(__xludf.DUMMYFUNCTION("""COMPUTED_VALUE"""),150.0)</f>
        <v>150</v>
      </c>
      <c r="AH31" s="42">
        <f>IFERROR(__xludf.DUMMYFUNCTION("""COMPUTED_VALUE"""),150.0)</f>
        <v>150</v>
      </c>
      <c r="AI31" s="42">
        <f>IFERROR(__xludf.DUMMYFUNCTION("""COMPUTED_VALUE"""),0.0)</f>
        <v>0</v>
      </c>
      <c r="AJ31" s="42">
        <f>IFERROR(__xludf.DUMMYFUNCTION("""COMPUTED_VALUE"""),0.0)</f>
        <v>0</v>
      </c>
      <c r="AK31" s="41">
        <f>IFERROR(__xludf.DUMMYFUNCTION("""COMPUTED_VALUE"""),65.0)</f>
        <v>65</v>
      </c>
      <c r="AL31" s="42">
        <f>IFERROR(__xludf.DUMMYFUNCTION("""COMPUTED_VALUE"""),65.0)</f>
        <v>65</v>
      </c>
      <c r="AM31" s="42">
        <f>IFERROR(__xludf.DUMMYFUNCTION("""COMPUTED_VALUE"""),0.0)</f>
        <v>0</v>
      </c>
      <c r="AN31" s="42">
        <f>IFERROR(__xludf.DUMMYFUNCTION("""COMPUTED_VALUE"""),0.0)</f>
        <v>0</v>
      </c>
      <c r="AO31" s="41">
        <f>IFERROR(__xludf.DUMMYFUNCTION("""COMPUTED_VALUE"""),0.0)</f>
        <v>0</v>
      </c>
      <c r="AP31" s="42">
        <f>IFERROR(__xludf.DUMMYFUNCTION("""COMPUTED_VALUE"""),0.0)</f>
        <v>0</v>
      </c>
      <c r="AQ31" s="42">
        <f>IFERROR(__xludf.DUMMYFUNCTION("""COMPUTED_VALUE"""),0.0)</f>
        <v>0</v>
      </c>
      <c r="AR31" s="42">
        <f>IFERROR(__xludf.DUMMYFUNCTION("""COMPUTED_VALUE"""),0.0)</f>
        <v>0</v>
      </c>
      <c r="AS31" s="41">
        <f>IFERROR(__xludf.DUMMYFUNCTION("""COMPUTED_VALUE"""),0.0)</f>
        <v>0</v>
      </c>
      <c r="AT31" s="42">
        <f>IFERROR(__xludf.DUMMYFUNCTION("""COMPUTED_VALUE"""),0.0)</f>
        <v>0</v>
      </c>
      <c r="AU31" s="42">
        <f>IFERROR(__xludf.DUMMYFUNCTION("""COMPUTED_VALUE"""),0.0)</f>
        <v>0</v>
      </c>
      <c r="AV31" s="42">
        <f>IFERROR(__xludf.DUMMYFUNCTION("""COMPUTED_VALUE"""),0.0)</f>
        <v>0</v>
      </c>
      <c r="AW31" s="41">
        <f>IFERROR(__xludf.DUMMYFUNCTION("""COMPUTED_VALUE"""),0.0)</f>
        <v>0</v>
      </c>
      <c r="AX31" s="42">
        <f>IFERROR(__xludf.DUMMYFUNCTION("""COMPUTED_VALUE"""),0.0)</f>
        <v>0</v>
      </c>
      <c r="AY31" s="42">
        <f>IFERROR(__xludf.DUMMYFUNCTION("""COMPUTED_VALUE"""),0.0)</f>
        <v>0</v>
      </c>
      <c r="AZ31" s="43">
        <f>IFERROR(__xludf.DUMMYFUNCTION("""COMPUTED_VALUE"""),0.0)</f>
        <v>0</v>
      </c>
      <c r="BA31" s="34"/>
    </row>
    <row r="32" ht="15.75" customHeight="1">
      <c r="A32" s="29"/>
      <c r="B32" s="67" t="str">
        <f>IFERROR(__xludf.DUMMYFUNCTION("""COMPUTED_VALUE""")," + Lớp 10")</f>
        <v> + Lớp 10</v>
      </c>
      <c r="C32" s="31"/>
      <c r="D32" s="31" t="str">
        <f>IFERROR(__xludf.DUMMYFUNCTION("""COMPUTED_VALUE"""),"""")</f>
        <v>"</v>
      </c>
      <c r="E32" s="41">
        <f>IFERROR(__xludf.DUMMYFUNCTION("""COMPUTED_VALUE"""),2909.0)</f>
        <v>2909</v>
      </c>
      <c r="F32" s="42">
        <f>IFERROR(__xludf.DUMMYFUNCTION("""COMPUTED_VALUE"""),2875.0)</f>
        <v>2875</v>
      </c>
      <c r="G32" s="42">
        <f>IFERROR(__xludf.DUMMYFUNCTION("""COMPUTED_VALUE"""),0.0)</f>
        <v>0</v>
      </c>
      <c r="H32" s="42">
        <f>IFERROR(__xludf.DUMMYFUNCTION("""COMPUTED_VALUE"""),34.0)</f>
        <v>34</v>
      </c>
      <c r="I32" s="41">
        <f>IFERROR(__xludf.DUMMYFUNCTION("""COMPUTED_VALUE"""),2542.0)</f>
        <v>2542</v>
      </c>
      <c r="J32" s="42">
        <f>IFERROR(__xludf.DUMMYFUNCTION("""COMPUTED_VALUE"""),2542.0)</f>
        <v>2542</v>
      </c>
      <c r="K32" s="42">
        <f>IFERROR(__xludf.DUMMYFUNCTION("""COMPUTED_VALUE"""),0.0)</f>
        <v>0</v>
      </c>
      <c r="L32" s="42">
        <f>IFERROR(__xludf.DUMMYFUNCTION("""COMPUTED_VALUE"""),0.0)</f>
        <v>0</v>
      </c>
      <c r="M32" s="41">
        <f>IFERROR(__xludf.DUMMYFUNCTION("""COMPUTED_VALUE"""),2538.0)</f>
        <v>2538</v>
      </c>
      <c r="N32" s="42">
        <f>IFERROR(__xludf.DUMMYFUNCTION("""COMPUTED_VALUE"""),2538.0)</f>
        <v>2538</v>
      </c>
      <c r="O32" s="42">
        <f>IFERROR(__xludf.DUMMYFUNCTION("""COMPUTED_VALUE"""),0.0)</f>
        <v>0</v>
      </c>
      <c r="P32" s="42">
        <f>IFERROR(__xludf.DUMMYFUNCTION("""COMPUTED_VALUE"""),0.0)</f>
        <v>0</v>
      </c>
      <c r="Q32" s="41">
        <f>IFERROR(__xludf.DUMMYFUNCTION("""COMPUTED_VALUE"""),2560.0)</f>
        <v>2560</v>
      </c>
      <c r="R32" s="42">
        <f>IFERROR(__xludf.DUMMYFUNCTION("""COMPUTED_VALUE"""),2525.0)</f>
        <v>2525</v>
      </c>
      <c r="S32" s="42">
        <f>IFERROR(__xludf.DUMMYFUNCTION("""COMPUTED_VALUE"""),0.0)</f>
        <v>0</v>
      </c>
      <c r="T32" s="42">
        <f>IFERROR(__xludf.DUMMYFUNCTION("""COMPUTED_VALUE"""),35.0)</f>
        <v>35</v>
      </c>
      <c r="U32" s="41">
        <f>IFERROR(__xludf.DUMMYFUNCTION("""COMPUTED_VALUE"""),2550.0)</f>
        <v>2550</v>
      </c>
      <c r="V32" s="42">
        <f>IFERROR(__xludf.DUMMYFUNCTION("""COMPUTED_VALUE"""),2515.0)</f>
        <v>2515</v>
      </c>
      <c r="W32" s="42">
        <f>IFERROR(__xludf.DUMMYFUNCTION("""COMPUTED_VALUE"""),0.0)</f>
        <v>0</v>
      </c>
      <c r="X32" s="42">
        <f>IFERROR(__xludf.DUMMYFUNCTION("""COMPUTED_VALUE"""),35.0)</f>
        <v>35</v>
      </c>
      <c r="Y32" s="41">
        <f>IFERROR(__xludf.DUMMYFUNCTION("""COMPUTED_VALUE"""),2538.0)</f>
        <v>2538</v>
      </c>
      <c r="Z32" s="42">
        <f>IFERROR(__xludf.DUMMYFUNCTION("""COMPUTED_VALUE"""),2503.0)</f>
        <v>2503</v>
      </c>
      <c r="AA32" s="42">
        <f>IFERROR(__xludf.DUMMYFUNCTION("""COMPUTED_VALUE"""),0.0)</f>
        <v>0</v>
      </c>
      <c r="AB32" s="42">
        <f>IFERROR(__xludf.DUMMYFUNCTION("""COMPUTED_VALUE"""),35.0)</f>
        <v>35</v>
      </c>
      <c r="AC32" s="41">
        <f>IFERROR(__xludf.DUMMYFUNCTION("""COMPUTED_VALUE"""),2530.0)</f>
        <v>2530</v>
      </c>
      <c r="AD32" s="42">
        <f>IFERROR(__xludf.DUMMYFUNCTION("""COMPUTED_VALUE"""),2495.0)</f>
        <v>2495</v>
      </c>
      <c r="AE32" s="42">
        <f>IFERROR(__xludf.DUMMYFUNCTION("""COMPUTED_VALUE"""),0.0)</f>
        <v>0</v>
      </c>
      <c r="AF32" s="42">
        <f>IFERROR(__xludf.DUMMYFUNCTION("""COMPUTED_VALUE"""),35.0)</f>
        <v>35</v>
      </c>
      <c r="AG32" s="41">
        <f>IFERROR(__xludf.DUMMYFUNCTION("""COMPUTED_VALUE"""),147.0)</f>
        <v>147</v>
      </c>
      <c r="AH32" s="42">
        <f>IFERROR(__xludf.DUMMYFUNCTION("""COMPUTED_VALUE"""),147.0)</f>
        <v>147</v>
      </c>
      <c r="AI32" s="42">
        <f>IFERROR(__xludf.DUMMYFUNCTION("""COMPUTED_VALUE"""),0.0)</f>
        <v>0</v>
      </c>
      <c r="AJ32" s="42">
        <f>IFERROR(__xludf.DUMMYFUNCTION("""COMPUTED_VALUE"""),0.0)</f>
        <v>0</v>
      </c>
      <c r="AK32" s="41">
        <f>IFERROR(__xludf.DUMMYFUNCTION("""COMPUTED_VALUE"""),70.0)</f>
        <v>70</v>
      </c>
      <c r="AL32" s="42">
        <f>IFERROR(__xludf.DUMMYFUNCTION("""COMPUTED_VALUE"""),70.0)</f>
        <v>70</v>
      </c>
      <c r="AM32" s="42">
        <f>IFERROR(__xludf.DUMMYFUNCTION("""COMPUTED_VALUE"""),0.0)</f>
        <v>0</v>
      </c>
      <c r="AN32" s="42">
        <f>IFERROR(__xludf.DUMMYFUNCTION("""COMPUTED_VALUE"""),0.0)</f>
        <v>0</v>
      </c>
      <c r="AO32" s="41">
        <f>IFERROR(__xludf.DUMMYFUNCTION("""COMPUTED_VALUE"""),0.0)</f>
        <v>0</v>
      </c>
      <c r="AP32" s="42">
        <f>IFERROR(__xludf.DUMMYFUNCTION("""COMPUTED_VALUE"""),0.0)</f>
        <v>0</v>
      </c>
      <c r="AQ32" s="42">
        <f>IFERROR(__xludf.DUMMYFUNCTION("""COMPUTED_VALUE"""),0.0)</f>
        <v>0</v>
      </c>
      <c r="AR32" s="42">
        <f>IFERROR(__xludf.DUMMYFUNCTION("""COMPUTED_VALUE"""),0.0)</f>
        <v>0</v>
      </c>
      <c r="AS32" s="41">
        <f>IFERROR(__xludf.DUMMYFUNCTION("""COMPUTED_VALUE"""),0.0)</f>
        <v>0</v>
      </c>
      <c r="AT32" s="42">
        <f>IFERROR(__xludf.DUMMYFUNCTION("""COMPUTED_VALUE"""),0.0)</f>
        <v>0</v>
      </c>
      <c r="AU32" s="42">
        <f>IFERROR(__xludf.DUMMYFUNCTION("""COMPUTED_VALUE"""),0.0)</f>
        <v>0</v>
      </c>
      <c r="AV32" s="42">
        <f>IFERROR(__xludf.DUMMYFUNCTION("""COMPUTED_VALUE"""),0.0)</f>
        <v>0</v>
      </c>
      <c r="AW32" s="41">
        <f>IFERROR(__xludf.DUMMYFUNCTION("""COMPUTED_VALUE"""),0.0)</f>
        <v>0</v>
      </c>
      <c r="AX32" s="42">
        <f>IFERROR(__xludf.DUMMYFUNCTION("""COMPUTED_VALUE"""),0.0)</f>
        <v>0</v>
      </c>
      <c r="AY32" s="42">
        <f>IFERROR(__xludf.DUMMYFUNCTION("""COMPUTED_VALUE"""),0.0)</f>
        <v>0</v>
      </c>
      <c r="AZ32" s="43">
        <f>IFERROR(__xludf.DUMMYFUNCTION("""COMPUTED_VALUE"""),0.0)</f>
        <v>0</v>
      </c>
      <c r="BA32" s="34"/>
    </row>
    <row r="33" ht="15.75" customHeight="1">
      <c r="A33" s="29"/>
      <c r="B33" s="67" t="str">
        <f>IFERROR(__xludf.DUMMYFUNCTION("""COMPUTED_VALUE""")," + Lớp 11")</f>
        <v> + Lớp 11</v>
      </c>
      <c r="C33" s="31"/>
      <c r="D33" s="31" t="str">
        <f>IFERROR(__xludf.DUMMYFUNCTION("""COMPUTED_VALUE"""),"""")</f>
        <v>"</v>
      </c>
      <c r="E33" s="41">
        <f>IFERROR(__xludf.DUMMYFUNCTION("""COMPUTED_VALUE"""),2560.0)</f>
        <v>2560</v>
      </c>
      <c r="F33" s="42">
        <f>IFERROR(__xludf.DUMMYFUNCTION("""COMPUTED_VALUE"""),2539.0)</f>
        <v>2539</v>
      </c>
      <c r="G33" s="42">
        <f>IFERROR(__xludf.DUMMYFUNCTION("""COMPUTED_VALUE"""),0.0)</f>
        <v>0</v>
      </c>
      <c r="H33" s="42">
        <f>IFERROR(__xludf.DUMMYFUNCTION("""COMPUTED_VALUE"""),21.0)</f>
        <v>21</v>
      </c>
      <c r="I33" s="41">
        <f>IFERROR(__xludf.DUMMYFUNCTION("""COMPUTED_VALUE"""),2191.0)</f>
        <v>2191</v>
      </c>
      <c r="J33" s="42">
        <f>IFERROR(__xludf.DUMMYFUNCTION("""COMPUTED_VALUE"""),2191.0)</f>
        <v>2191</v>
      </c>
      <c r="K33" s="42">
        <f>IFERROR(__xludf.DUMMYFUNCTION("""COMPUTED_VALUE"""),0.0)</f>
        <v>0</v>
      </c>
      <c r="L33" s="42">
        <f>IFERROR(__xludf.DUMMYFUNCTION("""COMPUTED_VALUE"""),0.0)</f>
        <v>0</v>
      </c>
      <c r="M33" s="41">
        <f>IFERROR(__xludf.DUMMYFUNCTION("""COMPUTED_VALUE"""),2184.0)</f>
        <v>2184</v>
      </c>
      <c r="N33" s="42">
        <f>IFERROR(__xludf.DUMMYFUNCTION("""COMPUTED_VALUE"""),2184.0)</f>
        <v>2184</v>
      </c>
      <c r="O33" s="42">
        <f>IFERROR(__xludf.DUMMYFUNCTION("""COMPUTED_VALUE"""),0.0)</f>
        <v>0</v>
      </c>
      <c r="P33" s="42">
        <f>IFERROR(__xludf.DUMMYFUNCTION("""COMPUTED_VALUE"""),0.0)</f>
        <v>0</v>
      </c>
      <c r="Q33" s="41">
        <f>IFERROR(__xludf.DUMMYFUNCTION("""COMPUTED_VALUE"""),2221.0)</f>
        <v>2221</v>
      </c>
      <c r="R33" s="42">
        <f>IFERROR(__xludf.DUMMYFUNCTION("""COMPUTED_VALUE"""),2180.0)</f>
        <v>2180</v>
      </c>
      <c r="S33" s="42">
        <f>IFERROR(__xludf.DUMMYFUNCTION("""COMPUTED_VALUE"""),0.0)</f>
        <v>0</v>
      </c>
      <c r="T33" s="42">
        <f>IFERROR(__xludf.DUMMYFUNCTION("""COMPUTED_VALUE"""),41.0)</f>
        <v>41</v>
      </c>
      <c r="U33" s="41">
        <f>IFERROR(__xludf.DUMMYFUNCTION("""COMPUTED_VALUE"""),2218.0)</f>
        <v>2218</v>
      </c>
      <c r="V33" s="42">
        <f>IFERROR(__xludf.DUMMYFUNCTION("""COMPUTED_VALUE"""),2177.0)</f>
        <v>2177</v>
      </c>
      <c r="W33" s="42">
        <f>IFERROR(__xludf.DUMMYFUNCTION("""COMPUTED_VALUE"""),0.0)</f>
        <v>0</v>
      </c>
      <c r="X33" s="42">
        <f>IFERROR(__xludf.DUMMYFUNCTION("""COMPUTED_VALUE"""),41.0)</f>
        <v>41</v>
      </c>
      <c r="Y33" s="41">
        <f>IFERROR(__xludf.DUMMYFUNCTION("""COMPUTED_VALUE"""),2215.0)</f>
        <v>2215</v>
      </c>
      <c r="Z33" s="42">
        <f>IFERROR(__xludf.DUMMYFUNCTION("""COMPUTED_VALUE"""),2173.0)</f>
        <v>2173</v>
      </c>
      <c r="AA33" s="42">
        <f>IFERROR(__xludf.DUMMYFUNCTION("""COMPUTED_VALUE"""),0.0)</f>
        <v>0</v>
      </c>
      <c r="AB33" s="42">
        <f>IFERROR(__xludf.DUMMYFUNCTION("""COMPUTED_VALUE"""),42.0)</f>
        <v>42</v>
      </c>
      <c r="AC33" s="41">
        <f>IFERROR(__xludf.DUMMYFUNCTION("""COMPUTED_VALUE"""),2215.0)</f>
        <v>2215</v>
      </c>
      <c r="AD33" s="42">
        <f>IFERROR(__xludf.DUMMYFUNCTION("""COMPUTED_VALUE"""),2173.0)</f>
        <v>2173</v>
      </c>
      <c r="AE33" s="42">
        <f>IFERROR(__xludf.DUMMYFUNCTION("""COMPUTED_VALUE"""),0.0)</f>
        <v>0</v>
      </c>
      <c r="AF33" s="42">
        <f>IFERROR(__xludf.DUMMYFUNCTION("""COMPUTED_VALUE"""),42.0)</f>
        <v>42</v>
      </c>
      <c r="AG33" s="41">
        <f>IFERROR(__xludf.DUMMYFUNCTION("""COMPUTED_VALUE"""),152.0)</f>
        <v>152</v>
      </c>
      <c r="AH33" s="42">
        <f>IFERROR(__xludf.DUMMYFUNCTION("""COMPUTED_VALUE"""),152.0)</f>
        <v>152</v>
      </c>
      <c r="AI33" s="42">
        <f>IFERROR(__xludf.DUMMYFUNCTION("""COMPUTED_VALUE"""),0.0)</f>
        <v>0</v>
      </c>
      <c r="AJ33" s="42">
        <f>IFERROR(__xludf.DUMMYFUNCTION("""COMPUTED_VALUE"""),0.0)</f>
        <v>0</v>
      </c>
      <c r="AK33" s="41">
        <f>IFERROR(__xludf.DUMMYFUNCTION("""COMPUTED_VALUE"""),70.0)</f>
        <v>70</v>
      </c>
      <c r="AL33" s="42">
        <f>IFERROR(__xludf.DUMMYFUNCTION("""COMPUTED_VALUE"""),70.0)</f>
        <v>70</v>
      </c>
      <c r="AM33" s="42">
        <f>IFERROR(__xludf.DUMMYFUNCTION("""COMPUTED_VALUE"""),0.0)</f>
        <v>0</v>
      </c>
      <c r="AN33" s="42">
        <f>IFERROR(__xludf.DUMMYFUNCTION("""COMPUTED_VALUE"""),0.0)</f>
        <v>0</v>
      </c>
      <c r="AO33" s="41">
        <f>IFERROR(__xludf.DUMMYFUNCTION("""COMPUTED_VALUE"""),0.0)</f>
        <v>0</v>
      </c>
      <c r="AP33" s="42">
        <f>IFERROR(__xludf.DUMMYFUNCTION("""COMPUTED_VALUE"""),0.0)</f>
        <v>0</v>
      </c>
      <c r="AQ33" s="42">
        <f>IFERROR(__xludf.DUMMYFUNCTION("""COMPUTED_VALUE"""),0.0)</f>
        <v>0</v>
      </c>
      <c r="AR33" s="42">
        <f>IFERROR(__xludf.DUMMYFUNCTION("""COMPUTED_VALUE"""),0.0)</f>
        <v>0</v>
      </c>
      <c r="AS33" s="41">
        <f>IFERROR(__xludf.DUMMYFUNCTION("""COMPUTED_VALUE"""),0.0)</f>
        <v>0</v>
      </c>
      <c r="AT33" s="42">
        <f>IFERROR(__xludf.DUMMYFUNCTION("""COMPUTED_VALUE"""),0.0)</f>
        <v>0</v>
      </c>
      <c r="AU33" s="42">
        <f>IFERROR(__xludf.DUMMYFUNCTION("""COMPUTED_VALUE"""),0.0)</f>
        <v>0</v>
      </c>
      <c r="AV33" s="42">
        <f>IFERROR(__xludf.DUMMYFUNCTION("""COMPUTED_VALUE"""),0.0)</f>
        <v>0</v>
      </c>
      <c r="AW33" s="41">
        <f>IFERROR(__xludf.DUMMYFUNCTION("""COMPUTED_VALUE"""),0.0)</f>
        <v>0</v>
      </c>
      <c r="AX33" s="42">
        <f>IFERROR(__xludf.DUMMYFUNCTION("""COMPUTED_VALUE"""),0.0)</f>
        <v>0</v>
      </c>
      <c r="AY33" s="42">
        <f>IFERROR(__xludf.DUMMYFUNCTION("""COMPUTED_VALUE"""),0.0)</f>
        <v>0</v>
      </c>
      <c r="AZ33" s="43">
        <f>IFERROR(__xludf.DUMMYFUNCTION("""COMPUTED_VALUE"""),0.0)</f>
        <v>0</v>
      </c>
      <c r="BA33" s="34"/>
    </row>
    <row r="34" ht="15.75" customHeight="1">
      <c r="A34" s="29"/>
      <c r="B34" s="67" t="str">
        <f>IFERROR(__xludf.DUMMYFUNCTION("""COMPUTED_VALUE""")," + Lớp 12")</f>
        <v> + Lớp 12</v>
      </c>
      <c r="C34" s="31"/>
      <c r="D34" s="31" t="str">
        <f>IFERROR(__xludf.DUMMYFUNCTION("""COMPUTED_VALUE"""),"""")</f>
        <v>"</v>
      </c>
      <c r="E34" s="41">
        <f>IFERROR(__xludf.DUMMYFUNCTION("""COMPUTED_VALUE"""),2279.0)</f>
        <v>2279</v>
      </c>
      <c r="F34" s="42">
        <f>IFERROR(__xludf.DUMMYFUNCTION("""COMPUTED_VALUE"""),2255.0)</f>
        <v>2255</v>
      </c>
      <c r="G34" s="42">
        <f>IFERROR(__xludf.DUMMYFUNCTION("""COMPUTED_VALUE"""),0.0)</f>
        <v>0</v>
      </c>
      <c r="H34" s="42">
        <f>IFERROR(__xludf.DUMMYFUNCTION("""COMPUTED_VALUE"""),24.0)</f>
        <v>24</v>
      </c>
      <c r="I34" s="41">
        <f>IFERROR(__xludf.DUMMYFUNCTION("""COMPUTED_VALUE"""),1967.0)</f>
        <v>1967</v>
      </c>
      <c r="J34" s="42">
        <f>IFERROR(__xludf.DUMMYFUNCTION("""COMPUTED_VALUE"""),1967.0)</f>
        <v>1967</v>
      </c>
      <c r="K34" s="42">
        <f>IFERROR(__xludf.DUMMYFUNCTION("""COMPUTED_VALUE"""),0.0)</f>
        <v>0</v>
      </c>
      <c r="L34" s="42">
        <f>IFERROR(__xludf.DUMMYFUNCTION("""COMPUTED_VALUE"""),0.0)</f>
        <v>0</v>
      </c>
      <c r="M34" s="41">
        <f>IFERROR(__xludf.DUMMYFUNCTION("""COMPUTED_VALUE"""),1966.0)</f>
        <v>1966</v>
      </c>
      <c r="N34" s="42">
        <f>IFERROR(__xludf.DUMMYFUNCTION("""COMPUTED_VALUE"""),1966.0)</f>
        <v>1966</v>
      </c>
      <c r="O34" s="42">
        <f>IFERROR(__xludf.DUMMYFUNCTION("""COMPUTED_VALUE"""),0.0)</f>
        <v>0</v>
      </c>
      <c r="P34" s="42">
        <f>IFERROR(__xludf.DUMMYFUNCTION("""COMPUTED_VALUE"""),0.0)</f>
        <v>0</v>
      </c>
      <c r="Q34" s="41">
        <f>IFERROR(__xludf.DUMMYFUNCTION("""COMPUTED_VALUE"""),1989.0)</f>
        <v>1989</v>
      </c>
      <c r="R34" s="42">
        <f>IFERROR(__xludf.DUMMYFUNCTION("""COMPUTED_VALUE"""),1965.0)</f>
        <v>1965</v>
      </c>
      <c r="S34" s="42">
        <f>IFERROR(__xludf.DUMMYFUNCTION("""COMPUTED_VALUE"""),0.0)</f>
        <v>0</v>
      </c>
      <c r="T34" s="42">
        <f>IFERROR(__xludf.DUMMYFUNCTION("""COMPUTED_VALUE"""),24.0)</f>
        <v>24</v>
      </c>
      <c r="U34" s="41">
        <f>IFERROR(__xludf.DUMMYFUNCTION("""COMPUTED_VALUE"""),1987.0)</f>
        <v>1987</v>
      </c>
      <c r="V34" s="42">
        <f>IFERROR(__xludf.DUMMYFUNCTION("""COMPUTED_VALUE"""),1963.0)</f>
        <v>1963</v>
      </c>
      <c r="W34" s="42">
        <f>IFERROR(__xludf.DUMMYFUNCTION("""COMPUTED_VALUE"""),0.0)</f>
        <v>0</v>
      </c>
      <c r="X34" s="42">
        <f>IFERROR(__xludf.DUMMYFUNCTION("""COMPUTED_VALUE"""),24.0)</f>
        <v>24</v>
      </c>
      <c r="Y34" s="41">
        <f>IFERROR(__xludf.DUMMYFUNCTION("""COMPUTED_VALUE"""),1986.0)</f>
        <v>1986</v>
      </c>
      <c r="Z34" s="42">
        <f>IFERROR(__xludf.DUMMYFUNCTION("""COMPUTED_VALUE"""),1962.0)</f>
        <v>1962</v>
      </c>
      <c r="AA34" s="42">
        <f>IFERROR(__xludf.DUMMYFUNCTION("""COMPUTED_VALUE"""),0.0)</f>
        <v>0</v>
      </c>
      <c r="AB34" s="42">
        <f>IFERROR(__xludf.DUMMYFUNCTION("""COMPUTED_VALUE"""),24.0)</f>
        <v>24</v>
      </c>
      <c r="AC34" s="41">
        <f>IFERROR(__xludf.DUMMYFUNCTION("""COMPUTED_VALUE"""),1979.0)</f>
        <v>1979</v>
      </c>
      <c r="AD34" s="42">
        <f>IFERROR(__xludf.DUMMYFUNCTION("""COMPUTED_VALUE"""),1955.0)</f>
        <v>1955</v>
      </c>
      <c r="AE34" s="42">
        <f>IFERROR(__xludf.DUMMYFUNCTION("""COMPUTED_VALUE"""),0.0)</f>
        <v>0</v>
      </c>
      <c r="AF34" s="42">
        <f>IFERROR(__xludf.DUMMYFUNCTION("""COMPUTED_VALUE"""),24.0)</f>
        <v>24</v>
      </c>
      <c r="AG34" s="41">
        <f>IFERROR(__xludf.DUMMYFUNCTION("""COMPUTED_VALUE"""),133.0)</f>
        <v>133</v>
      </c>
      <c r="AH34" s="42">
        <f>IFERROR(__xludf.DUMMYFUNCTION("""COMPUTED_VALUE"""),133.0)</f>
        <v>133</v>
      </c>
      <c r="AI34" s="42">
        <f>IFERROR(__xludf.DUMMYFUNCTION("""COMPUTED_VALUE"""),0.0)</f>
        <v>0</v>
      </c>
      <c r="AJ34" s="42">
        <f>IFERROR(__xludf.DUMMYFUNCTION("""COMPUTED_VALUE"""),0.0)</f>
        <v>0</v>
      </c>
      <c r="AK34" s="41">
        <f>IFERROR(__xludf.DUMMYFUNCTION("""COMPUTED_VALUE"""),65.0)</f>
        <v>65</v>
      </c>
      <c r="AL34" s="42">
        <f>IFERROR(__xludf.DUMMYFUNCTION("""COMPUTED_VALUE"""),65.0)</f>
        <v>65</v>
      </c>
      <c r="AM34" s="42">
        <f>IFERROR(__xludf.DUMMYFUNCTION("""COMPUTED_VALUE"""),0.0)</f>
        <v>0</v>
      </c>
      <c r="AN34" s="42">
        <f>IFERROR(__xludf.DUMMYFUNCTION("""COMPUTED_VALUE"""),0.0)</f>
        <v>0</v>
      </c>
      <c r="AO34" s="41">
        <f>IFERROR(__xludf.DUMMYFUNCTION("""COMPUTED_VALUE"""),0.0)</f>
        <v>0</v>
      </c>
      <c r="AP34" s="42">
        <f>IFERROR(__xludf.DUMMYFUNCTION("""COMPUTED_VALUE"""),0.0)</f>
        <v>0</v>
      </c>
      <c r="AQ34" s="42">
        <f>IFERROR(__xludf.DUMMYFUNCTION("""COMPUTED_VALUE"""),0.0)</f>
        <v>0</v>
      </c>
      <c r="AR34" s="42">
        <f>IFERROR(__xludf.DUMMYFUNCTION("""COMPUTED_VALUE"""),0.0)</f>
        <v>0</v>
      </c>
      <c r="AS34" s="41">
        <f>IFERROR(__xludf.DUMMYFUNCTION("""COMPUTED_VALUE"""),0.0)</f>
        <v>0</v>
      </c>
      <c r="AT34" s="42">
        <f>IFERROR(__xludf.DUMMYFUNCTION("""COMPUTED_VALUE"""),0.0)</f>
        <v>0</v>
      </c>
      <c r="AU34" s="42">
        <f>IFERROR(__xludf.DUMMYFUNCTION("""COMPUTED_VALUE"""),0.0)</f>
        <v>0</v>
      </c>
      <c r="AV34" s="42">
        <f>IFERROR(__xludf.DUMMYFUNCTION("""COMPUTED_VALUE"""),0.0)</f>
        <v>0</v>
      </c>
      <c r="AW34" s="41">
        <f>IFERROR(__xludf.DUMMYFUNCTION("""COMPUTED_VALUE"""),0.0)</f>
        <v>0</v>
      </c>
      <c r="AX34" s="42">
        <f>IFERROR(__xludf.DUMMYFUNCTION("""COMPUTED_VALUE"""),0.0)</f>
        <v>0</v>
      </c>
      <c r="AY34" s="42">
        <f>IFERROR(__xludf.DUMMYFUNCTION("""COMPUTED_VALUE"""),0.0)</f>
        <v>0</v>
      </c>
      <c r="AZ34" s="43">
        <f>IFERROR(__xludf.DUMMYFUNCTION("""COMPUTED_VALUE"""),0.0)</f>
        <v>0</v>
      </c>
      <c r="BA34" s="34"/>
    </row>
    <row r="35" ht="15.75" customHeight="1">
      <c r="A35" s="29"/>
      <c r="B35" s="67" t="str">
        <f>IFERROR(__xludf.DUMMYFUNCTION("""COMPUTED_VALUE""")," + Lớp ghép")</f>
        <v> + Lớp ghép</v>
      </c>
      <c r="C35" s="31"/>
      <c r="D35" s="31" t="str">
        <f>IFERROR(__xludf.DUMMYFUNCTION("""COMPUTED_VALUE"""),"""")</f>
        <v>"</v>
      </c>
      <c r="E35" s="41">
        <f>IFERROR(__xludf.DUMMYFUNCTION("""COMPUTED_VALUE"""),0.0)</f>
        <v>0</v>
      </c>
      <c r="F35" s="42">
        <f>IFERROR(__xludf.DUMMYFUNCTION("""COMPUTED_VALUE"""),0.0)</f>
        <v>0</v>
      </c>
      <c r="G35" s="42">
        <f>IFERROR(__xludf.DUMMYFUNCTION("""COMPUTED_VALUE"""),0.0)</f>
        <v>0</v>
      </c>
      <c r="H35" s="42">
        <f>IFERROR(__xludf.DUMMYFUNCTION("""COMPUTED_VALUE"""),0.0)</f>
        <v>0</v>
      </c>
      <c r="I35" s="41">
        <f>IFERROR(__xludf.DUMMYFUNCTION("""COMPUTED_VALUE"""),0.0)</f>
        <v>0</v>
      </c>
      <c r="J35" s="42">
        <f>IFERROR(__xludf.DUMMYFUNCTION("""COMPUTED_VALUE"""),0.0)</f>
        <v>0</v>
      </c>
      <c r="K35" s="42">
        <f>IFERROR(__xludf.DUMMYFUNCTION("""COMPUTED_VALUE"""),0.0)</f>
        <v>0</v>
      </c>
      <c r="L35" s="42">
        <f>IFERROR(__xludf.DUMMYFUNCTION("""COMPUTED_VALUE"""),0.0)</f>
        <v>0</v>
      </c>
      <c r="M35" s="41">
        <f>IFERROR(__xludf.DUMMYFUNCTION("""COMPUTED_VALUE"""),0.0)</f>
        <v>0</v>
      </c>
      <c r="N35" s="42">
        <f>IFERROR(__xludf.DUMMYFUNCTION("""COMPUTED_VALUE"""),0.0)</f>
        <v>0</v>
      </c>
      <c r="O35" s="42">
        <f>IFERROR(__xludf.DUMMYFUNCTION("""COMPUTED_VALUE"""),0.0)</f>
        <v>0</v>
      </c>
      <c r="P35" s="42">
        <f>IFERROR(__xludf.DUMMYFUNCTION("""COMPUTED_VALUE"""),0.0)</f>
        <v>0</v>
      </c>
      <c r="Q35" s="41">
        <f>IFERROR(__xludf.DUMMYFUNCTION("""COMPUTED_VALUE"""),0.0)</f>
        <v>0</v>
      </c>
      <c r="R35" s="42">
        <f>IFERROR(__xludf.DUMMYFUNCTION("""COMPUTED_VALUE"""),0.0)</f>
        <v>0</v>
      </c>
      <c r="S35" s="42">
        <f>IFERROR(__xludf.DUMMYFUNCTION("""COMPUTED_VALUE"""),0.0)</f>
        <v>0</v>
      </c>
      <c r="T35" s="42">
        <f>IFERROR(__xludf.DUMMYFUNCTION("""COMPUTED_VALUE"""),0.0)</f>
        <v>0</v>
      </c>
      <c r="U35" s="41">
        <f>IFERROR(__xludf.DUMMYFUNCTION("""COMPUTED_VALUE"""),0.0)</f>
        <v>0</v>
      </c>
      <c r="V35" s="42">
        <f>IFERROR(__xludf.DUMMYFUNCTION("""COMPUTED_VALUE"""),0.0)</f>
        <v>0</v>
      </c>
      <c r="W35" s="42">
        <f>IFERROR(__xludf.DUMMYFUNCTION("""COMPUTED_VALUE"""),0.0)</f>
        <v>0</v>
      </c>
      <c r="X35" s="42">
        <f>IFERROR(__xludf.DUMMYFUNCTION("""COMPUTED_VALUE"""),0.0)</f>
        <v>0</v>
      </c>
      <c r="Y35" s="41">
        <f>IFERROR(__xludf.DUMMYFUNCTION("""COMPUTED_VALUE"""),0.0)</f>
        <v>0</v>
      </c>
      <c r="Z35" s="42">
        <f>IFERROR(__xludf.DUMMYFUNCTION("""COMPUTED_VALUE"""),0.0)</f>
        <v>0</v>
      </c>
      <c r="AA35" s="42">
        <f>IFERROR(__xludf.DUMMYFUNCTION("""COMPUTED_VALUE"""),0.0)</f>
        <v>0</v>
      </c>
      <c r="AB35" s="42">
        <f>IFERROR(__xludf.DUMMYFUNCTION("""COMPUTED_VALUE"""),0.0)</f>
        <v>0</v>
      </c>
      <c r="AC35" s="41">
        <f>IFERROR(__xludf.DUMMYFUNCTION("""COMPUTED_VALUE"""),0.0)</f>
        <v>0</v>
      </c>
      <c r="AD35" s="42">
        <f>IFERROR(__xludf.DUMMYFUNCTION("""COMPUTED_VALUE"""),0.0)</f>
        <v>0</v>
      </c>
      <c r="AE35" s="42">
        <f>IFERROR(__xludf.DUMMYFUNCTION("""COMPUTED_VALUE"""),0.0)</f>
        <v>0</v>
      </c>
      <c r="AF35" s="42">
        <f>IFERROR(__xludf.DUMMYFUNCTION("""COMPUTED_VALUE"""),0.0)</f>
        <v>0</v>
      </c>
      <c r="AG35" s="41">
        <f>IFERROR(__xludf.DUMMYFUNCTION("""COMPUTED_VALUE"""),0.0)</f>
        <v>0</v>
      </c>
      <c r="AH35" s="42">
        <f>IFERROR(__xludf.DUMMYFUNCTION("""COMPUTED_VALUE"""),0.0)</f>
        <v>0</v>
      </c>
      <c r="AI35" s="42">
        <f>IFERROR(__xludf.DUMMYFUNCTION("""COMPUTED_VALUE"""),0.0)</f>
        <v>0</v>
      </c>
      <c r="AJ35" s="42">
        <f>IFERROR(__xludf.DUMMYFUNCTION("""COMPUTED_VALUE"""),0.0)</f>
        <v>0</v>
      </c>
      <c r="AK35" s="41">
        <f>IFERROR(__xludf.DUMMYFUNCTION("""COMPUTED_VALUE"""),0.0)</f>
        <v>0</v>
      </c>
      <c r="AL35" s="42">
        <f>IFERROR(__xludf.DUMMYFUNCTION("""COMPUTED_VALUE"""),0.0)</f>
        <v>0</v>
      </c>
      <c r="AM35" s="42">
        <f>IFERROR(__xludf.DUMMYFUNCTION("""COMPUTED_VALUE"""),0.0)</f>
        <v>0</v>
      </c>
      <c r="AN35" s="42">
        <f>IFERROR(__xludf.DUMMYFUNCTION("""COMPUTED_VALUE"""),0.0)</f>
        <v>0</v>
      </c>
      <c r="AO35" s="41">
        <f>IFERROR(__xludf.DUMMYFUNCTION("""COMPUTED_VALUE"""),0.0)</f>
        <v>0</v>
      </c>
      <c r="AP35" s="42">
        <f>IFERROR(__xludf.DUMMYFUNCTION("""COMPUTED_VALUE"""),0.0)</f>
        <v>0</v>
      </c>
      <c r="AQ35" s="42">
        <f>IFERROR(__xludf.DUMMYFUNCTION("""COMPUTED_VALUE"""),0.0)</f>
        <v>0</v>
      </c>
      <c r="AR35" s="42">
        <f>IFERROR(__xludf.DUMMYFUNCTION("""COMPUTED_VALUE"""),0.0)</f>
        <v>0</v>
      </c>
      <c r="AS35" s="41">
        <f>IFERROR(__xludf.DUMMYFUNCTION("""COMPUTED_VALUE"""),0.0)</f>
        <v>0</v>
      </c>
      <c r="AT35" s="42">
        <f>IFERROR(__xludf.DUMMYFUNCTION("""COMPUTED_VALUE"""),0.0)</f>
        <v>0</v>
      </c>
      <c r="AU35" s="42">
        <f>IFERROR(__xludf.DUMMYFUNCTION("""COMPUTED_VALUE"""),0.0)</f>
        <v>0</v>
      </c>
      <c r="AV35" s="42">
        <f>IFERROR(__xludf.DUMMYFUNCTION("""COMPUTED_VALUE"""),0.0)</f>
        <v>0</v>
      </c>
      <c r="AW35" s="41">
        <f>IFERROR(__xludf.DUMMYFUNCTION("""COMPUTED_VALUE"""),0.0)</f>
        <v>0</v>
      </c>
      <c r="AX35" s="42">
        <f>IFERROR(__xludf.DUMMYFUNCTION("""COMPUTED_VALUE"""),0.0)</f>
        <v>0</v>
      </c>
      <c r="AY35" s="42">
        <f>IFERROR(__xludf.DUMMYFUNCTION("""COMPUTED_VALUE"""),0.0)</f>
        <v>0</v>
      </c>
      <c r="AZ35" s="43">
        <f>IFERROR(__xludf.DUMMYFUNCTION("""COMPUTED_VALUE"""),0.0)</f>
        <v>0</v>
      </c>
      <c r="BA35" s="34"/>
    </row>
    <row r="36" ht="15.75" customHeight="1">
      <c r="A36" s="92"/>
      <c r="B36" s="93" t="str">
        <f>IFERROR(__xludf.DUMMYFUNCTION("""COMPUTED_VALUE"""),"3.2. Trong tổng số có")</f>
        <v>3.2. Trong tổng số có</v>
      </c>
      <c r="C36" s="94"/>
      <c r="D36" s="87"/>
      <c r="E36" s="88">
        <f>IFERROR(__xludf.DUMMYFUNCTION("""COMPUTED_VALUE"""),18313.0)</f>
        <v>18313</v>
      </c>
      <c r="F36" s="88">
        <f>IFERROR(__xludf.DUMMYFUNCTION("""COMPUTED_VALUE"""),18127.0)</f>
        <v>18127</v>
      </c>
      <c r="G36" s="88">
        <f>IFERROR(__xludf.DUMMYFUNCTION("""COMPUTED_VALUE"""),0.0)</f>
        <v>0</v>
      </c>
      <c r="H36" s="88">
        <f>IFERROR(__xludf.DUMMYFUNCTION("""COMPUTED_VALUE"""),186.0)</f>
        <v>186</v>
      </c>
      <c r="I36" s="88">
        <f>IFERROR(__xludf.DUMMYFUNCTION("""COMPUTED_VALUE"""),16032.0)</f>
        <v>16032</v>
      </c>
      <c r="J36" s="88">
        <f>IFERROR(__xludf.DUMMYFUNCTION("""COMPUTED_VALUE"""),16032.0)</f>
        <v>16032</v>
      </c>
      <c r="K36" s="88">
        <f>IFERROR(__xludf.DUMMYFUNCTION("""COMPUTED_VALUE"""),0.0)</f>
        <v>0</v>
      </c>
      <c r="L36" s="88">
        <f>IFERROR(__xludf.DUMMYFUNCTION("""COMPUTED_VALUE"""),0.0)</f>
        <v>0</v>
      </c>
      <c r="M36" s="88">
        <f>IFERROR(__xludf.DUMMYFUNCTION("""COMPUTED_VALUE"""),15990.0)</f>
        <v>15990</v>
      </c>
      <c r="N36" s="88">
        <f>IFERROR(__xludf.DUMMYFUNCTION("""COMPUTED_VALUE"""),15990.0)</f>
        <v>15990</v>
      </c>
      <c r="O36" s="88">
        <f>IFERROR(__xludf.DUMMYFUNCTION("""COMPUTED_VALUE"""),0.0)</f>
        <v>0</v>
      </c>
      <c r="P36" s="88">
        <f>IFERROR(__xludf.DUMMYFUNCTION("""COMPUTED_VALUE"""),0.0)</f>
        <v>0</v>
      </c>
      <c r="Q36" s="88">
        <f>IFERROR(__xludf.DUMMYFUNCTION("""COMPUTED_VALUE"""),16130.0)</f>
        <v>16130</v>
      </c>
      <c r="R36" s="88">
        <f>IFERROR(__xludf.DUMMYFUNCTION("""COMPUTED_VALUE"""),15929.0)</f>
        <v>15929</v>
      </c>
      <c r="S36" s="88">
        <f>IFERROR(__xludf.DUMMYFUNCTION("""COMPUTED_VALUE"""),0.0)</f>
        <v>0</v>
      </c>
      <c r="T36" s="88">
        <f>IFERROR(__xludf.DUMMYFUNCTION("""COMPUTED_VALUE"""),201.0)</f>
        <v>201</v>
      </c>
      <c r="U36" s="88">
        <f>IFERROR(__xludf.DUMMYFUNCTION("""COMPUTED_VALUE"""),16074.0)</f>
        <v>16074</v>
      </c>
      <c r="V36" s="88">
        <f>IFERROR(__xludf.DUMMYFUNCTION("""COMPUTED_VALUE"""),15873.0)</f>
        <v>15873</v>
      </c>
      <c r="W36" s="88">
        <f>IFERROR(__xludf.DUMMYFUNCTION("""COMPUTED_VALUE"""),0.0)</f>
        <v>0</v>
      </c>
      <c r="X36" s="88">
        <f>IFERROR(__xludf.DUMMYFUNCTION("""COMPUTED_VALUE"""),201.0)</f>
        <v>201</v>
      </c>
      <c r="Y36" s="88">
        <f>IFERROR(__xludf.DUMMYFUNCTION("""COMPUTED_VALUE"""),16002.0)</f>
        <v>16002</v>
      </c>
      <c r="Z36" s="88">
        <f>IFERROR(__xludf.DUMMYFUNCTION("""COMPUTED_VALUE"""),15800.0)</f>
        <v>15800</v>
      </c>
      <c r="AA36" s="88">
        <f>IFERROR(__xludf.DUMMYFUNCTION("""COMPUTED_VALUE"""),0.0)</f>
        <v>0</v>
      </c>
      <c r="AB36" s="88">
        <f>IFERROR(__xludf.DUMMYFUNCTION("""COMPUTED_VALUE"""),202.0)</f>
        <v>202</v>
      </c>
      <c r="AC36" s="88">
        <f>IFERROR(__xludf.DUMMYFUNCTION("""COMPUTED_VALUE"""),15946.0)</f>
        <v>15946</v>
      </c>
      <c r="AD36" s="88">
        <f>IFERROR(__xludf.DUMMYFUNCTION("""COMPUTED_VALUE"""),15743.0)</f>
        <v>15743</v>
      </c>
      <c r="AE36" s="88">
        <f>IFERROR(__xludf.DUMMYFUNCTION("""COMPUTED_VALUE"""),0.0)</f>
        <v>0</v>
      </c>
      <c r="AF36" s="88">
        <f>IFERROR(__xludf.DUMMYFUNCTION("""COMPUTED_VALUE"""),203.0)</f>
        <v>203</v>
      </c>
      <c r="AG36" s="88">
        <f>IFERROR(__xludf.DUMMYFUNCTION("""COMPUTED_VALUE"""),1108.0)</f>
        <v>1108</v>
      </c>
      <c r="AH36" s="88">
        <f>IFERROR(__xludf.DUMMYFUNCTION("""COMPUTED_VALUE"""),1108.0)</f>
        <v>1108</v>
      </c>
      <c r="AI36" s="88">
        <f>IFERROR(__xludf.DUMMYFUNCTION("""COMPUTED_VALUE"""),0.0)</f>
        <v>0</v>
      </c>
      <c r="AJ36" s="88">
        <f>IFERROR(__xludf.DUMMYFUNCTION("""COMPUTED_VALUE"""),0.0)</f>
        <v>0</v>
      </c>
      <c r="AK36" s="88">
        <f>IFERROR(__xludf.DUMMYFUNCTION("""COMPUTED_VALUE"""),476.0)</f>
        <v>476</v>
      </c>
      <c r="AL36" s="88">
        <f>IFERROR(__xludf.DUMMYFUNCTION("""COMPUTED_VALUE"""),476.0)</f>
        <v>476</v>
      </c>
      <c r="AM36" s="88">
        <f>IFERROR(__xludf.DUMMYFUNCTION("""COMPUTED_VALUE"""),0.0)</f>
        <v>0</v>
      </c>
      <c r="AN36" s="88">
        <f>IFERROR(__xludf.DUMMYFUNCTION("""COMPUTED_VALUE"""),0.0)</f>
        <v>0</v>
      </c>
      <c r="AO36" s="88">
        <f>IFERROR(__xludf.DUMMYFUNCTION("""COMPUTED_VALUE"""),0.0)</f>
        <v>0</v>
      </c>
      <c r="AP36" s="88">
        <f>IFERROR(__xludf.DUMMYFUNCTION("""COMPUTED_VALUE"""),0.0)</f>
        <v>0</v>
      </c>
      <c r="AQ36" s="88">
        <f>IFERROR(__xludf.DUMMYFUNCTION("""COMPUTED_VALUE"""),0.0)</f>
        <v>0</v>
      </c>
      <c r="AR36" s="88">
        <f>IFERROR(__xludf.DUMMYFUNCTION("""COMPUTED_VALUE"""),0.0)</f>
        <v>0</v>
      </c>
      <c r="AS36" s="88">
        <f>IFERROR(__xludf.DUMMYFUNCTION("""COMPUTED_VALUE"""),0.0)</f>
        <v>0</v>
      </c>
      <c r="AT36" s="88">
        <f>IFERROR(__xludf.DUMMYFUNCTION("""COMPUTED_VALUE"""),0.0)</f>
        <v>0</v>
      </c>
      <c r="AU36" s="88">
        <f>IFERROR(__xludf.DUMMYFUNCTION("""COMPUTED_VALUE"""),0.0)</f>
        <v>0</v>
      </c>
      <c r="AV36" s="88">
        <f>IFERROR(__xludf.DUMMYFUNCTION("""COMPUTED_VALUE"""),0.0)</f>
        <v>0</v>
      </c>
      <c r="AW36" s="88">
        <f>IFERROR(__xludf.DUMMYFUNCTION("""COMPUTED_VALUE"""),0.0)</f>
        <v>0</v>
      </c>
      <c r="AX36" s="88">
        <f>IFERROR(__xludf.DUMMYFUNCTION("""COMPUTED_VALUE"""),0.0)</f>
        <v>0</v>
      </c>
      <c r="AY36" s="88">
        <f>IFERROR(__xludf.DUMMYFUNCTION("""COMPUTED_VALUE"""),0.0)</f>
        <v>0</v>
      </c>
      <c r="AZ36" s="95">
        <f>IFERROR(__xludf.DUMMYFUNCTION("""COMPUTED_VALUE"""),0.0)</f>
        <v>0</v>
      </c>
      <c r="BA36" s="96"/>
    </row>
    <row r="37" ht="15.75" customHeight="1">
      <c r="A37" s="29"/>
      <c r="B37" s="67" t="str">
        <f>IFERROR(__xludf.DUMMYFUNCTION("""COMPUTED_VALUE""")," + Nữ")</f>
        <v> + Nữ</v>
      </c>
      <c r="C37" s="31"/>
      <c r="D37" s="31" t="str">
        <f>IFERROR(__xludf.DUMMYFUNCTION("""COMPUTED_VALUE""")," Người")</f>
        <v> Người</v>
      </c>
      <c r="E37" s="41">
        <f>IFERROR(__xludf.DUMMYFUNCTION("""COMPUTED_VALUE"""),8598.0)</f>
        <v>8598</v>
      </c>
      <c r="F37" s="42">
        <f>IFERROR(__xludf.DUMMYFUNCTION("""COMPUTED_VALUE"""),8598.0)</f>
        <v>8598</v>
      </c>
      <c r="G37" s="42">
        <f>IFERROR(__xludf.DUMMYFUNCTION("""COMPUTED_VALUE"""),0.0)</f>
        <v>0</v>
      </c>
      <c r="H37" s="42">
        <f>IFERROR(__xludf.DUMMYFUNCTION("""COMPUTED_VALUE"""),0.0)</f>
        <v>0</v>
      </c>
      <c r="I37" s="41">
        <f>IFERROR(__xludf.DUMMYFUNCTION("""COMPUTED_VALUE"""),8170.0)</f>
        <v>8170</v>
      </c>
      <c r="J37" s="42">
        <f>IFERROR(__xludf.DUMMYFUNCTION("""COMPUTED_VALUE"""),8170.0)</f>
        <v>8170</v>
      </c>
      <c r="K37" s="42">
        <f>IFERROR(__xludf.DUMMYFUNCTION("""COMPUTED_VALUE"""),0.0)</f>
        <v>0</v>
      </c>
      <c r="L37" s="42">
        <f>IFERROR(__xludf.DUMMYFUNCTION("""COMPUTED_VALUE"""),0.0)</f>
        <v>0</v>
      </c>
      <c r="M37" s="41">
        <f>IFERROR(__xludf.DUMMYFUNCTION("""COMPUTED_VALUE"""),8156.0)</f>
        <v>8156</v>
      </c>
      <c r="N37" s="42">
        <f>IFERROR(__xludf.DUMMYFUNCTION("""COMPUTED_VALUE"""),8156.0)</f>
        <v>8156</v>
      </c>
      <c r="O37" s="42">
        <f>IFERROR(__xludf.DUMMYFUNCTION("""COMPUTED_VALUE"""),0.0)</f>
        <v>0</v>
      </c>
      <c r="P37" s="42">
        <f>IFERROR(__xludf.DUMMYFUNCTION("""COMPUTED_VALUE"""),0.0)</f>
        <v>0</v>
      </c>
      <c r="Q37" s="41">
        <f>IFERROR(__xludf.DUMMYFUNCTION("""COMPUTED_VALUE"""),8217.0)</f>
        <v>8217</v>
      </c>
      <c r="R37" s="42">
        <f>IFERROR(__xludf.DUMMYFUNCTION("""COMPUTED_VALUE"""),8133.0)</f>
        <v>8133</v>
      </c>
      <c r="S37" s="42">
        <f>IFERROR(__xludf.DUMMYFUNCTION("""COMPUTED_VALUE"""),0.0)</f>
        <v>0</v>
      </c>
      <c r="T37" s="42">
        <f>IFERROR(__xludf.DUMMYFUNCTION("""COMPUTED_VALUE"""),84.0)</f>
        <v>84</v>
      </c>
      <c r="U37" s="41">
        <f>IFERROR(__xludf.DUMMYFUNCTION("""COMPUTED_VALUE"""),8193.0)</f>
        <v>8193</v>
      </c>
      <c r="V37" s="42">
        <f>IFERROR(__xludf.DUMMYFUNCTION("""COMPUTED_VALUE"""),8109.0)</f>
        <v>8109</v>
      </c>
      <c r="W37" s="42">
        <f>IFERROR(__xludf.DUMMYFUNCTION("""COMPUTED_VALUE"""),0.0)</f>
        <v>0</v>
      </c>
      <c r="X37" s="42">
        <f>IFERROR(__xludf.DUMMYFUNCTION("""COMPUTED_VALUE"""),84.0)</f>
        <v>84</v>
      </c>
      <c r="Y37" s="41">
        <f>IFERROR(__xludf.DUMMYFUNCTION("""COMPUTED_VALUE"""),7527.0)</f>
        <v>7527</v>
      </c>
      <c r="Z37" s="42">
        <f>IFERROR(__xludf.DUMMYFUNCTION("""COMPUTED_VALUE"""),7444.0)</f>
        <v>7444</v>
      </c>
      <c r="AA37" s="42">
        <f>IFERROR(__xludf.DUMMYFUNCTION("""COMPUTED_VALUE"""),0.0)</f>
        <v>0</v>
      </c>
      <c r="AB37" s="42">
        <f>IFERROR(__xludf.DUMMYFUNCTION("""COMPUTED_VALUE"""),83.0)</f>
        <v>83</v>
      </c>
      <c r="AC37" s="41">
        <f>IFERROR(__xludf.DUMMYFUNCTION("""COMPUTED_VALUE"""),8117.0)</f>
        <v>8117</v>
      </c>
      <c r="AD37" s="42">
        <f>IFERROR(__xludf.DUMMYFUNCTION("""COMPUTED_VALUE"""),8034.0)</f>
        <v>8034</v>
      </c>
      <c r="AE37" s="42">
        <f>IFERROR(__xludf.DUMMYFUNCTION("""COMPUTED_VALUE"""),0.0)</f>
        <v>0</v>
      </c>
      <c r="AF37" s="42">
        <f>IFERROR(__xludf.DUMMYFUNCTION("""COMPUTED_VALUE"""),83.0)</f>
        <v>83</v>
      </c>
      <c r="AG37" s="41">
        <f>IFERROR(__xludf.DUMMYFUNCTION("""COMPUTED_VALUE"""),562.0)</f>
        <v>562</v>
      </c>
      <c r="AH37" s="42">
        <f>IFERROR(__xludf.DUMMYFUNCTION("""COMPUTED_VALUE"""),562.0)</f>
        <v>562</v>
      </c>
      <c r="AI37" s="42">
        <f>IFERROR(__xludf.DUMMYFUNCTION("""COMPUTED_VALUE"""),0.0)</f>
        <v>0</v>
      </c>
      <c r="AJ37" s="42">
        <f>IFERROR(__xludf.DUMMYFUNCTION("""COMPUTED_VALUE"""),0.0)</f>
        <v>0</v>
      </c>
      <c r="AK37" s="41">
        <f>IFERROR(__xludf.DUMMYFUNCTION("""COMPUTED_VALUE"""),0.0)</f>
        <v>0</v>
      </c>
      <c r="AL37" s="42">
        <f>IFERROR(__xludf.DUMMYFUNCTION("""COMPUTED_VALUE"""),0.0)</f>
        <v>0</v>
      </c>
      <c r="AM37" s="42">
        <f>IFERROR(__xludf.DUMMYFUNCTION("""COMPUTED_VALUE"""),0.0)</f>
        <v>0</v>
      </c>
      <c r="AN37" s="42">
        <f>IFERROR(__xludf.DUMMYFUNCTION("""COMPUTED_VALUE"""),0.0)</f>
        <v>0</v>
      </c>
      <c r="AO37" s="41">
        <f>IFERROR(__xludf.DUMMYFUNCTION("""COMPUTED_VALUE"""),0.0)</f>
        <v>0</v>
      </c>
      <c r="AP37" s="42">
        <f>IFERROR(__xludf.DUMMYFUNCTION("""COMPUTED_VALUE"""),0.0)</f>
        <v>0</v>
      </c>
      <c r="AQ37" s="42">
        <f>IFERROR(__xludf.DUMMYFUNCTION("""COMPUTED_VALUE"""),0.0)</f>
        <v>0</v>
      </c>
      <c r="AR37" s="42">
        <f>IFERROR(__xludf.DUMMYFUNCTION("""COMPUTED_VALUE"""),0.0)</f>
        <v>0</v>
      </c>
      <c r="AS37" s="41">
        <f>IFERROR(__xludf.DUMMYFUNCTION("""COMPUTED_VALUE"""),0.0)</f>
        <v>0</v>
      </c>
      <c r="AT37" s="42">
        <f>IFERROR(__xludf.DUMMYFUNCTION("""COMPUTED_VALUE"""),0.0)</f>
        <v>0</v>
      </c>
      <c r="AU37" s="42">
        <f>IFERROR(__xludf.DUMMYFUNCTION("""COMPUTED_VALUE"""),0.0)</f>
        <v>0</v>
      </c>
      <c r="AV37" s="42">
        <f>IFERROR(__xludf.DUMMYFUNCTION("""COMPUTED_VALUE"""),0.0)</f>
        <v>0</v>
      </c>
      <c r="AW37" s="41">
        <f>IFERROR(__xludf.DUMMYFUNCTION("""COMPUTED_VALUE"""),0.0)</f>
        <v>0</v>
      </c>
      <c r="AX37" s="42">
        <f>IFERROR(__xludf.DUMMYFUNCTION("""COMPUTED_VALUE"""),0.0)</f>
        <v>0</v>
      </c>
      <c r="AY37" s="42">
        <f>IFERROR(__xludf.DUMMYFUNCTION("""COMPUTED_VALUE"""),0.0)</f>
        <v>0</v>
      </c>
      <c r="AZ37" s="43">
        <f>IFERROR(__xludf.DUMMYFUNCTION("""COMPUTED_VALUE"""),0.0)</f>
        <v>0</v>
      </c>
      <c r="BA37" s="34"/>
    </row>
    <row r="38" ht="15.75" customHeight="1">
      <c r="A38" s="29"/>
      <c r="B38" s="67" t="str">
        <f>IFERROR(__xludf.DUMMYFUNCTION("""COMPUTED_VALUE""")," + Dân tộc thiểu số")</f>
        <v> + Dân tộc thiểu số</v>
      </c>
      <c r="C38" s="31"/>
      <c r="D38" s="31" t="str">
        <f>IFERROR(__xludf.DUMMYFUNCTION("""COMPUTED_VALUE"""),"""")</f>
        <v>"</v>
      </c>
      <c r="E38" s="41">
        <f>IFERROR(__xludf.DUMMYFUNCTION("""COMPUTED_VALUE"""),4191.0)</f>
        <v>4191</v>
      </c>
      <c r="F38" s="42">
        <f>IFERROR(__xludf.DUMMYFUNCTION("""COMPUTED_VALUE"""),4191.0)</f>
        <v>4191</v>
      </c>
      <c r="G38" s="42">
        <f>IFERROR(__xludf.DUMMYFUNCTION("""COMPUTED_VALUE"""),0.0)</f>
        <v>0</v>
      </c>
      <c r="H38" s="42">
        <f>IFERROR(__xludf.DUMMYFUNCTION("""COMPUTED_VALUE"""),0.0)</f>
        <v>0</v>
      </c>
      <c r="I38" s="41">
        <f>IFERROR(__xludf.DUMMYFUNCTION("""COMPUTED_VALUE"""),4338.0)</f>
        <v>4338</v>
      </c>
      <c r="J38" s="42">
        <f>IFERROR(__xludf.DUMMYFUNCTION("""COMPUTED_VALUE"""),4338.0)</f>
        <v>4338</v>
      </c>
      <c r="K38" s="42">
        <f>IFERROR(__xludf.DUMMYFUNCTION("""COMPUTED_VALUE"""),0.0)</f>
        <v>0</v>
      </c>
      <c r="L38" s="42">
        <f>IFERROR(__xludf.DUMMYFUNCTION("""COMPUTED_VALUE"""),0.0)</f>
        <v>0</v>
      </c>
      <c r="M38" s="41">
        <f>IFERROR(__xludf.DUMMYFUNCTION("""COMPUTED_VALUE"""),4325.0)</f>
        <v>4325</v>
      </c>
      <c r="N38" s="42">
        <f>IFERROR(__xludf.DUMMYFUNCTION("""COMPUTED_VALUE"""),4325.0)</f>
        <v>4325</v>
      </c>
      <c r="O38" s="42">
        <f>IFERROR(__xludf.DUMMYFUNCTION("""COMPUTED_VALUE"""),0.0)</f>
        <v>0</v>
      </c>
      <c r="P38" s="42">
        <f>IFERROR(__xludf.DUMMYFUNCTION("""COMPUTED_VALUE"""),0.0)</f>
        <v>0</v>
      </c>
      <c r="Q38" s="41">
        <f>IFERROR(__xludf.DUMMYFUNCTION("""COMPUTED_VALUE"""),4357.0)</f>
        <v>4357</v>
      </c>
      <c r="R38" s="42">
        <f>IFERROR(__xludf.DUMMYFUNCTION("""COMPUTED_VALUE"""),4311.0)</f>
        <v>4311</v>
      </c>
      <c r="S38" s="42">
        <f>IFERROR(__xludf.DUMMYFUNCTION("""COMPUTED_VALUE"""),0.0)</f>
        <v>0</v>
      </c>
      <c r="T38" s="42">
        <f>IFERROR(__xludf.DUMMYFUNCTION("""COMPUTED_VALUE"""),46.0)</f>
        <v>46</v>
      </c>
      <c r="U38" s="41">
        <f>IFERROR(__xludf.DUMMYFUNCTION("""COMPUTED_VALUE"""),4350.0)</f>
        <v>4350</v>
      </c>
      <c r="V38" s="42">
        <f>IFERROR(__xludf.DUMMYFUNCTION("""COMPUTED_VALUE"""),4304.0)</f>
        <v>4304</v>
      </c>
      <c r="W38" s="42">
        <f>IFERROR(__xludf.DUMMYFUNCTION("""COMPUTED_VALUE"""),0.0)</f>
        <v>0</v>
      </c>
      <c r="X38" s="42">
        <f>IFERROR(__xludf.DUMMYFUNCTION("""COMPUTED_VALUE"""),46.0)</f>
        <v>46</v>
      </c>
      <c r="Y38" s="41">
        <f>IFERROR(__xludf.DUMMYFUNCTION("""COMPUTED_VALUE"""),4144.0)</f>
        <v>4144</v>
      </c>
      <c r="Z38" s="42">
        <f>IFERROR(__xludf.DUMMYFUNCTION("""COMPUTED_VALUE"""),4098.0)</f>
        <v>4098</v>
      </c>
      <c r="AA38" s="42">
        <f>IFERROR(__xludf.DUMMYFUNCTION("""COMPUTED_VALUE"""),0.0)</f>
        <v>0</v>
      </c>
      <c r="AB38" s="42">
        <f>IFERROR(__xludf.DUMMYFUNCTION("""COMPUTED_VALUE"""),46.0)</f>
        <v>46</v>
      </c>
      <c r="AC38" s="41">
        <f>IFERROR(__xludf.DUMMYFUNCTION("""COMPUTED_VALUE"""),4297.0)</f>
        <v>4297</v>
      </c>
      <c r="AD38" s="42">
        <f>IFERROR(__xludf.DUMMYFUNCTION("""COMPUTED_VALUE"""),4251.0)</f>
        <v>4251</v>
      </c>
      <c r="AE38" s="42">
        <f>IFERROR(__xludf.DUMMYFUNCTION("""COMPUTED_VALUE"""),0.0)</f>
        <v>0</v>
      </c>
      <c r="AF38" s="42">
        <f>IFERROR(__xludf.DUMMYFUNCTION("""COMPUTED_VALUE"""),46.0)</f>
        <v>46</v>
      </c>
      <c r="AG38" s="41">
        <f>IFERROR(__xludf.DUMMYFUNCTION("""COMPUTED_VALUE"""),73.0)</f>
        <v>73</v>
      </c>
      <c r="AH38" s="42">
        <f>IFERROR(__xludf.DUMMYFUNCTION("""COMPUTED_VALUE"""),73.0)</f>
        <v>73</v>
      </c>
      <c r="AI38" s="42">
        <f>IFERROR(__xludf.DUMMYFUNCTION("""COMPUTED_VALUE"""),0.0)</f>
        <v>0</v>
      </c>
      <c r="AJ38" s="42">
        <f>IFERROR(__xludf.DUMMYFUNCTION("""COMPUTED_VALUE"""),0.0)</f>
        <v>0</v>
      </c>
      <c r="AK38" s="41">
        <f>IFERROR(__xludf.DUMMYFUNCTION("""COMPUTED_VALUE"""),0.0)</f>
        <v>0</v>
      </c>
      <c r="AL38" s="42">
        <f>IFERROR(__xludf.DUMMYFUNCTION("""COMPUTED_VALUE"""),0.0)</f>
        <v>0</v>
      </c>
      <c r="AM38" s="42">
        <f>IFERROR(__xludf.DUMMYFUNCTION("""COMPUTED_VALUE"""),0.0)</f>
        <v>0</v>
      </c>
      <c r="AN38" s="42">
        <f>IFERROR(__xludf.DUMMYFUNCTION("""COMPUTED_VALUE"""),0.0)</f>
        <v>0</v>
      </c>
      <c r="AO38" s="41">
        <f>IFERROR(__xludf.DUMMYFUNCTION("""COMPUTED_VALUE"""),0.0)</f>
        <v>0</v>
      </c>
      <c r="AP38" s="42">
        <f>IFERROR(__xludf.DUMMYFUNCTION("""COMPUTED_VALUE"""),0.0)</f>
        <v>0</v>
      </c>
      <c r="AQ38" s="42">
        <f>IFERROR(__xludf.DUMMYFUNCTION("""COMPUTED_VALUE"""),0.0)</f>
        <v>0</v>
      </c>
      <c r="AR38" s="42">
        <f>IFERROR(__xludf.DUMMYFUNCTION("""COMPUTED_VALUE"""),0.0)</f>
        <v>0</v>
      </c>
      <c r="AS38" s="41">
        <f>IFERROR(__xludf.DUMMYFUNCTION("""COMPUTED_VALUE"""),0.0)</f>
        <v>0</v>
      </c>
      <c r="AT38" s="42">
        <f>IFERROR(__xludf.DUMMYFUNCTION("""COMPUTED_VALUE"""),0.0)</f>
        <v>0</v>
      </c>
      <c r="AU38" s="42">
        <f>IFERROR(__xludf.DUMMYFUNCTION("""COMPUTED_VALUE"""),0.0)</f>
        <v>0</v>
      </c>
      <c r="AV38" s="42">
        <f>IFERROR(__xludf.DUMMYFUNCTION("""COMPUTED_VALUE"""),0.0)</f>
        <v>0</v>
      </c>
      <c r="AW38" s="41">
        <f>IFERROR(__xludf.DUMMYFUNCTION("""COMPUTED_VALUE"""),0.0)</f>
        <v>0</v>
      </c>
      <c r="AX38" s="42">
        <f>IFERROR(__xludf.DUMMYFUNCTION("""COMPUTED_VALUE"""),0.0)</f>
        <v>0</v>
      </c>
      <c r="AY38" s="42">
        <f>IFERROR(__xludf.DUMMYFUNCTION("""COMPUTED_VALUE"""),0.0)</f>
        <v>0</v>
      </c>
      <c r="AZ38" s="43">
        <f>IFERROR(__xludf.DUMMYFUNCTION("""COMPUTED_VALUE"""),0.0)</f>
        <v>0</v>
      </c>
      <c r="BA38" s="34"/>
    </row>
    <row r="39" ht="15.75" customHeight="1">
      <c r="A39" s="29"/>
      <c r="B39" s="67" t="str">
        <f>IFERROR(__xludf.DUMMYFUNCTION("""COMPUTED_VALUE""")," + Nữ dân tộc thiểu số")</f>
        <v> + Nữ dân tộc thiểu số</v>
      </c>
      <c r="C39" s="31"/>
      <c r="D39" s="31" t="str">
        <f>IFERROR(__xludf.DUMMYFUNCTION("""COMPUTED_VALUE"""),"""")</f>
        <v>"</v>
      </c>
      <c r="E39" s="41">
        <f>IFERROR(__xludf.DUMMYFUNCTION("""COMPUTED_VALUE"""),2281.0)</f>
        <v>2281</v>
      </c>
      <c r="F39" s="42">
        <f>IFERROR(__xludf.DUMMYFUNCTION("""COMPUTED_VALUE"""),2281.0)</f>
        <v>2281</v>
      </c>
      <c r="G39" s="42">
        <f>IFERROR(__xludf.DUMMYFUNCTION("""COMPUTED_VALUE"""),0.0)</f>
        <v>0</v>
      </c>
      <c r="H39" s="42">
        <f>IFERROR(__xludf.DUMMYFUNCTION("""COMPUTED_VALUE"""),0.0)</f>
        <v>0</v>
      </c>
      <c r="I39" s="41">
        <f>IFERROR(__xludf.DUMMYFUNCTION("""COMPUTED_VALUE"""),2352.0)</f>
        <v>2352</v>
      </c>
      <c r="J39" s="42">
        <f>IFERROR(__xludf.DUMMYFUNCTION("""COMPUTED_VALUE"""),2352.0)</f>
        <v>2352</v>
      </c>
      <c r="K39" s="42">
        <f>IFERROR(__xludf.DUMMYFUNCTION("""COMPUTED_VALUE"""),0.0)</f>
        <v>0</v>
      </c>
      <c r="L39" s="42">
        <f>IFERROR(__xludf.DUMMYFUNCTION("""COMPUTED_VALUE"""),0.0)</f>
        <v>0</v>
      </c>
      <c r="M39" s="41">
        <f>IFERROR(__xludf.DUMMYFUNCTION("""COMPUTED_VALUE"""),2343.0)</f>
        <v>2343</v>
      </c>
      <c r="N39" s="42">
        <f>IFERROR(__xludf.DUMMYFUNCTION("""COMPUTED_VALUE"""),2343.0)</f>
        <v>2343</v>
      </c>
      <c r="O39" s="42">
        <f>IFERROR(__xludf.DUMMYFUNCTION("""COMPUTED_VALUE"""),0.0)</f>
        <v>0</v>
      </c>
      <c r="P39" s="42">
        <f>IFERROR(__xludf.DUMMYFUNCTION("""COMPUTED_VALUE"""),0.0)</f>
        <v>0</v>
      </c>
      <c r="Q39" s="41">
        <f>IFERROR(__xludf.DUMMYFUNCTION("""COMPUTED_VALUE"""),2359.0)</f>
        <v>2359</v>
      </c>
      <c r="R39" s="42">
        <f>IFERROR(__xludf.DUMMYFUNCTION("""COMPUTED_VALUE"""),2339.0)</f>
        <v>2339</v>
      </c>
      <c r="S39" s="42">
        <f>IFERROR(__xludf.DUMMYFUNCTION("""COMPUTED_VALUE"""),0.0)</f>
        <v>0</v>
      </c>
      <c r="T39" s="42">
        <f>IFERROR(__xludf.DUMMYFUNCTION("""COMPUTED_VALUE"""),20.0)</f>
        <v>20</v>
      </c>
      <c r="U39" s="41">
        <f>IFERROR(__xludf.DUMMYFUNCTION("""COMPUTED_VALUE"""),2354.0)</f>
        <v>2354</v>
      </c>
      <c r="V39" s="42">
        <f>IFERROR(__xludf.DUMMYFUNCTION("""COMPUTED_VALUE"""),2334.0)</f>
        <v>2334</v>
      </c>
      <c r="W39" s="42">
        <f>IFERROR(__xludf.DUMMYFUNCTION("""COMPUTED_VALUE"""),0.0)</f>
        <v>0</v>
      </c>
      <c r="X39" s="42">
        <f>IFERROR(__xludf.DUMMYFUNCTION("""COMPUTED_VALUE"""),20.0)</f>
        <v>20</v>
      </c>
      <c r="Y39" s="41">
        <f>IFERROR(__xludf.DUMMYFUNCTION("""COMPUTED_VALUE"""),2257.0)</f>
        <v>2257</v>
      </c>
      <c r="Z39" s="42">
        <f>IFERROR(__xludf.DUMMYFUNCTION("""COMPUTED_VALUE"""),2237.0)</f>
        <v>2237</v>
      </c>
      <c r="AA39" s="42">
        <f>IFERROR(__xludf.DUMMYFUNCTION("""COMPUTED_VALUE"""),0.0)</f>
        <v>0</v>
      </c>
      <c r="AB39" s="42">
        <f>IFERROR(__xludf.DUMMYFUNCTION("""COMPUTED_VALUE"""),20.0)</f>
        <v>20</v>
      </c>
      <c r="AC39" s="41">
        <f>IFERROR(__xludf.DUMMYFUNCTION("""COMPUTED_VALUE"""),2359.0)</f>
        <v>2359</v>
      </c>
      <c r="AD39" s="42">
        <f>IFERROR(__xludf.DUMMYFUNCTION("""COMPUTED_VALUE"""),2339.0)</f>
        <v>2339</v>
      </c>
      <c r="AE39" s="42">
        <f>IFERROR(__xludf.DUMMYFUNCTION("""COMPUTED_VALUE"""),0.0)</f>
        <v>0</v>
      </c>
      <c r="AF39" s="42">
        <f>IFERROR(__xludf.DUMMYFUNCTION("""COMPUTED_VALUE"""),20.0)</f>
        <v>20</v>
      </c>
      <c r="AG39" s="41">
        <f>IFERROR(__xludf.DUMMYFUNCTION("""COMPUTED_VALUE"""),40.0)</f>
        <v>40</v>
      </c>
      <c r="AH39" s="42">
        <f>IFERROR(__xludf.DUMMYFUNCTION("""COMPUTED_VALUE"""),40.0)</f>
        <v>40</v>
      </c>
      <c r="AI39" s="42">
        <f>IFERROR(__xludf.DUMMYFUNCTION("""COMPUTED_VALUE"""),0.0)</f>
        <v>0</v>
      </c>
      <c r="AJ39" s="42">
        <f>IFERROR(__xludf.DUMMYFUNCTION("""COMPUTED_VALUE"""),0.0)</f>
        <v>0</v>
      </c>
      <c r="AK39" s="41">
        <f>IFERROR(__xludf.DUMMYFUNCTION("""COMPUTED_VALUE"""),0.0)</f>
        <v>0</v>
      </c>
      <c r="AL39" s="42">
        <f>IFERROR(__xludf.DUMMYFUNCTION("""COMPUTED_VALUE"""),0.0)</f>
        <v>0</v>
      </c>
      <c r="AM39" s="42">
        <f>IFERROR(__xludf.DUMMYFUNCTION("""COMPUTED_VALUE"""),0.0)</f>
        <v>0</v>
      </c>
      <c r="AN39" s="42">
        <f>IFERROR(__xludf.DUMMYFUNCTION("""COMPUTED_VALUE"""),0.0)</f>
        <v>0</v>
      </c>
      <c r="AO39" s="41">
        <f>IFERROR(__xludf.DUMMYFUNCTION("""COMPUTED_VALUE"""),0.0)</f>
        <v>0</v>
      </c>
      <c r="AP39" s="42">
        <f>IFERROR(__xludf.DUMMYFUNCTION("""COMPUTED_VALUE"""),0.0)</f>
        <v>0</v>
      </c>
      <c r="AQ39" s="42">
        <f>IFERROR(__xludf.DUMMYFUNCTION("""COMPUTED_VALUE"""),0.0)</f>
        <v>0</v>
      </c>
      <c r="AR39" s="42">
        <f>IFERROR(__xludf.DUMMYFUNCTION("""COMPUTED_VALUE"""),0.0)</f>
        <v>0</v>
      </c>
      <c r="AS39" s="41">
        <f>IFERROR(__xludf.DUMMYFUNCTION("""COMPUTED_VALUE"""),0.0)</f>
        <v>0</v>
      </c>
      <c r="AT39" s="42">
        <f>IFERROR(__xludf.DUMMYFUNCTION("""COMPUTED_VALUE"""),0.0)</f>
        <v>0</v>
      </c>
      <c r="AU39" s="42">
        <f>IFERROR(__xludf.DUMMYFUNCTION("""COMPUTED_VALUE"""),0.0)</f>
        <v>0</v>
      </c>
      <c r="AV39" s="42">
        <f>IFERROR(__xludf.DUMMYFUNCTION("""COMPUTED_VALUE"""),0.0)</f>
        <v>0</v>
      </c>
      <c r="AW39" s="41">
        <f>IFERROR(__xludf.DUMMYFUNCTION("""COMPUTED_VALUE"""),0.0)</f>
        <v>0</v>
      </c>
      <c r="AX39" s="42">
        <f>IFERROR(__xludf.DUMMYFUNCTION("""COMPUTED_VALUE"""),0.0)</f>
        <v>0</v>
      </c>
      <c r="AY39" s="42">
        <f>IFERROR(__xludf.DUMMYFUNCTION("""COMPUTED_VALUE"""),0.0)</f>
        <v>0</v>
      </c>
      <c r="AZ39" s="43">
        <f>IFERROR(__xludf.DUMMYFUNCTION("""COMPUTED_VALUE"""),0.0)</f>
        <v>0</v>
      </c>
      <c r="BA39" s="34"/>
    </row>
    <row r="40" ht="15.75" customHeight="1">
      <c r="A40" s="29"/>
      <c r="B40" s="67" t="str">
        <f>IFERROR(__xludf.DUMMYFUNCTION("""COMPUTED_VALUE""")," + Khuyết tật")</f>
        <v> + Khuyết tật</v>
      </c>
      <c r="C40" s="31"/>
      <c r="D40" s="31" t="str">
        <f>IFERROR(__xludf.DUMMYFUNCTION("""COMPUTED_VALUE"""),"""")</f>
        <v>"</v>
      </c>
      <c r="E40" s="41">
        <f>IFERROR(__xludf.DUMMYFUNCTION("""COMPUTED_VALUE"""),8.0)</f>
        <v>8</v>
      </c>
      <c r="F40" s="42">
        <f>IFERROR(__xludf.DUMMYFUNCTION("""COMPUTED_VALUE"""),8.0)</f>
        <v>8</v>
      </c>
      <c r="G40" s="42">
        <f>IFERROR(__xludf.DUMMYFUNCTION("""COMPUTED_VALUE"""),0.0)</f>
        <v>0</v>
      </c>
      <c r="H40" s="42">
        <f>IFERROR(__xludf.DUMMYFUNCTION("""COMPUTED_VALUE"""),0.0)</f>
        <v>0</v>
      </c>
      <c r="I40" s="41">
        <f>IFERROR(__xludf.DUMMYFUNCTION("""COMPUTED_VALUE"""),8.0)</f>
        <v>8</v>
      </c>
      <c r="J40" s="42">
        <f>IFERROR(__xludf.DUMMYFUNCTION("""COMPUTED_VALUE"""),8.0)</f>
        <v>8</v>
      </c>
      <c r="K40" s="42">
        <f>IFERROR(__xludf.DUMMYFUNCTION("""COMPUTED_VALUE"""),0.0)</f>
        <v>0</v>
      </c>
      <c r="L40" s="42">
        <f>IFERROR(__xludf.DUMMYFUNCTION("""COMPUTED_VALUE"""),0.0)</f>
        <v>0</v>
      </c>
      <c r="M40" s="41">
        <f>IFERROR(__xludf.DUMMYFUNCTION("""COMPUTED_VALUE"""),8.0)</f>
        <v>8</v>
      </c>
      <c r="N40" s="42">
        <f>IFERROR(__xludf.DUMMYFUNCTION("""COMPUTED_VALUE"""),8.0)</f>
        <v>8</v>
      </c>
      <c r="O40" s="42">
        <f>IFERROR(__xludf.DUMMYFUNCTION("""COMPUTED_VALUE"""),0.0)</f>
        <v>0</v>
      </c>
      <c r="P40" s="42">
        <f>IFERROR(__xludf.DUMMYFUNCTION("""COMPUTED_VALUE"""),0.0)</f>
        <v>0</v>
      </c>
      <c r="Q40" s="41">
        <f>IFERROR(__xludf.DUMMYFUNCTION("""COMPUTED_VALUE"""),8.0)</f>
        <v>8</v>
      </c>
      <c r="R40" s="42">
        <f>IFERROR(__xludf.DUMMYFUNCTION("""COMPUTED_VALUE"""),8.0)</f>
        <v>8</v>
      </c>
      <c r="S40" s="42">
        <f>IFERROR(__xludf.DUMMYFUNCTION("""COMPUTED_VALUE"""),0.0)</f>
        <v>0</v>
      </c>
      <c r="T40" s="42">
        <f>IFERROR(__xludf.DUMMYFUNCTION("""COMPUTED_VALUE"""),0.0)</f>
        <v>0</v>
      </c>
      <c r="U40" s="41">
        <f>IFERROR(__xludf.DUMMYFUNCTION("""COMPUTED_VALUE"""),8.0)</f>
        <v>8</v>
      </c>
      <c r="V40" s="42">
        <f>IFERROR(__xludf.DUMMYFUNCTION("""COMPUTED_VALUE"""),8.0)</f>
        <v>8</v>
      </c>
      <c r="W40" s="42">
        <f>IFERROR(__xludf.DUMMYFUNCTION("""COMPUTED_VALUE"""),0.0)</f>
        <v>0</v>
      </c>
      <c r="X40" s="42">
        <f>IFERROR(__xludf.DUMMYFUNCTION("""COMPUTED_VALUE"""),0.0)</f>
        <v>0</v>
      </c>
      <c r="Y40" s="41">
        <f>IFERROR(__xludf.DUMMYFUNCTION("""COMPUTED_VALUE"""),6.0)</f>
        <v>6</v>
      </c>
      <c r="Z40" s="42">
        <f>IFERROR(__xludf.DUMMYFUNCTION("""COMPUTED_VALUE"""),6.0)</f>
        <v>6</v>
      </c>
      <c r="AA40" s="42">
        <f>IFERROR(__xludf.DUMMYFUNCTION("""COMPUTED_VALUE"""),0.0)</f>
        <v>0</v>
      </c>
      <c r="AB40" s="42">
        <f>IFERROR(__xludf.DUMMYFUNCTION("""COMPUTED_VALUE"""),0.0)</f>
        <v>0</v>
      </c>
      <c r="AC40" s="41">
        <f>IFERROR(__xludf.DUMMYFUNCTION("""COMPUTED_VALUE"""),8.0)</f>
        <v>8</v>
      </c>
      <c r="AD40" s="42">
        <f>IFERROR(__xludf.DUMMYFUNCTION("""COMPUTED_VALUE"""),8.0)</f>
        <v>8</v>
      </c>
      <c r="AE40" s="42">
        <f>IFERROR(__xludf.DUMMYFUNCTION("""COMPUTED_VALUE"""),0.0)</f>
        <v>0</v>
      </c>
      <c r="AF40" s="42">
        <f>IFERROR(__xludf.DUMMYFUNCTION("""COMPUTED_VALUE"""),0.0)</f>
        <v>0</v>
      </c>
      <c r="AG40" s="41">
        <f>IFERROR(__xludf.DUMMYFUNCTION("""COMPUTED_VALUE"""),1.0)</f>
        <v>1</v>
      </c>
      <c r="AH40" s="42">
        <f>IFERROR(__xludf.DUMMYFUNCTION("""COMPUTED_VALUE"""),1.0)</f>
        <v>1</v>
      </c>
      <c r="AI40" s="42">
        <f>IFERROR(__xludf.DUMMYFUNCTION("""COMPUTED_VALUE"""),0.0)</f>
        <v>0</v>
      </c>
      <c r="AJ40" s="42">
        <f>IFERROR(__xludf.DUMMYFUNCTION("""COMPUTED_VALUE"""),0.0)</f>
        <v>0</v>
      </c>
      <c r="AK40" s="41">
        <f>IFERROR(__xludf.DUMMYFUNCTION("""COMPUTED_VALUE"""),0.0)</f>
        <v>0</v>
      </c>
      <c r="AL40" s="42">
        <f>IFERROR(__xludf.DUMMYFUNCTION("""COMPUTED_VALUE"""),0.0)</f>
        <v>0</v>
      </c>
      <c r="AM40" s="42">
        <f>IFERROR(__xludf.DUMMYFUNCTION("""COMPUTED_VALUE"""),0.0)</f>
        <v>0</v>
      </c>
      <c r="AN40" s="42">
        <f>IFERROR(__xludf.DUMMYFUNCTION("""COMPUTED_VALUE"""),0.0)</f>
        <v>0</v>
      </c>
      <c r="AO40" s="41">
        <f>IFERROR(__xludf.DUMMYFUNCTION("""COMPUTED_VALUE"""),0.0)</f>
        <v>0</v>
      </c>
      <c r="AP40" s="42">
        <f>IFERROR(__xludf.DUMMYFUNCTION("""COMPUTED_VALUE"""),0.0)</f>
        <v>0</v>
      </c>
      <c r="AQ40" s="42">
        <f>IFERROR(__xludf.DUMMYFUNCTION("""COMPUTED_VALUE"""),0.0)</f>
        <v>0</v>
      </c>
      <c r="AR40" s="42">
        <f>IFERROR(__xludf.DUMMYFUNCTION("""COMPUTED_VALUE"""),0.0)</f>
        <v>0</v>
      </c>
      <c r="AS40" s="41">
        <f>IFERROR(__xludf.DUMMYFUNCTION("""COMPUTED_VALUE"""),0.0)</f>
        <v>0</v>
      </c>
      <c r="AT40" s="42">
        <f>IFERROR(__xludf.DUMMYFUNCTION("""COMPUTED_VALUE"""),0.0)</f>
        <v>0</v>
      </c>
      <c r="AU40" s="42">
        <f>IFERROR(__xludf.DUMMYFUNCTION("""COMPUTED_VALUE"""),0.0)</f>
        <v>0</v>
      </c>
      <c r="AV40" s="42">
        <f>IFERROR(__xludf.DUMMYFUNCTION("""COMPUTED_VALUE"""),0.0)</f>
        <v>0</v>
      </c>
      <c r="AW40" s="41">
        <f>IFERROR(__xludf.DUMMYFUNCTION("""COMPUTED_VALUE"""),0.0)</f>
        <v>0</v>
      </c>
      <c r="AX40" s="42">
        <f>IFERROR(__xludf.DUMMYFUNCTION("""COMPUTED_VALUE"""),0.0)</f>
        <v>0</v>
      </c>
      <c r="AY40" s="42">
        <f>IFERROR(__xludf.DUMMYFUNCTION("""COMPUTED_VALUE"""),0.0)</f>
        <v>0</v>
      </c>
      <c r="AZ40" s="43">
        <f>IFERROR(__xludf.DUMMYFUNCTION("""COMPUTED_VALUE"""),0.0)</f>
        <v>0</v>
      </c>
      <c r="BA40" s="34"/>
    </row>
    <row r="41" ht="15.75" customHeight="1">
      <c r="A41" s="29"/>
      <c r="B41" s="67" t="str">
        <f>IFERROR(__xludf.DUMMYFUNCTION("""COMPUTED_VALUE""")," + Nhóm tuổi (từ 11 đến 14 tuổi)")</f>
        <v> + Nhóm tuổi (từ 11 đến 14 tuổi)</v>
      </c>
      <c r="C41" s="31"/>
      <c r="D41" s="31" t="str">
        <f>IFERROR(__xludf.DUMMYFUNCTION("""COMPUTED_VALUE"""),"""")</f>
        <v>"</v>
      </c>
      <c r="E41" s="41">
        <f>IFERROR(__xludf.DUMMYFUNCTION("""COMPUTED_VALUE"""),10371.0)</f>
        <v>10371</v>
      </c>
      <c r="F41" s="42">
        <f>IFERROR(__xludf.DUMMYFUNCTION("""COMPUTED_VALUE"""),10371.0)</f>
        <v>10371</v>
      </c>
      <c r="G41" s="42">
        <f>IFERROR(__xludf.DUMMYFUNCTION("""COMPUTED_VALUE"""),0.0)</f>
        <v>0</v>
      </c>
      <c r="H41" s="42">
        <f>IFERROR(__xludf.DUMMYFUNCTION("""COMPUTED_VALUE"""),0.0)</f>
        <v>0</v>
      </c>
      <c r="I41" s="41">
        <f>IFERROR(__xludf.DUMMYFUNCTION("""COMPUTED_VALUE"""),9252.0)</f>
        <v>9252</v>
      </c>
      <c r="J41" s="42">
        <f>IFERROR(__xludf.DUMMYFUNCTION("""COMPUTED_VALUE"""),9252.0)</f>
        <v>9252</v>
      </c>
      <c r="K41" s="42">
        <f>IFERROR(__xludf.DUMMYFUNCTION("""COMPUTED_VALUE"""),0.0)</f>
        <v>0</v>
      </c>
      <c r="L41" s="42">
        <f>IFERROR(__xludf.DUMMYFUNCTION("""COMPUTED_VALUE"""),0.0)</f>
        <v>0</v>
      </c>
      <c r="M41" s="41">
        <f>IFERROR(__xludf.DUMMYFUNCTION("""COMPUTED_VALUE"""),9110.0)</f>
        <v>9110</v>
      </c>
      <c r="N41" s="42">
        <f>IFERROR(__xludf.DUMMYFUNCTION("""COMPUTED_VALUE"""),9110.0)</f>
        <v>9110</v>
      </c>
      <c r="O41" s="42">
        <f>IFERROR(__xludf.DUMMYFUNCTION("""COMPUTED_VALUE"""),0.0)</f>
        <v>0</v>
      </c>
      <c r="P41" s="42">
        <f>IFERROR(__xludf.DUMMYFUNCTION("""COMPUTED_VALUE"""),0.0)</f>
        <v>0</v>
      </c>
      <c r="Q41" s="41">
        <f>IFERROR(__xludf.DUMMYFUNCTION("""COMPUTED_VALUE"""),8909.0)</f>
        <v>8909</v>
      </c>
      <c r="R41" s="42">
        <f>IFERROR(__xludf.DUMMYFUNCTION("""COMPUTED_VALUE"""),8909.0)</f>
        <v>8909</v>
      </c>
      <c r="S41" s="42">
        <f>IFERROR(__xludf.DUMMYFUNCTION("""COMPUTED_VALUE"""),0.0)</f>
        <v>0</v>
      </c>
      <c r="T41" s="42">
        <f>IFERROR(__xludf.DUMMYFUNCTION("""COMPUTED_VALUE"""),0.0)</f>
        <v>0</v>
      </c>
      <c r="U41" s="41">
        <f>IFERROR(__xludf.DUMMYFUNCTION("""COMPUTED_VALUE"""),8883.0)</f>
        <v>8883</v>
      </c>
      <c r="V41" s="42">
        <f>IFERROR(__xludf.DUMMYFUNCTION("""COMPUTED_VALUE"""),8883.0)</f>
        <v>8883</v>
      </c>
      <c r="W41" s="42">
        <f>IFERROR(__xludf.DUMMYFUNCTION("""COMPUTED_VALUE"""),0.0)</f>
        <v>0</v>
      </c>
      <c r="X41" s="42">
        <f>IFERROR(__xludf.DUMMYFUNCTION("""COMPUTED_VALUE"""),0.0)</f>
        <v>0</v>
      </c>
      <c r="Y41" s="41">
        <f>IFERROR(__xludf.DUMMYFUNCTION("""COMPUTED_VALUE"""),7913.0)</f>
        <v>7913</v>
      </c>
      <c r="Z41" s="42">
        <f>IFERROR(__xludf.DUMMYFUNCTION("""COMPUTED_VALUE"""),7913.0)</f>
        <v>7913</v>
      </c>
      <c r="AA41" s="42">
        <f>IFERROR(__xludf.DUMMYFUNCTION("""COMPUTED_VALUE"""),0.0)</f>
        <v>0</v>
      </c>
      <c r="AB41" s="42">
        <f>IFERROR(__xludf.DUMMYFUNCTION("""COMPUTED_VALUE"""),0.0)</f>
        <v>0</v>
      </c>
      <c r="AC41" s="41">
        <f>IFERROR(__xludf.DUMMYFUNCTION("""COMPUTED_VALUE"""),8343.0)</f>
        <v>8343</v>
      </c>
      <c r="AD41" s="42">
        <f>IFERROR(__xludf.DUMMYFUNCTION("""COMPUTED_VALUE"""),8343.0)</f>
        <v>8343</v>
      </c>
      <c r="AE41" s="42">
        <f>IFERROR(__xludf.DUMMYFUNCTION("""COMPUTED_VALUE"""),0.0)</f>
        <v>0</v>
      </c>
      <c r="AF41" s="42">
        <f>IFERROR(__xludf.DUMMYFUNCTION("""COMPUTED_VALUE"""),0.0)</f>
        <v>0</v>
      </c>
      <c r="AG41" s="41">
        <f>IFERROR(__xludf.DUMMYFUNCTION("""COMPUTED_VALUE"""),514.0)</f>
        <v>514</v>
      </c>
      <c r="AH41" s="42">
        <f>IFERROR(__xludf.DUMMYFUNCTION("""COMPUTED_VALUE"""),514.0)</f>
        <v>514</v>
      </c>
      <c r="AI41" s="42">
        <f>IFERROR(__xludf.DUMMYFUNCTION("""COMPUTED_VALUE"""),0.0)</f>
        <v>0</v>
      </c>
      <c r="AJ41" s="42">
        <f>IFERROR(__xludf.DUMMYFUNCTION("""COMPUTED_VALUE"""),0.0)</f>
        <v>0</v>
      </c>
      <c r="AK41" s="41">
        <f>IFERROR(__xludf.DUMMYFUNCTION("""COMPUTED_VALUE"""),0.0)</f>
        <v>0</v>
      </c>
      <c r="AL41" s="42">
        <f>IFERROR(__xludf.DUMMYFUNCTION("""COMPUTED_VALUE"""),0.0)</f>
        <v>0</v>
      </c>
      <c r="AM41" s="42">
        <f>IFERROR(__xludf.DUMMYFUNCTION("""COMPUTED_VALUE"""),0.0)</f>
        <v>0</v>
      </c>
      <c r="AN41" s="42">
        <f>IFERROR(__xludf.DUMMYFUNCTION("""COMPUTED_VALUE"""),0.0)</f>
        <v>0</v>
      </c>
      <c r="AO41" s="41">
        <f>IFERROR(__xludf.DUMMYFUNCTION("""COMPUTED_VALUE"""),0.0)</f>
        <v>0</v>
      </c>
      <c r="AP41" s="42">
        <f>IFERROR(__xludf.DUMMYFUNCTION("""COMPUTED_VALUE"""),0.0)</f>
        <v>0</v>
      </c>
      <c r="AQ41" s="42">
        <f>IFERROR(__xludf.DUMMYFUNCTION("""COMPUTED_VALUE"""),0.0)</f>
        <v>0</v>
      </c>
      <c r="AR41" s="42">
        <f>IFERROR(__xludf.DUMMYFUNCTION("""COMPUTED_VALUE"""),0.0)</f>
        <v>0</v>
      </c>
      <c r="AS41" s="41">
        <f>IFERROR(__xludf.DUMMYFUNCTION("""COMPUTED_VALUE"""),0.0)</f>
        <v>0</v>
      </c>
      <c r="AT41" s="42">
        <f>IFERROR(__xludf.DUMMYFUNCTION("""COMPUTED_VALUE"""),0.0)</f>
        <v>0</v>
      </c>
      <c r="AU41" s="42">
        <f>IFERROR(__xludf.DUMMYFUNCTION("""COMPUTED_VALUE"""),0.0)</f>
        <v>0</v>
      </c>
      <c r="AV41" s="42">
        <f>IFERROR(__xludf.DUMMYFUNCTION("""COMPUTED_VALUE"""),0.0)</f>
        <v>0</v>
      </c>
      <c r="AW41" s="41">
        <f>IFERROR(__xludf.DUMMYFUNCTION("""COMPUTED_VALUE"""),0.0)</f>
        <v>0</v>
      </c>
      <c r="AX41" s="42">
        <f>IFERROR(__xludf.DUMMYFUNCTION("""COMPUTED_VALUE"""),0.0)</f>
        <v>0</v>
      </c>
      <c r="AY41" s="42">
        <f>IFERROR(__xludf.DUMMYFUNCTION("""COMPUTED_VALUE"""),0.0)</f>
        <v>0</v>
      </c>
      <c r="AZ41" s="43">
        <f>IFERROR(__xludf.DUMMYFUNCTION("""COMPUTED_VALUE"""),0.0)</f>
        <v>0</v>
      </c>
      <c r="BA41" s="34"/>
    </row>
    <row r="42" ht="15.75" customHeight="1">
      <c r="A42" s="29"/>
      <c r="B42" s="67" t="str">
        <f>IFERROR(__xludf.DUMMYFUNCTION("""COMPUTED_VALUE""")," + Nhóm tuổi (từ 15 đến 17 tuổi)")</f>
        <v> + Nhóm tuổi (từ 15 đến 17 tuổi)</v>
      </c>
      <c r="C42" s="31"/>
      <c r="D42" s="31" t="str">
        <f>IFERROR(__xludf.DUMMYFUNCTION("""COMPUTED_VALUE""")," Người")</f>
        <v> Người</v>
      </c>
      <c r="E42" s="41">
        <f>IFERROR(__xludf.DUMMYFUNCTION("""COMPUTED_VALUE"""),7724.0)</f>
        <v>7724</v>
      </c>
      <c r="F42" s="42">
        <f>IFERROR(__xludf.DUMMYFUNCTION("""COMPUTED_VALUE"""),7724.0)</f>
        <v>7724</v>
      </c>
      <c r="G42" s="42">
        <f>IFERROR(__xludf.DUMMYFUNCTION("""COMPUTED_VALUE"""),0.0)</f>
        <v>0</v>
      </c>
      <c r="H42" s="42">
        <f>IFERROR(__xludf.DUMMYFUNCTION("""COMPUTED_VALUE"""),0.0)</f>
        <v>0</v>
      </c>
      <c r="I42" s="41">
        <f>IFERROR(__xludf.DUMMYFUNCTION("""COMPUTED_VALUE"""),6748.0)</f>
        <v>6748</v>
      </c>
      <c r="J42" s="42">
        <f>IFERROR(__xludf.DUMMYFUNCTION("""COMPUTED_VALUE"""),6748.0)</f>
        <v>6748</v>
      </c>
      <c r="K42" s="42">
        <f>IFERROR(__xludf.DUMMYFUNCTION("""COMPUTED_VALUE"""),0.0)</f>
        <v>0</v>
      </c>
      <c r="L42" s="42">
        <f>IFERROR(__xludf.DUMMYFUNCTION("""COMPUTED_VALUE"""),0.0)</f>
        <v>0</v>
      </c>
      <c r="M42" s="41">
        <f>IFERROR(__xludf.DUMMYFUNCTION("""COMPUTED_VALUE"""),6835.0)</f>
        <v>6835</v>
      </c>
      <c r="N42" s="42">
        <f>IFERROR(__xludf.DUMMYFUNCTION("""COMPUTED_VALUE"""),6835.0)</f>
        <v>6835</v>
      </c>
      <c r="O42" s="42">
        <f>IFERROR(__xludf.DUMMYFUNCTION("""COMPUTED_VALUE"""),0.0)</f>
        <v>0</v>
      </c>
      <c r="P42" s="42">
        <f>IFERROR(__xludf.DUMMYFUNCTION("""COMPUTED_VALUE"""),0.0)</f>
        <v>0</v>
      </c>
      <c r="Q42" s="41">
        <f>IFERROR(__xludf.DUMMYFUNCTION("""COMPUTED_VALUE"""),6819.0)</f>
        <v>6819</v>
      </c>
      <c r="R42" s="42">
        <f>IFERROR(__xludf.DUMMYFUNCTION("""COMPUTED_VALUE"""),6819.0)</f>
        <v>6819</v>
      </c>
      <c r="S42" s="42">
        <f>IFERROR(__xludf.DUMMYFUNCTION("""COMPUTED_VALUE"""),0.0)</f>
        <v>0</v>
      </c>
      <c r="T42" s="42">
        <f>IFERROR(__xludf.DUMMYFUNCTION("""COMPUTED_VALUE"""),0.0)</f>
        <v>0</v>
      </c>
      <c r="U42" s="41">
        <f>IFERROR(__xludf.DUMMYFUNCTION("""COMPUTED_VALUE"""),6804.0)</f>
        <v>6804</v>
      </c>
      <c r="V42" s="42">
        <f>IFERROR(__xludf.DUMMYFUNCTION("""COMPUTED_VALUE"""),6804.0)</f>
        <v>6804</v>
      </c>
      <c r="W42" s="42">
        <f>IFERROR(__xludf.DUMMYFUNCTION("""COMPUTED_VALUE"""),0.0)</f>
        <v>0</v>
      </c>
      <c r="X42" s="42">
        <f>IFERROR(__xludf.DUMMYFUNCTION("""COMPUTED_VALUE"""),0.0)</f>
        <v>0</v>
      </c>
      <c r="Y42" s="41">
        <f>IFERROR(__xludf.DUMMYFUNCTION("""COMPUTED_VALUE"""),6374.0)</f>
        <v>6374</v>
      </c>
      <c r="Z42" s="42">
        <f>IFERROR(__xludf.DUMMYFUNCTION("""COMPUTED_VALUE"""),6374.0)</f>
        <v>6374</v>
      </c>
      <c r="AA42" s="42">
        <f>IFERROR(__xludf.DUMMYFUNCTION("""COMPUTED_VALUE"""),0.0)</f>
        <v>0</v>
      </c>
      <c r="AB42" s="42">
        <f>IFERROR(__xludf.DUMMYFUNCTION("""COMPUTED_VALUE"""),0.0)</f>
        <v>0</v>
      </c>
      <c r="AC42" s="41">
        <f>IFERROR(__xludf.DUMMYFUNCTION("""COMPUTED_VALUE"""),6996.0)</f>
        <v>6996</v>
      </c>
      <c r="AD42" s="42">
        <f>IFERROR(__xludf.DUMMYFUNCTION("""COMPUTED_VALUE"""),6996.0)</f>
        <v>6996</v>
      </c>
      <c r="AE42" s="42">
        <f>IFERROR(__xludf.DUMMYFUNCTION("""COMPUTED_VALUE"""),0.0)</f>
        <v>0</v>
      </c>
      <c r="AF42" s="42">
        <f>IFERROR(__xludf.DUMMYFUNCTION("""COMPUTED_VALUE"""),0.0)</f>
        <v>0</v>
      </c>
      <c r="AG42" s="41">
        <f>IFERROR(__xludf.DUMMYFUNCTION("""COMPUTED_VALUE"""),433.0)</f>
        <v>433</v>
      </c>
      <c r="AH42" s="42">
        <f>IFERROR(__xludf.DUMMYFUNCTION("""COMPUTED_VALUE"""),433.0)</f>
        <v>433</v>
      </c>
      <c r="AI42" s="42">
        <f>IFERROR(__xludf.DUMMYFUNCTION("""COMPUTED_VALUE"""),0.0)</f>
        <v>0</v>
      </c>
      <c r="AJ42" s="42">
        <f>IFERROR(__xludf.DUMMYFUNCTION("""COMPUTED_VALUE"""),0.0)</f>
        <v>0</v>
      </c>
      <c r="AK42" s="41">
        <f>IFERROR(__xludf.DUMMYFUNCTION("""COMPUTED_VALUE"""),0.0)</f>
        <v>0</v>
      </c>
      <c r="AL42" s="42">
        <f>IFERROR(__xludf.DUMMYFUNCTION("""COMPUTED_VALUE"""),0.0)</f>
        <v>0</v>
      </c>
      <c r="AM42" s="42">
        <f>IFERROR(__xludf.DUMMYFUNCTION("""COMPUTED_VALUE"""),0.0)</f>
        <v>0</v>
      </c>
      <c r="AN42" s="42">
        <f>IFERROR(__xludf.DUMMYFUNCTION("""COMPUTED_VALUE"""),0.0)</f>
        <v>0</v>
      </c>
      <c r="AO42" s="41">
        <f>IFERROR(__xludf.DUMMYFUNCTION("""COMPUTED_VALUE"""),0.0)</f>
        <v>0</v>
      </c>
      <c r="AP42" s="42">
        <f>IFERROR(__xludf.DUMMYFUNCTION("""COMPUTED_VALUE"""),0.0)</f>
        <v>0</v>
      </c>
      <c r="AQ42" s="42">
        <f>IFERROR(__xludf.DUMMYFUNCTION("""COMPUTED_VALUE"""),0.0)</f>
        <v>0</v>
      </c>
      <c r="AR42" s="42">
        <f>IFERROR(__xludf.DUMMYFUNCTION("""COMPUTED_VALUE"""),0.0)</f>
        <v>0</v>
      </c>
      <c r="AS42" s="41">
        <f>IFERROR(__xludf.DUMMYFUNCTION("""COMPUTED_VALUE"""),0.0)</f>
        <v>0</v>
      </c>
      <c r="AT42" s="42">
        <f>IFERROR(__xludf.DUMMYFUNCTION("""COMPUTED_VALUE"""),0.0)</f>
        <v>0</v>
      </c>
      <c r="AU42" s="42">
        <f>IFERROR(__xludf.DUMMYFUNCTION("""COMPUTED_VALUE"""),0.0)</f>
        <v>0</v>
      </c>
      <c r="AV42" s="42">
        <f>IFERROR(__xludf.DUMMYFUNCTION("""COMPUTED_VALUE"""),0.0)</f>
        <v>0</v>
      </c>
      <c r="AW42" s="41">
        <f>IFERROR(__xludf.DUMMYFUNCTION("""COMPUTED_VALUE"""),0.0)</f>
        <v>0</v>
      </c>
      <c r="AX42" s="42">
        <f>IFERROR(__xludf.DUMMYFUNCTION("""COMPUTED_VALUE"""),0.0)</f>
        <v>0</v>
      </c>
      <c r="AY42" s="42">
        <f>IFERROR(__xludf.DUMMYFUNCTION("""COMPUTED_VALUE"""),0.0)</f>
        <v>0</v>
      </c>
      <c r="AZ42" s="43">
        <f>IFERROR(__xludf.DUMMYFUNCTION("""COMPUTED_VALUE"""),0.0)</f>
        <v>0</v>
      </c>
      <c r="BA42" s="34"/>
    </row>
    <row r="43" ht="15.75" customHeight="1">
      <c r="A43" s="214"/>
      <c r="B43" s="215" t="str">
        <f>IFERROR(__xludf.DUMMYFUNCTION("""COMPUTED_VALUE"""),"4. Tỷ lệ học sinh đi học")</f>
        <v>4. Tỷ lệ học sinh đi học</v>
      </c>
      <c r="C43" s="216" t="str">
        <f>IFERROR(__xludf.DUMMYFUNCTION("""COMPUTED_VALUE"""),"Tháng")</f>
        <v>Tháng</v>
      </c>
      <c r="D43" s="216"/>
      <c r="E43" s="258"/>
      <c r="F43" s="218" t="str">
        <f>IFERROR(__xludf.DUMMYFUNCTION("""COMPUTED_VALUE"""),"X")</f>
        <v>X</v>
      </c>
      <c r="G43" s="218" t="str">
        <f>IFERROR(__xludf.DUMMYFUNCTION("""COMPUTED_VALUE"""),"X")</f>
        <v>X</v>
      </c>
      <c r="H43" s="218" t="str">
        <f>IFERROR(__xludf.DUMMYFUNCTION("""COMPUTED_VALUE"""),"X")</f>
        <v>X</v>
      </c>
      <c r="I43" s="258"/>
      <c r="J43" s="218" t="str">
        <f>IFERROR(__xludf.DUMMYFUNCTION("""COMPUTED_VALUE"""),"X")</f>
        <v>X</v>
      </c>
      <c r="K43" s="218" t="str">
        <f>IFERROR(__xludf.DUMMYFUNCTION("""COMPUTED_VALUE"""),"X")</f>
        <v>X</v>
      </c>
      <c r="L43" s="218" t="str">
        <f>IFERROR(__xludf.DUMMYFUNCTION("""COMPUTED_VALUE"""),"X")</f>
        <v>X</v>
      </c>
      <c r="M43" s="258"/>
      <c r="N43" s="218" t="str">
        <f>IFERROR(__xludf.DUMMYFUNCTION("""COMPUTED_VALUE"""),"X")</f>
        <v>X</v>
      </c>
      <c r="O43" s="218" t="str">
        <f>IFERROR(__xludf.DUMMYFUNCTION("""COMPUTED_VALUE"""),"X")</f>
        <v>X</v>
      </c>
      <c r="P43" s="218" t="str">
        <f>IFERROR(__xludf.DUMMYFUNCTION("""COMPUTED_VALUE"""),"X")</f>
        <v>X</v>
      </c>
      <c r="Q43" s="258"/>
      <c r="R43" s="218" t="str">
        <f>IFERROR(__xludf.DUMMYFUNCTION("""COMPUTED_VALUE"""),"X")</f>
        <v>X</v>
      </c>
      <c r="S43" s="218" t="str">
        <f>IFERROR(__xludf.DUMMYFUNCTION("""COMPUTED_VALUE"""),"X")</f>
        <v>X</v>
      </c>
      <c r="T43" s="218" t="str">
        <f>IFERROR(__xludf.DUMMYFUNCTION("""COMPUTED_VALUE"""),"X")</f>
        <v>X</v>
      </c>
      <c r="U43" s="258"/>
      <c r="V43" s="218" t="str">
        <f>IFERROR(__xludf.DUMMYFUNCTION("""COMPUTED_VALUE"""),"X")</f>
        <v>X</v>
      </c>
      <c r="W43" s="218" t="str">
        <f>IFERROR(__xludf.DUMMYFUNCTION("""COMPUTED_VALUE"""),"X")</f>
        <v>X</v>
      </c>
      <c r="X43" s="218" t="str">
        <f>IFERROR(__xludf.DUMMYFUNCTION("""COMPUTED_VALUE"""),"X")</f>
        <v>X</v>
      </c>
      <c r="Y43" s="258"/>
      <c r="Z43" s="218" t="str">
        <f>IFERROR(__xludf.DUMMYFUNCTION("""COMPUTED_VALUE"""),"X")</f>
        <v>X</v>
      </c>
      <c r="AA43" s="218" t="str">
        <f>IFERROR(__xludf.DUMMYFUNCTION("""COMPUTED_VALUE"""),"X")</f>
        <v>X</v>
      </c>
      <c r="AB43" s="218" t="str">
        <f>IFERROR(__xludf.DUMMYFUNCTION("""COMPUTED_VALUE"""),"X")</f>
        <v>X</v>
      </c>
      <c r="AC43" s="258"/>
      <c r="AD43" s="218" t="str">
        <f>IFERROR(__xludf.DUMMYFUNCTION("""COMPUTED_VALUE"""),"X")</f>
        <v>X</v>
      </c>
      <c r="AE43" s="218" t="str">
        <f>IFERROR(__xludf.DUMMYFUNCTION("""COMPUTED_VALUE"""),"X")</f>
        <v>X</v>
      </c>
      <c r="AF43" s="218" t="str">
        <f>IFERROR(__xludf.DUMMYFUNCTION("""COMPUTED_VALUE"""),"X")</f>
        <v>X</v>
      </c>
      <c r="AG43" s="258"/>
      <c r="AH43" s="218" t="str">
        <f>IFERROR(__xludf.DUMMYFUNCTION("""COMPUTED_VALUE"""),"X")</f>
        <v>X</v>
      </c>
      <c r="AI43" s="218" t="str">
        <f>IFERROR(__xludf.DUMMYFUNCTION("""COMPUTED_VALUE"""),"X")</f>
        <v>X</v>
      </c>
      <c r="AJ43" s="218" t="str">
        <f>IFERROR(__xludf.DUMMYFUNCTION("""COMPUTED_VALUE"""),"X")</f>
        <v>X</v>
      </c>
      <c r="AK43" s="258"/>
      <c r="AL43" s="218" t="str">
        <f>IFERROR(__xludf.DUMMYFUNCTION("""COMPUTED_VALUE"""),"X")</f>
        <v>X</v>
      </c>
      <c r="AM43" s="218" t="str">
        <f>IFERROR(__xludf.DUMMYFUNCTION("""COMPUTED_VALUE"""),"X")</f>
        <v>X</v>
      </c>
      <c r="AN43" s="218" t="str">
        <f>IFERROR(__xludf.DUMMYFUNCTION("""COMPUTED_VALUE"""),"X")</f>
        <v>X</v>
      </c>
      <c r="AO43" s="258"/>
      <c r="AP43" s="218" t="str">
        <f>IFERROR(__xludf.DUMMYFUNCTION("""COMPUTED_VALUE"""),"X")</f>
        <v>X</v>
      </c>
      <c r="AQ43" s="218" t="str">
        <f>IFERROR(__xludf.DUMMYFUNCTION("""COMPUTED_VALUE"""),"X")</f>
        <v>X</v>
      </c>
      <c r="AR43" s="218" t="str">
        <f>IFERROR(__xludf.DUMMYFUNCTION("""COMPUTED_VALUE"""),"X")</f>
        <v>X</v>
      </c>
      <c r="AS43" s="258"/>
      <c r="AT43" s="218" t="str">
        <f>IFERROR(__xludf.DUMMYFUNCTION("""COMPUTED_VALUE"""),"X")</f>
        <v>X</v>
      </c>
      <c r="AU43" s="218" t="str">
        <f>IFERROR(__xludf.DUMMYFUNCTION("""COMPUTED_VALUE"""),"X")</f>
        <v>X</v>
      </c>
      <c r="AV43" s="218" t="str">
        <f>IFERROR(__xludf.DUMMYFUNCTION("""COMPUTED_VALUE"""),"X")</f>
        <v>X</v>
      </c>
      <c r="AW43" s="258"/>
      <c r="AX43" s="218" t="str">
        <f>IFERROR(__xludf.DUMMYFUNCTION("""COMPUTED_VALUE"""),"X")</f>
        <v>X</v>
      </c>
      <c r="AY43" s="218" t="str">
        <f>IFERROR(__xludf.DUMMYFUNCTION("""COMPUTED_VALUE"""),"X")</f>
        <v>X</v>
      </c>
      <c r="AZ43" s="219" t="str">
        <f>IFERROR(__xludf.DUMMYFUNCTION("""COMPUTED_VALUE"""),"X")</f>
        <v>X</v>
      </c>
      <c r="BA43" s="227"/>
    </row>
    <row r="44" ht="15.75" hidden="1" customHeight="1">
      <c r="A44" s="29"/>
      <c r="B44" s="67" t="str">
        <f>IFERROR(__xludf.DUMMYFUNCTION("""COMPUTED_VALUE"""),"4.1. Tỷ lệ học sinh THCS đi học")</f>
        <v>4.1. Tỷ lệ học sinh THCS đi học</v>
      </c>
      <c r="C44" s="31"/>
      <c r="D44" s="31" t="str">
        <f>IFERROR(__xludf.DUMMYFUNCTION("""COMPUTED_VALUE"""),"%")</f>
        <v>%</v>
      </c>
      <c r="E44" s="115">
        <f>IFERROR(__xludf.DUMMYFUNCTION("""COMPUTED_VALUE"""),24.51331618328663)</f>
        <v>24.51331618</v>
      </c>
      <c r="F44" s="116" t="str">
        <f>IFERROR(__xludf.DUMMYFUNCTION("""COMPUTED_VALUE"""),"X")</f>
        <v>X</v>
      </c>
      <c r="G44" s="116" t="str">
        <f>IFERROR(__xludf.DUMMYFUNCTION("""COMPUTED_VALUE"""),"X")</f>
        <v>X</v>
      </c>
      <c r="H44" s="116" t="str">
        <f>IFERROR(__xludf.DUMMYFUNCTION("""COMPUTED_VALUE"""),"X")</f>
        <v>X</v>
      </c>
      <c r="I44" s="115">
        <f>IFERROR(__xludf.DUMMYFUNCTION("""COMPUTED_VALUE"""),0.0)</f>
        <v>0</v>
      </c>
      <c r="J44" s="116" t="str">
        <f>IFERROR(__xludf.DUMMYFUNCTION("""COMPUTED_VALUE"""),"X")</f>
        <v>X</v>
      </c>
      <c r="K44" s="116" t="str">
        <f>IFERROR(__xludf.DUMMYFUNCTION("""COMPUTED_VALUE"""),"X")</f>
        <v>X</v>
      </c>
      <c r="L44" s="116" t="str">
        <f>IFERROR(__xludf.DUMMYFUNCTION("""COMPUTED_VALUE"""),"X")</f>
        <v>X</v>
      </c>
      <c r="M44" s="115">
        <f>IFERROR(__xludf.DUMMYFUNCTION("""COMPUTED_VALUE"""),0.0)</f>
        <v>0</v>
      </c>
      <c r="N44" s="116" t="str">
        <f>IFERROR(__xludf.DUMMYFUNCTION("""COMPUTED_VALUE"""),"X")</f>
        <v>X</v>
      </c>
      <c r="O44" s="116" t="str">
        <f>IFERROR(__xludf.DUMMYFUNCTION("""COMPUTED_VALUE"""),"X")</f>
        <v>X</v>
      </c>
      <c r="P44" s="116" t="str">
        <f>IFERROR(__xludf.DUMMYFUNCTION("""COMPUTED_VALUE"""),"X")</f>
        <v>X</v>
      </c>
      <c r="Q44" s="115">
        <f>IFERROR(__xludf.DUMMYFUNCTION("""COMPUTED_VALUE"""),0.0)</f>
        <v>0</v>
      </c>
      <c r="R44" s="116" t="str">
        <f>IFERROR(__xludf.DUMMYFUNCTION("""COMPUTED_VALUE"""),"X")</f>
        <v>X</v>
      </c>
      <c r="S44" s="116" t="str">
        <f>IFERROR(__xludf.DUMMYFUNCTION("""COMPUTED_VALUE"""),"X")</f>
        <v>X</v>
      </c>
      <c r="T44" s="116" t="str">
        <f>IFERROR(__xludf.DUMMYFUNCTION("""COMPUTED_VALUE"""),"X")</f>
        <v>X</v>
      </c>
      <c r="U44" s="115">
        <f>IFERROR(__xludf.DUMMYFUNCTION("""COMPUTED_VALUE"""),0.0)</f>
        <v>0</v>
      </c>
      <c r="V44" s="116" t="str">
        <f>IFERROR(__xludf.DUMMYFUNCTION("""COMPUTED_VALUE"""),"X")</f>
        <v>X</v>
      </c>
      <c r="W44" s="116" t="str">
        <f>IFERROR(__xludf.DUMMYFUNCTION("""COMPUTED_VALUE"""),"X")</f>
        <v>X</v>
      </c>
      <c r="X44" s="116" t="str">
        <f>IFERROR(__xludf.DUMMYFUNCTION("""COMPUTED_VALUE"""),"X")</f>
        <v>X</v>
      </c>
      <c r="Y44" s="115">
        <f>IFERROR(__xludf.DUMMYFUNCTION("""COMPUTED_VALUE"""),0.0)</f>
        <v>0</v>
      </c>
      <c r="Z44" s="116" t="str">
        <f>IFERROR(__xludf.DUMMYFUNCTION("""COMPUTED_VALUE"""),"X")</f>
        <v>X</v>
      </c>
      <c r="AA44" s="116" t="str">
        <f>IFERROR(__xludf.DUMMYFUNCTION("""COMPUTED_VALUE"""),"X")</f>
        <v>X</v>
      </c>
      <c r="AB44" s="116" t="str">
        <f>IFERROR(__xludf.DUMMYFUNCTION("""COMPUTED_VALUE"""),"X")</f>
        <v>X</v>
      </c>
      <c r="AC44" s="115">
        <f>IFERROR(__xludf.DUMMYFUNCTION("""COMPUTED_VALUE"""),0.0)</f>
        <v>0</v>
      </c>
      <c r="AD44" s="116" t="str">
        <f>IFERROR(__xludf.DUMMYFUNCTION("""COMPUTED_VALUE"""),"X")</f>
        <v>X</v>
      </c>
      <c r="AE44" s="116" t="str">
        <f>IFERROR(__xludf.DUMMYFUNCTION("""COMPUTED_VALUE"""),"X")</f>
        <v>X</v>
      </c>
      <c r="AF44" s="116" t="str">
        <f>IFERROR(__xludf.DUMMYFUNCTION("""COMPUTED_VALUE"""),"X")</f>
        <v>X</v>
      </c>
      <c r="AG44" s="115">
        <f>IFERROR(__xludf.DUMMYFUNCTION("""COMPUTED_VALUE"""),0.0)</f>
        <v>0</v>
      </c>
      <c r="AH44" s="116" t="str">
        <f>IFERROR(__xludf.DUMMYFUNCTION("""COMPUTED_VALUE"""),"X")</f>
        <v>X</v>
      </c>
      <c r="AI44" s="116" t="str">
        <f>IFERROR(__xludf.DUMMYFUNCTION("""COMPUTED_VALUE"""),"X")</f>
        <v>X</v>
      </c>
      <c r="AJ44" s="116" t="str">
        <f>IFERROR(__xludf.DUMMYFUNCTION("""COMPUTED_VALUE"""),"X")</f>
        <v>X</v>
      </c>
      <c r="AK44" s="115">
        <f>IFERROR(__xludf.DUMMYFUNCTION("""COMPUTED_VALUE"""),0.0)</f>
        <v>0</v>
      </c>
      <c r="AL44" s="116" t="str">
        <f>IFERROR(__xludf.DUMMYFUNCTION("""COMPUTED_VALUE"""),"X")</f>
        <v>X</v>
      </c>
      <c r="AM44" s="116" t="str">
        <f>IFERROR(__xludf.DUMMYFUNCTION("""COMPUTED_VALUE"""),"X")</f>
        <v>X</v>
      </c>
      <c r="AN44" s="116" t="str">
        <f>IFERROR(__xludf.DUMMYFUNCTION("""COMPUTED_VALUE"""),"X")</f>
        <v>X</v>
      </c>
      <c r="AO44" s="115">
        <f>IFERROR(__xludf.DUMMYFUNCTION("""COMPUTED_VALUE"""),0.0)</f>
        <v>0</v>
      </c>
      <c r="AP44" s="116" t="str">
        <f>IFERROR(__xludf.DUMMYFUNCTION("""COMPUTED_VALUE"""),"X")</f>
        <v>X</v>
      </c>
      <c r="AQ44" s="116" t="str">
        <f>IFERROR(__xludf.DUMMYFUNCTION("""COMPUTED_VALUE"""),"X")</f>
        <v>X</v>
      </c>
      <c r="AR44" s="116" t="str">
        <f>IFERROR(__xludf.DUMMYFUNCTION("""COMPUTED_VALUE"""),"X")</f>
        <v>X</v>
      </c>
      <c r="AS44" s="115">
        <f>IFERROR(__xludf.DUMMYFUNCTION("""COMPUTED_VALUE"""),0.0)</f>
        <v>0</v>
      </c>
      <c r="AT44" s="116" t="str">
        <f>IFERROR(__xludf.DUMMYFUNCTION("""COMPUTED_VALUE"""),"X")</f>
        <v>X</v>
      </c>
      <c r="AU44" s="116" t="str">
        <f>IFERROR(__xludf.DUMMYFUNCTION("""COMPUTED_VALUE"""),"X")</f>
        <v>X</v>
      </c>
      <c r="AV44" s="116" t="str">
        <f>IFERROR(__xludf.DUMMYFUNCTION("""COMPUTED_VALUE"""),"X")</f>
        <v>X</v>
      </c>
      <c r="AW44" s="115">
        <f>IFERROR(__xludf.DUMMYFUNCTION("""COMPUTED_VALUE"""),0.0)</f>
        <v>0</v>
      </c>
      <c r="AX44" s="116" t="str">
        <f>IFERROR(__xludf.DUMMYFUNCTION("""COMPUTED_VALUE"""),"X")</f>
        <v>X</v>
      </c>
      <c r="AY44" s="116" t="str">
        <f>IFERROR(__xludf.DUMMYFUNCTION("""COMPUTED_VALUE"""),"X")</f>
        <v>X</v>
      </c>
      <c r="AZ44" s="117" t="str">
        <f>IFERROR(__xludf.DUMMYFUNCTION("""COMPUTED_VALUE"""),"X")</f>
        <v>X</v>
      </c>
      <c r="BA44" s="34"/>
    </row>
    <row r="45" ht="15.75" hidden="1" customHeight="1">
      <c r="A45" s="29"/>
      <c r="B45" s="67" t="str">
        <f>IFERROR(__xludf.DUMMYFUNCTION("""COMPUTED_VALUE"""),"4.2. Tỷ lệ học sinh THPT đi học")</f>
        <v>4.2. Tỷ lệ học sinh THPT đi học</v>
      </c>
      <c r="C45" s="31"/>
      <c r="D45" s="31" t="str">
        <f>IFERROR(__xludf.DUMMYFUNCTION("""COMPUTED_VALUE"""),"%")</f>
        <v>%</v>
      </c>
      <c r="E45" s="115">
        <f>IFERROR(__xludf.DUMMYFUNCTION("""COMPUTED_VALUE"""),24.873394967630233)</f>
        <v>24.87339497</v>
      </c>
      <c r="F45" s="116" t="str">
        <f>IFERROR(__xludf.DUMMYFUNCTION("""COMPUTED_VALUE"""),"X")</f>
        <v>X</v>
      </c>
      <c r="G45" s="116" t="str">
        <f>IFERROR(__xludf.DUMMYFUNCTION("""COMPUTED_VALUE"""),"X")</f>
        <v>X</v>
      </c>
      <c r="H45" s="116" t="str">
        <f>IFERROR(__xludf.DUMMYFUNCTION("""COMPUTED_VALUE"""),"X")</f>
        <v>X</v>
      </c>
      <c r="I45" s="115">
        <f>IFERROR(__xludf.DUMMYFUNCTION("""COMPUTED_VALUE"""),0.0)</f>
        <v>0</v>
      </c>
      <c r="J45" s="116" t="str">
        <f>IFERROR(__xludf.DUMMYFUNCTION("""COMPUTED_VALUE"""),"X")</f>
        <v>X</v>
      </c>
      <c r="K45" s="116" t="str">
        <f>IFERROR(__xludf.DUMMYFUNCTION("""COMPUTED_VALUE"""),"X")</f>
        <v>X</v>
      </c>
      <c r="L45" s="116" t="str">
        <f>IFERROR(__xludf.DUMMYFUNCTION("""COMPUTED_VALUE"""),"X")</f>
        <v>X</v>
      </c>
      <c r="M45" s="115">
        <f>IFERROR(__xludf.DUMMYFUNCTION("""COMPUTED_VALUE"""),0.0)</f>
        <v>0</v>
      </c>
      <c r="N45" s="116" t="str">
        <f>IFERROR(__xludf.DUMMYFUNCTION("""COMPUTED_VALUE"""),"X")</f>
        <v>X</v>
      </c>
      <c r="O45" s="116" t="str">
        <f>IFERROR(__xludf.DUMMYFUNCTION("""COMPUTED_VALUE"""),"X")</f>
        <v>X</v>
      </c>
      <c r="P45" s="116" t="str">
        <f>IFERROR(__xludf.DUMMYFUNCTION("""COMPUTED_VALUE"""),"X")</f>
        <v>X</v>
      </c>
      <c r="Q45" s="115">
        <f>IFERROR(__xludf.DUMMYFUNCTION("""COMPUTED_VALUE"""),0.0)</f>
        <v>0</v>
      </c>
      <c r="R45" s="116" t="str">
        <f>IFERROR(__xludf.DUMMYFUNCTION("""COMPUTED_VALUE"""),"X")</f>
        <v>X</v>
      </c>
      <c r="S45" s="116" t="str">
        <f>IFERROR(__xludf.DUMMYFUNCTION("""COMPUTED_VALUE"""),"X")</f>
        <v>X</v>
      </c>
      <c r="T45" s="116" t="str">
        <f>IFERROR(__xludf.DUMMYFUNCTION("""COMPUTED_VALUE"""),"X")</f>
        <v>X</v>
      </c>
      <c r="U45" s="115">
        <f>IFERROR(__xludf.DUMMYFUNCTION("""COMPUTED_VALUE"""),0.0)</f>
        <v>0</v>
      </c>
      <c r="V45" s="116" t="str">
        <f>IFERROR(__xludf.DUMMYFUNCTION("""COMPUTED_VALUE"""),"X")</f>
        <v>X</v>
      </c>
      <c r="W45" s="116" t="str">
        <f>IFERROR(__xludf.DUMMYFUNCTION("""COMPUTED_VALUE"""),"X")</f>
        <v>X</v>
      </c>
      <c r="X45" s="116" t="str">
        <f>IFERROR(__xludf.DUMMYFUNCTION("""COMPUTED_VALUE"""),"X")</f>
        <v>X</v>
      </c>
      <c r="Y45" s="115">
        <f>IFERROR(__xludf.DUMMYFUNCTION("""COMPUTED_VALUE"""),0.0)</f>
        <v>0</v>
      </c>
      <c r="Z45" s="116" t="str">
        <f>IFERROR(__xludf.DUMMYFUNCTION("""COMPUTED_VALUE"""),"X")</f>
        <v>X</v>
      </c>
      <c r="AA45" s="116" t="str">
        <f>IFERROR(__xludf.DUMMYFUNCTION("""COMPUTED_VALUE"""),"X")</f>
        <v>X</v>
      </c>
      <c r="AB45" s="116" t="str">
        <f>IFERROR(__xludf.DUMMYFUNCTION("""COMPUTED_VALUE"""),"X")</f>
        <v>X</v>
      </c>
      <c r="AC45" s="115">
        <f>IFERROR(__xludf.DUMMYFUNCTION("""COMPUTED_VALUE"""),0.0)</f>
        <v>0</v>
      </c>
      <c r="AD45" s="116" t="str">
        <f>IFERROR(__xludf.DUMMYFUNCTION("""COMPUTED_VALUE"""),"X")</f>
        <v>X</v>
      </c>
      <c r="AE45" s="116" t="str">
        <f>IFERROR(__xludf.DUMMYFUNCTION("""COMPUTED_VALUE"""),"X")</f>
        <v>X</v>
      </c>
      <c r="AF45" s="116" t="str">
        <f>IFERROR(__xludf.DUMMYFUNCTION("""COMPUTED_VALUE"""),"X")</f>
        <v>X</v>
      </c>
      <c r="AG45" s="115">
        <f>IFERROR(__xludf.DUMMYFUNCTION("""COMPUTED_VALUE"""),0.0)</f>
        <v>0</v>
      </c>
      <c r="AH45" s="116" t="str">
        <f>IFERROR(__xludf.DUMMYFUNCTION("""COMPUTED_VALUE"""),"X")</f>
        <v>X</v>
      </c>
      <c r="AI45" s="116" t="str">
        <f>IFERROR(__xludf.DUMMYFUNCTION("""COMPUTED_VALUE"""),"X")</f>
        <v>X</v>
      </c>
      <c r="AJ45" s="116" t="str">
        <f>IFERROR(__xludf.DUMMYFUNCTION("""COMPUTED_VALUE"""),"X")</f>
        <v>X</v>
      </c>
      <c r="AK45" s="115">
        <f>IFERROR(__xludf.DUMMYFUNCTION("""COMPUTED_VALUE"""),0.0)</f>
        <v>0</v>
      </c>
      <c r="AL45" s="116" t="str">
        <f>IFERROR(__xludf.DUMMYFUNCTION("""COMPUTED_VALUE"""),"X")</f>
        <v>X</v>
      </c>
      <c r="AM45" s="116" t="str">
        <f>IFERROR(__xludf.DUMMYFUNCTION("""COMPUTED_VALUE"""),"X")</f>
        <v>X</v>
      </c>
      <c r="AN45" s="116" t="str">
        <f>IFERROR(__xludf.DUMMYFUNCTION("""COMPUTED_VALUE"""),"X")</f>
        <v>X</v>
      </c>
      <c r="AO45" s="115">
        <f>IFERROR(__xludf.DUMMYFUNCTION("""COMPUTED_VALUE"""),0.0)</f>
        <v>0</v>
      </c>
      <c r="AP45" s="116" t="str">
        <f>IFERROR(__xludf.DUMMYFUNCTION("""COMPUTED_VALUE"""),"X")</f>
        <v>X</v>
      </c>
      <c r="AQ45" s="116" t="str">
        <f>IFERROR(__xludf.DUMMYFUNCTION("""COMPUTED_VALUE"""),"X")</f>
        <v>X</v>
      </c>
      <c r="AR45" s="116" t="str">
        <f>IFERROR(__xludf.DUMMYFUNCTION("""COMPUTED_VALUE"""),"X")</f>
        <v>X</v>
      </c>
      <c r="AS45" s="115">
        <f>IFERROR(__xludf.DUMMYFUNCTION("""COMPUTED_VALUE"""),0.0)</f>
        <v>0</v>
      </c>
      <c r="AT45" s="116" t="str">
        <f>IFERROR(__xludf.DUMMYFUNCTION("""COMPUTED_VALUE"""),"X")</f>
        <v>X</v>
      </c>
      <c r="AU45" s="116" t="str">
        <f>IFERROR(__xludf.DUMMYFUNCTION("""COMPUTED_VALUE"""),"X")</f>
        <v>X</v>
      </c>
      <c r="AV45" s="116" t="str">
        <f>IFERROR(__xludf.DUMMYFUNCTION("""COMPUTED_VALUE"""),"X")</f>
        <v>X</v>
      </c>
      <c r="AW45" s="115">
        <f>IFERROR(__xludf.DUMMYFUNCTION("""COMPUTED_VALUE"""),0.0)</f>
        <v>0</v>
      </c>
      <c r="AX45" s="116" t="str">
        <f>IFERROR(__xludf.DUMMYFUNCTION("""COMPUTED_VALUE"""),"X")</f>
        <v>X</v>
      </c>
      <c r="AY45" s="116" t="str">
        <f>IFERROR(__xludf.DUMMYFUNCTION("""COMPUTED_VALUE"""),"X")</f>
        <v>X</v>
      </c>
      <c r="AZ45" s="117" t="str">
        <f>IFERROR(__xludf.DUMMYFUNCTION("""COMPUTED_VALUE"""),"X")</f>
        <v>X</v>
      </c>
      <c r="BA45" s="34"/>
    </row>
    <row r="46" ht="15.75" customHeight="1">
      <c r="A46" s="29"/>
      <c r="B46" s="30" t="str">
        <f>IFERROR(__xludf.DUMMYFUNCTION("""COMPUTED_VALUE"""),"5. ĐỘI NGŨ")</f>
        <v>5. ĐỘI NGŨ</v>
      </c>
      <c r="C46" s="31" t="str">
        <f>IFERROR(__xludf.DUMMYFUNCTION("""COMPUTED_VALUE"""),"Quí")</f>
        <v>Quí</v>
      </c>
      <c r="D46" s="31" t="str">
        <f>IFERROR(__xludf.DUMMYFUNCTION("""COMPUTED_VALUE"""),"Người")</f>
        <v>Người</v>
      </c>
      <c r="E46" s="32">
        <f>IFERROR(__xludf.DUMMYFUNCTION("""COMPUTED_VALUE"""),918.0)</f>
        <v>918</v>
      </c>
      <c r="F46" s="32">
        <f>IFERROR(__xludf.DUMMYFUNCTION("""COMPUTED_VALUE"""),915.0)</f>
        <v>915</v>
      </c>
      <c r="G46" s="32">
        <f>IFERROR(__xludf.DUMMYFUNCTION("""COMPUTED_VALUE"""),0.0)</f>
        <v>0</v>
      </c>
      <c r="H46" s="32">
        <f>IFERROR(__xludf.DUMMYFUNCTION("""COMPUTED_VALUE"""),3.0)</f>
        <v>3</v>
      </c>
      <c r="I46" s="32">
        <f>IFERROR(__xludf.DUMMYFUNCTION("""COMPUTED_VALUE"""),905.0)</f>
        <v>905</v>
      </c>
      <c r="J46" s="32">
        <f>IFERROR(__xludf.DUMMYFUNCTION("""COMPUTED_VALUE"""),905.0)</f>
        <v>905</v>
      </c>
      <c r="K46" s="32">
        <f>IFERROR(__xludf.DUMMYFUNCTION("""COMPUTED_VALUE"""),0.0)</f>
        <v>0</v>
      </c>
      <c r="L46" s="32">
        <f>IFERROR(__xludf.DUMMYFUNCTION("""COMPUTED_VALUE"""),0.0)</f>
        <v>0</v>
      </c>
      <c r="M46" s="32">
        <f>IFERROR(__xludf.DUMMYFUNCTION("""COMPUTED_VALUE"""),858.0)</f>
        <v>858</v>
      </c>
      <c r="N46" s="32">
        <f>IFERROR(__xludf.DUMMYFUNCTION("""COMPUTED_VALUE"""),858.0)</f>
        <v>858</v>
      </c>
      <c r="O46" s="32">
        <f>IFERROR(__xludf.DUMMYFUNCTION("""COMPUTED_VALUE"""),0.0)</f>
        <v>0</v>
      </c>
      <c r="P46" s="32">
        <f>IFERROR(__xludf.DUMMYFUNCTION("""COMPUTED_VALUE"""),0.0)</f>
        <v>0</v>
      </c>
      <c r="Q46" s="32">
        <f>IFERROR(__xludf.DUMMYFUNCTION("""COMPUTED_VALUE"""),905.0)</f>
        <v>905</v>
      </c>
      <c r="R46" s="32">
        <f>IFERROR(__xludf.DUMMYFUNCTION("""COMPUTED_VALUE"""),789.0)</f>
        <v>789</v>
      </c>
      <c r="S46" s="32">
        <f>IFERROR(__xludf.DUMMYFUNCTION("""COMPUTED_VALUE"""),68.0)</f>
        <v>68</v>
      </c>
      <c r="T46" s="32">
        <f>IFERROR(__xludf.DUMMYFUNCTION("""COMPUTED_VALUE"""),48.0)</f>
        <v>48</v>
      </c>
      <c r="U46" s="32">
        <f>IFERROR(__xludf.DUMMYFUNCTION("""COMPUTED_VALUE"""),822.0)</f>
        <v>822</v>
      </c>
      <c r="V46" s="32">
        <f>IFERROR(__xludf.DUMMYFUNCTION("""COMPUTED_VALUE"""),774.0)</f>
        <v>774</v>
      </c>
      <c r="W46" s="32">
        <f>IFERROR(__xludf.DUMMYFUNCTION("""COMPUTED_VALUE"""),0.0)</f>
        <v>0</v>
      </c>
      <c r="X46" s="32">
        <f>IFERROR(__xludf.DUMMYFUNCTION("""COMPUTED_VALUE"""),48.0)</f>
        <v>48</v>
      </c>
      <c r="Y46" s="32">
        <f>IFERROR(__xludf.DUMMYFUNCTION("""COMPUTED_VALUE"""),822.0)</f>
        <v>822</v>
      </c>
      <c r="Z46" s="32">
        <f>IFERROR(__xludf.DUMMYFUNCTION("""COMPUTED_VALUE"""),774.0)</f>
        <v>774</v>
      </c>
      <c r="AA46" s="32">
        <f>IFERROR(__xludf.DUMMYFUNCTION("""COMPUTED_VALUE"""),0.0)</f>
        <v>0</v>
      </c>
      <c r="AB46" s="32">
        <f>IFERROR(__xludf.DUMMYFUNCTION("""COMPUTED_VALUE"""),48.0)</f>
        <v>48</v>
      </c>
      <c r="AC46" s="32">
        <f>IFERROR(__xludf.DUMMYFUNCTION("""COMPUTED_VALUE"""),835.0)</f>
        <v>835</v>
      </c>
      <c r="AD46" s="32">
        <f>IFERROR(__xludf.DUMMYFUNCTION("""COMPUTED_VALUE"""),773.0)</f>
        <v>773</v>
      </c>
      <c r="AE46" s="32">
        <f>IFERROR(__xludf.DUMMYFUNCTION("""COMPUTED_VALUE"""),0.0)</f>
        <v>0</v>
      </c>
      <c r="AF46" s="32">
        <f>IFERROR(__xludf.DUMMYFUNCTION("""COMPUTED_VALUE"""),62.0)</f>
        <v>62</v>
      </c>
      <c r="AG46" s="32">
        <f>IFERROR(__xludf.DUMMYFUNCTION("""COMPUTED_VALUE"""),198.0)</f>
        <v>198</v>
      </c>
      <c r="AH46" s="32">
        <f>IFERROR(__xludf.DUMMYFUNCTION("""COMPUTED_VALUE"""),198.0)</f>
        <v>198</v>
      </c>
      <c r="AI46" s="32">
        <f>IFERROR(__xludf.DUMMYFUNCTION("""COMPUTED_VALUE"""),0.0)</f>
        <v>0</v>
      </c>
      <c r="AJ46" s="32">
        <f>IFERROR(__xludf.DUMMYFUNCTION("""COMPUTED_VALUE"""),0.0)</f>
        <v>0</v>
      </c>
      <c r="AK46" s="32">
        <f>IFERROR(__xludf.DUMMYFUNCTION("""COMPUTED_VALUE"""),61.0)</f>
        <v>61</v>
      </c>
      <c r="AL46" s="32">
        <f>IFERROR(__xludf.DUMMYFUNCTION("""COMPUTED_VALUE"""),61.0)</f>
        <v>61</v>
      </c>
      <c r="AM46" s="32">
        <f>IFERROR(__xludf.DUMMYFUNCTION("""COMPUTED_VALUE"""),0.0)</f>
        <v>0</v>
      </c>
      <c r="AN46" s="32">
        <f>IFERROR(__xludf.DUMMYFUNCTION("""COMPUTED_VALUE"""),0.0)</f>
        <v>0</v>
      </c>
      <c r="AO46" s="32">
        <f>IFERROR(__xludf.DUMMYFUNCTION("""COMPUTED_VALUE"""),61.0)</f>
        <v>61</v>
      </c>
      <c r="AP46" s="32">
        <f>IFERROR(__xludf.DUMMYFUNCTION("""COMPUTED_VALUE"""),61.0)</f>
        <v>61</v>
      </c>
      <c r="AQ46" s="32">
        <f>IFERROR(__xludf.DUMMYFUNCTION("""COMPUTED_VALUE"""),0.0)</f>
        <v>0</v>
      </c>
      <c r="AR46" s="32">
        <f>IFERROR(__xludf.DUMMYFUNCTION("""COMPUTED_VALUE"""),0.0)</f>
        <v>0</v>
      </c>
      <c r="AS46" s="32">
        <f>IFERROR(__xludf.DUMMYFUNCTION("""COMPUTED_VALUE"""),61.0)</f>
        <v>61</v>
      </c>
      <c r="AT46" s="32">
        <f>IFERROR(__xludf.DUMMYFUNCTION("""COMPUTED_VALUE"""),61.0)</f>
        <v>61</v>
      </c>
      <c r="AU46" s="32">
        <f>IFERROR(__xludf.DUMMYFUNCTION("""COMPUTED_VALUE"""),0.0)</f>
        <v>0</v>
      </c>
      <c r="AV46" s="32">
        <f>IFERROR(__xludf.DUMMYFUNCTION("""COMPUTED_VALUE"""),0.0)</f>
        <v>0</v>
      </c>
      <c r="AW46" s="32">
        <f>IFERROR(__xludf.DUMMYFUNCTION("""COMPUTED_VALUE"""),61.0)</f>
        <v>61</v>
      </c>
      <c r="AX46" s="32">
        <f>IFERROR(__xludf.DUMMYFUNCTION("""COMPUTED_VALUE"""),61.0)</f>
        <v>61</v>
      </c>
      <c r="AY46" s="32">
        <f>IFERROR(__xludf.DUMMYFUNCTION("""COMPUTED_VALUE"""),0.0)</f>
        <v>0</v>
      </c>
      <c r="AZ46" s="33">
        <f>IFERROR(__xludf.DUMMYFUNCTION("""COMPUTED_VALUE"""),0.0)</f>
        <v>0</v>
      </c>
      <c r="BA46" s="34"/>
    </row>
    <row r="47" ht="15.75" customHeight="1">
      <c r="A47" s="29"/>
      <c r="B47" s="196" t="str">
        <f>IFERROR(__xludf.DUMMYFUNCTION("""COMPUTED_VALUE"""),"5.1. Tổng số cán bộ quản lí (C.chức+V.chức)")</f>
        <v>5.1. Tổng số cán bộ quản lí (C.chức+V.chức)</v>
      </c>
      <c r="C47" s="57"/>
      <c r="D47" s="57" t="str">
        <f>IFERROR(__xludf.DUMMYFUNCTION("""COMPUTED_VALUE""")," Người")</f>
        <v> Người</v>
      </c>
      <c r="E47" s="125">
        <f>IFERROR(__xludf.DUMMYFUNCTION("""COMPUTED_VALUE"""),47.0)</f>
        <v>47</v>
      </c>
      <c r="F47" s="201">
        <f>IFERROR(__xludf.DUMMYFUNCTION("""COMPUTED_VALUE"""),44.0)</f>
        <v>44</v>
      </c>
      <c r="G47" s="201">
        <f>IFERROR(__xludf.DUMMYFUNCTION("""COMPUTED_VALUE"""),0.0)</f>
        <v>0</v>
      </c>
      <c r="H47" s="201">
        <f>IFERROR(__xludf.DUMMYFUNCTION("""COMPUTED_VALUE"""),3.0)</f>
        <v>3</v>
      </c>
      <c r="I47" s="125">
        <f>IFERROR(__xludf.DUMMYFUNCTION("""COMPUTED_VALUE"""),41.0)</f>
        <v>41</v>
      </c>
      <c r="J47" s="201">
        <f>IFERROR(__xludf.DUMMYFUNCTION("""COMPUTED_VALUE"""),41.0)</f>
        <v>41</v>
      </c>
      <c r="K47" s="201">
        <f>IFERROR(__xludf.DUMMYFUNCTION("""COMPUTED_VALUE"""),0.0)</f>
        <v>0</v>
      </c>
      <c r="L47" s="201">
        <f>IFERROR(__xludf.DUMMYFUNCTION("""COMPUTED_VALUE"""),0.0)</f>
        <v>0</v>
      </c>
      <c r="M47" s="125">
        <f>IFERROR(__xludf.DUMMYFUNCTION("""COMPUTED_VALUE"""),42.0)</f>
        <v>42</v>
      </c>
      <c r="N47" s="201">
        <f>IFERROR(__xludf.DUMMYFUNCTION("""COMPUTED_VALUE"""),42.0)</f>
        <v>42</v>
      </c>
      <c r="O47" s="201">
        <f>IFERROR(__xludf.DUMMYFUNCTION("""COMPUTED_VALUE"""),0.0)</f>
        <v>0</v>
      </c>
      <c r="P47" s="201">
        <f>IFERROR(__xludf.DUMMYFUNCTION("""COMPUTED_VALUE"""),0.0)</f>
        <v>0</v>
      </c>
      <c r="Q47" s="125">
        <f>IFERROR(__xludf.DUMMYFUNCTION("""COMPUTED_VALUE"""),42.0)</f>
        <v>42</v>
      </c>
      <c r="R47" s="201">
        <f>IFERROR(__xludf.DUMMYFUNCTION("""COMPUTED_VALUE"""),39.0)</f>
        <v>39</v>
      </c>
      <c r="S47" s="201">
        <f>IFERROR(__xludf.DUMMYFUNCTION("""COMPUTED_VALUE"""),3.0)</f>
        <v>3</v>
      </c>
      <c r="T47" s="201">
        <f>IFERROR(__xludf.DUMMYFUNCTION("""COMPUTED_VALUE"""),0.0)</f>
        <v>0</v>
      </c>
      <c r="U47" s="125">
        <f>IFERROR(__xludf.DUMMYFUNCTION("""COMPUTED_VALUE"""),42.0)</f>
        <v>42</v>
      </c>
      <c r="V47" s="201">
        <f>IFERROR(__xludf.DUMMYFUNCTION("""COMPUTED_VALUE"""),42.0)</f>
        <v>42</v>
      </c>
      <c r="W47" s="201">
        <f>IFERROR(__xludf.DUMMYFUNCTION("""COMPUTED_VALUE"""),0.0)</f>
        <v>0</v>
      </c>
      <c r="X47" s="201">
        <f>IFERROR(__xludf.DUMMYFUNCTION("""COMPUTED_VALUE"""),0.0)</f>
        <v>0</v>
      </c>
      <c r="Y47" s="125">
        <f>IFERROR(__xludf.DUMMYFUNCTION("""COMPUTED_VALUE"""),42.0)</f>
        <v>42</v>
      </c>
      <c r="Z47" s="201">
        <f>IFERROR(__xludf.DUMMYFUNCTION("""COMPUTED_VALUE"""),42.0)</f>
        <v>42</v>
      </c>
      <c r="AA47" s="201">
        <f>IFERROR(__xludf.DUMMYFUNCTION("""COMPUTED_VALUE"""),0.0)</f>
        <v>0</v>
      </c>
      <c r="AB47" s="201">
        <f>IFERROR(__xludf.DUMMYFUNCTION("""COMPUTED_VALUE"""),0.0)</f>
        <v>0</v>
      </c>
      <c r="AC47" s="125">
        <f>IFERROR(__xludf.DUMMYFUNCTION("""COMPUTED_VALUE"""),45.0)</f>
        <v>45</v>
      </c>
      <c r="AD47" s="201">
        <f>IFERROR(__xludf.DUMMYFUNCTION("""COMPUTED_VALUE"""),42.0)</f>
        <v>42</v>
      </c>
      <c r="AE47" s="201">
        <f>IFERROR(__xludf.DUMMYFUNCTION("""COMPUTED_VALUE"""),0.0)</f>
        <v>0</v>
      </c>
      <c r="AF47" s="201">
        <f>IFERROR(__xludf.DUMMYFUNCTION("""COMPUTED_VALUE"""),3.0)</f>
        <v>3</v>
      </c>
      <c r="AG47" s="125">
        <f>IFERROR(__xludf.DUMMYFUNCTION("""COMPUTED_VALUE"""),9.0)</f>
        <v>9</v>
      </c>
      <c r="AH47" s="201">
        <f>IFERROR(__xludf.DUMMYFUNCTION("""COMPUTED_VALUE"""),9.0)</f>
        <v>9</v>
      </c>
      <c r="AI47" s="201">
        <f>IFERROR(__xludf.DUMMYFUNCTION("""COMPUTED_VALUE"""),0.0)</f>
        <v>0</v>
      </c>
      <c r="AJ47" s="201">
        <f>IFERROR(__xludf.DUMMYFUNCTION("""COMPUTED_VALUE"""),0.0)</f>
        <v>0</v>
      </c>
      <c r="AK47" s="125">
        <f>IFERROR(__xludf.DUMMYFUNCTION("""COMPUTED_VALUE"""),3.0)</f>
        <v>3</v>
      </c>
      <c r="AL47" s="201">
        <f>IFERROR(__xludf.DUMMYFUNCTION("""COMPUTED_VALUE"""),3.0)</f>
        <v>3</v>
      </c>
      <c r="AM47" s="201">
        <f>IFERROR(__xludf.DUMMYFUNCTION("""COMPUTED_VALUE"""),0.0)</f>
        <v>0</v>
      </c>
      <c r="AN47" s="201">
        <f>IFERROR(__xludf.DUMMYFUNCTION("""COMPUTED_VALUE"""),0.0)</f>
        <v>0</v>
      </c>
      <c r="AO47" s="125">
        <f>IFERROR(__xludf.DUMMYFUNCTION("""COMPUTED_VALUE"""),3.0)</f>
        <v>3</v>
      </c>
      <c r="AP47" s="201">
        <f>IFERROR(__xludf.DUMMYFUNCTION("""COMPUTED_VALUE"""),3.0)</f>
        <v>3</v>
      </c>
      <c r="AQ47" s="201">
        <f>IFERROR(__xludf.DUMMYFUNCTION("""COMPUTED_VALUE"""),0.0)</f>
        <v>0</v>
      </c>
      <c r="AR47" s="201">
        <f>IFERROR(__xludf.DUMMYFUNCTION("""COMPUTED_VALUE"""),0.0)</f>
        <v>0</v>
      </c>
      <c r="AS47" s="125">
        <f>IFERROR(__xludf.DUMMYFUNCTION("""COMPUTED_VALUE"""),3.0)</f>
        <v>3</v>
      </c>
      <c r="AT47" s="201">
        <f>IFERROR(__xludf.DUMMYFUNCTION("""COMPUTED_VALUE"""),3.0)</f>
        <v>3</v>
      </c>
      <c r="AU47" s="201">
        <f>IFERROR(__xludf.DUMMYFUNCTION("""COMPUTED_VALUE"""),0.0)</f>
        <v>0</v>
      </c>
      <c r="AV47" s="201">
        <f>IFERROR(__xludf.DUMMYFUNCTION("""COMPUTED_VALUE"""),0.0)</f>
        <v>0</v>
      </c>
      <c r="AW47" s="125">
        <f>IFERROR(__xludf.DUMMYFUNCTION("""COMPUTED_VALUE"""),3.0)</f>
        <v>3</v>
      </c>
      <c r="AX47" s="201">
        <f>IFERROR(__xludf.DUMMYFUNCTION("""COMPUTED_VALUE"""),3.0)</f>
        <v>3</v>
      </c>
      <c r="AY47" s="201">
        <f>IFERROR(__xludf.DUMMYFUNCTION("""COMPUTED_VALUE"""),0.0)</f>
        <v>0</v>
      </c>
      <c r="AZ47" s="202">
        <f>IFERROR(__xludf.DUMMYFUNCTION("""COMPUTED_VALUE"""),0.0)</f>
        <v>0</v>
      </c>
      <c r="BA47" s="34"/>
    </row>
    <row r="48" ht="15.75" customHeight="1">
      <c r="A48" s="29"/>
      <c r="B48" s="52" t="str">
        <f>IFERROR(__xludf.DUMMYFUNCTION("""COMPUTED_VALUE"""),"Trong đó: số CBQL cấp THCS")</f>
        <v>Trong đó: số CBQL cấp THCS</v>
      </c>
      <c r="C48" s="31"/>
      <c r="D48" s="31" t="str">
        <f>IFERROR(__xludf.DUMMYFUNCTION("""COMPUTED_VALUE"""),"Người")</f>
        <v>Người</v>
      </c>
      <c r="E48" s="41">
        <f>IFERROR(__xludf.DUMMYFUNCTION("""COMPUTED_VALUE"""),9.0)</f>
        <v>9</v>
      </c>
      <c r="F48" s="42">
        <f>IFERROR(__xludf.DUMMYFUNCTION("""COMPUTED_VALUE"""),9.0)</f>
        <v>9</v>
      </c>
      <c r="G48" s="42">
        <f>IFERROR(__xludf.DUMMYFUNCTION("""COMPUTED_VALUE"""),0.0)</f>
        <v>0</v>
      </c>
      <c r="H48" s="42">
        <f>IFERROR(__xludf.DUMMYFUNCTION("""COMPUTED_VALUE"""),0.0)</f>
        <v>0</v>
      </c>
      <c r="I48" s="41">
        <f>IFERROR(__xludf.DUMMYFUNCTION("""COMPUTED_VALUE"""),9.0)</f>
        <v>9</v>
      </c>
      <c r="J48" s="42">
        <f>IFERROR(__xludf.DUMMYFUNCTION("""COMPUTED_VALUE"""),9.0)</f>
        <v>9</v>
      </c>
      <c r="K48" s="42">
        <f>IFERROR(__xludf.DUMMYFUNCTION("""COMPUTED_VALUE"""),0.0)</f>
        <v>0</v>
      </c>
      <c r="L48" s="42">
        <f>IFERROR(__xludf.DUMMYFUNCTION("""COMPUTED_VALUE"""),0.0)</f>
        <v>0</v>
      </c>
      <c r="M48" s="41">
        <f>IFERROR(__xludf.DUMMYFUNCTION("""COMPUTED_VALUE"""),9.0)</f>
        <v>9</v>
      </c>
      <c r="N48" s="42">
        <f>IFERROR(__xludf.DUMMYFUNCTION("""COMPUTED_VALUE"""),9.0)</f>
        <v>9</v>
      </c>
      <c r="O48" s="42">
        <f>IFERROR(__xludf.DUMMYFUNCTION("""COMPUTED_VALUE"""),0.0)</f>
        <v>0</v>
      </c>
      <c r="P48" s="42">
        <f>IFERROR(__xludf.DUMMYFUNCTION("""COMPUTED_VALUE"""),0.0)</f>
        <v>0</v>
      </c>
      <c r="Q48" s="41">
        <f>IFERROR(__xludf.DUMMYFUNCTION("""COMPUTED_VALUE"""),9.0)</f>
        <v>9</v>
      </c>
      <c r="R48" s="42">
        <f>IFERROR(__xludf.DUMMYFUNCTION("""COMPUTED_VALUE"""),8.0)</f>
        <v>8</v>
      </c>
      <c r="S48" s="42">
        <f>IFERROR(__xludf.DUMMYFUNCTION("""COMPUTED_VALUE"""),1.0)</f>
        <v>1</v>
      </c>
      <c r="T48" s="42">
        <f>IFERROR(__xludf.DUMMYFUNCTION("""COMPUTED_VALUE"""),0.0)</f>
        <v>0</v>
      </c>
      <c r="U48" s="41">
        <f>IFERROR(__xludf.DUMMYFUNCTION("""COMPUTED_VALUE"""),9.0)</f>
        <v>9</v>
      </c>
      <c r="V48" s="42">
        <f>IFERROR(__xludf.DUMMYFUNCTION("""COMPUTED_VALUE"""),9.0)</f>
        <v>9</v>
      </c>
      <c r="W48" s="42">
        <f>IFERROR(__xludf.DUMMYFUNCTION("""COMPUTED_VALUE"""),0.0)</f>
        <v>0</v>
      </c>
      <c r="X48" s="42">
        <f>IFERROR(__xludf.DUMMYFUNCTION("""COMPUTED_VALUE"""),0.0)</f>
        <v>0</v>
      </c>
      <c r="Y48" s="41">
        <f>IFERROR(__xludf.DUMMYFUNCTION("""COMPUTED_VALUE"""),9.0)</f>
        <v>9</v>
      </c>
      <c r="Z48" s="42">
        <f>IFERROR(__xludf.DUMMYFUNCTION("""COMPUTED_VALUE"""),9.0)</f>
        <v>9</v>
      </c>
      <c r="AA48" s="42">
        <f>IFERROR(__xludf.DUMMYFUNCTION("""COMPUTED_VALUE"""),0.0)</f>
        <v>0</v>
      </c>
      <c r="AB48" s="42">
        <f>IFERROR(__xludf.DUMMYFUNCTION("""COMPUTED_VALUE"""),0.0)</f>
        <v>0</v>
      </c>
      <c r="AC48" s="41">
        <f>IFERROR(__xludf.DUMMYFUNCTION("""COMPUTED_VALUE"""),9.0)</f>
        <v>9</v>
      </c>
      <c r="AD48" s="42">
        <f>IFERROR(__xludf.DUMMYFUNCTION("""COMPUTED_VALUE"""),9.0)</f>
        <v>9</v>
      </c>
      <c r="AE48" s="42">
        <f>IFERROR(__xludf.DUMMYFUNCTION("""COMPUTED_VALUE"""),0.0)</f>
        <v>0</v>
      </c>
      <c r="AF48" s="42">
        <f>IFERROR(__xludf.DUMMYFUNCTION("""COMPUTED_VALUE"""),0.0)</f>
        <v>0</v>
      </c>
      <c r="AG48" s="41">
        <f>IFERROR(__xludf.DUMMYFUNCTION("""COMPUTED_VALUE"""),1.0)</f>
        <v>1</v>
      </c>
      <c r="AH48" s="42">
        <f>IFERROR(__xludf.DUMMYFUNCTION("""COMPUTED_VALUE"""),1.0)</f>
        <v>1</v>
      </c>
      <c r="AI48" s="42">
        <f>IFERROR(__xludf.DUMMYFUNCTION("""COMPUTED_VALUE"""),0.0)</f>
        <v>0</v>
      </c>
      <c r="AJ48" s="42">
        <f>IFERROR(__xludf.DUMMYFUNCTION("""COMPUTED_VALUE"""),0.0)</f>
        <v>0</v>
      </c>
      <c r="AK48" s="41">
        <f>IFERROR(__xludf.DUMMYFUNCTION("""COMPUTED_VALUE"""),0.0)</f>
        <v>0</v>
      </c>
      <c r="AL48" s="42">
        <f>IFERROR(__xludf.DUMMYFUNCTION("""COMPUTED_VALUE"""),0.0)</f>
        <v>0</v>
      </c>
      <c r="AM48" s="42">
        <f>IFERROR(__xludf.DUMMYFUNCTION("""COMPUTED_VALUE"""),0.0)</f>
        <v>0</v>
      </c>
      <c r="AN48" s="42">
        <f>IFERROR(__xludf.DUMMYFUNCTION("""COMPUTED_VALUE"""),0.0)</f>
        <v>0</v>
      </c>
      <c r="AO48" s="41">
        <f>IFERROR(__xludf.DUMMYFUNCTION("""COMPUTED_VALUE"""),0.0)</f>
        <v>0</v>
      </c>
      <c r="AP48" s="42">
        <f>IFERROR(__xludf.DUMMYFUNCTION("""COMPUTED_VALUE"""),0.0)</f>
        <v>0</v>
      </c>
      <c r="AQ48" s="42">
        <f>IFERROR(__xludf.DUMMYFUNCTION("""COMPUTED_VALUE"""),0.0)</f>
        <v>0</v>
      </c>
      <c r="AR48" s="42">
        <f>IFERROR(__xludf.DUMMYFUNCTION("""COMPUTED_VALUE"""),0.0)</f>
        <v>0</v>
      </c>
      <c r="AS48" s="41">
        <f>IFERROR(__xludf.DUMMYFUNCTION("""COMPUTED_VALUE"""),0.0)</f>
        <v>0</v>
      </c>
      <c r="AT48" s="42">
        <f>IFERROR(__xludf.DUMMYFUNCTION("""COMPUTED_VALUE"""),0.0)</f>
        <v>0</v>
      </c>
      <c r="AU48" s="42">
        <f>IFERROR(__xludf.DUMMYFUNCTION("""COMPUTED_VALUE"""),0.0)</f>
        <v>0</v>
      </c>
      <c r="AV48" s="42">
        <f>IFERROR(__xludf.DUMMYFUNCTION("""COMPUTED_VALUE"""),0.0)</f>
        <v>0</v>
      </c>
      <c r="AW48" s="41">
        <f>IFERROR(__xludf.DUMMYFUNCTION("""COMPUTED_VALUE"""),0.0)</f>
        <v>0</v>
      </c>
      <c r="AX48" s="42">
        <f>IFERROR(__xludf.DUMMYFUNCTION("""COMPUTED_VALUE"""),0.0)</f>
        <v>0</v>
      </c>
      <c r="AY48" s="42">
        <f>IFERROR(__xludf.DUMMYFUNCTION("""COMPUTED_VALUE"""),0.0)</f>
        <v>0</v>
      </c>
      <c r="AZ48" s="43">
        <f>IFERROR(__xludf.DUMMYFUNCTION("""COMPUTED_VALUE"""),0.0)</f>
        <v>0</v>
      </c>
      <c r="BA48" s="34"/>
    </row>
    <row r="49" ht="15.75" customHeight="1">
      <c r="A49" s="29"/>
      <c r="B49" s="196" t="str">
        <f>IFERROR(__xludf.DUMMYFUNCTION("""COMPUTED_VALUE"""),"5.2. Tổng số giáo viên biên chế")</f>
        <v>5.2. Tổng số giáo viên biên chế</v>
      </c>
      <c r="C49" s="57"/>
      <c r="D49" s="57" t="str">
        <f>IFERROR(__xludf.DUMMYFUNCTION("""COMPUTED_VALUE""")," Người")</f>
        <v> Người</v>
      </c>
      <c r="E49" s="125">
        <f>IFERROR(__xludf.DUMMYFUNCTION("""COMPUTED_VALUE"""),765.0)</f>
        <v>765</v>
      </c>
      <c r="F49" s="201">
        <f>IFERROR(__xludf.DUMMYFUNCTION("""COMPUTED_VALUE"""),765.0)</f>
        <v>765</v>
      </c>
      <c r="G49" s="201">
        <f>IFERROR(__xludf.DUMMYFUNCTION("""COMPUTED_VALUE"""),0.0)</f>
        <v>0</v>
      </c>
      <c r="H49" s="201">
        <f>IFERROR(__xludf.DUMMYFUNCTION("""COMPUTED_VALUE"""),0.0)</f>
        <v>0</v>
      </c>
      <c r="I49" s="125">
        <f>IFERROR(__xludf.DUMMYFUNCTION("""COMPUTED_VALUE"""),768.0)</f>
        <v>768</v>
      </c>
      <c r="J49" s="201">
        <f>IFERROR(__xludf.DUMMYFUNCTION("""COMPUTED_VALUE"""),768.0)</f>
        <v>768</v>
      </c>
      <c r="K49" s="201">
        <f>IFERROR(__xludf.DUMMYFUNCTION("""COMPUTED_VALUE"""),0.0)</f>
        <v>0</v>
      </c>
      <c r="L49" s="201">
        <f>IFERROR(__xludf.DUMMYFUNCTION("""COMPUTED_VALUE"""),0.0)</f>
        <v>0</v>
      </c>
      <c r="M49" s="125">
        <f>IFERROR(__xludf.DUMMYFUNCTION("""COMPUTED_VALUE"""),721.0)</f>
        <v>721</v>
      </c>
      <c r="N49" s="201">
        <f>IFERROR(__xludf.DUMMYFUNCTION("""COMPUTED_VALUE"""),721.0)</f>
        <v>721</v>
      </c>
      <c r="O49" s="201">
        <f>IFERROR(__xludf.DUMMYFUNCTION("""COMPUTED_VALUE"""),0.0)</f>
        <v>0</v>
      </c>
      <c r="P49" s="201">
        <f>IFERROR(__xludf.DUMMYFUNCTION("""COMPUTED_VALUE"""),0.0)</f>
        <v>0</v>
      </c>
      <c r="Q49" s="125">
        <f>IFERROR(__xludf.DUMMYFUNCTION("""COMPUTED_VALUE"""),721.0)</f>
        <v>721</v>
      </c>
      <c r="R49" s="201">
        <f>IFERROR(__xludf.DUMMYFUNCTION("""COMPUTED_VALUE"""),664.0)</f>
        <v>664</v>
      </c>
      <c r="S49" s="201">
        <f>IFERROR(__xludf.DUMMYFUNCTION("""COMPUTED_VALUE"""),57.0)</f>
        <v>57</v>
      </c>
      <c r="T49" s="201">
        <f>IFERROR(__xludf.DUMMYFUNCTION("""COMPUTED_VALUE"""),0.0)</f>
        <v>0</v>
      </c>
      <c r="U49" s="125">
        <f>IFERROR(__xludf.DUMMYFUNCTION("""COMPUTED_VALUE"""),637.0)</f>
        <v>637</v>
      </c>
      <c r="V49" s="201">
        <f>IFERROR(__xludf.DUMMYFUNCTION("""COMPUTED_VALUE"""),637.0)</f>
        <v>637</v>
      </c>
      <c r="W49" s="201">
        <f>IFERROR(__xludf.DUMMYFUNCTION("""COMPUTED_VALUE"""),0.0)</f>
        <v>0</v>
      </c>
      <c r="X49" s="201">
        <f>IFERROR(__xludf.DUMMYFUNCTION("""COMPUTED_VALUE"""),0.0)</f>
        <v>0</v>
      </c>
      <c r="Y49" s="125">
        <f>IFERROR(__xludf.DUMMYFUNCTION("""COMPUTED_VALUE"""),637.0)</f>
        <v>637</v>
      </c>
      <c r="Z49" s="201">
        <f>IFERROR(__xludf.DUMMYFUNCTION("""COMPUTED_VALUE"""),637.0)</f>
        <v>637</v>
      </c>
      <c r="AA49" s="201">
        <f>IFERROR(__xludf.DUMMYFUNCTION("""COMPUTED_VALUE"""),0.0)</f>
        <v>0</v>
      </c>
      <c r="AB49" s="201">
        <f>IFERROR(__xludf.DUMMYFUNCTION("""COMPUTED_VALUE"""),0.0)</f>
        <v>0</v>
      </c>
      <c r="AC49" s="125">
        <f>IFERROR(__xludf.DUMMYFUNCTION("""COMPUTED_VALUE"""),665.0)</f>
        <v>665</v>
      </c>
      <c r="AD49" s="201">
        <f>IFERROR(__xludf.DUMMYFUNCTION("""COMPUTED_VALUE"""),637.0)</f>
        <v>637</v>
      </c>
      <c r="AE49" s="201">
        <f>IFERROR(__xludf.DUMMYFUNCTION("""COMPUTED_VALUE"""),0.0)</f>
        <v>0</v>
      </c>
      <c r="AF49" s="201">
        <f>IFERROR(__xludf.DUMMYFUNCTION("""COMPUTED_VALUE"""),28.0)</f>
        <v>28</v>
      </c>
      <c r="AG49" s="125">
        <f>IFERROR(__xludf.DUMMYFUNCTION("""COMPUTED_VALUE"""),174.0)</f>
        <v>174</v>
      </c>
      <c r="AH49" s="201">
        <f>IFERROR(__xludf.DUMMYFUNCTION("""COMPUTED_VALUE"""),174.0)</f>
        <v>174</v>
      </c>
      <c r="AI49" s="201">
        <f>IFERROR(__xludf.DUMMYFUNCTION("""COMPUTED_VALUE"""),0.0)</f>
        <v>0</v>
      </c>
      <c r="AJ49" s="201">
        <f>IFERROR(__xludf.DUMMYFUNCTION("""COMPUTED_VALUE"""),0.0)</f>
        <v>0</v>
      </c>
      <c r="AK49" s="125">
        <f>IFERROR(__xludf.DUMMYFUNCTION("""COMPUTED_VALUE"""),52.0)</f>
        <v>52</v>
      </c>
      <c r="AL49" s="201">
        <f>IFERROR(__xludf.DUMMYFUNCTION("""COMPUTED_VALUE"""),52.0)</f>
        <v>52</v>
      </c>
      <c r="AM49" s="201">
        <f>IFERROR(__xludf.DUMMYFUNCTION("""COMPUTED_VALUE"""),0.0)</f>
        <v>0</v>
      </c>
      <c r="AN49" s="201">
        <f>IFERROR(__xludf.DUMMYFUNCTION("""COMPUTED_VALUE"""),0.0)</f>
        <v>0</v>
      </c>
      <c r="AO49" s="125">
        <f>IFERROR(__xludf.DUMMYFUNCTION("""COMPUTED_VALUE"""),52.0)</f>
        <v>52</v>
      </c>
      <c r="AP49" s="201">
        <f>IFERROR(__xludf.DUMMYFUNCTION("""COMPUTED_VALUE"""),52.0)</f>
        <v>52</v>
      </c>
      <c r="AQ49" s="201">
        <f>IFERROR(__xludf.DUMMYFUNCTION("""COMPUTED_VALUE"""),0.0)</f>
        <v>0</v>
      </c>
      <c r="AR49" s="201">
        <f>IFERROR(__xludf.DUMMYFUNCTION("""COMPUTED_VALUE"""),0.0)</f>
        <v>0</v>
      </c>
      <c r="AS49" s="125">
        <f>IFERROR(__xludf.DUMMYFUNCTION("""COMPUTED_VALUE"""),52.0)</f>
        <v>52</v>
      </c>
      <c r="AT49" s="201">
        <f>IFERROR(__xludf.DUMMYFUNCTION("""COMPUTED_VALUE"""),52.0)</f>
        <v>52</v>
      </c>
      <c r="AU49" s="201">
        <f>IFERROR(__xludf.DUMMYFUNCTION("""COMPUTED_VALUE"""),0.0)</f>
        <v>0</v>
      </c>
      <c r="AV49" s="201">
        <f>IFERROR(__xludf.DUMMYFUNCTION("""COMPUTED_VALUE"""),0.0)</f>
        <v>0</v>
      </c>
      <c r="AW49" s="125">
        <f>IFERROR(__xludf.DUMMYFUNCTION("""COMPUTED_VALUE"""),52.0)</f>
        <v>52</v>
      </c>
      <c r="AX49" s="201">
        <f>IFERROR(__xludf.DUMMYFUNCTION("""COMPUTED_VALUE"""),52.0)</f>
        <v>52</v>
      </c>
      <c r="AY49" s="201">
        <f>IFERROR(__xludf.DUMMYFUNCTION("""COMPUTED_VALUE"""),0.0)</f>
        <v>0</v>
      </c>
      <c r="AZ49" s="202">
        <f>IFERROR(__xludf.DUMMYFUNCTION("""COMPUTED_VALUE"""),0.0)</f>
        <v>0</v>
      </c>
      <c r="BA49" s="34"/>
    </row>
    <row r="50" ht="15.75" customHeight="1">
      <c r="A50" s="29"/>
      <c r="B50" s="52" t="str">
        <f>IFERROR(__xludf.DUMMYFUNCTION("""COMPUTED_VALUE"""),"Trong đó: - Tổng GV cấp THCS")</f>
        <v>Trong đó: - Tổng GV cấp THCS</v>
      </c>
      <c r="C50" s="31"/>
      <c r="D50" s="31" t="str">
        <f>IFERROR(__xludf.DUMMYFUNCTION("""COMPUTED_VALUE""")," Người")</f>
        <v> Người</v>
      </c>
      <c r="E50" s="41">
        <f>IFERROR(__xludf.DUMMYFUNCTION("""COMPUTED_VALUE"""),439.0)</f>
        <v>439</v>
      </c>
      <c r="F50" s="42">
        <f>IFERROR(__xludf.DUMMYFUNCTION("""COMPUTED_VALUE"""),439.0)</f>
        <v>439</v>
      </c>
      <c r="G50" s="42">
        <f>IFERROR(__xludf.DUMMYFUNCTION("""COMPUTED_VALUE"""),0.0)</f>
        <v>0</v>
      </c>
      <c r="H50" s="42">
        <f>IFERROR(__xludf.DUMMYFUNCTION("""COMPUTED_VALUE"""),0.0)</f>
        <v>0</v>
      </c>
      <c r="I50" s="41">
        <f>IFERROR(__xludf.DUMMYFUNCTION("""COMPUTED_VALUE"""),404.0)</f>
        <v>404</v>
      </c>
      <c r="J50" s="42">
        <f>IFERROR(__xludf.DUMMYFUNCTION("""COMPUTED_VALUE"""),404.0)</f>
        <v>404</v>
      </c>
      <c r="K50" s="42">
        <f>IFERROR(__xludf.DUMMYFUNCTION("""COMPUTED_VALUE"""),0.0)</f>
        <v>0</v>
      </c>
      <c r="L50" s="42">
        <f>IFERROR(__xludf.DUMMYFUNCTION("""COMPUTED_VALUE"""),0.0)</f>
        <v>0</v>
      </c>
      <c r="M50" s="41">
        <f>IFERROR(__xludf.DUMMYFUNCTION("""COMPUTED_VALUE"""),403.0)</f>
        <v>403</v>
      </c>
      <c r="N50" s="42">
        <f>IFERROR(__xludf.DUMMYFUNCTION("""COMPUTED_VALUE"""),403.0)</f>
        <v>403</v>
      </c>
      <c r="O50" s="42">
        <f>IFERROR(__xludf.DUMMYFUNCTION("""COMPUTED_VALUE"""),0.0)</f>
        <v>0</v>
      </c>
      <c r="P50" s="42">
        <f>IFERROR(__xludf.DUMMYFUNCTION("""COMPUTED_VALUE"""),0.0)</f>
        <v>0</v>
      </c>
      <c r="Q50" s="41">
        <f>IFERROR(__xludf.DUMMYFUNCTION("""COMPUTED_VALUE"""),403.0)</f>
        <v>403</v>
      </c>
      <c r="R50" s="42">
        <f>IFERROR(__xludf.DUMMYFUNCTION("""COMPUTED_VALUE"""),374.0)</f>
        <v>374</v>
      </c>
      <c r="S50" s="42">
        <f>IFERROR(__xludf.DUMMYFUNCTION("""COMPUTED_VALUE"""),29.0)</f>
        <v>29</v>
      </c>
      <c r="T50" s="42">
        <f>IFERROR(__xludf.DUMMYFUNCTION("""COMPUTED_VALUE"""),0.0)</f>
        <v>0</v>
      </c>
      <c r="U50" s="41">
        <f>IFERROR(__xludf.DUMMYFUNCTION("""COMPUTED_VALUE"""),403.0)</f>
        <v>403</v>
      </c>
      <c r="V50" s="42">
        <f>IFERROR(__xludf.DUMMYFUNCTION("""COMPUTED_VALUE"""),403.0)</f>
        <v>403</v>
      </c>
      <c r="W50" s="42">
        <f>IFERROR(__xludf.DUMMYFUNCTION("""COMPUTED_VALUE"""),0.0)</f>
        <v>0</v>
      </c>
      <c r="X50" s="42">
        <f>IFERROR(__xludf.DUMMYFUNCTION("""COMPUTED_VALUE"""),0.0)</f>
        <v>0</v>
      </c>
      <c r="Y50" s="41">
        <f>IFERROR(__xludf.DUMMYFUNCTION("""COMPUTED_VALUE"""),403.0)</f>
        <v>403</v>
      </c>
      <c r="Z50" s="42">
        <f>IFERROR(__xludf.DUMMYFUNCTION("""COMPUTED_VALUE"""),403.0)</f>
        <v>403</v>
      </c>
      <c r="AA50" s="42">
        <f>IFERROR(__xludf.DUMMYFUNCTION("""COMPUTED_VALUE"""),0.0)</f>
        <v>0</v>
      </c>
      <c r="AB50" s="42">
        <f>IFERROR(__xludf.DUMMYFUNCTION("""COMPUTED_VALUE"""),0.0)</f>
        <v>0</v>
      </c>
      <c r="AC50" s="41">
        <f>IFERROR(__xludf.DUMMYFUNCTION("""COMPUTED_VALUE"""),403.0)</f>
        <v>403</v>
      </c>
      <c r="AD50" s="42">
        <f>IFERROR(__xludf.DUMMYFUNCTION("""COMPUTED_VALUE"""),403.0)</f>
        <v>403</v>
      </c>
      <c r="AE50" s="42">
        <f>IFERROR(__xludf.DUMMYFUNCTION("""COMPUTED_VALUE"""),0.0)</f>
        <v>0</v>
      </c>
      <c r="AF50" s="42">
        <f>IFERROR(__xludf.DUMMYFUNCTION("""COMPUTED_VALUE"""),0.0)</f>
        <v>0</v>
      </c>
      <c r="AG50" s="41">
        <f>IFERROR(__xludf.DUMMYFUNCTION("""COMPUTED_VALUE"""),91.0)</f>
        <v>91</v>
      </c>
      <c r="AH50" s="42">
        <f>IFERROR(__xludf.DUMMYFUNCTION("""COMPUTED_VALUE"""),91.0)</f>
        <v>91</v>
      </c>
      <c r="AI50" s="42">
        <f>IFERROR(__xludf.DUMMYFUNCTION("""COMPUTED_VALUE"""),0.0)</f>
        <v>0</v>
      </c>
      <c r="AJ50" s="42">
        <f>IFERROR(__xludf.DUMMYFUNCTION("""COMPUTED_VALUE"""),0.0)</f>
        <v>0</v>
      </c>
      <c r="AK50" s="41">
        <f>IFERROR(__xludf.DUMMYFUNCTION("""COMPUTED_VALUE"""),31.0)</f>
        <v>31</v>
      </c>
      <c r="AL50" s="42">
        <f>IFERROR(__xludf.DUMMYFUNCTION("""COMPUTED_VALUE"""),31.0)</f>
        <v>31</v>
      </c>
      <c r="AM50" s="42">
        <f>IFERROR(__xludf.DUMMYFUNCTION("""COMPUTED_VALUE"""),0.0)</f>
        <v>0</v>
      </c>
      <c r="AN50" s="42">
        <f>IFERROR(__xludf.DUMMYFUNCTION("""COMPUTED_VALUE"""),0.0)</f>
        <v>0</v>
      </c>
      <c r="AO50" s="41">
        <f>IFERROR(__xludf.DUMMYFUNCTION("""COMPUTED_VALUE"""),31.0)</f>
        <v>31</v>
      </c>
      <c r="AP50" s="42">
        <f>IFERROR(__xludf.DUMMYFUNCTION("""COMPUTED_VALUE"""),31.0)</f>
        <v>31</v>
      </c>
      <c r="AQ50" s="42">
        <f>IFERROR(__xludf.DUMMYFUNCTION("""COMPUTED_VALUE"""),0.0)</f>
        <v>0</v>
      </c>
      <c r="AR50" s="42">
        <f>IFERROR(__xludf.DUMMYFUNCTION("""COMPUTED_VALUE"""),0.0)</f>
        <v>0</v>
      </c>
      <c r="AS50" s="41">
        <f>IFERROR(__xludf.DUMMYFUNCTION("""COMPUTED_VALUE"""),31.0)</f>
        <v>31</v>
      </c>
      <c r="AT50" s="42">
        <f>IFERROR(__xludf.DUMMYFUNCTION("""COMPUTED_VALUE"""),31.0)</f>
        <v>31</v>
      </c>
      <c r="AU50" s="42">
        <f>IFERROR(__xludf.DUMMYFUNCTION("""COMPUTED_VALUE"""),0.0)</f>
        <v>0</v>
      </c>
      <c r="AV50" s="42">
        <f>IFERROR(__xludf.DUMMYFUNCTION("""COMPUTED_VALUE"""),0.0)</f>
        <v>0</v>
      </c>
      <c r="AW50" s="41">
        <f>IFERROR(__xludf.DUMMYFUNCTION("""COMPUTED_VALUE"""),31.0)</f>
        <v>31</v>
      </c>
      <c r="AX50" s="42">
        <f>IFERROR(__xludf.DUMMYFUNCTION("""COMPUTED_VALUE"""),31.0)</f>
        <v>31</v>
      </c>
      <c r="AY50" s="42">
        <f>IFERROR(__xludf.DUMMYFUNCTION("""COMPUTED_VALUE"""),0.0)</f>
        <v>0</v>
      </c>
      <c r="AZ50" s="43">
        <f>IFERROR(__xludf.DUMMYFUNCTION("""COMPUTED_VALUE"""),0.0)</f>
        <v>0</v>
      </c>
      <c r="BA50" s="34"/>
    </row>
    <row r="51" ht="15.75" customHeight="1">
      <c r="A51" s="29"/>
      <c r="B51" s="52" t="str">
        <f>IFERROR(__xludf.DUMMYFUNCTION("""COMPUTED_VALUE"""),"Chia ra:                     ")</f>
        <v>Chia ra:                     </v>
      </c>
      <c r="C51" s="31"/>
      <c r="D51" s="31"/>
      <c r="E51" s="125"/>
      <c r="F51" s="201"/>
      <c r="G51" s="201"/>
      <c r="H51" s="201"/>
      <c r="I51" s="125"/>
      <c r="J51" s="201"/>
      <c r="K51" s="201"/>
      <c r="L51" s="201"/>
      <c r="M51" s="125"/>
      <c r="N51" s="201"/>
      <c r="O51" s="201"/>
      <c r="P51" s="201"/>
      <c r="Q51" s="125"/>
      <c r="R51" s="201"/>
      <c r="S51" s="201"/>
      <c r="T51" s="201"/>
      <c r="U51" s="125"/>
      <c r="V51" s="201"/>
      <c r="W51" s="201"/>
      <c r="X51" s="201"/>
      <c r="Y51" s="125"/>
      <c r="Z51" s="201"/>
      <c r="AA51" s="201"/>
      <c r="AB51" s="201"/>
      <c r="AC51" s="125"/>
      <c r="AD51" s="201"/>
      <c r="AE51" s="201"/>
      <c r="AF51" s="201"/>
      <c r="AG51" s="125"/>
      <c r="AH51" s="201"/>
      <c r="AI51" s="201"/>
      <c r="AJ51" s="201"/>
      <c r="AK51" s="125"/>
      <c r="AL51" s="201"/>
      <c r="AM51" s="201"/>
      <c r="AN51" s="201"/>
      <c r="AO51" s="125"/>
      <c r="AP51" s="201"/>
      <c r="AQ51" s="201"/>
      <c r="AR51" s="201"/>
      <c r="AS51" s="125"/>
      <c r="AT51" s="201"/>
      <c r="AU51" s="201"/>
      <c r="AV51" s="201"/>
      <c r="AW51" s="125"/>
      <c r="AX51" s="201"/>
      <c r="AY51" s="201"/>
      <c r="AZ51" s="202"/>
      <c r="BA51" s="34"/>
    </row>
    <row r="52" ht="15.75" customHeight="1">
      <c r="A52" s="29"/>
      <c r="B52" s="240" t="str">
        <f>IFERROR(__xludf.DUMMYFUNCTION("""COMPUTED_VALUE""")," + Chưa đạt chuẩn")</f>
        <v> + Chưa đạt chuẩn</v>
      </c>
      <c r="C52" s="31"/>
      <c r="D52" s="31" t="str">
        <f>IFERROR(__xludf.DUMMYFUNCTION("""COMPUTED_VALUE""")," Người")</f>
        <v> Người</v>
      </c>
      <c r="E52" s="41">
        <f>IFERROR(__xludf.DUMMYFUNCTION("""COMPUTED_VALUE"""),20.0)</f>
        <v>20</v>
      </c>
      <c r="F52" s="42">
        <f>IFERROR(__xludf.DUMMYFUNCTION("""COMPUTED_VALUE"""),20.0)</f>
        <v>20</v>
      </c>
      <c r="G52" s="42">
        <f>IFERROR(__xludf.DUMMYFUNCTION("""COMPUTED_VALUE"""),0.0)</f>
        <v>0</v>
      </c>
      <c r="H52" s="42">
        <f>IFERROR(__xludf.DUMMYFUNCTION("""COMPUTED_VALUE"""),0.0)</f>
        <v>0</v>
      </c>
      <c r="I52" s="41">
        <f>IFERROR(__xludf.DUMMYFUNCTION("""COMPUTED_VALUE"""),18.0)</f>
        <v>18</v>
      </c>
      <c r="J52" s="42">
        <f>IFERROR(__xludf.DUMMYFUNCTION("""COMPUTED_VALUE"""),18.0)</f>
        <v>18</v>
      </c>
      <c r="K52" s="42">
        <f>IFERROR(__xludf.DUMMYFUNCTION("""COMPUTED_VALUE"""),0.0)</f>
        <v>0</v>
      </c>
      <c r="L52" s="42">
        <f>IFERROR(__xludf.DUMMYFUNCTION("""COMPUTED_VALUE"""),0.0)</f>
        <v>0</v>
      </c>
      <c r="M52" s="41">
        <f>IFERROR(__xludf.DUMMYFUNCTION("""COMPUTED_VALUE"""),18.0)</f>
        <v>18</v>
      </c>
      <c r="N52" s="42">
        <f>IFERROR(__xludf.DUMMYFUNCTION("""COMPUTED_VALUE"""),18.0)</f>
        <v>18</v>
      </c>
      <c r="O52" s="42">
        <f>IFERROR(__xludf.DUMMYFUNCTION("""COMPUTED_VALUE"""),0.0)</f>
        <v>0</v>
      </c>
      <c r="P52" s="42">
        <f>IFERROR(__xludf.DUMMYFUNCTION("""COMPUTED_VALUE"""),0.0)</f>
        <v>0</v>
      </c>
      <c r="Q52" s="41">
        <f>IFERROR(__xludf.DUMMYFUNCTION("""COMPUTED_VALUE"""),18.0)</f>
        <v>18</v>
      </c>
      <c r="R52" s="42">
        <f>IFERROR(__xludf.DUMMYFUNCTION("""COMPUTED_VALUE"""),17.0)</f>
        <v>17</v>
      </c>
      <c r="S52" s="42">
        <f>IFERROR(__xludf.DUMMYFUNCTION("""COMPUTED_VALUE"""),1.0)</f>
        <v>1</v>
      </c>
      <c r="T52" s="42">
        <f>IFERROR(__xludf.DUMMYFUNCTION("""COMPUTED_VALUE"""),0.0)</f>
        <v>0</v>
      </c>
      <c r="U52" s="41">
        <f>IFERROR(__xludf.DUMMYFUNCTION("""COMPUTED_VALUE"""),18.0)</f>
        <v>18</v>
      </c>
      <c r="V52" s="42">
        <f>IFERROR(__xludf.DUMMYFUNCTION("""COMPUTED_VALUE"""),18.0)</f>
        <v>18</v>
      </c>
      <c r="W52" s="42">
        <f>IFERROR(__xludf.DUMMYFUNCTION("""COMPUTED_VALUE"""),0.0)</f>
        <v>0</v>
      </c>
      <c r="X52" s="42">
        <f>IFERROR(__xludf.DUMMYFUNCTION("""COMPUTED_VALUE"""),0.0)</f>
        <v>0</v>
      </c>
      <c r="Y52" s="41">
        <f>IFERROR(__xludf.DUMMYFUNCTION("""COMPUTED_VALUE"""),17.0)</f>
        <v>17</v>
      </c>
      <c r="Z52" s="42">
        <f>IFERROR(__xludf.DUMMYFUNCTION("""COMPUTED_VALUE"""),17.0)</f>
        <v>17</v>
      </c>
      <c r="AA52" s="42">
        <f>IFERROR(__xludf.DUMMYFUNCTION("""COMPUTED_VALUE"""),0.0)</f>
        <v>0</v>
      </c>
      <c r="AB52" s="42">
        <f>IFERROR(__xludf.DUMMYFUNCTION("""COMPUTED_VALUE"""),0.0)</f>
        <v>0</v>
      </c>
      <c r="AC52" s="41">
        <f>IFERROR(__xludf.DUMMYFUNCTION("""COMPUTED_VALUE"""),17.0)</f>
        <v>17</v>
      </c>
      <c r="AD52" s="42">
        <f>IFERROR(__xludf.DUMMYFUNCTION("""COMPUTED_VALUE"""),17.0)</f>
        <v>17</v>
      </c>
      <c r="AE52" s="42">
        <f>IFERROR(__xludf.DUMMYFUNCTION("""COMPUTED_VALUE"""),0.0)</f>
        <v>0</v>
      </c>
      <c r="AF52" s="42">
        <f>IFERROR(__xludf.DUMMYFUNCTION("""COMPUTED_VALUE"""),0.0)</f>
        <v>0</v>
      </c>
      <c r="AG52" s="41">
        <f>IFERROR(__xludf.DUMMYFUNCTION("""COMPUTED_VALUE"""),1.0)</f>
        <v>1</v>
      </c>
      <c r="AH52" s="42">
        <f>IFERROR(__xludf.DUMMYFUNCTION("""COMPUTED_VALUE"""),1.0)</f>
        <v>1</v>
      </c>
      <c r="AI52" s="42">
        <f>IFERROR(__xludf.DUMMYFUNCTION("""COMPUTED_VALUE"""),0.0)</f>
        <v>0</v>
      </c>
      <c r="AJ52" s="42">
        <f>IFERROR(__xludf.DUMMYFUNCTION("""COMPUTED_VALUE"""),0.0)</f>
        <v>0</v>
      </c>
      <c r="AK52" s="41">
        <f>IFERROR(__xludf.DUMMYFUNCTION("""COMPUTED_VALUE"""),0.0)</f>
        <v>0</v>
      </c>
      <c r="AL52" s="42">
        <f>IFERROR(__xludf.DUMMYFUNCTION("""COMPUTED_VALUE"""),0.0)</f>
        <v>0</v>
      </c>
      <c r="AM52" s="42">
        <f>IFERROR(__xludf.DUMMYFUNCTION("""COMPUTED_VALUE"""),0.0)</f>
        <v>0</v>
      </c>
      <c r="AN52" s="42">
        <f>IFERROR(__xludf.DUMMYFUNCTION("""COMPUTED_VALUE"""),0.0)</f>
        <v>0</v>
      </c>
      <c r="AO52" s="41">
        <f>IFERROR(__xludf.DUMMYFUNCTION("""COMPUTED_VALUE"""),0.0)</f>
        <v>0</v>
      </c>
      <c r="AP52" s="42">
        <f>IFERROR(__xludf.DUMMYFUNCTION("""COMPUTED_VALUE"""),0.0)</f>
        <v>0</v>
      </c>
      <c r="AQ52" s="42">
        <f>IFERROR(__xludf.DUMMYFUNCTION("""COMPUTED_VALUE"""),0.0)</f>
        <v>0</v>
      </c>
      <c r="AR52" s="42">
        <f>IFERROR(__xludf.DUMMYFUNCTION("""COMPUTED_VALUE"""),0.0)</f>
        <v>0</v>
      </c>
      <c r="AS52" s="41">
        <f>IFERROR(__xludf.DUMMYFUNCTION("""COMPUTED_VALUE"""),0.0)</f>
        <v>0</v>
      </c>
      <c r="AT52" s="42">
        <f>IFERROR(__xludf.DUMMYFUNCTION("""COMPUTED_VALUE"""),0.0)</f>
        <v>0</v>
      </c>
      <c r="AU52" s="42">
        <f>IFERROR(__xludf.DUMMYFUNCTION("""COMPUTED_VALUE"""),0.0)</f>
        <v>0</v>
      </c>
      <c r="AV52" s="42">
        <f>IFERROR(__xludf.DUMMYFUNCTION("""COMPUTED_VALUE"""),0.0)</f>
        <v>0</v>
      </c>
      <c r="AW52" s="41">
        <f>IFERROR(__xludf.DUMMYFUNCTION("""COMPUTED_VALUE"""),0.0)</f>
        <v>0</v>
      </c>
      <c r="AX52" s="42">
        <f>IFERROR(__xludf.DUMMYFUNCTION("""COMPUTED_VALUE"""),0.0)</f>
        <v>0</v>
      </c>
      <c r="AY52" s="42">
        <f>IFERROR(__xludf.DUMMYFUNCTION("""COMPUTED_VALUE"""),0.0)</f>
        <v>0</v>
      </c>
      <c r="AZ52" s="43">
        <f>IFERROR(__xludf.DUMMYFUNCTION("""COMPUTED_VALUE"""),0.0)</f>
        <v>0</v>
      </c>
      <c r="BA52" s="34"/>
    </row>
    <row r="53" ht="15.75" customHeight="1">
      <c r="A53" s="29"/>
      <c r="B53" s="240" t="str">
        <f>IFERROR(__xludf.DUMMYFUNCTION("""COMPUTED_VALUE""")," + Đạt chuẩn        ")</f>
        <v> + Đạt chuẩn        </v>
      </c>
      <c r="C53" s="31"/>
      <c r="D53" s="31" t="str">
        <f>IFERROR(__xludf.DUMMYFUNCTION("""COMPUTED_VALUE""")," Người")</f>
        <v> Người</v>
      </c>
      <c r="E53" s="41">
        <f>IFERROR(__xludf.DUMMYFUNCTION("""COMPUTED_VALUE"""),416.0)</f>
        <v>416</v>
      </c>
      <c r="F53" s="42">
        <f>IFERROR(__xludf.DUMMYFUNCTION("""COMPUTED_VALUE"""),416.0)</f>
        <v>416</v>
      </c>
      <c r="G53" s="42">
        <f>IFERROR(__xludf.DUMMYFUNCTION("""COMPUTED_VALUE"""),0.0)</f>
        <v>0</v>
      </c>
      <c r="H53" s="42">
        <f>IFERROR(__xludf.DUMMYFUNCTION("""COMPUTED_VALUE"""),0.0)</f>
        <v>0</v>
      </c>
      <c r="I53" s="41">
        <f>IFERROR(__xludf.DUMMYFUNCTION("""COMPUTED_VALUE"""),383.0)</f>
        <v>383</v>
      </c>
      <c r="J53" s="42">
        <f>IFERROR(__xludf.DUMMYFUNCTION("""COMPUTED_VALUE"""),383.0)</f>
        <v>383</v>
      </c>
      <c r="K53" s="42">
        <f>IFERROR(__xludf.DUMMYFUNCTION("""COMPUTED_VALUE"""),0.0)</f>
        <v>0</v>
      </c>
      <c r="L53" s="42">
        <f>IFERROR(__xludf.DUMMYFUNCTION("""COMPUTED_VALUE"""),0.0)</f>
        <v>0</v>
      </c>
      <c r="M53" s="41">
        <f>IFERROR(__xludf.DUMMYFUNCTION("""COMPUTED_VALUE"""),382.0)</f>
        <v>382</v>
      </c>
      <c r="N53" s="42">
        <f>IFERROR(__xludf.DUMMYFUNCTION("""COMPUTED_VALUE"""),382.0)</f>
        <v>382</v>
      </c>
      <c r="O53" s="42">
        <f>IFERROR(__xludf.DUMMYFUNCTION("""COMPUTED_VALUE"""),0.0)</f>
        <v>0</v>
      </c>
      <c r="P53" s="42">
        <f>IFERROR(__xludf.DUMMYFUNCTION("""COMPUTED_VALUE"""),0.0)</f>
        <v>0</v>
      </c>
      <c r="Q53" s="41">
        <f>IFERROR(__xludf.DUMMYFUNCTION("""COMPUTED_VALUE"""),382.0)</f>
        <v>382</v>
      </c>
      <c r="R53" s="42">
        <f>IFERROR(__xludf.DUMMYFUNCTION("""COMPUTED_VALUE"""),355.0)</f>
        <v>355</v>
      </c>
      <c r="S53" s="42">
        <f>IFERROR(__xludf.DUMMYFUNCTION("""COMPUTED_VALUE"""),27.0)</f>
        <v>27</v>
      </c>
      <c r="T53" s="42">
        <f>IFERROR(__xludf.DUMMYFUNCTION("""COMPUTED_VALUE"""),0.0)</f>
        <v>0</v>
      </c>
      <c r="U53" s="41">
        <f>IFERROR(__xludf.DUMMYFUNCTION("""COMPUTED_VALUE"""),382.0)</f>
        <v>382</v>
      </c>
      <c r="V53" s="42">
        <f>IFERROR(__xludf.DUMMYFUNCTION("""COMPUTED_VALUE"""),382.0)</f>
        <v>382</v>
      </c>
      <c r="W53" s="42">
        <f>IFERROR(__xludf.DUMMYFUNCTION("""COMPUTED_VALUE"""),0.0)</f>
        <v>0</v>
      </c>
      <c r="X53" s="42">
        <f>IFERROR(__xludf.DUMMYFUNCTION("""COMPUTED_VALUE"""),0.0)</f>
        <v>0</v>
      </c>
      <c r="Y53" s="41">
        <f>IFERROR(__xludf.DUMMYFUNCTION("""COMPUTED_VALUE"""),383.0)</f>
        <v>383</v>
      </c>
      <c r="Z53" s="42">
        <f>IFERROR(__xludf.DUMMYFUNCTION("""COMPUTED_VALUE"""),383.0)</f>
        <v>383</v>
      </c>
      <c r="AA53" s="42">
        <f>IFERROR(__xludf.DUMMYFUNCTION("""COMPUTED_VALUE"""),0.0)</f>
        <v>0</v>
      </c>
      <c r="AB53" s="42">
        <f>IFERROR(__xludf.DUMMYFUNCTION("""COMPUTED_VALUE"""),0.0)</f>
        <v>0</v>
      </c>
      <c r="AC53" s="41">
        <f>IFERROR(__xludf.DUMMYFUNCTION("""COMPUTED_VALUE"""),383.0)</f>
        <v>383</v>
      </c>
      <c r="AD53" s="42">
        <f>IFERROR(__xludf.DUMMYFUNCTION("""COMPUTED_VALUE"""),383.0)</f>
        <v>383</v>
      </c>
      <c r="AE53" s="42">
        <f>IFERROR(__xludf.DUMMYFUNCTION("""COMPUTED_VALUE"""),0.0)</f>
        <v>0</v>
      </c>
      <c r="AF53" s="42">
        <f>IFERROR(__xludf.DUMMYFUNCTION("""COMPUTED_VALUE"""),0.0)</f>
        <v>0</v>
      </c>
      <c r="AG53" s="41">
        <f>IFERROR(__xludf.DUMMYFUNCTION("""COMPUTED_VALUE"""),90.0)</f>
        <v>90</v>
      </c>
      <c r="AH53" s="42">
        <f>IFERROR(__xludf.DUMMYFUNCTION("""COMPUTED_VALUE"""),90.0)</f>
        <v>90</v>
      </c>
      <c r="AI53" s="42">
        <f>IFERROR(__xludf.DUMMYFUNCTION("""COMPUTED_VALUE"""),0.0)</f>
        <v>0</v>
      </c>
      <c r="AJ53" s="42">
        <f>IFERROR(__xludf.DUMMYFUNCTION("""COMPUTED_VALUE"""),0.0)</f>
        <v>0</v>
      </c>
      <c r="AK53" s="41">
        <f>IFERROR(__xludf.DUMMYFUNCTION("""COMPUTED_VALUE"""),31.0)</f>
        <v>31</v>
      </c>
      <c r="AL53" s="42">
        <f>IFERROR(__xludf.DUMMYFUNCTION("""COMPUTED_VALUE"""),31.0)</f>
        <v>31</v>
      </c>
      <c r="AM53" s="42">
        <f>IFERROR(__xludf.DUMMYFUNCTION("""COMPUTED_VALUE"""),0.0)</f>
        <v>0</v>
      </c>
      <c r="AN53" s="42">
        <f>IFERROR(__xludf.DUMMYFUNCTION("""COMPUTED_VALUE"""),0.0)</f>
        <v>0</v>
      </c>
      <c r="AO53" s="41">
        <f>IFERROR(__xludf.DUMMYFUNCTION("""COMPUTED_VALUE"""),31.0)</f>
        <v>31</v>
      </c>
      <c r="AP53" s="42">
        <f>IFERROR(__xludf.DUMMYFUNCTION("""COMPUTED_VALUE"""),31.0)</f>
        <v>31</v>
      </c>
      <c r="AQ53" s="42">
        <f>IFERROR(__xludf.DUMMYFUNCTION("""COMPUTED_VALUE"""),0.0)</f>
        <v>0</v>
      </c>
      <c r="AR53" s="42">
        <f>IFERROR(__xludf.DUMMYFUNCTION("""COMPUTED_VALUE"""),0.0)</f>
        <v>0</v>
      </c>
      <c r="AS53" s="41">
        <f>IFERROR(__xludf.DUMMYFUNCTION("""COMPUTED_VALUE"""),31.0)</f>
        <v>31</v>
      </c>
      <c r="AT53" s="42">
        <f>IFERROR(__xludf.DUMMYFUNCTION("""COMPUTED_VALUE"""),31.0)</f>
        <v>31</v>
      </c>
      <c r="AU53" s="42">
        <f>IFERROR(__xludf.DUMMYFUNCTION("""COMPUTED_VALUE"""),0.0)</f>
        <v>0</v>
      </c>
      <c r="AV53" s="42">
        <f>IFERROR(__xludf.DUMMYFUNCTION("""COMPUTED_VALUE"""),0.0)</f>
        <v>0</v>
      </c>
      <c r="AW53" s="41">
        <f>IFERROR(__xludf.DUMMYFUNCTION("""COMPUTED_VALUE"""),31.0)</f>
        <v>31</v>
      </c>
      <c r="AX53" s="42">
        <f>IFERROR(__xludf.DUMMYFUNCTION("""COMPUTED_VALUE"""),31.0)</f>
        <v>31</v>
      </c>
      <c r="AY53" s="42">
        <f>IFERROR(__xludf.DUMMYFUNCTION("""COMPUTED_VALUE"""),0.0)</f>
        <v>0</v>
      </c>
      <c r="AZ53" s="43">
        <f>IFERROR(__xludf.DUMMYFUNCTION("""COMPUTED_VALUE"""),0.0)</f>
        <v>0</v>
      </c>
      <c r="BA53" s="34"/>
    </row>
    <row r="54" ht="15.75" customHeight="1">
      <c r="A54" s="29"/>
      <c r="B54" s="240" t="str">
        <f>IFERROR(__xludf.DUMMYFUNCTION("""COMPUTED_VALUE""")," + Trên chuẩn      ")</f>
        <v> + Trên chuẩn      </v>
      </c>
      <c r="C54" s="31"/>
      <c r="D54" s="31" t="str">
        <f>IFERROR(__xludf.DUMMYFUNCTION("""COMPUTED_VALUE""")," Người")</f>
        <v> Người</v>
      </c>
      <c r="E54" s="41">
        <f>IFERROR(__xludf.DUMMYFUNCTION("""COMPUTED_VALUE"""),24.0)</f>
        <v>24</v>
      </c>
      <c r="F54" s="42">
        <f>IFERROR(__xludf.DUMMYFUNCTION("""COMPUTED_VALUE"""),24.0)</f>
        <v>24</v>
      </c>
      <c r="G54" s="42">
        <f>IFERROR(__xludf.DUMMYFUNCTION("""COMPUTED_VALUE"""),0.0)</f>
        <v>0</v>
      </c>
      <c r="H54" s="42">
        <f>IFERROR(__xludf.DUMMYFUNCTION("""COMPUTED_VALUE"""),0.0)</f>
        <v>0</v>
      </c>
      <c r="I54" s="41">
        <f>IFERROR(__xludf.DUMMYFUNCTION("""COMPUTED_VALUE"""),3.0)</f>
        <v>3</v>
      </c>
      <c r="J54" s="42">
        <f>IFERROR(__xludf.DUMMYFUNCTION("""COMPUTED_VALUE"""),3.0)</f>
        <v>3</v>
      </c>
      <c r="K54" s="42">
        <f>IFERROR(__xludf.DUMMYFUNCTION("""COMPUTED_VALUE"""),0.0)</f>
        <v>0</v>
      </c>
      <c r="L54" s="42">
        <f>IFERROR(__xludf.DUMMYFUNCTION("""COMPUTED_VALUE"""),0.0)</f>
        <v>0</v>
      </c>
      <c r="M54" s="41">
        <f>IFERROR(__xludf.DUMMYFUNCTION("""COMPUTED_VALUE"""),3.0)</f>
        <v>3</v>
      </c>
      <c r="N54" s="42">
        <f>IFERROR(__xludf.DUMMYFUNCTION("""COMPUTED_VALUE"""),3.0)</f>
        <v>3</v>
      </c>
      <c r="O54" s="42">
        <f>IFERROR(__xludf.DUMMYFUNCTION("""COMPUTED_VALUE"""),0.0)</f>
        <v>0</v>
      </c>
      <c r="P54" s="42">
        <f>IFERROR(__xludf.DUMMYFUNCTION("""COMPUTED_VALUE"""),0.0)</f>
        <v>0</v>
      </c>
      <c r="Q54" s="41">
        <f>IFERROR(__xludf.DUMMYFUNCTION("""COMPUTED_VALUE"""),3.0)</f>
        <v>3</v>
      </c>
      <c r="R54" s="42">
        <f>IFERROR(__xludf.DUMMYFUNCTION("""COMPUTED_VALUE"""),2.0)</f>
        <v>2</v>
      </c>
      <c r="S54" s="42">
        <f>IFERROR(__xludf.DUMMYFUNCTION("""COMPUTED_VALUE"""),1.0)</f>
        <v>1</v>
      </c>
      <c r="T54" s="42">
        <f>IFERROR(__xludf.DUMMYFUNCTION("""COMPUTED_VALUE"""),0.0)</f>
        <v>0</v>
      </c>
      <c r="U54" s="41">
        <f>IFERROR(__xludf.DUMMYFUNCTION("""COMPUTED_VALUE"""),3.0)</f>
        <v>3</v>
      </c>
      <c r="V54" s="42">
        <f>IFERROR(__xludf.DUMMYFUNCTION("""COMPUTED_VALUE"""),3.0)</f>
        <v>3</v>
      </c>
      <c r="W54" s="42">
        <f>IFERROR(__xludf.DUMMYFUNCTION("""COMPUTED_VALUE"""),0.0)</f>
        <v>0</v>
      </c>
      <c r="X54" s="42">
        <f>IFERROR(__xludf.DUMMYFUNCTION("""COMPUTED_VALUE"""),0.0)</f>
        <v>0</v>
      </c>
      <c r="Y54" s="41">
        <f>IFERROR(__xludf.DUMMYFUNCTION("""COMPUTED_VALUE"""),3.0)</f>
        <v>3</v>
      </c>
      <c r="Z54" s="42">
        <f>IFERROR(__xludf.DUMMYFUNCTION("""COMPUTED_VALUE"""),3.0)</f>
        <v>3</v>
      </c>
      <c r="AA54" s="42">
        <f>IFERROR(__xludf.DUMMYFUNCTION("""COMPUTED_VALUE"""),0.0)</f>
        <v>0</v>
      </c>
      <c r="AB54" s="42">
        <f>IFERROR(__xludf.DUMMYFUNCTION("""COMPUTED_VALUE"""),0.0)</f>
        <v>0</v>
      </c>
      <c r="AC54" s="41">
        <f>IFERROR(__xludf.DUMMYFUNCTION("""COMPUTED_VALUE"""),3.0)</f>
        <v>3</v>
      </c>
      <c r="AD54" s="42">
        <f>IFERROR(__xludf.DUMMYFUNCTION("""COMPUTED_VALUE"""),3.0)</f>
        <v>3</v>
      </c>
      <c r="AE54" s="42">
        <f>IFERROR(__xludf.DUMMYFUNCTION("""COMPUTED_VALUE"""),0.0)</f>
        <v>0</v>
      </c>
      <c r="AF54" s="42">
        <f>IFERROR(__xludf.DUMMYFUNCTION("""COMPUTED_VALUE"""),0.0)</f>
        <v>0</v>
      </c>
      <c r="AG54" s="41">
        <f>IFERROR(__xludf.DUMMYFUNCTION("""COMPUTED_VALUE"""),0.0)</f>
        <v>0</v>
      </c>
      <c r="AH54" s="42">
        <f>IFERROR(__xludf.DUMMYFUNCTION("""COMPUTED_VALUE"""),0.0)</f>
        <v>0</v>
      </c>
      <c r="AI54" s="42">
        <f>IFERROR(__xludf.DUMMYFUNCTION("""COMPUTED_VALUE"""),0.0)</f>
        <v>0</v>
      </c>
      <c r="AJ54" s="42">
        <f>IFERROR(__xludf.DUMMYFUNCTION("""COMPUTED_VALUE"""),0.0)</f>
        <v>0</v>
      </c>
      <c r="AK54" s="41">
        <f>IFERROR(__xludf.DUMMYFUNCTION("""COMPUTED_VALUE"""),0.0)</f>
        <v>0</v>
      </c>
      <c r="AL54" s="42">
        <f>IFERROR(__xludf.DUMMYFUNCTION("""COMPUTED_VALUE"""),0.0)</f>
        <v>0</v>
      </c>
      <c r="AM54" s="42">
        <f>IFERROR(__xludf.DUMMYFUNCTION("""COMPUTED_VALUE"""),0.0)</f>
        <v>0</v>
      </c>
      <c r="AN54" s="42">
        <f>IFERROR(__xludf.DUMMYFUNCTION("""COMPUTED_VALUE"""),0.0)</f>
        <v>0</v>
      </c>
      <c r="AO54" s="41">
        <f>IFERROR(__xludf.DUMMYFUNCTION("""COMPUTED_VALUE"""),0.0)</f>
        <v>0</v>
      </c>
      <c r="AP54" s="42">
        <f>IFERROR(__xludf.DUMMYFUNCTION("""COMPUTED_VALUE"""),0.0)</f>
        <v>0</v>
      </c>
      <c r="AQ54" s="42">
        <f>IFERROR(__xludf.DUMMYFUNCTION("""COMPUTED_VALUE"""),0.0)</f>
        <v>0</v>
      </c>
      <c r="AR54" s="42">
        <f>IFERROR(__xludf.DUMMYFUNCTION("""COMPUTED_VALUE"""),0.0)</f>
        <v>0</v>
      </c>
      <c r="AS54" s="41">
        <f>IFERROR(__xludf.DUMMYFUNCTION("""COMPUTED_VALUE"""),0.0)</f>
        <v>0</v>
      </c>
      <c r="AT54" s="42">
        <f>IFERROR(__xludf.DUMMYFUNCTION("""COMPUTED_VALUE"""),0.0)</f>
        <v>0</v>
      </c>
      <c r="AU54" s="42">
        <f>IFERROR(__xludf.DUMMYFUNCTION("""COMPUTED_VALUE"""),0.0)</f>
        <v>0</v>
      </c>
      <c r="AV54" s="42">
        <f>IFERROR(__xludf.DUMMYFUNCTION("""COMPUTED_VALUE"""),0.0)</f>
        <v>0</v>
      </c>
      <c r="AW54" s="41">
        <f>IFERROR(__xludf.DUMMYFUNCTION("""COMPUTED_VALUE"""),0.0)</f>
        <v>0</v>
      </c>
      <c r="AX54" s="42">
        <f>IFERROR(__xludf.DUMMYFUNCTION("""COMPUTED_VALUE"""),0.0)</f>
        <v>0</v>
      </c>
      <c r="AY54" s="42">
        <f>IFERROR(__xludf.DUMMYFUNCTION("""COMPUTED_VALUE"""),0.0)</f>
        <v>0</v>
      </c>
      <c r="AZ54" s="43">
        <f>IFERROR(__xludf.DUMMYFUNCTION("""COMPUTED_VALUE"""),0.0)</f>
        <v>0</v>
      </c>
      <c r="BA54" s="34"/>
    </row>
    <row r="55" ht="15.75" customHeight="1">
      <c r="A55" s="29"/>
      <c r="B55" s="52" t="str">
        <f>IFERROR(__xludf.DUMMYFUNCTION("""COMPUTED_VALUE""")," - Tổng số GV cấp THPT")</f>
        <v> - Tổng số GV cấp THPT</v>
      </c>
      <c r="C55" s="31"/>
      <c r="D55" s="31" t="str">
        <f>IFERROR(__xludf.DUMMYFUNCTION("""COMPUTED_VALUE""")," Người")</f>
        <v> Người</v>
      </c>
      <c r="E55" s="41">
        <f>IFERROR(__xludf.DUMMYFUNCTION("""COMPUTED_VALUE"""),423.0)</f>
        <v>423</v>
      </c>
      <c r="F55" s="42">
        <f>IFERROR(__xludf.DUMMYFUNCTION("""COMPUTED_VALUE"""),423.0)</f>
        <v>423</v>
      </c>
      <c r="G55" s="42">
        <f>IFERROR(__xludf.DUMMYFUNCTION("""COMPUTED_VALUE"""),0.0)</f>
        <v>0</v>
      </c>
      <c r="H55" s="42">
        <f>IFERROR(__xludf.DUMMYFUNCTION("""COMPUTED_VALUE"""),0.0)</f>
        <v>0</v>
      </c>
      <c r="I55" s="41">
        <f>IFERROR(__xludf.DUMMYFUNCTION("""COMPUTED_VALUE"""),364.0)</f>
        <v>364</v>
      </c>
      <c r="J55" s="42">
        <f>IFERROR(__xludf.DUMMYFUNCTION("""COMPUTED_VALUE"""),364.0)</f>
        <v>364</v>
      </c>
      <c r="K55" s="42">
        <f>IFERROR(__xludf.DUMMYFUNCTION("""COMPUTED_VALUE"""),0.0)</f>
        <v>0</v>
      </c>
      <c r="L55" s="42">
        <f>IFERROR(__xludf.DUMMYFUNCTION("""COMPUTED_VALUE"""),0.0)</f>
        <v>0</v>
      </c>
      <c r="M55" s="41">
        <f>IFERROR(__xludf.DUMMYFUNCTION("""COMPUTED_VALUE"""),363.0)</f>
        <v>363</v>
      </c>
      <c r="N55" s="42">
        <f>IFERROR(__xludf.DUMMYFUNCTION("""COMPUTED_VALUE"""),363.0)</f>
        <v>363</v>
      </c>
      <c r="O55" s="42">
        <f>IFERROR(__xludf.DUMMYFUNCTION("""COMPUTED_VALUE"""),0.0)</f>
        <v>0</v>
      </c>
      <c r="P55" s="42">
        <f>IFERROR(__xludf.DUMMYFUNCTION("""COMPUTED_VALUE"""),0.0)</f>
        <v>0</v>
      </c>
      <c r="Q55" s="41">
        <f>IFERROR(__xludf.DUMMYFUNCTION("""COMPUTED_VALUE"""),363.0)</f>
        <v>363</v>
      </c>
      <c r="R55" s="42">
        <f>IFERROR(__xludf.DUMMYFUNCTION("""COMPUTED_VALUE"""),335.0)</f>
        <v>335</v>
      </c>
      <c r="S55" s="42">
        <f>IFERROR(__xludf.DUMMYFUNCTION("""COMPUTED_VALUE"""),28.0)</f>
        <v>28</v>
      </c>
      <c r="T55" s="42">
        <f>IFERROR(__xludf.DUMMYFUNCTION("""COMPUTED_VALUE"""),0.0)</f>
        <v>0</v>
      </c>
      <c r="U55" s="41">
        <f>IFERROR(__xludf.DUMMYFUNCTION("""COMPUTED_VALUE"""),363.0)</f>
        <v>363</v>
      </c>
      <c r="V55" s="42">
        <f>IFERROR(__xludf.DUMMYFUNCTION("""COMPUTED_VALUE"""),363.0)</f>
        <v>363</v>
      </c>
      <c r="W55" s="42">
        <f>IFERROR(__xludf.DUMMYFUNCTION("""COMPUTED_VALUE"""),0.0)</f>
        <v>0</v>
      </c>
      <c r="X55" s="42">
        <f>IFERROR(__xludf.DUMMYFUNCTION("""COMPUTED_VALUE"""),0.0)</f>
        <v>0</v>
      </c>
      <c r="Y55" s="41">
        <f>IFERROR(__xludf.DUMMYFUNCTION("""COMPUTED_VALUE"""),363.0)</f>
        <v>363</v>
      </c>
      <c r="Z55" s="42">
        <f>IFERROR(__xludf.DUMMYFUNCTION("""COMPUTED_VALUE"""),363.0)</f>
        <v>363</v>
      </c>
      <c r="AA55" s="42">
        <f>IFERROR(__xludf.DUMMYFUNCTION("""COMPUTED_VALUE"""),0.0)</f>
        <v>0</v>
      </c>
      <c r="AB55" s="42">
        <f>IFERROR(__xludf.DUMMYFUNCTION("""COMPUTED_VALUE"""),0.0)</f>
        <v>0</v>
      </c>
      <c r="AC55" s="41">
        <f>IFERROR(__xludf.DUMMYFUNCTION("""COMPUTED_VALUE"""),363.0)</f>
        <v>363</v>
      </c>
      <c r="AD55" s="42">
        <f>IFERROR(__xludf.DUMMYFUNCTION("""COMPUTED_VALUE"""),363.0)</f>
        <v>363</v>
      </c>
      <c r="AE55" s="42">
        <f>IFERROR(__xludf.DUMMYFUNCTION("""COMPUTED_VALUE"""),0.0)</f>
        <v>0</v>
      </c>
      <c r="AF55" s="42">
        <f>IFERROR(__xludf.DUMMYFUNCTION("""COMPUTED_VALUE"""),0.0)</f>
        <v>0</v>
      </c>
      <c r="AG55" s="41">
        <f>IFERROR(__xludf.DUMMYFUNCTION("""COMPUTED_VALUE"""),83.0)</f>
        <v>83</v>
      </c>
      <c r="AH55" s="42">
        <f>IFERROR(__xludf.DUMMYFUNCTION("""COMPUTED_VALUE"""),83.0)</f>
        <v>83</v>
      </c>
      <c r="AI55" s="42">
        <f>IFERROR(__xludf.DUMMYFUNCTION("""COMPUTED_VALUE"""),0.0)</f>
        <v>0</v>
      </c>
      <c r="AJ55" s="42">
        <f>IFERROR(__xludf.DUMMYFUNCTION("""COMPUTED_VALUE"""),0.0)</f>
        <v>0</v>
      </c>
      <c r="AK55" s="41">
        <f>IFERROR(__xludf.DUMMYFUNCTION("""COMPUTED_VALUE"""),21.0)</f>
        <v>21</v>
      </c>
      <c r="AL55" s="42">
        <f>IFERROR(__xludf.DUMMYFUNCTION("""COMPUTED_VALUE"""),21.0)</f>
        <v>21</v>
      </c>
      <c r="AM55" s="42">
        <f>IFERROR(__xludf.DUMMYFUNCTION("""COMPUTED_VALUE"""),0.0)</f>
        <v>0</v>
      </c>
      <c r="AN55" s="42">
        <f>IFERROR(__xludf.DUMMYFUNCTION("""COMPUTED_VALUE"""),0.0)</f>
        <v>0</v>
      </c>
      <c r="AO55" s="41">
        <f>IFERROR(__xludf.DUMMYFUNCTION("""COMPUTED_VALUE"""),21.0)</f>
        <v>21</v>
      </c>
      <c r="AP55" s="42">
        <f>IFERROR(__xludf.DUMMYFUNCTION("""COMPUTED_VALUE"""),21.0)</f>
        <v>21</v>
      </c>
      <c r="AQ55" s="42">
        <f>IFERROR(__xludf.DUMMYFUNCTION("""COMPUTED_VALUE"""),0.0)</f>
        <v>0</v>
      </c>
      <c r="AR55" s="42">
        <f>IFERROR(__xludf.DUMMYFUNCTION("""COMPUTED_VALUE"""),0.0)</f>
        <v>0</v>
      </c>
      <c r="AS55" s="41">
        <f>IFERROR(__xludf.DUMMYFUNCTION("""COMPUTED_VALUE"""),21.0)</f>
        <v>21</v>
      </c>
      <c r="AT55" s="42">
        <f>IFERROR(__xludf.DUMMYFUNCTION("""COMPUTED_VALUE"""),21.0)</f>
        <v>21</v>
      </c>
      <c r="AU55" s="42">
        <f>IFERROR(__xludf.DUMMYFUNCTION("""COMPUTED_VALUE"""),0.0)</f>
        <v>0</v>
      </c>
      <c r="AV55" s="42">
        <f>IFERROR(__xludf.DUMMYFUNCTION("""COMPUTED_VALUE"""),0.0)</f>
        <v>0</v>
      </c>
      <c r="AW55" s="41">
        <f>IFERROR(__xludf.DUMMYFUNCTION("""COMPUTED_VALUE"""),21.0)</f>
        <v>21</v>
      </c>
      <c r="AX55" s="42">
        <f>IFERROR(__xludf.DUMMYFUNCTION("""COMPUTED_VALUE"""),21.0)</f>
        <v>21</v>
      </c>
      <c r="AY55" s="42">
        <f>IFERROR(__xludf.DUMMYFUNCTION("""COMPUTED_VALUE"""),0.0)</f>
        <v>0</v>
      </c>
      <c r="AZ55" s="43">
        <f>IFERROR(__xludf.DUMMYFUNCTION("""COMPUTED_VALUE"""),0.0)</f>
        <v>0</v>
      </c>
      <c r="BA55" s="34"/>
    </row>
    <row r="56" ht="15.75" customHeight="1">
      <c r="A56" s="29"/>
      <c r="B56" s="52" t="str">
        <f>IFERROR(__xludf.DUMMYFUNCTION("""COMPUTED_VALUE"""),"Chia ra:                     ")</f>
        <v>Chia ra:                     </v>
      </c>
      <c r="C56" s="31"/>
      <c r="D56" s="3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50"/>
      <c r="BA56" s="34"/>
    </row>
    <row r="57" ht="15.75" customHeight="1">
      <c r="A57" s="29"/>
      <c r="B57" s="240" t="str">
        <f>IFERROR(__xludf.DUMMYFUNCTION("""COMPUTED_VALUE""")," + Chưa đạt chuẩn")</f>
        <v> + Chưa đạt chuẩn</v>
      </c>
      <c r="C57" s="31"/>
      <c r="D57" s="31" t="str">
        <f>IFERROR(__xludf.DUMMYFUNCTION("""COMPUTED_VALUE""")," Người")</f>
        <v> Người</v>
      </c>
      <c r="E57" s="41">
        <f>IFERROR(__xludf.DUMMYFUNCTION("""COMPUTED_VALUE"""),0.0)</f>
        <v>0</v>
      </c>
      <c r="F57" s="42">
        <f>IFERROR(__xludf.DUMMYFUNCTION("""COMPUTED_VALUE"""),0.0)</f>
        <v>0</v>
      </c>
      <c r="G57" s="42">
        <f>IFERROR(__xludf.DUMMYFUNCTION("""COMPUTED_VALUE"""),0.0)</f>
        <v>0</v>
      </c>
      <c r="H57" s="42">
        <f>IFERROR(__xludf.DUMMYFUNCTION("""COMPUTED_VALUE"""),0.0)</f>
        <v>0</v>
      </c>
      <c r="I57" s="41">
        <f>IFERROR(__xludf.DUMMYFUNCTION("""COMPUTED_VALUE"""),0.0)</f>
        <v>0</v>
      </c>
      <c r="J57" s="42">
        <f>IFERROR(__xludf.DUMMYFUNCTION("""COMPUTED_VALUE"""),0.0)</f>
        <v>0</v>
      </c>
      <c r="K57" s="42">
        <f>IFERROR(__xludf.DUMMYFUNCTION("""COMPUTED_VALUE"""),0.0)</f>
        <v>0</v>
      </c>
      <c r="L57" s="42">
        <f>IFERROR(__xludf.DUMMYFUNCTION("""COMPUTED_VALUE"""),0.0)</f>
        <v>0</v>
      </c>
      <c r="M57" s="41">
        <f>IFERROR(__xludf.DUMMYFUNCTION("""COMPUTED_VALUE"""),0.0)</f>
        <v>0</v>
      </c>
      <c r="N57" s="42">
        <f>IFERROR(__xludf.DUMMYFUNCTION("""COMPUTED_VALUE"""),0.0)</f>
        <v>0</v>
      </c>
      <c r="O57" s="42">
        <f>IFERROR(__xludf.DUMMYFUNCTION("""COMPUTED_VALUE"""),0.0)</f>
        <v>0</v>
      </c>
      <c r="P57" s="42">
        <f>IFERROR(__xludf.DUMMYFUNCTION("""COMPUTED_VALUE"""),0.0)</f>
        <v>0</v>
      </c>
      <c r="Q57" s="41">
        <f>IFERROR(__xludf.DUMMYFUNCTION("""COMPUTED_VALUE"""),0.0)</f>
        <v>0</v>
      </c>
      <c r="R57" s="42">
        <f>IFERROR(__xludf.DUMMYFUNCTION("""COMPUTED_VALUE"""),0.0)</f>
        <v>0</v>
      </c>
      <c r="S57" s="42">
        <f>IFERROR(__xludf.DUMMYFUNCTION("""COMPUTED_VALUE"""),0.0)</f>
        <v>0</v>
      </c>
      <c r="T57" s="42">
        <f>IFERROR(__xludf.DUMMYFUNCTION("""COMPUTED_VALUE"""),0.0)</f>
        <v>0</v>
      </c>
      <c r="U57" s="41">
        <f>IFERROR(__xludf.DUMMYFUNCTION("""COMPUTED_VALUE"""),0.0)</f>
        <v>0</v>
      </c>
      <c r="V57" s="42">
        <f>IFERROR(__xludf.DUMMYFUNCTION("""COMPUTED_VALUE"""),0.0)</f>
        <v>0</v>
      </c>
      <c r="W57" s="42">
        <f>IFERROR(__xludf.DUMMYFUNCTION("""COMPUTED_VALUE"""),0.0)</f>
        <v>0</v>
      </c>
      <c r="X57" s="42">
        <f>IFERROR(__xludf.DUMMYFUNCTION("""COMPUTED_VALUE"""),0.0)</f>
        <v>0</v>
      </c>
      <c r="Y57" s="41">
        <f>IFERROR(__xludf.DUMMYFUNCTION("""COMPUTED_VALUE"""),0.0)</f>
        <v>0</v>
      </c>
      <c r="Z57" s="42">
        <f>IFERROR(__xludf.DUMMYFUNCTION("""COMPUTED_VALUE"""),0.0)</f>
        <v>0</v>
      </c>
      <c r="AA57" s="42">
        <f>IFERROR(__xludf.DUMMYFUNCTION("""COMPUTED_VALUE"""),0.0)</f>
        <v>0</v>
      </c>
      <c r="AB57" s="42">
        <f>IFERROR(__xludf.DUMMYFUNCTION("""COMPUTED_VALUE"""),0.0)</f>
        <v>0</v>
      </c>
      <c r="AC57" s="41">
        <f>IFERROR(__xludf.DUMMYFUNCTION("""COMPUTED_VALUE"""),0.0)</f>
        <v>0</v>
      </c>
      <c r="AD57" s="42">
        <f>IFERROR(__xludf.DUMMYFUNCTION("""COMPUTED_VALUE"""),0.0)</f>
        <v>0</v>
      </c>
      <c r="AE57" s="42">
        <f>IFERROR(__xludf.DUMMYFUNCTION("""COMPUTED_VALUE"""),0.0)</f>
        <v>0</v>
      </c>
      <c r="AF57" s="42">
        <f>IFERROR(__xludf.DUMMYFUNCTION("""COMPUTED_VALUE"""),0.0)</f>
        <v>0</v>
      </c>
      <c r="AG57" s="41">
        <f>IFERROR(__xludf.DUMMYFUNCTION("""COMPUTED_VALUE"""),0.0)</f>
        <v>0</v>
      </c>
      <c r="AH57" s="42">
        <f>IFERROR(__xludf.DUMMYFUNCTION("""COMPUTED_VALUE"""),0.0)</f>
        <v>0</v>
      </c>
      <c r="AI57" s="42">
        <f>IFERROR(__xludf.DUMMYFUNCTION("""COMPUTED_VALUE"""),0.0)</f>
        <v>0</v>
      </c>
      <c r="AJ57" s="42">
        <f>IFERROR(__xludf.DUMMYFUNCTION("""COMPUTED_VALUE"""),0.0)</f>
        <v>0</v>
      </c>
      <c r="AK57" s="41">
        <f>IFERROR(__xludf.DUMMYFUNCTION("""COMPUTED_VALUE"""),0.0)</f>
        <v>0</v>
      </c>
      <c r="AL57" s="42">
        <f>IFERROR(__xludf.DUMMYFUNCTION("""COMPUTED_VALUE"""),0.0)</f>
        <v>0</v>
      </c>
      <c r="AM57" s="42">
        <f>IFERROR(__xludf.DUMMYFUNCTION("""COMPUTED_VALUE"""),0.0)</f>
        <v>0</v>
      </c>
      <c r="AN57" s="42">
        <f>IFERROR(__xludf.DUMMYFUNCTION("""COMPUTED_VALUE"""),0.0)</f>
        <v>0</v>
      </c>
      <c r="AO57" s="41">
        <f>IFERROR(__xludf.DUMMYFUNCTION("""COMPUTED_VALUE"""),0.0)</f>
        <v>0</v>
      </c>
      <c r="AP57" s="42">
        <f>IFERROR(__xludf.DUMMYFUNCTION("""COMPUTED_VALUE"""),0.0)</f>
        <v>0</v>
      </c>
      <c r="AQ57" s="42">
        <f>IFERROR(__xludf.DUMMYFUNCTION("""COMPUTED_VALUE"""),0.0)</f>
        <v>0</v>
      </c>
      <c r="AR57" s="42">
        <f>IFERROR(__xludf.DUMMYFUNCTION("""COMPUTED_VALUE"""),0.0)</f>
        <v>0</v>
      </c>
      <c r="AS57" s="41">
        <f>IFERROR(__xludf.DUMMYFUNCTION("""COMPUTED_VALUE"""),0.0)</f>
        <v>0</v>
      </c>
      <c r="AT57" s="42">
        <f>IFERROR(__xludf.DUMMYFUNCTION("""COMPUTED_VALUE"""),0.0)</f>
        <v>0</v>
      </c>
      <c r="AU57" s="42">
        <f>IFERROR(__xludf.DUMMYFUNCTION("""COMPUTED_VALUE"""),0.0)</f>
        <v>0</v>
      </c>
      <c r="AV57" s="42">
        <f>IFERROR(__xludf.DUMMYFUNCTION("""COMPUTED_VALUE"""),0.0)</f>
        <v>0</v>
      </c>
      <c r="AW57" s="41">
        <f>IFERROR(__xludf.DUMMYFUNCTION("""COMPUTED_VALUE"""),0.0)</f>
        <v>0</v>
      </c>
      <c r="AX57" s="42">
        <f>IFERROR(__xludf.DUMMYFUNCTION("""COMPUTED_VALUE"""),0.0)</f>
        <v>0</v>
      </c>
      <c r="AY57" s="42">
        <f>IFERROR(__xludf.DUMMYFUNCTION("""COMPUTED_VALUE"""),0.0)</f>
        <v>0</v>
      </c>
      <c r="AZ57" s="43">
        <f>IFERROR(__xludf.DUMMYFUNCTION("""COMPUTED_VALUE"""),0.0)</f>
        <v>0</v>
      </c>
      <c r="BA57" s="34"/>
    </row>
    <row r="58" ht="15.75" customHeight="1">
      <c r="A58" s="29"/>
      <c r="B58" s="240" t="str">
        <f>IFERROR(__xludf.DUMMYFUNCTION("""COMPUTED_VALUE""")," + Đạt chuẩn        ")</f>
        <v> + Đạt chuẩn        </v>
      </c>
      <c r="C58" s="31"/>
      <c r="D58" s="31" t="str">
        <f>IFERROR(__xludf.DUMMYFUNCTION("""COMPUTED_VALUE""")," Người")</f>
        <v> Người</v>
      </c>
      <c r="E58" s="41">
        <f>IFERROR(__xludf.DUMMYFUNCTION("""COMPUTED_VALUE"""),350.0)</f>
        <v>350</v>
      </c>
      <c r="F58" s="42">
        <f>IFERROR(__xludf.DUMMYFUNCTION("""COMPUTED_VALUE"""),350.0)</f>
        <v>350</v>
      </c>
      <c r="G58" s="42">
        <f>IFERROR(__xludf.DUMMYFUNCTION("""COMPUTED_VALUE"""),0.0)</f>
        <v>0</v>
      </c>
      <c r="H58" s="42">
        <f>IFERROR(__xludf.DUMMYFUNCTION("""COMPUTED_VALUE"""),0.0)</f>
        <v>0</v>
      </c>
      <c r="I58" s="41">
        <f>IFERROR(__xludf.DUMMYFUNCTION("""COMPUTED_VALUE"""),296.0)</f>
        <v>296</v>
      </c>
      <c r="J58" s="42">
        <f>IFERROR(__xludf.DUMMYFUNCTION("""COMPUTED_VALUE"""),296.0)</f>
        <v>296</v>
      </c>
      <c r="K58" s="42">
        <f>IFERROR(__xludf.DUMMYFUNCTION("""COMPUTED_VALUE"""),0.0)</f>
        <v>0</v>
      </c>
      <c r="L58" s="42">
        <f>IFERROR(__xludf.DUMMYFUNCTION("""COMPUTED_VALUE"""),0.0)</f>
        <v>0</v>
      </c>
      <c r="M58" s="41">
        <f>IFERROR(__xludf.DUMMYFUNCTION("""COMPUTED_VALUE"""),295.0)</f>
        <v>295</v>
      </c>
      <c r="N58" s="42">
        <f>IFERROR(__xludf.DUMMYFUNCTION("""COMPUTED_VALUE"""),295.0)</f>
        <v>295</v>
      </c>
      <c r="O58" s="42">
        <f>IFERROR(__xludf.DUMMYFUNCTION("""COMPUTED_VALUE"""),0.0)</f>
        <v>0</v>
      </c>
      <c r="P58" s="42">
        <f>IFERROR(__xludf.DUMMYFUNCTION("""COMPUTED_VALUE"""),0.0)</f>
        <v>0</v>
      </c>
      <c r="Q58" s="41">
        <f>IFERROR(__xludf.DUMMYFUNCTION("""COMPUTED_VALUE"""),295.0)</f>
        <v>295</v>
      </c>
      <c r="R58" s="42">
        <f>IFERROR(__xludf.DUMMYFUNCTION("""COMPUTED_VALUE"""),274.0)</f>
        <v>274</v>
      </c>
      <c r="S58" s="42">
        <f>IFERROR(__xludf.DUMMYFUNCTION("""COMPUTED_VALUE"""),21.0)</f>
        <v>21</v>
      </c>
      <c r="T58" s="42">
        <f>IFERROR(__xludf.DUMMYFUNCTION("""COMPUTED_VALUE"""),0.0)</f>
        <v>0</v>
      </c>
      <c r="U58" s="41">
        <f>IFERROR(__xludf.DUMMYFUNCTION("""COMPUTED_VALUE"""),295.0)</f>
        <v>295</v>
      </c>
      <c r="V58" s="42">
        <f>IFERROR(__xludf.DUMMYFUNCTION("""COMPUTED_VALUE"""),295.0)</f>
        <v>295</v>
      </c>
      <c r="W58" s="42">
        <f>IFERROR(__xludf.DUMMYFUNCTION("""COMPUTED_VALUE"""),0.0)</f>
        <v>0</v>
      </c>
      <c r="X58" s="42">
        <f>IFERROR(__xludf.DUMMYFUNCTION("""COMPUTED_VALUE"""),0.0)</f>
        <v>0</v>
      </c>
      <c r="Y58" s="41">
        <f>IFERROR(__xludf.DUMMYFUNCTION("""COMPUTED_VALUE"""),285.0)</f>
        <v>285</v>
      </c>
      <c r="Z58" s="42">
        <f>IFERROR(__xludf.DUMMYFUNCTION("""COMPUTED_VALUE"""),285.0)</f>
        <v>285</v>
      </c>
      <c r="AA58" s="42">
        <f>IFERROR(__xludf.DUMMYFUNCTION("""COMPUTED_VALUE"""),0.0)</f>
        <v>0</v>
      </c>
      <c r="AB58" s="42">
        <f>IFERROR(__xludf.DUMMYFUNCTION("""COMPUTED_VALUE"""),0.0)</f>
        <v>0</v>
      </c>
      <c r="AC58" s="41">
        <f>IFERROR(__xludf.DUMMYFUNCTION("""COMPUTED_VALUE"""),285.0)</f>
        <v>285</v>
      </c>
      <c r="AD58" s="42">
        <f>IFERROR(__xludf.DUMMYFUNCTION("""COMPUTED_VALUE"""),285.0)</f>
        <v>285</v>
      </c>
      <c r="AE58" s="42">
        <f>IFERROR(__xludf.DUMMYFUNCTION("""COMPUTED_VALUE"""),0.0)</f>
        <v>0</v>
      </c>
      <c r="AF58" s="42">
        <f>IFERROR(__xludf.DUMMYFUNCTION("""COMPUTED_VALUE"""),0.0)</f>
        <v>0</v>
      </c>
      <c r="AG58" s="41">
        <f>IFERROR(__xludf.DUMMYFUNCTION("""COMPUTED_VALUE"""),68.0)</f>
        <v>68</v>
      </c>
      <c r="AH58" s="42">
        <f>IFERROR(__xludf.DUMMYFUNCTION("""COMPUTED_VALUE"""),68.0)</f>
        <v>68</v>
      </c>
      <c r="AI58" s="42">
        <f>IFERROR(__xludf.DUMMYFUNCTION("""COMPUTED_VALUE"""),0.0)</f>
        <v>0</v>
      </c>
      <c r="AJ58" s="42">
        <f>IFERROR(__xludf.DUMMYFUNCTION("""COMPUTED_VALUE"""),0.0)</f>
        <v>0</v>
      </c>
      <c r="AK58" s="41">
        <f>IFERROR(__xludf.DUMMYFUNCTION("""COMPUTED_VALUE"""),18.0)</f>
        <v>18</v>
      </c>
      <c r="AL58" s="42">
        <f>IFERROR(__xludf.DUMMYFUNCTION("""COMPUTED_VALUE"""),18.0)</f>
        <v>18</v>
      </c>
      <c r="AM58" s="42">
        <f>IFERROR(__xludf.DUMMYFUNCTION("""COMPUTED_VALUE"""),0.0)</f>
        <v>0</v>
      </c>
      <c r="AN58" s="42">
        <f>IFERROR(__xludf.DUMMYFUNCTION("""COMPUTED_VALUE"""),0.0)</f>
        <v>0</v>
      </c>
      <c r="AO58" s="41">
        <f>IFERROR(__xludf.DUMMYFUNCTION("""COMPUTED_VALUE"""),18.0)</f>
        <v>18</v>
      </c>
      <c r="AP58" s="42">
        <f>IFERROR(__xludf.DUMMYFUNCTION("""COMPUTED_VALUE"""),18.0)</f>
        <v>18</v>
      </c>
      <c r="AQ58" s="42">
        <f>IFERROR(__xludf.DUMMYFUNCTION("""COMPUTED_VALUE"""),0.0)</f>
        <v>0</v>
      </c>
      <c r="AR58" s="42">
        <f>IFERROR(__xludf.DUMMYFUNCTION("""COMPUTED_VALUE"""),0.0)</f>
        <v>0</v>
      </c>
      <c r="AS58" s="41">
        <f>IFERROR(__xludf.DUMMYFUNCTION("""COMPUTED_VALUE"""),18.0)</f>
        <v>18</v>
      </c>
      <c r="AT58" s="42">
        <f>IFERROR(__xludf.DUMMYFUNCTION("""COMPUTED_VALUE"""),18.0)</f>
        <v>18</v>
      </c>
      <c r="AU58" s="42">
        <f>IFERROR(__xludf.DUMMYFUNCTION("""COMPUTED_VALUE"""),0.0)</f>
        <v>0</v>
      </c>
      <c r="AV58" s="42">
        <f>IFERROR(__xludf.DUMMYFUNCTION("""COMPUTED_VALUE"""),0.0)</f>
        <v>0</v>
      </c>
      <c r="AW58" s="41">
        <f>IFERROR(__xludf.DUMMYFUNCTION("""COMPUTED_VALUE"""),18.0)</f>
        <v>18</v>
      </c>
      <c r="AX58" s="42">
        <f>IFERROR(__xludf.DUMMYFUNCTION("""COMPUTED_VALUE"""),18.0)</f>
        <v>18</v>
      </c>
      <c r="AY58" s="42">
        <f>IFERROR(__xludf.DUMMYFUNCTION("""COMPUTED_VALUE"""),0.0)</f>
        <v>0</v>
      </c>
      <c r="AZ58" s="43">
        <f>IFERROR(__xludf.DUMMYFUNCTION("""COMPUTED_VALUE"""),0.0)</f>
        <v>0</v>
      </c>
      <c r="BA58" s="34"/>
    </row>
    <row r="59" ht="15.75" customHeight="1">
      <c r="A59" s="29"/>
      <c r="B59" s="240" t="str">
        <f>IFERROR(__xludf.DUMMYFUNCTION("""COMPUTED_VALUE""")," + Trên chuẩn      ")</f>
        <v> + Trên chuẩn      </v>
      </c>
      <c r="C59" s="31"/>
      <c r="D59" s="31" t="str">
        <f>IFERROR(__xludf.DUMMYFUNCTION("""COMPUTED_VALUE""")," Người")</f>
        <v> Người</v>
      </c>
      <c r="E59" s="41">
        <f>IFERROR(__xludf.DUMMYFUNCTION("""COMPUTED_VALUE"""),64.0)</f>
        <v>64</v>
      </c>
      <c r="F59" s="42">
        <f>IFERROR(__xludf.DUMMYFUNCTION("""COMPUTED_VALUE"""),64.0)</f>
        <v>64</v>
      </c>
      <c r="G59" s="42">
        <f>IFERROR(__xludf.DUMMYFUNCTION("""COMPUTED_VALUE"""),0.0)</f>
        <v>0</v>
      </c>
      <c r="H59" s="42">
        <f>IFERROR(__xludf.DUMMYFUNCTION("""COMPUTED_VALUE"""),0.0)</f>
        <v>0</v>
      </c>
      <c r="I59" s="41">
        <f>IFERROR(__xludf.DUMMYFUNCTION("""COMPUTED_VALUE"""),59.0)</f>
        <v>59</v>
      </c>
      <c r="J59" s="42">
        <f>IFERROR(__xludf.DUMMYFUNCTION("""COMPUTED_VALUE"""),59.0)</f>
        <v>59</v>
      </c>
      <c r="K59" s="42">
        <f>IFERROR(__xludf.DUMMYFUNCTION("""COMPUTED_VALUE"""),0.0)</f>
        <v>0</v>
      </c>
      <c r="L59" s="42">
        <f>IFERROR(__xludf.DUMMYFUNCTION("""COMPUTED_VALUE"""),0.0)</f>
        <v>0</v>
      </c>
      <c r="M59" s="41">
        <f>IFERROR(__xludf.DUMMYFUNCTION("""COMPUTED_VALUE"""),59.0)</f>
        <v>59</v>
      </c>
      <c r="N59" s="42">
        <f>IFERROR(__xludf.DUMMYFUNCTION("""COMPUTED_VALUE"""),59.0)</f>
        <v>59</v>
      </c>
      <c r="O59" s="42">
        <f>IFERROR(__xludf.DUMMYFUNCTION("""COMPUTED_VALUE"""),0.0)</f>
        <v>0</v>
      </c>
      <c r="P59" s="42">
        <f>IFERROR(__xludf.DUMMYFUNCTION("""COMPUTED_VALUE"""),0.0)</f>
        <v>0</v>
      </c>
      <c r="Q59" s="41">
        <f>IFERROR(__xludf.DUMMYFUNCTION("""COMPUTED_VALUE"""),59.0)</f>
        <v>59</v>
      </c>
      <c r="R59" s="42">
        <f>IFERROR(__xludf.DUMMYFUNCTION("""COMPUTED_VALUE"""),52.0)</f>
        <v>52</v>
      </c>
      <c r="S59" s="42">
        <f>IFERROR(__xludf.DUMMYFUNCTION("""COMPUTED_VALUE"""),7.0)</f>
        <v>7</v>
      </c>
      <c r="T59" s="42">
        <f>IFERROR(__xludf.DUMMYFUNCTION("""COMPUTED_VALUE"""),0.0)</f>
        <v>0</v>
      </c>
      <c r="U59" s="41">
        <f>IFERROR(__xludf.DUMMYFUNCTION("""COMPUTED_VALUE"""),59.0)</f>
        <v>59</v>
      </c>
      <c r="V59" s="42">
        <f>IFERROR(__xludf.DUMMYFUNCTION("""COMPUTED_VALUE"""),59.0)</f>
        <v>59</v>
      </c>
      <c r="W59" s="42">
        <f>IFERROR(__xludf.DUMMYFUNCTION("""COMPUTED_VALUE"""),0.0)</f>
        <v>0</v>
      </c>
      <c r="X59" s="42">
        <f>IFERROR(__xludf.DUMMYFUNCTION("""COMPUTED_VALUE"""),0.0)</f>
        <v>0</v>
      </c>
      <c r="Y59" s="41">
        <f>IFERROR(__xludf.DUMMYFUNCTION("""COMPUTED_VALUE"""),59.0)</f>
        <v>59</v>
      </c>
      <c r="Z59" s="42">
        <f>IFERROR(__xludf.DUMMYFUNCTION("""COMPUTED_VALUE"""),59.0)</f>
        <v>59</v>
      </c>
      <c r="AA59" s="42">
        <f>IFERROR(__xludf.DUMMYFUNCTION("""COMPUTED_VALUE"""),0.0)</f>
        <v>0</v>
      </c>
      <c r="AB59" s="42">
        <f>IFERROR(__xludf.DUMMYFUNCTION("""COMPUTED_VALUE"""),0.0)</f>
        <v>0</v>
      </c>
      <c r="AC59" s="41">
        <f>IFERROR(__xludf.DUMMYFUNCTION("""COMPUTED_VALUE"""),59.0)</f>
        <v>59</v>
      </c>
      <c r="AD59" s="42">
        <f>IFERROR(__xludf.DUMMYFUNCTION("""COMPUTED_VALUE"""),59.0)</f>
        <v>59</v>
      </c>
      <c r="AE59" s="42">
        <f>IFERROR(__xludf.DUMMYFUNCTION("""COMPUTED_VALUE"""),0.0)</f>
        <v>0</v>
      </c>
      <c r="AF59" s="42">
        <f>IFERROR(__xludf.DUMMYFUNCTION("""COMPUTED_VALUE"""),0.0)</f>
        <v>0</v>
      </c>
      <c r="AG59" s="41">
        <f>IFERROR(__xludf.DUMMYFUNCTION("""COMPUTED_VALUE"""),16.0)</f>
        <v>16</v>
      </c>
      <c r="AH59" s="42">
        <f>IFERROR(__xludf.DUMMYFUNCTION("""COMPUTED_VALUE"""),16.0)</f>
        <v>16</v>
      </c>
      <c r="AI59" s="42">
        <f>IFERROR(__xludf.DUMMYFUNCTION("""COMPUTED_VALUE"""),0.0)</f>
        <v>0</v>
      </c>
      <c r="AJ59" s="42">
        <f>IFERROR(__xludf.DUMMYFUNCTION("""COMPUTED_VALUE"""),0.0)</f>
        <v>0</v>
      </c>
      <c r="AK59" s="41">
        <f>IFERROR(__xludf.DUMMYFUNCTION("""COMPUTED_VALUE"""),4.0)</f>
        <v>4</v>
      </c>
      <c r="AL59" s="42">
        <f>IFERROR(__xludf.DUMMYFUNCTION("""COMPUTED_VALUE"""),4.0)</f>
        <v>4</v>
      </c>
      <c r="AM59" s="42">
        <f>IFERROR(__xludf.DUMMYFUNCTION("""COMPUTED_VALUE"""),0.0)</f>
        <v>0</v>
      </c>
      <c r="AN59" s="42">
        <f>IFERROR(__xludf.DUMMYFUNCTION("""COMPUTED_VALUE"""),0.0)</f>
        <v>0</v>
      </c>
      <c r="AO59" s="41">
        <f>IFERROR(__xludf.DUMMYFUNCTION("""COMPUTED_VALUE"""),4.0)</f>
        <v>4</v>
      </c>
      <c r="AP59" s="42">
        <f>IFERROR(__xludf.DUMMYFUNCTION("""COMPUTED_VALUE"""),4.0)</f>
        <v>4</v>
      </c>
      <c r="AQ59" s="42">
        <f>IFERROR(__xludf.DUMMYFUNCTION("""COMPUTED_VALUE"""),0.0)</f>
        <v>0</v>
      </c>
      <c r="AR59" s="42">
        <f>IFERROR(__xludf.DUMMYFUNCTION("""COMPUTED_VALUE"""),0.0)</f>
        <v>0</v>
      </c>
      <c r="AS59" s="41">
        <f>IFERROR(__xludf.DUMMYFUNCTION("""COMPUTED_VALUE"""),4.0)</f>
        <v>4</v>
      </c>
      <c r="AT59" s="42">
        <f>IFERROR(__xludf.DUMMYFUNCTION("""COMPUTED_VALUE"""),4.0)</f>
        <v>4</v>
      </c>
      <c r="AU59" s="42">
        <f>IFERROR(__xludf.DUMMYFUNCTION("""COMPUTED_VALUE"""),0.0)</f>
        <v>0</v>
      </c>
      <c r="AV59" s="42">
        <f>IFERROR(__xludf.DUMMYFUNCTION("""COMPUTED_VALUE"""),0.0)</f>
        <v>0</v>
      </c>
      <c r="AW59" s="41">
        <f>IFERROR(__xludf.DUMMYFUNCTION("""COMPUTED_VALUE"""),4.0)</f>
        <v>4</v>
      </c>
      <c r="AX59" s="42">
        <f>IFERROR(__xludf.DUMMYFUNCTION("""COMPUTED_VALUE"""),4.0)</f>
        <v>4</v>
      </c>
      <c r="AY59" s="42">
        <f>IFERROR(__xludf.DUMMYFUNCTION("""COMPUTED_VALUE"""),0.0)</f>
        <v>0</v>
      </c>
      <c r="AZ59" s="43">
        <f>IFERROR(__xludf.DUMMYFUNCTION("""COMPUTED_VALUE"""),0.0)</f>
        <v>0</v>
      </c>
      <c r="BA59" s="34"/>
    </row>
    <row r="60" ht="15.75" customHeight="1">
      <c r="A60" s="29"/>
      <c r="B60" s="196" t="str">
        <f>IFERROR(__xludf.DUMMYFUNCTION("""COMPUTED_VALUE"""),"5.3. Tổng số giáo viên hợp đồng")</f>
        <v>5.3. Tổng số giáo viên hợp đồng</v>
      </c>
      <c r="C60" s="57"/>
      <c r="D60" s="57" t="str">
        <f>IFERROR(__xludf.DUMMYFUNCTION("""COMPUTED_VALUE""")," Người")</f>
        <v> Người</v>
      </c>
      <c r="E60" s="125">
        <f>IFERROR(__xludf.DUMMYFUNCTION("""COMPUTED_VALUE"""),2.0)</f>
        <v>2</v>
      </c>
      <c r="F60" s="201">
        <f>IFERROR(__xludf.DUMMYFUNCTION("""COMPUTED_VALUE"""),2.0)</f>
        <v>2</v>
      </c>
      <c r="G60" s="201">
        <f>IFERROR(__xludf.DUMMYFUNCTION("""COMPUTED_VALUE"""),0.0)</f>
        <v>0</v>
      </c>
      <c r="H60" s="201">
        <f>IFERROR(__xludf.DUMMYFUNCTION("""COMPUTED_VALUE"""),0.0)</f>
        <v>0</v>
      </c>
      <c r="I60" s="125">
        <f>IFERROR(__xludf.DUMMYFUNCTION("""COMPUTED_VALUE"""),5.0)</f>
        <v>5</v>
      </c>
      <c r="J60" s="201">
        <f>IFERROR(__xludf.DUMMYFUNCTION("""COMPUTED_VALUE"""),5.0)</f>
        <v>5</v>
      </c>
      <c r="K60" s="201">
        <f>IFERROR(__xludf.DUMMYFUNCTION("""COMPUTED_VALUE"""),0.0)</f>
        <v>0</v>
      </c>
      <c r="L60" s="201">
        <f>IFERROR(__xludf.DUMMYFUNCTION("""COMPUTED_VALUE"""),0.0)</f>
        <v>0</v>
      </c>
      <c r="M60" s="125">
        <f>IFERROR(__xludf.DUMMYFUNCTION("""COMPUTED_VALUE"""),5.0)</f>
        <v>5</v>
      </c>
      <c r="N60" s="201">
        <f>IFERROR(__xludf.DUMMYFUNCTION("""COMPUTED_VALUE"""),5.0)</f>
        <v>5</v>
      </c>
      <c r="O60" s="201">
        <f>IFERROR(__xludf.DUMMYFUNCTION("""COMPUTED_VALUE"""),0.0)</f>
        <v>0</v>
      </c>
      <c r="P60" s="201">
        <f>IFERROR(__xludf.DUMMYFUNCTION("""COMPUTED_VALUE"""),0.0)</f>
        <v>0</v>
      </c>
      <c r="Q60" s="125">
        <f>IFERROR(__xludf.DUMMYFUNCTION("""COMPUTED_VALUE"""),36.0)</f>
        <v>36</v>
      </c>
      <c r="R60" s="201">
        <f>IFERROR(__xludf.DUMMYFUNCTION("""COMPUTED_VALUE"""),4.0)</f>
        <v>4</v>
      </c>
      <c r="S60" s="201">
        <f>IFERROR(__xludf.DUMMYFUNCTION("""COMPUTED_VALUE"""),1.0)</f>
        <v>1</v>
      </c>
      <c r="T60" s="201">
        <f>IFERROR(__xludf.DUMMYFUNCTION("""COMPUTED_VALUE"""),31.0)</f>
        <v>31</v>
      </c>
      <c r="U60" s="125">
        <f>IFERROR(__xludf.DUMMYFUNCTION("""COMPUTED_VALUE"""),36.0)</f>
        <v>36</v>
      </c>
      <c r="V60" s="201">
        <f>IFERROR(__xludf.DUMMYFUNCTION("""COMPUTED_VALUE"""),5.0)</f>
        <v>5</v>
      </c>
      <c r="W60" s="201">
        <f>IFERROR(__xludf.DUMMYFUNCTION("""COMPUTED_VALUE"""),0.0)</f>
        <v>0</v>
      </c>
      <c r="X60" s="201">
        <f>IFERROR(__xludf.DUMMYFUNCTION("""COMPUTED_VALUE"""),31.0)</f>
        <v>31</v>
      </c>
      <c r="Y60" s="125">
        <f>IFERROR(__xludf.DUMMYFUNCTION("""COMPUTED_VALUE"""),36.0)</f>
        <v>36</v>
      </c>
      <c r="Z60" s="201">
        <f>IFERROR(__xludf.DUMMYFUNCTION("""COMPUTED_VALUE"""),5.0)</f>
        <v>5</v>
      </c>
      <c r="AA60" s="201">
        <f>IFERROR(__xludf.DUMMYFUNCTION("""COMPUTED_VALUE"""),0.0)</f>
        <v>0</v>
      </c>
      <c r="AB60" s="201">
        <f>IFERROR(__xludf.DUMMYFUNCTION("""COMPUTED_VALUE"""),31.0)</f>
        <v>31</v>
      </c>
      <c r="AC60" s="125">
        <f>IFERROR(__xludf.DUMMYFUNCTION("""COMPUTED_VALUE"""),36.0)</f>
        <v>36</v>
      </c>
      <c r="AD60" s="201">
        <f>IFERROR(__xludf.DUMMYFUNCTION("""COMPUTED_VALUE"""),5.0)</f>
        <v>5</v>
      </c>
      <c r="AE60" s="201">
        <f>IFERROR(__xludf.DUMMYFUNCTION("""COMPUTED_VALUE"""),0.0)</f>
        <v>0</v>
      </c>
      <c r="AF60" s="201">
        <f>IFERROR(__xludf.DUMMYFUNCTION("""COMPUTED_VALUE"""),31.0)</f>
        <v>31</v>
      </c>
      <c r="AG60" s="125">
        <f>IFERROR(__xludf.DUMMYFUNCTION("""COMPUTED_VALUE"""),0.0)</f>
        <v>0</v>
      </c>
      <c r="AH60" s="201">
        <f>IFERROR(__xludf.DUMMYFUNCTION("""COMPUTED_VALUE"""),0.0)</f>
        <v>0</v>
      </c>
      <c r="AI60" s="201">
        <f>IFERROR(__xludf.DUMMYFUNCTION("""COMPUTED_VALUE"""),0.0)</f>
        <v>0</v>
      </c>
      <c r="AJ60" s="201">
        <f>IFERROR(__xludf.DUMMYFUNCTION("""COMPUTED_VALUE"""),0.0)</f>
        <v>0</v>
      </c>
      <c r="AK60" s="125">
        <f>IFERROR(__xludf.DUMMYFUNCTION("""COMPUTED_VALUE"""),0.0)</f>
        <v>0</v>
      </c>
      <c r="AL60" s="201">
        <f>IFERROR(__xludf.DUMMYFUNCTION("""COMPUTED_VALUE"""),0.0)</f>
        <v>0</v>
      </c>
      <c r="AM60" s="201">
        <f>IFERROR(__xludf.DUMMYFUNCTION("""COMPUTED_VALUE"""),0.0)</f>
        <v>0</v>
      </c>
      <c r="AN60" s="201">
        <f>IFERROR(__xludf.DUMMYFUNCTION("""COMPUTED_VALUE"""),0.0)</f>
        <v>0</v>
      </c>
      <c r="AO60" s="125">
        <f>IFERROR(__xludf.DUMMYFUNCTION("""COMPUTED_VALUE"""),0.0)</f>
        <v>0</v>
      </c>
      <c r="AP60" s="201">
        <f>IFERROR(__xludf.DUMMYFUNCTION("""COMPUTED_VALUE"""),0.0)</f>
        <v>0</v>
      </c>
      <c r="AQ60" s="201">
        <f>IFERROR(__xludf.DUMMYFUNCTION("""COMPUTED_VALUE"""),0.0)</f>
        <v>0</v>
      </c>
      <c r="AR60" s="201">
        <f>IFERROR(__xludf.DUMMYFUNCTION("""COMPUTED_VALUE"""),0.0)</f>
        <v>0</v>
      </c>
      <c r="AS60" s="125">
        <f>IFERROR(__xludf.DUMMYFUNCTION("""COMPUTED_VALUE"""),0.0)</f>
        <v>0</v>
      </c>
      <c r="AT60" s="201">
        <f>IFERROR(__xludf.DUMMYFUNCTION("""COMPUTED_VALUE"""),0.0)</f>
        <v>0</v>
      </c>
      <c r="AU60" s="201">
        <f>IFERROR(__xludf.DUMMYFUNCTION("""COMPUTED_VALUE"""),0.0)</f>
        <v>0</v>
      </c>
      <c r="AV60" s="201">
        <f>IFERROR(__xludf.DUMMYFUNCTION("""COMPUTED_VALUE"""),0.0)</f>
        <v>0</v>
      </c>
      <c r="AW60" s="125">
        <f>IFERROR(__xludf.DUMMYFUNCTION("""COMPUTED_VALUE"""),0.0)</f>
        <v>0</v>
      </c>
      <c r="AX60" s="201">
        <f>IFERROR(__xludf.DUMMYFUNCTION("""COMPUTED_VALUE"""),0.0)</f>
        <v>0</v>
      </c>
      <c r="AY60" s="201">
        <f>IFERROR(__xludf.DUMMYFUNCTION("""COMPUTED_VALUE"""),0.0)</f>
        <v>0</v>
      </c>
      <c r="AZ60" s="202">
        <f>IFERROR(__xludf.DUMMYFUNCTION("""COMPUTED_VALUE"""),0.0)</f>
        <v>0</v>
      </c>
      <c r="BA60" s="34"/>
    </row>
    <row r="61" ht="15.75" customHeight="1">
      <c r="A61" s="29"/>
      <c r="B61" s="52" t="str">
        <f>IFERROR(__xludf.DUMMYFUNCTION("""COMPUTED_VALUE"""),"Trong đó: GV hợp đồng cấp THCS")</f>
        <v>Trong đó: GV hợp đồng cấp THCS</v>
      </c>
      <c r="C61" s="31"/>
      <c r="D61" s="31" t="str">
        <f>IFERROR(__xludf.DUMMYFUNCTION("""COMPUTED_VALUE"""),"Người")</f>
        <v>Người</v>
      </c>
      <c r="E61" s="41">
        <f>IFERROR(__xludf.DUMMYFUNCTION("""COMPUTED_VALUE"""),1.0)</f>
        <v>1</v>
      </c>
      <c r="F61" s="42">
        <f>IFERROR(__xludf.DUMMYFUNCTION("""COMPUTED_VALUE"""),1.0)</f>
        <v>1</v>
      </c>
      <c r="G61" s="42">
        <f>IFERROR(__xludf.DUMMYFUNCTION("""COMPUTED_VALUE"""),0.0)</f>
        <v>0</v>
      </c>
      <c r="H61" s="42">
        <f>IFERROR(__xludf.DUMMYFUNCTION("""COMPUTED_VALUE"""),0.0)</f>
        <v>0</v>
      </c>
      <c r="I61" s="41">
        <f>IFERROR(__xludf.DUMMYFUNCTION("""COMPUTED_VALUE"""),4.0)</f>
        <v>4</v>
      </c>
      <c r="J61" s="42">
        <f>IFERROR(__xludf.DUMMYFUNCTION("""COMPUTED_VALUE"""),4.0)</f>
        <v>4</v>
      </c>
      <c r="K61" s="42">
        <f>IFERROR(__xludf.DUMMYFUNCTION("""COMPUTED_VALUE"""),0.0)</f>
        <v>0</v>
      </c>
      <c r="L61" s="42">
        <f>IFERROR(__xludf.DUMMYFUNCTION("""COMPUTED_VALUE"""),0.0)</f>
        <v>0</v>
      </c>
      <c r="M61" s="41">
        <f>IFERROR(__xludf.DUMMYFUNCTION("""COMPUTED_VALUE"""),4.0)</f>
        <v>4</v>
      </c>
      <c r="N61" s="42">
        <f>IFERROR(__xludf.DUMMYFUNCTION("""COMPUTED_VALUE"""),4.0)</f>
        <v>4</v>
      </c>
      <c r="O61" s="42">
        <f>IFERROR(__xludf.DUMMYFUNCTION("""COMPUTED_VALUE"""),0.0)</f>
        <v>0</v>
      </c>
      <c r="P61" s="42">
        <f>IFERROR(__xludf.DUMMYFUNCTION("""COMPUTED_VALUE"""),0.0)</f>
        <v>0</v>
      </c>
      <c r="Q61" s="41">
        <f>IFERROR(__xludf.DUMMYFUNCTION("""COMPUTED_VALUE"""),4.0)</f>
        <v>4</v>
      </c>
      <c r="R61" s="42">
        <f>IFERROR(__xludf.DUMMYFUNCTION("""COMPUTED_VALUE"""),1.0)</f>
        <v>1</v>
      </c>
      <c r="S61" s="42">
        <f>IFERROR(__xludf.DUMMYFUNCTION("""COMPUTED_VALUE"""),3.0)</f>
        <v>3</v>
      </c>
      <c r="T61" s="42">
        <f>IFERROR(__xludf.DUMMYFUNCTION("""COMPUTED_VALUE"""),0.0)</f>
        <v>0</v>
      </c>
      <c r="U61" s="41">
        <f>IFERROR(__xludf.DUMMYFUNCTION("""COMPUTED_VALUE"""),4.0)</f>
        <v>4</v>
      </c>
      <c r="V61" s="42">
        <f>IFERROR(__xludf.DUMMYFUNCTION("""COMPUTED_VALUE"""),4.0)</f>
        <v>4</v>
      </c>
      <c r="W61" s="42">
        <f>IFERROR(__xludf.DUMMYFUNCTION("""COMPUTED_VALUE"""),0.0)</f>
        <v>0</v>
      </c>
      <c r="X61" s="42">
        <f>IFERROR(__xludf.DUMMYFUNCTION("""COMPUTED_VALUE"""),0.0)</f>
        <v>0</v>
      </c>
      <c r="Y61" s="41">
        <f>IFERROR(__xludf.DUMMYFUNCTION("""COMPUTED_VALUE"""),4.0)</f>
        <v>4</v>
      </c>
      <c r="Z61" s="42">
        <f>IFERROR(__xludf.DUMMYFUNCTION("""COMPUTED_VALUE"""),4.0)</f>
        <v>4</v>
      </c>
      <c r="AA61" s="42">
        <f>IFERROR(__xludf.DUMMYFUNCTION("""COMPUTED_VALUE"""),0.0)</f>
        <v>0</v>
      </c>
      <c r="AB61" s="42">
        <f>IFERROR(__xludf.DUMMYFUNCTION("""COMPUTED_VALUE"""),0.0)</f>
        <v>0</v>
      </c>
      <c r="AC61" s="41">
        <f>IFERROR(__xludf.DUMMYFUNCTION("""COMPUTED_VALUE"""),4.0)</f>
        <v>4</v>
      </c>
      <c r="AD61" s="42">
        <f>IFERROR(__xludf.DUMMYFUNCTION("""COMPUTED_VALUE"""),4.0)</f>
        <v>4</v>
      </c>
      <c r="AE61" s="42">
        <f>IFERROR(__xludf.DUMMYFUNCTION("""COMPUTED_VALUE"""),0.0)</f>
        <v>0</v>
      </c>
      <c r="AF61" s="42">
        <f>IFERROR(__xludf.DUMMYFUNCTION("""COMPUTED_VALUE"""),0.0)</f>
        <v>0</v>
      </c>
      <c r="AG61" s="41">
        <f>IFERROR(__xludf.DUMMYFUNCTION("""COMPUTED_VALUE"""),0.0)</f>
        <v>0</v>
      </c>
      <c r="AH61" s="42">
        <f>IFERROR(__xludf.DUMMYFUNCTION("""COMPUTED_VALUE"""),0.0)</f>
        <v>0</v>
      </c>
      <c r="AI61" s="42">
        <f>IFERROR(__xludf.DUMMYFUNCTION("""COMPUTED_VALUE"""),0.0)</f>
        <v>0</v>
      </c>
      <c r="AJ61" s="42">
        <f>IFERROR(__xludf.DUMMYFUNCTION("""COMPUTED_VALUE"""),0.0)</f>
        <v>0</v>
      </c>
      <c r="AK61" s="41">
        <f>IFERROR(__xludf.DUMMYFUNCTION("""COMPUTED_VALUE"""),0.0)</f>
        <v>0</v>
      </c>
      <c r="AL61" s="42">
        <f>IFERROR(__xludf.DUMMYFUNCTION("""COMPUTED_VALUE"""),0.0)</f>
        <v>0</v>
      </c>
      <c r="AM61" s="42">
        <f>IFERROR(__xludf.DUMMYFUNCTION("""COMPUTED_VALUE"""),0.0)</f>
        <v>0</v>
      </c>
      <c r="AN61" s="42">
        <f>IFERROR(__xludf.DUMMYFUNCTION("""COMPUTED_VALUE"""),0.0)</f>
        <v>0</v>
      </c>
      <c r="AO61" s="41">
        <f>IFERROR(__xludf.DUMMYFUNCTION("""COMPUTED_VALUE"""),0.0)</f>
        <v>0</v>
      </c>
      <c r="AP61" s="42">
        <f>IFERROR(__xludf.DUMMYFUNCTION("""COMPUTED_VALUE"""),0.0)</f>
        <v>0</v>
      </c>
      <c r="AQ61" s="42">
        <f>IFERROR(__xludf.DUMMYFUNCTION("""COMPUTED_VALUE"""),0.0)</f>
        <v>0</v>
      </c>
      <c r="AR61" s="42">
        <f>IFERROR(__xludf.DUMMYFUNCTION("""COMPUTED_VALUE"""),0.0)</f>
        <v>0</v>
      </c>
      <c r="AS61" s="41">
        <f>IFERROR(__xludf.DUMMYFUNCTION("""COMPUTED_VALUE"""),0.0)</f>
        <v>0</v>
      </c>
      <c r="AT61" s="42">
        <f>IFERROR(__xludf.DUMMYFUNCTION("""COMPUTED_VALUE"""),0.0)</f>
        <v>0</v>
      </c>
      <c r="AU61" s="42">
        <f>IFERROR(__xludf.DUMMYFUNCTION("""COMPUTED_VALUE"""),0.0)</f>
        <v>0</v>
      </c>
      <c r="AV61" s="42">
        <f>IFERROR(__xludf.DUMMYFUNCTION("""COMPUTED_VALUE"""),0.0)</f>
        <v>0</v>
      </c>
      <c r="AW61" s="41">
        <f>IFERROR(__xludf.DUMMYFUNCTION("""COMPUTED_VALUE"""),0.0)</f>
        <v>0</v>
      </c>
      <c r="AX61" s="42">
        <f>IFERROR(__xludf.DUMMYFUNCTION("""COMPUTED_VALUE"""),0.0)</f>
        <v>0</v>
      </c>
      <c r="AY61" s="42">
        <f>IFERROR(__xludf.DUMMYFUNCTION("""COMPUTED_VALUE"""),0.0)</f>
        <v>0</v>
      </c>
      <c r="AZ61" s="43">
        <f>IFERROR(__xludf.DUMMYFUNCTION("""COMPUTED_VALUE"""),0.0)</f>
        <v>0</v>
      </c>
      <c r="BA61" s="34"/>
    </row>
    <row r="62" ht="15.75" customHeight="1">
      <c r="A62" s="29"/>
      <c r="B62" s="196" t="str">
        <f>IFERROR(__xludf.DUMMYFUNCTION("""COMPUTED_VALUE"""),"5.4. Tổng số nhân viên")</f>
        <v>5.4. Tổng số nhân viên</v>
      </c>
      <c r="C62" s="57"/>
      <c r="D62" s="57" t="str">
        <f>IFERROR(__xludf.DUMMYFUNCTION("""COMPUTED_VALUE""")," Người")</f>
        <v> Người</v>
      </c>
      <c r="E62" s="125">
        <f>IFERROR(__xludf.DUMMYFUNCTION("""COMPUTED_VALUE"""),104.0)</f>
        <v>104</v>
      </c>
      <c r="F62" s="201">
        <f>IFERROR(__xludf.DUMMYFUNCTION("""COMPUTED_VALUE"""),104.0)</f>
        <v>104</v>
      </c>
      <c r="G62" s="201">
        <f>IFERROR(__xludf.DUMMYFUNCTION("""COMPUTED_VALUE"""),0.0)</f>
        <v>0</v>
      </c>
      <c r="H62" s="201">
        <f>IFERROR(__xludf.DUMMYFUNCTION("""COMPUTED_VALUE"""),0.0)</f>
        <v>0</v>
      </c>
      <c r="I62" s="125">
        <f>IFERROR(__xludf.DUMMYFUNCTION("""COMPUTED_VALUE"""),91.0)</f>
        <v>91</v>
      </c>
      <c r="J62" s="201">
        <f>IFERROR(__xludf.DUMMYFUNCTION("""COMPUTED_VALUE"""),91.0)</f>
        <v>91</v>
      </c>
      <c r="K62" s="201">
        <f>IFERROR(__xludf.DUMMYFUNCTION("""COMPUTED_VALUE"""),0.0)</f>
        <v>0</v>
      </c>
      <c r="L62" s="201">
        <f>IFERROR(__xludf.DUMMYFUNCTION("""COMPUTED_VALUE"""),0.0)</f>
        <v>0</v>
      </c>
      <c r="M62" s="125">
        <f>IFERROR(__xludf.DUMMYFUNCTION("""COMPUTED_VALUE"""),90.0)</f>
        <v>90</v>
      </c>
      <c r="N62" s="201">
        <f>IFERROR(__xludf.DUMMYFUNCTION("""COMPUTED_VALUE"""),90.0)</f>
        <v>90</v>
      </c>
      <c r="O62" s="201">
        <f>IFERROR(__xludf.DUMMYFUNCTION("""COMPUTED_VALUE"""),0.0)</f>
        <v>0</v>
      </c>
      <c r="P62" s="201">
        <f>IFERROR(__xludf.DUMMYFUNCTION("""COMPUTED_VALUE"""),0.0)</f>
        <v>0</v>
      </c>
      <c r="Q62" s="125">
        <f>IFERROR(__xludf.DUMMYFUNCTION("""COMPUTED_VALUE"""),106.0)</f>
        <v>106</v>
      </c>
      <c r="R62" s="201">
        <f>IFERROR(__xludf.DUMMYFUNCTION("""COMPUTED_VALUE"""),82.0)</f>
        <v>82</v>
      </c>
      <c r="S62" s="201">
        <f>IFERROR(__xludf.DUMMYFUNCTION("""COMPUTED_VALUE"""),7.0)</f>
        <v>7</v>
      </c>
      <c r="T62" s="201">
        <f>IFERROR(__xludf.DUMMYFUNCTION("""COMPUTED_VALUE"""),17.0)</f>
        <v>17</v>
      </c>
      <c r="U62" s="125">
        <f>IFERROR(__xludf.DUMMYFUNCTION("""COMPUTED_VALUE"""),107.0)</f>
        <v>107</v>
      </c>
      <c r="V62" s="201">
        <f>IFERROR(__xludf.DUMMYFUNCTION("""COMPUTED_VALUE"""),90.0)</f>
        <v>90</v>
      </c>
      <c r="W62" s="201">
        <f>IFERROR(__xludf.DUMMYFUNCTION("""COMPUTED_VALUE"""),0.0)</f>
        <v>0</v>
      </c>
      <c r="X62" s="201">
        <f>IFERROR(__xludf.DUMMYFUNCTION("""COMPUTED_VALUE"""),17.0)</f>
        <v>17</v>
      </c>
      <c r="Y62" s="125">
        <f>IFERROR(__xludf.DUMMYFUNCTION("""COMPUTED_VALUE"""),107.0)</f>
        <v>107</v>
      </c>
      <c r="Z62" s="201">
        <f>IFERROR(__xludf.DUMMYFUNCTION("""COMPUTED_VALUE"""),90.0)</f>
        <v>90</v>
      </c>
      <c r="AA62" s="201">
        <f>IFERROR(__xludf.DUMMYFUNCTION("""COMPUTED_VALUE"""),0.0)</f>
        <v>0</v>
      </c>
      <c r="AB62" s="201">
        <f>IFERROR(__xludf.DUMMYFUNCTION("""COMPUTED_VALUE"""),17.0)</f>
        <v>17</v>
      </c>
      <c r="AC62" s="125">
        <f>IFERROR(__xludf.DUMMYFUNCTION("""COMPUTED_VALUE"""),89.0)</f>
        <v>89</v>
      </c>
      <c r="AD62" s="201">
        <f>IFERROR(__xludf.DUMMYFUNCTION("""COMPUTED_VALUE"""),89.0)</f>
        <v>89</v>
      </c>
      <c r="AE62" s="201">
        <f>IFERROR(__xludf.DUMMYFUNCTION("""COMPUTED_VALUE"""),0.0)</f>
        <v>0</v>
      </c>
      <c r="AF62" s="201">
        <f>IFERROR(__xludf.DUMMYFUNCTION("""COMPUTED_VALUE"""),0.0)</f>
        <v>0</v>
      </c>
      <c r="AG62" s="125">
        <f>IFERROR(__xludf.DUMMYFUNCTION("""COMPUTED_VALUE"""),15.0)</f>
        <v>15</v>
      </c>
      <c r="AH62" s="201">
        <f>IFERROR(__xludf.DUMMYFUNCTION("""COMPUTED_VALUE"""),15.0)</f>
        <v>15</v>
      </c>
      <c r="AI62" s="201">
        <f>IFERROR(__xludf.DUMMYFUNCTION("""COMPUTED_VALUE"""),0.0)</f>
        <v>0</v>
      </c>
      <c r="AJ62" s="201">
        <f>IFERROR(__xludf.DUMMYFUNCTION("""COMPUTED_VALUE"""),0.0)</f>
        <v>0</v>
      </c>
      <c r="AK62" s="125">
        <f>IFERROR(__xludf.DUMMYFUNCTION("""COMPUTED_VALUE"""),6.0)</f>
        <v>6</v>
      </c>
      <c r="AL62" s="201">
        <f>IFERROR(__xludf.DUMMYFUNCTION("""COMPUTED_VALUE"""),6.0)</f>
        <v>6</v>
      </c>
      <c r="AM62" s="201">
        <f>IFERROR(__xludf.DUMMYFUNCTION("""COMPUTED_VALUE"""),0.0)</f>
        <v>0</v>
      </c>
      <c r="AN62" s="201">
        <f>IFERROR(__xludf.DUMMYFUNCTION("""COMPUTED_VALUE"""),0.0)</f>
        <v>0</v>
      </c>
      <c r="AO62" s="125">
        <f>IFERROR(__xludf.DUMMYFUNCTION("""COMPUTED_VALUE"""),6.0)</f>
        <v>6</v>
      </c>
      <c r="AP62" s="201">
        <f>IFERROR(__xludf.DUMMYFUNCTION("""COMPUTED_VALUE"""),6.0)</f>
        <v>6</v>
      </c>
      <c r="AQ62" s="201">
        <f>IFERROR(__xludf.DUMMYFUNCTION("""COMPUTED_VALUE"""),0.0)</f>
        <v>0</v>
      </c>
      <c r="AR62" s="201">
        <f>IFERROR(__xludf.DUMMYFUNCTION("""COMPUTED_VALUE"""),0.0)</f>
        <v>0</v>
      </c>
      <c r="AS62" s="125">
        <f>IFERROR(__xludf.DUMMYFUNCTION("""COMPUTED_VALUE"""),6.0)</f>
        <v>6</v>
      </c>
      <c r="AT62" s="201">
        <f>IFERROR(__xludf.DUMMYFUNCTION("""COMPUTED_VALUE"""),6.0)</f>
        <v>6</v>
      </c>
      <c r="AU62" s="201">
        <f>IFERROR(__xludf.DUMMYFUNCTION("""COMPUTED_VALUE"""),0.0)</f>
        <v>0</v>
      </c>
      <c r="AV62" s="201">
        <f>IFERROR(__xludf.DUMMYFUNCTION("""COMPUTED_VALUE"""),0.0)</f>
        <v>0</v>
      </c>
      <c r="AW62" s="125">
        <f>IFERROR(__xludf.DUMMYFUNCTION("""COMPUTED_VALUE"""),6.0)</f>
        <v>6</v>
      </c>
      <c r="AX62" s="201">
        <f>IFERROR(__xludf.DUMMYFUNCTION("""COMPUTED_VALUE"""),6.0)</f>
        <v>6</v>
      </c>
      <c r="AY62" s="201">
        <f>IFERROR(__xludf.DUMMYFUNCTION("""COMPUTED_VALUE"""),0.0)</f>
        <v>0</v>
      </c>
      <c r="AZ62" s="202">
        <f>IFERROR(__xludf.DUMMYFUNCTION("""COMPUTED_VALUE"""),0.0)</f>
        <v>0</v>
      </c>
      <c r="BA62" s="34"/>
    </row>
    <row r="63" ht="15.75" customHeight="1">
      <c r="A63" s="29"/>
      <c r="B63" s="30" t="str">
        <f>IFERROR(__xludf.DUMMYFUNCTION("""COMPUTED_VALUE"""),"6. KHỐI PHÒNG HỌC TẬP")</f>
        <v>6. KHỐI PHÒNG HỌC TẬP</v>
      </c>
      <c r="C63" s="31" t="str">
        <f>IFERROR(__xludf.DUMMYFUNCTION("""COMPUTED_VALUE"""),"Quí")</f>
        <v>Quí</v>
      </c>
      <c r="D63" s="31" t="str">
        <f>IFERROR(__xludf.DUMMYFUNCTION("""COMPUTED_VALUE"""),"Phòng")</f>
        <v>Phòng</v>
      </c>
      <c r="E63" s="32">
        <f>IFERROR(__xludf.DUMMYFUNCTION("""COMPUTED_VALUE"""),496.0)</f>
        <v>496</v>
      </c>
      <c r="F63" s="32">
        <f>IFERROR(__xludf.DUMMYFUNCTION("""COMPUTED_VALUE"""),484.0)</f>
        <v>484</v>
      </c>
      <c r="G63" s="32">
        <f>IFERROR(__xludf.DUMMYFUNCTION("""COMPUTED_VALUE"""),0.0)</f>
        <v>0</v>
      </c>
      <c r="H63" s="32">
        <f>IFERROR(__xludf.DUMMYFUNCTION("""COMPUTED_VALUE"""),12.0)</f>
        <v>12</v>
      </c>
      <c r="I63" s="32">
        <f>IFERROR(__xludf.DUMMYFUNCTION("""COMPUTED_VALUE"""),425.0)</f>
        <v>425</v>
      </c>
      <c r="J63" s="32">
        <f>IFERROR(__xludf.DUMMYFUNCTION("""COMPUTED_VALUE"""),425.0)</f>
        <v>425</v>
      </c>
      <c r="K63" s="32">
        <f>IFERROR(__xludf.DUMMYFUNCTION("""COMPUTED_VALUE"""),0.0)</f>
        <v>0</v>
      </c>
      <c r="L63" s="32">
        <f>IFERROR(__xludf.DUMMYFUNCTION("""COMPUTED_VALUE"""),0.0)</f>
        <v>0</v>
      </c>
      <c r="M63" s="32">
        <f>IFERROR(__xludf.DUMMYFUNCTION("""COMPUTED_VALUE"""),425.0)</f>
        <v>425</v>
      </c>
      <c r="N63" s="32">
        <f>IFERROR(__xludf.DUMMYFUNCTION("""COMPUTED_VALUE"""),425.0)</f>
        <v>425</v>
      </c>
      <c r="O63" s="32">
        <f>IFERROR(__xludf.DUMMYFUNCTION("""COMPUTED_VALUE"""),0.0)</f>
        <v>0</v>
      </c>
      <c r="P63" s="32">
        <f>IFERROR(__xludf.DUMMYFUNCTION("""COMPUTED_VALUE"""),0.0)</f>
        <v>0</v>
      </c>
      <c r="Q63" s="32">
        <f>IFERROR(__xludf.DUMMYFUNCTION("""COMPUTED_VALUE"""),447.0)</f>
        <v>447</v>
      </c>
      <c r="R63" s="32">
        <f>IFERROR(__xludf.DUMMYFUNCTION("""COMPUTED_VALUE"""),364.0)</f>
        <v>364</v>
      </c>
      <c r="S63" s="32">
        <f>IFERROR(__xludf.DUMMYFUNCTION("""COMPUTED_VALUE"""),61.0)</f>
        <v>61</v>
      </c>
      <c r="T63" s="32">
        <f>IFERROR(__xludf.DUMMYFUNCTION("""COMPUTED_VALUE"""),22.0)</f>
        <v>22</v>
      </c>
      <c r="U63" s="32">
        <f>IFERROR(__xludf.DUMMYFUNCTION("""COMPUTED_VALUE"""),447.0)</f>
        <v>447</v>
      </c>
      <c r="V63" s="32">
        <f>IFERROR(__xludf.DUMMYFUNCTION("""COMPUTED_VALUE"""),425.0)</f>
        <v>425</v>
      </c>
      <c r="W63" s="32">
        <f>IFERROR(__xludf.DUMMYFUNCTION("""COMPUTED_VALUE"""),0.0)</f>
        <v>0</v>
      </c>
      <c r="X63" s="32">
        <f>IFERROR(__xludf.DUMMYFUNCTION("""COMPUTED_VALUE"""),22.0)</f>
        <v>22</v>
      </c>
      <c r="Y63" s="32">
        <f>IFERROR(__xludf.DUMMYFUNCTION("""COMPUTED_VALUE"""),446.0)</f>
        <v>446</v>
      </c>
      <c r="Z63" s="32">
        <f>IFERROR(__xludf.DUMMYFUNCTION("""COMPUTED_VALUE"""),424.0)</f>
        <v>424</v>
      </c>
      <c r="AA63" s="32">
        <f>IFERROR(__xludf.DUMMYFUNCTION("""COMPUTED_VALUE"""),0.0)</f>
        <v>0</v>
      </c>
      <c r="AB63" s="32">
        <f>IFERROR(__xludf.DUMMYFUNCTION("""COMPUTED_VALUE"""),22.0)</f>
        <v>22</v>
      </c>
      <c r="AC63" s="32">
        <f>IFERROR(__xludf.DUMMYFUNCTION("""COMPUTED_VALUE"""),414.0)</f>
        <v>414</v>
      </c>
      <c r="AD63" s="32">
        <f>IFERROR(__xludf.DUMMYFUNCTION("""COMPUTED_VALUE"""),392.0)</f>
        <v>392</v>
      </c>
      <c r="AE63" s="32">
        <f>IFERROR(__xludf.DUMMYFUNCTION("""COMPUTED_VALUE"""),0.0)</f>
        <v>0</v>
      </c>
      <c r="AF63" s="32">
        <f>IFERROR(__xludf.DUMMYFUNCTION("""COMPUTED_VALUE"""),22.0)</f>
        <v>22</v>
      </c>
      <c r="AG63" s="32">
        <f>IFERROR(__xludf.DUMMYFUNCTION("""COMPUTED_VALUE"""),67.0)</f>
        <v>67</v>
      </c>
      <c r="AH63" s="32">
        <f>IFERROR(__xludf.DUMMYFUNCTION("""COMPUTED_VALUE"""),67.0)</f>
        <v>67</v>
      </c>
      <c r="AI63" s="32">
        <f>IFERROR(__xludf.DUMMYFUNCTION("""COMPUTED_VALUE"""),0.0)</f>
        <v>0</v>
      </c>
      <c r="AJ63" s="32">
        <f>IFERROR(__xludf.DUMMYFUNCTION("""COMPUTED_VALUE"""),0.0)</f>
        <v>0</v>
      </c>
      <c r="AK63" s="32">
        <f>IFERROR(__xludf.DUMMYFUNCTION("""COMPUTED_VALUE"""),1.0)</f>
        <v>1</v>
      </c>
      <c r="AL63" s="32">
        <f>IFERROR(__xludf.DUMMYFUNCTION("""COMPUTED_VALUE"""),1.0)</f>
        <v>1</v>
      </c>
      <c r="AM63" s="32">
        <f>IFERROR(__xludf.DUMMYFUNCTION("""COMPUTED_VALUE"""),0.0)</f>
        <v>0</v>
      </c>
      <c r="AN63" s="32">
        <f>IFERROR(__xludf.DUMMYFUNCTION("""COMPUTED_VALUE"""),0.0)</f>
        <v>0</v>
      </c>
      <c r="AO63" s="32">
        <f>IFERROR(__xludf.DUMMYFUNCTION("""COMPUTED_VALUE"""),0.0)</f>
        <v>0</v>
      </c>
      <c r="AP63" s="32">
        <f>IFERROR(__xludf.DUMMYFUNCTION("""COMPUTED_VALUE"""),0.0)</f>
        <v>0</v>
      </c>
      <c r="AQ63" s="32">
        <f>IFERROR(__xludf.DUMMYFUNCTION("""COMPUTED_VALUE"""),0.0)</f>
        <v>0</v>
      </c>
      <c r="AR63" s="32">
        <f>IFERROR(__xludf.DUMMYFUNCTION("""COMPUTED_VALUE"""),0.0)</f>
        <v>0</v>
      </c>
      <c r="AS63" s="32">
        <f>IFERROR(__xludf.DUMMYFUNCTION("""COMPUTED_VALUE"""),0.0)</f>
        <v>0</v>
      </c>
      <c r="AT63" s="32">
        <f>IFERROR(__xludf.DUMMYFUNCTION("""COMPUTED_VALUE"""),0.0)</f>
        <v>0</v>
      </c>
      <c r="AU63" s="32">
        <f>IFERROR(__xludf.DUMMYFUNCTION("""COMPUTED_VALUE"""),0.0)</f>
        <v>0</v>
      </c>
      <c r="AV63" s="32">
        <f>IFERROR(__xludf.DUMMYFUNCTION("""COMPUTED_VALUE"""),0.0)</f>
        <v>0</v>
      </c>
      <c r="AW63" s="32">
        <f>IFERROR(__xludf.DUMMYFUNCTION("""COMPUTED_VALUE"""),0.0)</f>
        <v>0</v>
      </c>
      <c r="AX63" s="32">
        <f>IFERROR(__xludf.DUMMYFUNCTION("""COMPUTED_VALUE"""),0.0)</f>
        <v>0</v>
      </c>
      <c r="AY63" s="32">
        <f>IFERROR(__xludf.DUMMYFUNCTION("""COMPUTED_VALUE"""),0.0)</f>
        <v>0</v>
      </c>
      <c r="AZ63" s="33">
        <f>IFERROR(__xludf.DUMMYFUNCTION("""COMPUTED_VALUE"""),0.0)</f>
        <v>0</v>
      </c>
      <c r="BA63" s="34"/>
    </row>
    <row r="64" ht="15.75" customHeight="1">
      <c r="A64" s="29"/>
      <c r="B64" s="196" t="str">
        <f>IFERROR(__xludf.DUMMYFUNCTION("""COMPUTED_VALUE"""),"6.1. Tổng số phòng học")</f>
        <v>6.1. Tổng số phòng học</v>
      </c>
      <c r="C64" s="57"/>
      <c r="D64" s="57" t="str">
        <f>IFERROR(__xludf.DUMMYFUNCTION("""COMPUTED_VALUE"""),"Phòng")</f>
        <v>Phòng</v>
      </c>
      <c r="E64" s="125">
        <f>IFERROR(__xludf.DUMMYFUNCTION("""COMPUTED_VALUE"""),391.0)</f>
        <v>391</v>
      </c>
      <c r="F64" s="125">
        <f>IFERROR(__xludf.DUMMYFUNCTION("""COMPUTED_VALUE"""),383.0)</f>
        <v>383</v>
      </c>
      <c r="G64" s="125">
        <f>IFERROR(__xludf.DUMMYFUNCTION("""COMPUTED_VALUE"""),0.0)</f>
        <v>0</v>
      </c>
      <c r="H64" s="125">
        <f>IFERROR(__xludf.DUMMYFUNCTION("""COMPUTED_VALUE"""),8.0)</f>
        <v>8</v>
      </c>
      <c r="I64" s="125">
        <f>IFERROR(__xludf.DUMMYFUNCTION("""COMPUTED_VALUE"""),332.0)</f>
        <v>332</v>
      </c>
      <c r="J64" s="125">
        <f>IFERROR(__xludf.DUMMYFUNCTION("""COMPUTED_VALUE"""),332.0)</f>
        <v>332</v>
      </c>
      <c r="K64" s="125">
        <f>IFERROR(__xludf.DUMMYFUNCTION("""COMPUTED_VALUE"""),0.0)</f>
        <v>0</v>
      </c>
      <c r="L64" s="125">
        <f>IFERROR(__xludf.DUMMYFUNCTION("""COMPUTED_VALUE"""),0.0)</f>
        <v>0</v>
      </c>
      <c r="M64" s="125">
        <f>IFERROR(__xludf.DUMMYFUNCTION("""COMPUTED_VALUE"""),332.0)</f>
        <v>332</v>
      </c>
      <c r="N64" s="125">
        <f>IFERROR(__xludf.DUMMYFUNCTION("""COMPUTED_VALUE"""),332.0)</f>
        <v>332</v>
      </c>
      <c r="O64" s="125">
        <f>IFERROR(__xludf.DUMMYFUNCTION("""COMPUTED_VALUE"""),0.0)</f>
        <v>0</v>
      </c>
      <c r="P64" s="125">
        <f>IFERROR(__xludf.DUMMYFUNCTION("""COMPUTED_VALUE"""),0.0)</f>
        <v>0</v>
      </c>
      <c r="Q64" s="125">
        <f>IFERROR(__xludf.DUMMYFUNCTION("""COMPUTED_VALUE"""),350.0)</f>
        <v>350</v>
      </c>
      <c r="R64" s="125">
        <f>IFERROR(__xludf.DUMMYFUNCTION("""COMPUTED_VALUE"""),283.0)</f>
        <v>283</v>
      </c>
      <c r="S64" s="125">
        <f>IFERROR(__xludf.DUMMYFUNCTION("""COMPUTED_VALUE"""),49.0)</f>
        <v>49</v>
      </c>
      <c r="T64" s="125">
        <f>IFERROR(__xludf.DUMMYFUNCTION("""COMPUTED_VALUE"""),18.0)</f>
        <v>18</v>
      </c>
      <c r="U64" s="125">
        <f>IFERROR(__xludf.DUMMYFUNCTION("""COMPUTED_VALUE"""),350.0)</f>
        <v>350</v>
      </c>
      <c r="V64" s="125">
        <f>IFERROR(__xludf.DUMMYFUNCTION("""COMPUTED_VALUE"""),332.0)</f>
        <v>332</v>
      </c>
      <c r="W64" s="125">
        <f>IFERROR(__xludf.DUMMYFUNCTION("""COMPUTED_VALUE"""),0.0)</f>
        <v>0</v>
      </c>
      <c r="X64" s="125">
        <f>IFERROR(__xludf.DUMMYFUNCTION("""COMPUTED_VALUE"""),18.0)</f>
        <v>18</v>
      </c>
      <c r="Y64" s="125">
        <f>IFERROR(__xludf.DUMMYFUNCTION("""COMPUTED_VALUE"""),350.0)</f>
        <v>350</v>
      </c>
      <c r="Z64" s="125">
        <f>IFERROR(__xludf.DUMMYFUNCTION("""COMPUTED_VALUE"""),332.0)</f>
        <v>332</v>
      </c>
      <c r="AA64" s="125">
        <f>IFERROR(__xludf.DUMMYFUNCTION("""COMPUTED_VALUE"""),0.0)</f>
        <v>0</v>
      </c>
      <c r="AB64" s="125">
        <f>IFERROR(__xludf.DUMMYFUNCTION("""COMPUTED_VALUE"""),18.0)</f>
        <v>18</v>
      </c>
      <c r="AC64" s="125">
        <f>IFERROR(__xludf.DUMMYFUNCTION("""COMPUTED_VALUE"""),330.0)</f>
        <v>330</v>
      </c>
      <c r="AD64" s="125">
        <f>IFERROR(__xludf.DUMMYFUNCTION("""COMPUTED_VALUE"""),312.0)</f>
        <v>312</v>
      </c>
      <c r="AE64" s="125">
        <f>IFERROR(__xludf.DUMMYFUNCTION("""COMPUTED_VALUE"""),0.0)</f>
        <v>0</v>
      </c>
      <c r="AF64" s="125">
        <f>IFERROR(__xludf.DUMMYFUNCTION("""COMPUTED_VALUE"""),18.0)</f>
        <v>18</v>
      </c>
      <c r="AG64" s="125">
        <f>IFERROR(__xludf.DUMMYFUNCTION("""COMPUTED_VALUE"""),54.0)</f>
        <v>54</v>
      </c>
      <c r="AH64" s="125">
        <f>IFERROR(__xludf.DUMMYFUNCTION("""COMPUTED_VALUE"""),54.0)</f>
        <v>54</v>
      </c>
      <c r="AI64" s="125">
        <f>IFERROR(__xludf.DUMMYFUNCTION("""COMPUTED_VALUE"""),0.0)</f>
        <v>0</v>
      </c>
      <c r="AJ64" s="125">
        <f>IFERROR(__xludf.DUMMYFUNCTION("""COMPUTED_VALUE"""),0.0)</f>
        <v>0</v>
      </c>
      <c r="AK64" s="125">
        <f>IFERROR(__xludf.DUMMYFUNCTION("""COMPUTED_VALUE"""),0.0)</f>
        <v>0</v>
      </c>
      <c r="AL64" s="125">
        <f>IFERROR(__xludf.DUMMYFUNCTION("""COMPUTED_VALUE"""),0.0)</f>
        <v>0</v>
      </c>
      <c r="AM64" s="125">
        <f>IFERROR(__xludf.DUMMYFUNCTION("""COMPUTED_VALUE"""),0.0)</f>
        <v>0</v>
      </c>
      <c r="AN64" s="125">
        <f>IFERROR(__xludf.DUMMYFUNCTION("""COMPUTED_VALUE"""),0.0)</f>
        <v>0</v>
      </c>
      <c r="AO64" s="125">
        <f>IFERROR(__xludf.DUMMYFUNCTION("""COMPUTED_VALUE"""),0.0)</f>
        <v>0</v>
      </c>
      <c r="AP64" s="125">
        <f>IFERROR(__xludf.DUMMYFUNCTION("""COMPUTED_VALUE"""),0.0)</f>
        <v>0</v>
      </c>
      <c r="AQ64" s="125">
        <f>IFERROR(__xludf.DUMMYFUNCTION("""COMPUTED_VALUE"""),0.0)</f>
        <v>0</v>
      </c>
      <c r="AR64" s="125">
        <f>IFERROR(__xludf.DUMMYFUNCTION("""COMPUTED_VALUE"""),0.0)</f>
        <v>0</v>
      </c>
      <c r="AS64" s="125">
        <f>IFERROR(__xludf.DUMMYFUNCTION("""COMPUTED_VALUE"""),0.0)</f>
        <v>0</v>
      </c>
      <c r="AT64" s="125">
        <f>IFERROR(__xludf.DUMMYFUNCTION("""COMPUTED_VALUE"""),0.0)</f>
        <v>0</v>
      </c>
      <c r="AU64" s="125">
        <f>IFERROR(__xludf.DUMMYFUNCTION("""COMPUTED_VALUE"""),0.0)</f>
        <v>0</v>
      </c>
      <c r="AV64" s="125">
        <f>IFERROR(__xludf.DUMMYFUNCTION("""COMPUTED_VALUE"""),0.0)</f>
        <v>0</v>
      </c>
      <c r="AW64" s="125">
        <f>IFERROR(__xludf.DUMMYFUNCTION("""COMPUTED_VALUE"""),0.0)</f>
        <v>0</v>
      </c>
      <c r="AX64" s="125">
        <f>IFERROR(__xludf.DUMMYFUNCTION("""COMPUTED_VALUE"""),0.0)</f>
        <v>0</v>
      </c>
      <c r="AY64" s="125">
        <f>IFERROR(__xludf.DUMMYFUNCTION("""COMPUTED_VALUE"""),0.0)</f>
        <v>0</v>
      </c>
      <c r="AZ64" s="127">
        <f>IFERROR(__xludf.DUMMYFUNCTION("""COMPUTED_VALUE"""),0.0)</f>
        <v>0</v>
      </c>
      <c r="BA64" s="34"/>
    </row>
    <row r="65" ht="15.75" customHeight="1">
      <c r="A65" s="29"/>
      <c r="B65" s="48" t="str">
        <f>IFERROR(__xludf.DUMMYFUNCTION("""COMPUTED_VALUE"""),"Chia ra:")</f>
        <v>Chia ra:</v>
      </c>
      <c r="C65" s="49"/>
      <c r="D65" s="3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50"/>
      <c r="BA65" s="34"/>
    </row>
    <row r="66" ht="15.75" customHeight="1">
      <c r="A66" s="29"/>
      <c r="B66" s="67" t="str">
        <f>IFERROR(__xludf.DUMMYFUNCTION("""COMPUTED_VALUE""")," + Kiên cố")</f>
        <v> + Kiên cố</v>
      </c>
      <c r="C66" s="31"/>
      <c r="D66" s="31" t="str">
        <f>IFERROR(__xludf.DUMMYFUNCTION("""COMPUTED_VALUE"""),"""")</f>
        <v>"</v>
      </c>
      <c r="E66" s="41">
        <f>IFERROR(__xludf.DUMMYFUNCTION("""COMPUTED_VALUE"""),390.0)</f>
        <v>390</v>
      </c>
      <c r="F66" s="42">
        <f>IFERROR(__xludf.DUMMYFUNCTION("""COMPUTED_VALUE"""),382.0)</f>
        <v>382</v>
      </c>
      <c r="G66" s="42">
        <f>IFERROR(__xludf.DUMMYFUNCTION("""COMPUTED_VALUE"""),0.0)</f>
        <v>0</v>
      </c>
      <c r="H66" s="42">
        <f>IFERROR(__xludf.DUMMYFUNCTION("""COMPUTED_VALUE"""),8.0)</f>
        <v>8</v>
      </c>
      <c r="I66" s="41">
        <f>IFERROR(__xludf.DUMMYFUNCTION("""COMPUTED_VALUE"""),331.0)</f>
        <v>331</v>
      </c>
      <c r="J66" s="42">
        <f>IFERROR(__xludf.DUMMYFUNCTION("""COMPUTED_VALUE"""),331.0)</f>
        <v>331</v>
      </c>
      <c r="K66" s="42">
        <f>IFERROR(__xludf.DUMMYFUNCTION("""COMPUTED_VALUE"""),0.0)</f>
        <v>0</v>
      </c>
      <c r="L66" s="42">
        <f>IFERROR(__xludf.DUMMYFUNCTION("""COMPUTED_VALUE"""),0.0)</f>
        <v>0</v>
      </c>
      <c r="M66" s="41">
        <f>IFERROR(__xludf.DUMMYFUNCTION("""COMPUTED_VALUE"""),331.0)</f>
        <v>331</v>
      </c>
      <c r="N66" s="42">
        <f>IFERROR(__xludf.DUMMYFUNCTION("""COMPUTED_VALUE"""),331.0)</f>
        <v>331</v>
      </c>
      <c r="O66" s="42">
        <f>IFERROR(__xludf.DUMMYFUNCTION("""COMPUTED_VALUE"""),0.0)</f>
        <v>0</v>
      </c>
      <c r="P66" s="42">
        <f>IFERROR(__xludf.DUMMYFUNCTION("""COMPUTED_VALUE"""),0.0)</f>
        <v>0</v>
      </c>
      <c r="Q66" s="41">
        <f>IFERROR(__xludf.DUMMYFUNCTION("""COMPUTED_VALUE"""),349.0)</f>
        <v>349</v>
      </c>
      <c r="R66" s="42">
        <f>IFERROR(__xludf.DUMMYFUNCTION("""COMPUTED_VALUE"""),282.0)</f>
        <v>282</v>
      </c>
      <c r="S66" s="42">
        <f>IFERROR(__xludf.DUMMYFUNCTION("""COMPUTED_VALUE"""),49.0)</f>
        <v>49</v>
      </c>
      <c r="T66" s="42">
        <f>IFERROR(__xludf.DUMMYFUNCTION("""COMPUTED_VALUE"""),18.0)</f>
        <v>18</v>
      </c>
      <c r="U66" s="41">
        <f>IFERROR(__xludf.DUMMYFUNCTION("""COMPUTED_VALUE"""),349.0)</f>
        <v>349</v>
      </c>
      <c r="V66" s="42">
        <f>IFERROR(__xludf.DUMMYFUNCTION("""COMPUTED_VALUE"""),331.0)</f>
        <v>331</v>
      </c>
      <c r="W66" s="42">
        <f>IFERROR(__xludf.DUMMYFUNCTION("""COMPUTED_VALUE"""),0.0)</f>
        <v>0</v>
      </c>
      <c r="X66" s="42">
        <f>IFERROR(__xludf.DUMMYFUNCTION("""COMPUTED_VALUE"""),18.0)</f>
        <v>18</v>
      </c>
      <c r="Y66" s="41">
        <f>IFERROR(__xludf.DUMMYFUNCTION("""COMPUTED_VALUE"""),349.0)</f>
        <v>349</v>
      </c>
      <c r="Z66" s="42">
        <f>IFERROR(__xludf.DUMMYFUNCTION("""COMPUTED_VALUE"""),331.0)</f>
        <v>331</v>
      </c>
      <c r="AA66" s="42">
        <f>IFERROR(__xludf.DUMMYFUNCTION("""COMPUTED_VALUE"""),0.0)</f>
        <v>0</v>
      </c>
      <c r="AB66" s="42">
        <f>IFERROR(__xludf.DUMMYFUNCTION("""COMPUTED_VALUE"""),18.0)</f>
        <v>18</v>
      </c>
      <c r="AC66" s="41">
        <f>IFERROR(__xludf.DUMMYFUNCTION("""COMPUTED_VALUE"""),311.0)</f>
        <v>311</v>
      </c>
      <c r="AD66" s="42">
        <f>IFERROR(__xludf.DUMMYFUNCTION("""COMPUTED_VALUE"""),311.0)</f>
        <v>311</v>
      </c>
      <c r="AE66" s="42">
        <f>IFERROR(__xludf.DUMMYFUNCTION("""COMPUTED_VALUE"""),0.0)</f>
        <v>0</v>
      </c>
      <c r="AF66" s="42">
        <f>IFERROR(__xludf.DUMMYFUNCTION("""COMPUTED_VALUE"""),0.0)</f>
        <v>0</v>
      </c>
      <c r="AG66" s="41">
        <f>IFERROR(__xludf.DUMMYFUNCTION("""COMPUTED_VALUE"""),54.0)</f>
        <v>54</v>
      </c>
      <c r="AH66" s="42">
        <f>IFERROR(__xludf.DUMMYFUNCTION("""COMPUTED_VALUE"""),54.0)</f>
        <v>54</v>
      </c>
      <c r="AI66" s="42">
        <f>IFERROR(__xludf.DUMMYFUNCTION("""COMPUTED_VALUE"""),0.0)</f>
        <v>0</v>
      </c>
      <c r="AJ66" s="42">
        <f>IFERROR(__xludf.DUMMYFUNCTION("""COMPUTED_VALUE"""),0.0)</f>
        <v>0</v>
      </c>
      <c r="AK66" s="41">
        <f>IFERROR(__xludf.DUMMYFUNCTION("""COMPUTED_VALUE"""),0.0)</f>
        <v>0</v>
      </c>
      <c r="AL66" s="42">
        <f>IFERROR(__xludf.DUMMYFUNCTION("""COMPUTED_VALUE"""),0.0)</f>
        <v>0</v>
      </c>
      <c r="AM66" s="42">
        <f>IFERROR(__xludf.DUMMYFUNCTION("""COMPUTED_VALUE"""),0.0)</f>
        <v>0</v>
      </c>
      <c r="AN66" s="42">
        <f>IFERROR(__xludf.DUMMYFUNCTION("""COMPUTED_VALUE"""),0.0)</f>
        <v>0</v>
      </c>
      <c r="AO66" s="41">
        <f>IFERROR(__xludf.DUMMYFUNCTION("""COMPUTED_VALUE"""),0.0)</f>
        <v>0</v>
      </c>
      <c r="AP66" s="42">
        <f>IFERROR(__xludf.DUMMYFUNCTION("""COMPUTED_VALUE"""),0.0)</f>
        <v>0</v>
      </c>
      <c r="AQ66" s="42">
        <f>IFERROR(__xludf.DUMMYFUNCTION("""COMPUTED_VALUE"""),0.0)</f>
        <v>0</v>
      </c>
      <c r="AR66" s="42">
        <f>IFERROR(__xludf.DUMMYFUNCTION("""COMPUTED_VALUE"""),0.0)</f>
        <v>0</v>
      </c>
      <c r="AS66" s="41">
        <f>IFERROR(__xludf.DUMMYFUNCTION("""COMPUTED_VALUE"""),0.0)</f>
        <v>0</v>
      </c>
      <c r="AT66" s="42">
        <f>IFERROR(__xludf.DUMMYFUNCTION("""COMPUTED_VALUE"""),0.0)</f>
        <v>0</v>
      </c>
      <c r="AU66" s="42">
        <f>IFERROR(__xludf.DUMMYFUNCTION("""COMPUTED_VALUE"""),0.0)</f>
        <v>0</v>
      </c>
      <c r="AV66" s="42">
        <f>IFERROR(__xludf.DUMMYFUNCTION("""COMPUTED_VALUE"""),0.0)</f>
        <v>0</v>
      </c>
      <c r="AW66" s="41">
        <f>IFERROR(__xludf.DUMMYFUNCTION("""COMPUTED_VALUE"""),0.0)</f>
        <v>0</v>
      </c>
      <c r="AX66" s="42">
        <f>IFERROR(__xludf.DUMMYFUNCTION("""COMPUTED_VALUE"""),0.0)</f>
        <v>0</v>
      </c>
      <c r="AY66" s="42">
        <f>IFERROR(__xludf.DUMMYFUNCTION("""COMPUTED_VALUE"""),0.0)</f>
        <v>0</v>
      </c>
      <c r="AZ66" s="43">
        <f>IFERROR(__xludf.DUMMYFUNCTION("""COMPUTED_VALUE"""),0.0)</f>
        <v>0</v>
      </c>
      <c r="BA66" s="34"/>
    </row>
    <row r="67" ht="15.75" customHeight="1">
      <c r="A67" s="29"/>
      <c r="B67" s="67" t="str">
        <f>IFERROR(__xludf.DUMMYFUNCTION("""COMPUTED_VALUE""")," + Bán kiên cố")</f>
        <v> + Bán kiên cố</v>
      </c>
      <c r="C67" s="31"/>
      <c r="D67" s="31" t="str">
        <f>IFERROR(__xludf.DUMMYFUNCTION("""COMPUTED_VALUE"""),"""")</f>
        <v>"</v>
      </c>
      <c r="E67" s="41">
        <f>IFERROR(__xludf.DUMMYFUNCTION("""COMPUTED_VALUE"""),0.0)</f>
        <v>0</v>
      </c>
      <c r="F67" s="42">
        <f>IFERROR(__xludf.DUMMYFUNCTION("""COMPUTED_VALUE"""),0.0)</f>
        <v>0</v>
      </c>
      <c r="G67" s="42">
        <f>IFERROR(__xludf.DUMMYFUNCTION("""COMPUTED_VALUE"""),0.0)</f>
        <v>0</v>
      </c>
      <c r="H67" s="42">
        <f>IFERROR(__xludf.DUMMYFUNCTION("""COMPUTED_VALUE"""),0.0)</f>
        <v>0</v>
      </c>
      <c r="I67" s="41">
        <f>IFERROR(__xludf.DUMMYFUNCTION("""COMPUTED_VALUE"""),0.0)</f>
        <v>0</v>
      </c>
      <c r="J67" s="42">
        <f>IFERROR(__xludf.DUMMYFUNCTION("""COMPUTED_VALUE"""),0.0)</f>
        <v>0</v>
      </c>
      <c r="K67" s="42">
        <f>IFERROR(__xludf.DUMMYFUNCTION("""COMPUTED_VALUE"""),0.0)</f>
        <v>0</v>
      </c>
      <c r="L67" s="42">
        <f>IFERROR(__xludf.DUMMYFUNCTION("""COMPUTED_VALUE"""),0.0)</f>
        <v>0</v>
      </c>
      <c r="M67" s="41">
        <f>IFERROR(__xludf.DUMMYFUNCTION("""COMPUTED_VALUE"""),0.0)</f>
        <v>0</v>
      </c>
      <c r="N67" s="42">
        <f>IFERROR(__xludf.DUMMYFUNCTION("""COMPUTED_VALUE"""),0.0)</f>
        <v>0</v>
      </c>
      <c r="O67" s="42">
        <f>IFERROR(__xludf.DUMMYFUNCTION("""COMPUTED_VALUE"""),0.0)</f>
        <v>0</v>
      </c>
      <c r="P67" s="42">
        <f>IFERROR(__xludf.DUMMYFUNCTION("""COMPUTED_VALUE"""),0.0)</f>
        <v>0</v>
      </c>
      <c r="Q67" s="41">
        <f>IFERROR(__xludf.DUMMYFUNCTION("""COMPUTED_VALUE"""),0.0)</f>
        <v>0</v>
      </c>
      <c r="R67" s="42">
        <f>IFERROR(__xludf.DUMMYFUNCTION("""COMPUTED_VALUE"""),0.0)</f>
        <v>0</v>
      </c>
      <c r="S67" s="42">
        <f>IFERROR(__xludf.DUMMYFUNCTION("""COMPUTED_VALUE"""),0.0)</f>
        <v>0</v>
      </c>
      <c r="T67" s="42">
        <f>IFERROR(__xludf.DUMMYFUNCTION("""COMPUTED_VALUE"""),0.0)</f>
        <v>0</v>
      </c>
      <c r="U67" s="41">
        <f>IFERROR(__xludf.DUMMYFUNCTION("""COMPUTED_VALUE"""),0.0)</f>
        <v>0</v>
      </c>
      <c r="V67" s="42">
        <f>IFERROR(__xludf.DUMMYFUNCTION("""COMPUTED_VALUE"""),0.0)</f>
        <v>0</v>
      </c>
      <c r="W67" s="42">
        <f>IFERROR(__xludf.DUMMYFUNCTION("""COMPUTED_VALUE"""),0.0)</f>
        <v>0</v>
      </c>
      <c r="X67" s="42">
        <f>IFERROR(__xludf.DUMMYFUNCTION("""COMPUTED_VALUE"""),0.0)</f>
        <v>0</v>
      </c>
      <c r="Y67" s="41">
        <f>IFERROR(__xludf.DUMMYFUNCTION("""COMPUTED_VALUE"""),0.0)</f>
        <v>0</v>
      </c>
      <c r="Z67" s="42">
        <f>IFERROR(__xludf.DUMMYFUNCTION("""COMPUTED_VALUE"""),0.0)</f>
        <v>0</v>
      </c>
      <c r="AA67" s="42">
        <f>IFERROR(__xludf.DUMMYFUNCTION("""COMPUTED_VALUE"""),0.0)</f>
        <v>0</v>
      </c>
      <c r="AB67" s="42">
        <f>IFERROR(__xludf.DUMMYFUNCTION("""COMPUTED_VALUE"""),0.0)</f>
        <v>0</v>
      </c>
      <c r="AC67" s="41">
        <f>IFERROR(__xludf.DUMMYFUNCTION("""COMPUTED_VALUE"""),18.0)</f>
        <v>18</v>
      </c>
      <c r="AD67" s="42">
        <f>IFERROR(__xludf.DUMMYFUNCTION("""COMPUTED_VALUE"""),0.0)</f>
        <v>0</v>
      </c>
      <c r="AE67" s="42">
        <f>IFERROR(__xludf.DUMMYFUNCTION("""COMPUTED_VALUE"""),0.0)</f>
        <v>0</v>
      </c>
      <c r="AF67" s="42">
        <f>IFERROR(__xludf.DUMMYFUNCTION("""COMPUTED_VALUE"""),18.0)</f>
        <v>18</v>
      </c>
      <c r="AG67" s="41">
        <f>IFERROR(__xludf.DUMMYFUNCTION("""COMPUTED_VALUE"""),0.0)</f>
        <v>0</v>
      </c>
      <c r="AH67" s="42">
        <f>IFERROR(__xludf.DUMMYFUNCTION("""COMPUTED_VALUE"""),0.0)</f>
        <v>0</v>
      </c>
      <c r="AI67" s="42">
        <f>IFERROR(__xludf.DUMMYFUNCTION("""COMPUTED_VALUE"""),0.0)</f>
        <v>0</v>
      </c>
      <c r="AJ67" s="42">
        <f>IFERROR(__xludf.DUMMYFUNCTION("""COMPUTED_VALUE"""),0.0)</f>
        <v>0</v>
      </c>
      <c r="AK67" s="41">
        <f>IFERROR(__xludf.DUMMYFUNCTION("""COMPUTED_VALUE"""),0.0)</f>
        <v>0</v>
      </c>
      <c r="AL67" s="42">
        <f>IFERROR(__xludf.DUMMYFUNCTION("""COMPUTED_VALUE"""),0.0)</f>
        <v>0</v>
      </c>
      <c r="AM67" s="42">
        <f>IFERROR(__xludf.DUMMYFUNCTION("""COMPUTED_VALUE"""),0.0)</f>
        <v>0</v>
      </c>
      <c r="AN67" s="42">
        <f>IFERROR(__xludf.DUMMYFUNCTION("""COMPUTED_VALUE"""),0.0)</f>
        <v>0</v>
      </c>
      <c r="AO67" s="41">
        <f>IFERROR(__xludf.DUMMYFUNCTION("""COMPUTED_VALUE"""),0.0)</f>
        <v>0</v>
      </c>
      <c r="AP67" s="42">
        <f>IFERROR(__xludf.DUMMYFUNCTION("""COMPUTED_VALUE"""),0.0)</f>
        <v>0</v>
      </c>
      <c r="AQ67" s="42">
        <f>IFERROR(__xludf.DUMMYFUNCTION("""COMPUTED_VALUE"""),0.0)</f>
        <v>0</v>
      </c>
      <c r="AR67" s="42">
        <f>IFERROR(__xludf.DUMMYFUNCTION("""COMPUTED_VALUE"""),0.0)</f>
        <v>0</v>
      </c>
      <c r="AS67" s="41">
        <f>IFERROR(__xludf.DUMMYFUNCTION("""COMPUTED_VALUE"""),0.0)</f>
        <v>0</v>
      </c>
      <c r="AT67" s="42">
        <f>IFERROR(__xludf.DUMMYFUNCTION("""COMPUTED_VALUE"""),0.0)</f>
        <v>0</v>
      </c>
      <c r="AU67" s="42">
        <f>IFERROR(__xludf.DUMMYFUNCTION("""COMPUTED_VALUE"""),0.0)</f>
        <v>0</v>
      </c>
      <c r="AV67" s="42">
        <f>IFERROR(__xludf.DUMMYFUNCTION("""COMPUTED_VALUE"""),0.0)</f>
        <v>0</v>
      </c>
      <c r="AW67" s="41">
        <f>IFERROR(__xludf.DUMMYFUNCTION("""COMPUTED_VALUE"""),0.0)</f>
        <v>0</v>
      </c>
      <c r="AX67" s="42">
        <f>IFERROR(__xludf.DUMMYFUNCTION("""COMPUTED_VALUE"""),0.0)</f>
        <v>0</v>
      </c>
      <c r="AY67" s="42">
        <f>IFERROR(__xludf.DUMMYFUNCTION("""COMPUTED_VALUE"""),0.0)</f>
        <v>0</v>
      </c>
      <c r="AZ67" s="43">
        <f>IFERROR(__xludf.DUMMYFUNCTION("""COMPUTED_VALUE"""),0.0)</f>
        <v>0</v>
      </c>
      <c r="BA67" s="34"/>
    </row>
    <row r="68" ht="15.75" customHeight="1">
      <c r="A68" s="29"/>
      <c r="B68" s="67" t="str">
        <f>IFERROR(__xludf.DUMMYFUNCTION("""COMPUTED_VALUE""")," + Tạm")</f>
        <v> + Tạm</v>
      </c>
      <c r="C68" s="31"/>
      <c r="D68" s="31" t="str">
        <f>IFERROR(__xludf.DUMMYFUNCTION("""COMPUTED_VALUE"""),"""")</f>
        <v>"</v>
      </c>
      <c r="E68" s="41">
        <f>IFERROR(__xludf.DUMMYFUNCTION("""COMPUTED_VALUE"""),1.0)</f>
        <v>1</v>
      </c>
      <c r="F68" s="42">
        <f>IFERROR(__xludf.DUMMYFUNCTION("""COMPUTED_VALUE"""),1.0)</f>
        <v>1</v>
      </c>
      <c r="G68" s="42">
        <f>IFERROR(__xludf.DUMMYFUNCTION("""COMPUTED_VALUE"""),0.0)</f>
        <v>0</v>
      </c>
      <c r="H68" s="42">
        <f>IFERROR(__xludf.DUMMYFUNCTION("""COMPUTED_VALUE"""),0.0)</f>
        <v>0</v>
      </c>
      <c r="I68" s="41">
        <f>IFERROR(__xludf.DUMMYFUNCTION("""COMPUTED_VALUE"""),1.0)</f>
        <v>1</v>
      </c>
      <c r="J68" s="42">
        <f>IFERROR(__xludf.DUMMYFUNCTION("""COMPUTED_VALUE"""),1.0)</f>
        <v>1</v>
      </c>
      <c r="K68" s="42">
        <f>IFERROR(__xludf.DUMMYFUNCTION("""COMPUTED_VALUE"""),0.0)</f>
        <v>0</v>
      </c>
      <c r="L68" s="42">
        <f>IFERROR(__xludf.DUMMYFUNCTION("""COMPUTED_VALUE"""),0.0)</f>
        <v>0</v>
      </c>
      <c r="M68" s="41">
        <f>IFERROR(__xludf.DUMMYFUNCTION("""COMPUTED_VALUE"""),1.0)</f>
        <v>1</v>
      </c>
      <c r="N68" s="42">
        <f>IFERROR(__xludf.DUMMYFUNCTION("""COMPUTED_VALUE"""),1.0)</f>
        <v>1</v>
      </c>
      <c r="O68" s="42">
        <f>IFERROR(__xludf.DUMMYFUNCTION("""COMPUTED_VALUE"""),0.0)</f>
        <v>0</v>
      </c>
      <c r="P68" s="42">
        <f>IFERROR(__xludf.DUMMYFUNCTION("""COMPUTED_VALUE"""),0.0)</f>
        <v>0</v>
      </c>
      <c r="Q68" s="41">
        <f>IFERROR(__xludf.DUMMYFUNCTION("""COMPUTED_VALUE"""),1.0)</f>
        <v>1</v>
      </c>
      <c r="R68" s="42">
        <f>IFERROR(__xludf.DUMMYFUNCTION("""COMPUTED_VALUE"""),1.0)</f>
        <v>1</v>
      </c>
      <c r="S68" s="42">
        <f>IFERROR(__xludf.DUMMYFUNCTION("""COMPUTED_VALUE"""),0.0)</f>
        <v>0</v>
      </c>
      <c r="T68" s="42">
        <f>IFERROR(__xludf.DUMMYFUNCTION("""COMPUTED_VALUE"""),0.0)</f>
        <v>0</v>
      </c>
      <c r="U68" s="41">
        <f>IFERROR(__xludf.DUMMYFUNCTION("""COMPUTED_VALUE"""),1.0)</f>
        <v>1</v>
      </c>
      <c r="V68" s="42">
        <f>IFERROR(__xludf.DUMMYFUNCTION("""COMPUTED_VALUE"""),1.0)</f>
        <v>1</v>
      </c>
      <c r="W68" s="42">
        <f>IFERROR(__xludf.DUMMYFUNCTION("""COMPUTED_VALUE"""),0.0)</f>
        <v>0</v>
      </c>
      <c r="X68" s="42">
        <f>IFERROR(__xludf.DUMMYFUNCTION("""COMPUTED_VALUE"""),0.0)</f>
        <v>0</v>
      </c>
      <c r="Y68" s="41">
        <f>IFERROR(__xludf.DUMMYFUNCTION("""COMPUTED_VALUE"""),1.0)</f>
        <v>1</v>
      </c>
      <c r="Z68" s="42">
        <f>IFERROR(__xludf.DUMMYFUNCTION("""COMPUTED_VALUE"""),1.0)</f>
        <v>1</v>
      </c>
      <c r="AA68" s="42">
        <f>IFERROR(__xludf.DUMMYFUNCTION("""COMPUTED_VALUE"""),0.0)</f>
        <v>0</v>
      </c>
      <c r="AB68" s="42">
        <f>IFERROR(__xludf.DUMMYFUNCTION("""COMPUTED_VALUE"""),0.0)</f>
        <v>0</v>
      </c>
      <c r="AC68" s="41">
        <f>IFERROR(__xludf.DUMMYFUNCTION("""COMPUTED_VALUE"""),1.0)</f>
        <v>1</v>
      </c>
      <c r="AD68" s="42">
        <f>IFERROR(__xludf.DUMMYFUNCTION("""COMPUTED_VALUE"""),1.0)</f>
        <v>1</v>
      </c>
      <c r="AE68" s="42">
        <f>IFERROR(__xludf.DUMMYFUNCTION("""COMPUTED_VALUE"""),0.0)</f>
        <v>0</v>
      </c>
      <c r="AF68" s="42">
        <f>IFERROR(__xludf.DUMMYFUNCTION("""COMPUTED_VALUE"""),0.0)</f>
        <v>0</v>
      </c>
      <c r="AG68" s="41">
        <f>IFERROR(__xludf.DUMMYFUNCTION("""COMPUTED_VALUE"""),0.0)</f>
        <v>0</v>
      </c>
      <c r="AH68" s="42">
        <f>IFERROR(__xludf.DUMMYFUNCTION("""COMPUTED_VALUE"""),0.0)</f>
        <v>0</v>
      </c>
      <c r="AI68" s="42">
        <f>IFERROR(__xludf.DUMMYFUNCTION("""COMPUTED_VALUE"""),0.0)</f>
        <v>0</v>
      </c>
      <c r="AJ68" s="42">
        <f>IFERROR(__xludf.DUMMYFUNCTION("""COMPUTED_VALUE"""),0.0)</f>
        <v>0</v>
      </c>
      <c r="AK68" s="41">
        <f>IFERROR(__xludf.DUMMYFUNCTION("""COMPUTED_VALUE"""),0.0)</f>
        <v>0</v>
      </c>
      <c r="AL68" s="42">
        <f>IFERROR(__xludf.DUMMYFUNCTION("""COMPUTED_VALUE"""),0.0)</f>
        <v>0</v>
      </c>
      <c r="AM68" s="42">
        <f>IFERROR(__xludf.DUMMYFUNCTION("""COMPUTED_VALUE"""),0.0)</f>
        <v>0</v>
      </c>
      <c r="AN68" s="42">
        <f>IFERROR(__xludf.DUMMYFUNCTION("""COMPUTED_VALUE"""),0.0)</f>
        <v>0</v>
      </c>
      <c r="AO68" s="41">
        <f>IFERROR(__xludf.DUMMYFUNCTION("""COMPUTED_VALUE"""),0.0)</f>
        <v>0</v>
      </c>
      <c r="AP68" s="42">
        <f>IFERROR(__xludf.DUMMYFUNCTION("""COMPUTED_VALUE"""),0.0)</f>
        <v>0</v>
      </c>
      <c r="AQ68" s="42">
        <f>IFERROR(__xludf.DUMMYFUNCTION("""COMPUTED_VALUE"""),0.0)</f>
        <v>0</v>
      </c>
      <c r="AR68" s="42">
        <f>IFERROR(__xludf.DUMMYFUNCTION("""COMPUTED_VALUE"""),0.0)</f>
        <v>0</v>
      </c>
      <c r="AS68" s="41">
        <f>IFERROR(__xludf.DUMMYFUNCTION("""COMPUTED_VALUE"""),0.0)</f>
        <v>0</v>
      </c>
      <c r="AT68" s="42">
        <f>IFERROR(__xludf.DUMMYFUNCTION("""COMPUTED_VALUE"""),0.0)</f>
        <v>0</v>
      </c>
      <c r="AU68" s="42">
        <f>IFERROR(__xludf.DUMMYFUNCTION("""COMPUTED_VALUE"""),0.0)</f>
        <v>0</v>
      </c>
      <c r="AV68" s="42">
        <f>IFERROR(__xludf.DUMMYFUNCTION("""COMPUTED_VALUE"""),0.0)</f>
        <v>0</v>
      </c>
      <c r="AW68" s="41">
        <f>IFERROR(__xludf.DUMMYFUNCTION("""COMPUTED_VALUE"""),0.0)</f>
        <v>0</v>
      </c>
      <c r="AX68" s="42">
        <f>IFERROR(__xludf.DUMMYFUNCTION("""COMPUTED_VALUE"""),0.0)</f>
        <v>0</v>
      </c>
      <c r="AY68" s="42">
        <f>IFERROR(__xludf.DUMMYFUNCTION("""COMPUTED_VALUE"""),0.0)</f>
        <v>0</v>
      </c>
      <c r="AZ68" s="43">
        <f>IFERROR(__xludf.DUMMYFUNCTION("""COMPUTED_VALUE"""),0.0)</f>
        <v>0</v>
      </c>
      <c r="BA68" s="34"/>
    </row>
    <row r="69" ht="15.75" customHeight="1">
      <c r="A69" s="29"/>
      <c r="B69" s="196" t="str">
        <f>IFERROR(__xludf.DUMMYFUNCTION("""COMPUTED_VALUE"""),"6.2. Tổng số phòng bộ môn")</f>
        <v>6.2. Tổng số phòng bộ môn</v>
      </c>
      <c r="C69" s="57"/>
      <c r="D69" s="57" t="str">
        <f>IFERROR(__xludf.DUMMYFUNCTION("""COMPUTED_VALUE"""),"Phòng")</f>
        <v>Phòng</v>
      </c>
      <c r="E69" s="125">
        <f>IFERROR(__xludf.DUMMYFUNCTION("""COMPUTED_VALUE"""),94.0)</f>
        <v>94</v>
      </c>
      <c r="F69" s="125">
        <f>IFERROR(__xludf.DUMMYFUNCTION("""COMPUTED_VALUE"""),92.0)</f>
        <v>92</v>
      </c>
      <c r="G69" s="125">
        <f>IFERROR(__xludf.DUMMYFUNCTION("""COMPUTED_VALUE"""),0.0)</f>
        <v>0</v>
      </c>
      <c r="H69" s="125">
        <f>IFERROR(__xludf.DUMMYFUNCTION("""COMPUTED_VALUE"""),2.0)</f>
        <v>2</v>
      </c>
      <c r="I69" s="125">
        <f>IFERROR(__xludf.DUMMYFUNCTION("""COMPUTED_VALUE"""),84.0)</f>
        <v>84</v>
      </c>
      <c r="J69" s="125">
        <f>IFERROR(__xludf.DUMMYFUNCTION("""COMPUTED_VALUE"""),84.0)</f>
        <v>84</v>
      </c>
      <c r="K69" s="125">
        <f>IFERROR(__xludf.DUMMYFUNCTION("""COMPUTED_VALUE"""),0.0)</f>
        <v>0</v>
      </c>
      <c r="L69" s="125">
        <f>IFERROR(__xludf.DUMMYFUNCTION("""COMPUTED_VALUE"""),0.0)</f>
        <v>0</v>
      </c>
      <c r="M69" s="125">
        <f>IFERROR(__xludf.DUMMYFUNCTION("""COMPUTED_VALUE"""),84.0)</f>
        <v>84</v>
      </c>
      <c r="N69" s="125">
        <f>IFERROR(__xludf.DUMMYFUNCTION("""COMPUTED_VALUE"""),84.0)</f>
        <v>84</v>
      </c>
      <c r="O69" s="125">
        <f>IFERROR(__xludf.DUMMYFUNCTION("""COMPUTED_VALUE"""),0.0)</f>
        <v>0</v>
      </c>
      <c r="P69" s="125">
        <f>IFERROR(__xludf.DUMMYFUNCTION("""COMPUTED_VALUE"""),0.0)</f>
        <v>0</v>
      </c>
      <c r="Q69" s="125">
        <f>IFERROR(__xludf.DUMMYFUNCTION("""COMPUTED_VALUE"""),84.0)</f>
        <v>84</v>
      </c>
      <c r="R69" s="125">
        <f>IFERROR(__xludf.DUMMYFUNCTION("""COMPUTED_VALUE"""),72.0)</f>
        <v>72</v>
      </c>
      <c r="S69" s="125">
        <f>IFERROR(__xludf.DUMMYFUNCTION("""COMPUTED_VALUE"""),12.0)</f>
        <v>12</v>
      </c>
      <c r="T69" s="125">
        <f>IFERROR(__xludf.DUMMYFUNCTION("""COMPUTED_VALUE"""),0.0)</f>
        <v>0</v>
      </c>
      <c r="U69" s="125">
        <f>IFERROR(__xludf.DUMMYFUNCTION("""COMPUTED_VALUE"""),84.0)</f>
        <v>84</v>
      </c>
      <c r="V69" s="125">
        <f>IFERROR(__xludf.DUMMYFUNCTION("""COMPUTED_VALUE"""),84.0)</f>
        <v>84</v>
      </c>
      <c r="W69" s="125">
        <f>IFERROR(__xludf.DUMMYFUNCTION("""COMPUTED_VALUE"""),0.0)</f>
        <v>0</v>
      </c>
      <c r="X69" s="125">
        <f>IFERROR(__xludf.DUMMYFUNCTION("""COMPUTED_VALUE"""),0.0)</f>
        <v>0</v>
      </c>
      <c r="Y69" s="125">
        <f>IFERROR(__xludf.DUMMYFUNCTION("""COMPUTED_VALUE"""),84.0)</f>
        <v>84</v>
      </c>
      <c r="Z69" s="125">
        <f>IFERROR(__xludf.DUMMYFUNCTION("""COMPUTED_VALUE"""),84.0)</f>
        <v>84</v>
      </c>
      <c r="AA69" s="125">
        <f>IFERROR(__xludf.DUMMYFUNCTION("""COMPUTED_VALUE"""),0.0)</f>
        <v>0</v>
      </c>
      <c r="AB69" s="125">
        <f>IFERROR(__xludf.DUMMYFUNCTION("""COMPUTED_VALUE"""),0.0)</f>
        <v>0</v>
      </c>
      <c r="AC69" s="125">
        <f>IFERROR(__xludf.DUMMYFUNCTION("""COMPUTED_VALUE"""),72.0)</f>
        <v>72</v>
      </c>
      <c r="AD69" s="125">
        <f>IFERROR(__xludf.DUMMYFUNCTION("""COMPUTED_VALUE"""),72.0)</f>
        <v>72</v>
      </c>
      <c r="AE69" s="125">
        <f>IFERROR(__xludf.DUMMYFUNCTION("""COMPUTED_VALUE"""),0.0)</f>
        <v>0</v>
      </c>
      <c r="AF69" s="125">
        <f>IFERROR(__xludf.DUMMYFUNCTION("""COMPUTED_VALUE"""),0.0)</f>
        <v>0</v>
      </c>
      <c r="AG69" s="125">
        <f>IFERROR(__xludf.DUMMYFUNCTION("""COMPUTED_VALUE"""),13.0)</f>
        <v>13</v>
      </c>
      <c r="AH69" s="125">
        <f>IFERROR(__xludf.DUMMYFUNCTION("""COMPUTED_VALUE"""),13.0)</f>
        <v>13</v>
      </c>
      <c r="AI69" s="125">
        <f>IFERROR(__xludf.DUMMYFUNCTION("""COMPUTED_VALUE"""),0.0)</f>
        <v>0</v>
      </c>
      <c r="AJ69" s="125">
        <f>IFERROR(__xludf.DUMMYFUNCTION("""COMPUTED_VALUE"""),0.0)</f>
        <v>0</v>
      </c>
      <c r="AK69" s="125">
        <f>IFERROR(__xludf.DUMMYFUNCTION("""COMPUTED_VALUE"""),1.0)</f>
        <v>1</v>
      </c>
      <c r="AL69" s="125">
        <f>IFERROR(__xludf.DUMMYFUNCTION("""COMPUTED_VALUE"""),1.0)</f>
        <v>1</v>
      </c>
      <c r="AM69" s="125">
        <f>IFERROR(__xludf.DUMMYFUNCTION("""COMPUTED_VALUE"""),0.0)</f>
        <v>0</v>
      </c>
      <c r="AN69" s="125">
        <f>IFERROR(__xludf.DUMMYFUNCTION("""COMPUTED_VALUE"""),0.0)</f>
        <v>0</v>
      </c>
      <c r="AO69" s="125">
        <f>IFERROR(__xludf.DUMMYFUNCTION("""COMPUTED_VALUE"""),0.0)</f>
        <v>0</v>
      </c>
      <c r="AP69" s="125">
        <f>IFERROR(__xludf.DUMMYFUNCTION("""COMPUTED_VALUE"""),0.0)</f>
        <v>0</v>
      </c>
      <c r="AQ69" s="125">
        <f>IFERROR(__xludf.DUMMYFUNCTION("""COMPUTED_VALUE"""),0.0)</f>
        <v>0</v>
      </c>
      <c r="AR69" s="125">
        <f>IFERROR(__xludf.DUMMYFUNCTION("""COMPUTED_VALUE"""),0.0)</f>
        <v>0</v>
      </c>
      <c r="AS69" s="125">
        <f>IFERROR(__xludf.DUMMYFUNCTION("""COMPUTED_VALUE"""),0.0)</f>
        <v>0</v>
      </c>
      <c r="AT69" s="125">
        <f>IFERROR(__xludf.DUMMYFUNCTION("""COMPUTED_VALUE"""),0.0)</f>
        <v>0</v>
      </c>
      <c r="AU69" s="125">
        <f>IFERROR(__xludf.DUMMYFUNCTION("""COMPUTED_VALUE"""),0.0)</f>
        <v>0</v>
      </c>
      <c r="AV69" s="125">
        <f>IFERROR(__xludf.DUMMYFUNCTION("""COMPUTED_VALUE"""),0.0)</f>
        <v>0</v>
      </c>
      <c r="AW69" s="125">
        <f>IFERROR(__xludf.DUMMYFUNCTION("""COMPUTED_VALUE"""),0.0)</f>
        <v>0</v>
      </c>
      <c r="AX69" s="125">
        <f>IFERROR(__xludf.DUMMYFUNCTION("""COMPUTED_VALUE"""),0.0)</f>
        <v>0</v>
      </c>
      <c r="AY69" s="125">
        <f>IFERROR(__xludf.DUMMYFUNCTION("""COMPUTED_VALUE"""),0.0)</f>
        <v>0</v>
      </c>
      <c r="AZ69" s="127">
        <f>IFERROR(__xludf.DUMMYFUNCTION("""COMPUTED_VALUE"""),0.0)</f>
        <v>0</v>
      </c>
      <c r="BA69" s="34"/>
    </row>
    <row r="70" ht="15.75" customHeight="1">
      <c r="A70" s="29"/>
      <c r="B70" s="48" t="str">
        <f>IFERROR(__xludf.DUMMYFUNCTION("""COMPUTED_VALUE"""),"Chia ra:")</f>
        <v>Chia ra:</v>
      </c>
      <c r="C70" s="49"/>
      <c r="D70" s="3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50"/>
      <c r="BA70" s="34"/>
    </row>
    <row r="71" ht="15.75" customHeight="1">
      <c r="A71" s="29"/>
      <c r="B71" s="67" t="str">
        <f>IFERROR(__xludf.DUMMYFUNCTION("""COMPUTED_VALUE""")," + Kiên cố")</f>
        <v> + Kiên cố</v>
      </c>
      <c r="C71" s="31"/>
      <c r="D71" s="31" t="str">
        <f>IFERROR(__xludf.DUMMYFUNCTION("""COMPUTED_VALUE"""),"""")</f>
        <v>"</v>
      </c>
      <c r="E71" s="41">
        <f>IFERROR(__xludf.DUMMYFUNCTION("""COMPUTED_VALUE"""),94.0)</f>
        <v>94</v>
      </c>
      <c r="F71" s="42">
        <f>IFERROR(__xludf.DUMMYFUNCTION("""COMPUTED_VALUE"""),92.0)</f>
        <v>92</v>
      </c>
      <c r="G71" s="42">
        <f>IFERROR(__xludf.DUMMYFUNCTION("""COMPUTED_VALUE"""),0.0)</f>
        <v>0</v>
      </c>
      <c r="H71" s="42">
        <f>IFERROR(__xludf.DUMMYFUNCTION("""COMPUTED_VALUE"""),2.0)</f>
        <v>2</v>
      </c>
      <c r="I71" s="41">
        <f>IFERROR(__xludf.DUMMYFUNCTION("""COMPUTED_VALUE"""),84.0)</f>
        <v>84</v>
      </c>
      <c r="J71" s="42">
        <f>IFERROR(__xludf.DUMMYFUNCTION("""COMPUTED_VALUE"""),84.0)</f>
        <v>84</v>
      </c>
      <c r="K71" s="42">
        <f>IFERROR(__xludf.DUMMYFUNCTION("""COMPUTED_VALUE"""),0.0)</f>
        <v>0</v>
      </c>
      <c r="L71" s="42">
        <f>IFERROR(__xludf.DUMMYFUNCTION("""COMPUTED_VALUE"""),0.0)</f>
        <v>0</v>
      </c>
      <c r="M71" s="41">
        <f>IFERROR(__xludf.DUMMYFUNCTION("""COMPUTED_VALUE"""),84.0)</f>
        <v>84</v>
      </c>
      <c r="N71" s="42">
        <f>IFERROR(__xludf.DUMMYFUNCTION("""COMPUTED_VALUE"""),84.0)</f>
        <v>84</v>
      </c>
      <c r="O71" s="42">
        <f>IFERROR(__xludf.DUMMYFUNCTION("""COMPUTED_VALUE"""),0.0)</f>
        <v>0</v>
      </c>
      <c r="P71" s="42">
        <f>IFERROR(__xludf.DUMMYFUNCTION("""COMPUTED_VALUE"""),0.0)</f>
        <v>0</v>
      </c>
      <c r="Q71" s="41">
        <f>IFERROR(__xludf.DUMMYFUNCTION("""COMPUTED_VALUE"""),84.0)</f>
        <v>84</v>
      </c>
      <c r="R71" s="42">
        <f>IFERROR(__xludf.DUMMYFUNCTION("""COMPUTED_VALUE"""),72.0)</f>
        <v>72</v>
      </c>
      <c r="S71" s="42">
        <f>IFERROR(__xludf.DUMMYFUNCTION("""COMPUTED_VALUE"""),12.0)</f>
        <v>12</v>
      </c>
      <c r="T71" s="42">
        <f>IFERROR(__xludf.DUMMYFUNCTION("""COMPUTED_VALUE"""),0.0)</f>
        <v>0</v>
      </c>
      <c r="U71" s="41">
        <f>IFERROR(__xludf.DUMMYFUNCTION("""COMPUTED_VALUE"""),84.0)</f>
        <v>84</v>
      </c>
      <c r="V71" s="42">
        <f>IFERROR(__xludf.DUMMYFUNCTION("""COMPUTED_VALUE"""),84.0)</f>
        <v>84</v>
      </c>
      <c r="W71" s="42">
        <f>IFERROR(__xludf.DUMMYFUNCTION("""COMPUTED_VALUE"""),0.0)</f>
        <v>0</v>
      </c>
      <c r="X71" s="42">
        <f>IFERROR(__xludf.DUMMYFUNCTION("""COMPUTED_VALUE"""),0.0)</f>
        <v>0</v>
      </c>
      <c r="Y71" s="41">
        <f>IFERROR(__xludf.DUMMYFUNCTION("""COMPUTED_VALUE"""),84.0)</f>
        <v>84</v>
      </c>
      <c r="Z71" s="42">
        <f>IFERROR(__xludf.DUMMYFUNCTION("""COMPUTED_VALUE"""),84.0)</f>
        <v>84</v>
      </c>
      <c r="AA71" s="42">
        <f>IFERROR(__xludf.DUMMYFUNCTION("""COMPUTED_VALUE"""),0.0)</f>
        <v>0</v>
      </c>
      <c r="AB71" s="42">
        <f>IFERROR(__xludf.DUMMYFUNCTION("""COMPUTED_VALUE"""),0.0)</f>
        <v>0</v>
      </c>
      <c r="AC71" s="41">
        <f>IFERROR(__xludf.DUMMYFUNCTION("""COMPUTED_VALUE"""),72.0)</f>
        <v>72</v>
      </c>
      <c r="AD71" s="42">
        <f>IFERROR(__xludf.DUMMYFUNCTION("""COMPUTED_VALUE"""),72.0)</f>
        <v>72</v>
      </c>
      <c r="AE71" s="42">
        <f>IFERROR(__xludf.DUMMYFUNCTION("""COMPUTED_VALUE"""),0.0)</f>
        <v>0</v>
      </c>
      <c r="AF71" s="42">
        <f>IFERROR(__xludf.DUMMYFUNCTION("""COMPUTED_VALUE"""),0.0)</f>
        <v>0</v>
      </c>
      <c r="AG71" s="41">
        <f>IFERROR(__xludf.DUMMYFUNCTION("""COMPUTED_VALUE"""),13.0)</f>
        <v>13</v>
      </c>
      <c r="AH71" s="42">
        <f>IFERROR(__xludf.DUMMYFUNCTION("""COMPUTED_VALUE"""),13.0)</f>
        <v>13</v>
      </c>
      <c r="AI71" s="42">
        <f>IFERROR(__xludf.DUMMYFUNCTION("""COMPUTED_VALUE"""),0.0)</f>
        <v>0</v>
      </c>
      <c r="AJ71" s="42">
        <f>IFERROR(__xludf.DUMMYFUNCTION("""COMPUTED_VALUE"""),0.0)</f>
        <v>0</v>
      </c>
      <c r="AK71" s="41">
        <f>IFERROR(__xludf.DUMMYFUNCTION("""COMPUTED_VALUE"""),1.0)</f>
        <v>1</v>
      </c>
      <c r="AL71" s="42">
        <f>IFERROR(__xludf.DUMMYFUNCTION("""COMPUTED_VALUE"""),1.0)</f>
        <v>1</v>
      </c>
      <c r="AM71" s="42">
        <f>IFERROR(__xludf.DUMMYFUNCTION("""COMPUTED_VALUE"""),0.0)</f>
        <v>0</v>
      </c>
      <c r="AN71" s="42">
        <f>IFERROR(__xludf.DUMMYFUNCTION("""COMPUTED_VALUE"""),0.0)</f>
        <v>0</v>
      </c>
      <c r="AO71" s="41">
        <f>IFERROR(__xludf.DUMMYFUNCTION("""COMPUTED_VALUE"""),0.0)</f>
        <v>0</v>
      </c>
      <c r="AP71" s="42">
        <f>IFERROR(__xludf.DUMMYFUNCTION("""COMPUTED_VALUE"""),0.0)</f>
        <v>0</v>
      </c>
      <c r="AQ71" s="42">
        <f>IFERROR(__xludf.DUMMYFUNCTION("""COMPUTED_VALUE"""),0.0)</f>
        <v>0</v>
      </c>
      <c r="AR71" s="42">
        <f>IFERROR(__xludf.DUMMYFUNCTION("""COMPUTED_VALUE"""),0.0)</f>
        <v>0</v>
      </c>
      <c r="AS71" s="41">
        <f>IFERROR(__xludf.DUMMYFUNCTION("""COMPUTED_VALUE"""),0.0)</f>
        <v>0</v>
      </c>
      <c r="AT71" s="42">
        <f>IFERROR(__xludf.DUMMYFUNCTION("""COMPUTED_VALUE"""),0.0)</f>
        <v>0</v>
      </c>
      <c r="AU71" s="42">
        <f>IFERROR(__xludf.DUMMYFUNCTION("""COMPUTED_VALUE"""),0.0)</f>
        <v>0</v>
      </c>
      <c r="AV71" s="42">
        <f>IFERROR(__xludf.DUMMYFUNCTION("""COMPUTED_VALUE"""),0.0)</f>
        <v>0</v>
      </c>
      <c r="AW71" s="41">
        <f>IFERROR(__xludf.DUMMYFUNCTION("""COMPUTED_VALUE"""),0.0)</f>
        <v>0</v>
      </c>
      <c r="AX71" s="42">
        <f>IFERROR(__xludf.DUMMYFUNCTION("""COMPUTED_VALUE"""),0.0)</f>
        <v>0</v>
      </c>
      <c r="AY71" s="42">
        <f>IFERROR(__xludf.DUMMYFUNCTION("""COMPUTED_VALUE"""),0.0)</f>
        <v>0</v>
      </c>
      <c r="AZ71" s="43">
        <f>IFERROR(__xludf.DUMMYFUNCTION("""COMPUTED_VALUE"""),0.0)</f>
        <v>0</v>
      </c>
      <c r="BA71" s="34"/>
    </row>
    <row r="72" ht="15.75" customHeight="1">
      <c r="A72" s="29"/>
      <c r="B72" s="67" t="str">
        <f>IFERROR(__xludf.DUMMYFUNCTION("""COMPUTED_VALUE""")," + Bán kiên cố")</f>
        <v> + Bán kiên cố</v>
      </c>
      <c r="C72" s="31"/>
      <c r="D72" s="31" t="str">
        <f>IFERROR(__xludf.DUMMYFUNCTION("""COMPUTED_VALUE"""),"""")</f>
        <v>"</v>
      </c>
      <c r="E72" s="41">
        <f>IFERROR(__xludf.DUMMYFUNCTION("""COMPUTED_VALUE"""),0.0)</f>
        <v>0</v>
      </c>
      <c r="F72" s="42">
        <f>IFERROR(__xludf.DUMMYFUNCTION("""COMPUTED_VALUE"""),0.0)</f>
        <v>0</v>
      </c>
      <c r="G72" s="42">
        <f>IFERROR(__xludf.DUMMYFUNCTION("""COMPUTED_VALUE"""),0.0)</f>
        <v>0</v>
      </c>
      <c r="H72" s="42">
        <f>IFERROR(__xludf.DUMMYFUNCTION("""COMPUTED_VALUE"""),0.0)</f>
        <v>0</v>
      </c>
      <c r="I72" s="41">
        <f>IFERROR(__xludf.DUMMYFUNCTION("""COMPUTED_VALUE"""),0.0)</f>
        <v>0</v>
      </c>
      <c r="J72" s="42">
        <f>IFERROR(__xludf.DUMMYFUNCTION("""COMPUTED_VALUE"""),0.0)</f>
        <v>0</v>
      </c>
      <c r="K72" s="42">
        <f>IFERROR(__xludf.DUMMYFUNCTION("""COMPUTED_VALUE"""),0.0)</f>
        <v>0</v>
      </c>
      <c r="L72" s="42">
        <f>IFERROR(__xludf.DUMMYFUNCTION("""COMPUTED_VALUE"""),0.0)</f>
        <v>0</v>
      </c>
      <c r="M72" s="41">
        <f>IFERROR(__xludf.DUMMYFUNCTION("""COMPUTED_VALUE"""),0.0)</f>
        <v>0</v>
      </c>
      <c r="N72" s="42">
        <f>IFERROR(__xludf.DUMMYFUNCTION("""COMPUTED_VALUE"""),0.0)</f>
        <v>0</v>
      </c>
      <c r="O72" s="42">
        <f>IFERROR(__xludf.DUMMYFUNCTION("""COMPUTED_VALUE"""),0.0)</f>
        <v>0</v>
      </c>
      <c r="P72" s="42">
        <f>IFERROR(__xludf.DUMMYFUNCTION("""COMPUTED_VALUE"""),0.0)</f>
        <v>0</v>
      </c>
      <c r="Q72" s="41">
        <f>IFERROR(__xludf.DUMMYFUNCTION("""COMPUTED_VALUE"""),0.0)</f>
        <v>0</v>
      </c>
      <c r="R72" s="42">
        <f>IFERROR(__xludf.DUMMYFUNCTION("""COMPUTED_VALUE"""),0.0)</f>
        <v>0</v>
      </c>
      <c r="S72" s="42">
        <f>IFERROR(__xludf.DUMMYFUNCTION("""COMPUTED_VALUE"""),0.0)</f>
        <v>0</v>
      </c>
      <c r="T72" s="42">
        <f>IFERROR(__xludf.DUMMYFUNCTION("""COMPUTED_VALUE"""),0.0)</f>
        <v>0</v>
      </c>
      <c r="U72" s="41">
        <f>IFERROR(__xludf.DUMMYFUNCTION("""COMPUTED_VALUE"""),0.0)</f>
        <v>0</v>
      </c>
      <c r="V72" s="42">
        <f>IFERROR(__xludf.DUMMYFUNCTION("""COMPUTED_VALUE"""),0.0)</f>
        <v>0</v>
      </c>
      <c r="W72" s="42">
        <f>IFERROR(__xludf.DUMMYFUNCTION("""COMPUTED_VALUE"""),0.0)</f>
        <v>0</v>
      </c>
      <c r="X72" s="42">
        <f>IFERROR(__xludf.DUMMYFUNCTION("""COMPUTED_VALUE"""),0.0)</f>
        <v>0</v>
      </c>
      <c r="Y72" s="41">
        <f>IFERROR(__xludf.DUMMYFUNCTION("""COMPUTED_VALUE"""),0.0)</f>
        <v>0</v>
      </c>
      <c r="Z72" s="42">
        <f>IFERROR(__xludf.DUMMYFUNCTION("""COMPUTED_VALUE"""),0.0)</f>
        <v>0</v>
      </c>
      <c r="AA72" s="42">
        <f>IFERROR(__xludf.DUMMYFUNCTION("""COMPUTED_VALUE"""),0.0)</f>
        <v>0</v>
      </c>
      <c r="AB72" s="42">
        <f>IFERROR(__xludf.DUMMYFUNCTION("""COMPUTED_VALUE"""),0.0)</f>
        <v>0</v>
      </c>
      <c r="AC72" s="41">
        <f>IFERROR(__xludf.DUMMYFUNCTION("""COMPUTED_VALUE"""),0.0)</f>
        <v>0</v>
      </c>
      <c r="AD72" s="42">
        <f>IFERROR(__xludf.DUMMYFUNCTION("""COMPUTED_VALUE"""),0.0)</f>
        <v>0</v>
      </c>
      <c r="AE72" s="42">
        <f>IFERROR(__xludf.DUMMYFUNCTION("""COMPUTED_VALUE"""),0.0)</f>
        <v>0</v>
      </c>
      <c r="AF72" s="42">
        <f>IFERROR(__xludf.DUMMYFUNCTION("""COMPUTED_VALUE"""),0.0)</f>
        <v>0</v>
      </c>
      <c r="AG72" s="41">
        <f>IFERROR(__xludf.DUMMYFUNCTION("""COMPUTED_VALUE"""),0.0)</f>
        <v>0</v>
      </c>
      <c r="AH72" s="42">
        <f>IFERROR(__xludf.DUMMYFUNCTION("""COMPUTED_VALUE"""),0.0)</f>
        <v>0</v>
      </c>
      <c r="AI72" s="42">
        <f>IFERROR(__xludf.DUMMYFUNCTION("""COMPUTED_VALUE"""),0.0)</f>
        <v>0</v>
      </c>
      <c r="AJ72" s="42">
        <f>IFERROR(__xludf.DUMMYFUNCTION("""COMPUTED_VALUE"""),0.0)</f>
        <v>0</v>
      </c>
      <c r="AK72" s="41">
        <f>IFERROR(__xludf.DUMMYFUNCTION("""COMPUTED_VALUE"""),0.0)</f>
        <v>0</v>
      </c>
      <c r="AL72" s="42">
        <f>IFERROR(__xludf.DUMMYFUNCTION("""COMPUTED_VALUE"""),0.0)</f>
        <v>0</v>
      </c>
      <c r="AM72" s="42">
        <f>IFERROR(__xludf.DUMMYFUNCTION("""COMPUTED_VALUE"""),0.0)</f>
        <v>0</v>
      </c>
      <c r="AN72" s="42">
        <f>IFERROR(__xludf.DUMMYFUNCTION("""COMPUTED_VALUE"""),0.0)</f>
        <v>0</v>
      </c>
      <c r="AO72" s="41">
        <f>IFERROR(__xludf.DUMMYFUNCTION("""COMPUTED_VALUE"""),0.0)</f>
        <v>0</v>
      </c>
      <c r="AP72" s="42">
        <f>IFERROR(__xludf.DUMMYFUNCTION("""COMPUTED_VALUE"""),0.0)</f>
        <v>0</v>
      </c>
      <c r="AQ72" s="42">
        <f>IFERROR(__xludf.DUMMYFUNCTION("""COMPUTED_VALUE"""),0.0)</f>
        <v>0</v>
      </c>
      <c r="AR72" s="42">
        <f>IFERROR(__xludf.DUMMYFUNCTION("""COMPUTED_VALUE"""),0.0)</f>
        <v>0</v>
      </c>
      <c r="AS72" s="41">
        <f>IFERROR(__xludf.DUMMYFUNCTION("""COMPUTED_VALUE"""),0.0)</f>
        <v>0</v>
      </c>
      <c r="AT72" s="42">
        <f>IFERROR(__xludf.DUMMYFUNCTION("""COMPUTED_VALUE"""),0.0)</f>
        <v>0</v>
      </c>
      <c r="AU72" s="42">
        <f>IFERROR(__xludf.DUMMYFUNCTION("""COMPUTED_VALUE"""),0.0)</f>
        <v>0</v>
      </c>
      <c r="AV72" s="42">
        <f>IFERROR(__xludf.DUMMYFUNCTION("""COMPUTED_VALUE"""),0.0)</f>
        <v>0</v>
      </c>
      <c r="AW72" s="41">
        <f>IFERROR(__xludf.DUMMYFUNCTION("""COMPUTED_VALUE"""),0.0)</f>
        <v>0</v>
      </c>
      <c r="AX72" s="42">
        <f>IFERROR(__xludf.DUMMYFUNCTION("""COMPUTED_VALUE"""),0.0)</f>
        <v>0</v>
      </c>
      <c r="AY72" s="42">
        <f>IFERROR(__xludf.DUMMYFUNCTION("""COMPUTED_VALUE"""),0.0)</f>
        <v>0</v>
      </c>
      <c r="AZ72" s="43">
        <f>IFERROR(__xludf.DUMMYFUNCTION("""COMPUTED_VALUE"""),0.0)</f>
        <v>0</v>
      </c>
      <c r="BA72" s="34"/>
    </row>
    <row r="73" ht="15.75" customHeight="1">
      <c r="A73" s="29"/>
      <c r="B73" s="67" t="str">
        <f>IFERROR(__xludf.DUMMYFUNCTION("""COMPUTED_VALUE""")," + Tạm")</f>
        <v> + Tạm</v>
      </c>
      <c r="C73" s="31"/>
      <c r="D73" s="31" t="str">
        <f>IFERROR(__xludf.DUMMYFUNCTION("""COMPUTED_VALUE"""),"""")</f>
        <v>"</v>
      </c>
      <c r="E73" s="41">
        <f>IFERROR(__xludf.DUMMYFUNCTION("""COMPUTED_VALUE"""),0.0)</f>
        <v>0</v>
      </c>
      <c r="F73" s="42">
        <f>IFERROR(__xludf.DUMMYFUNCTION("""COMPUTED_VALUE"""),0.0)</f>
        <v>0</v>
      </c>
      <c r="G73" s="42">
        <f>IFERROR(__xludf.DUMMYFUNCTION("""COMPUTED_VALUE"""),0.0)</f>
        <v>0</v>
      </c>
      <c r="H73" s="42">
        <f>IFERROR(__xludf.DUMMYFUNCTION("""COMPUTED_VALUE"""),0.0)</f>
        <v>0</v>
      </c>
      <c r="I73" s="41">
        <f>IFERROR(__xludf.DUMMYFUNCTION("""COMPUTED_VALUE"""),0.0)</f>
        <v>0</v>
      </c>
      <c r="J73" s="42">
        <f>IFERROR(__xludf.DUMMYFUNCTION("""COMPUTED_VALUE"""),0.0)</f>
        <v>0</v>
      </c>
      <c r="K73" s="42">
        <f>IFERROR(__xludf.DUMMYFUNCTION("""COMPUTED_VALUE"""),0.0)</f>
        <v>0</v>
      </c>
      <c r="L73" s="42">
        <f>IFERROR(__xludf.DUMMYFUNCTION("""COMPUTED_VALUE"""),0.0)</f>
        <v>0</v>
      </c>
      <c r="M73" s="41">
        <f>IFERROR(__xludf.DUMMYFUNCTION("""COMPUTED_VALUE"""),0.0)</f>
        <v>0</v>
      </c>
      <c r="N73" s="42">
        <f>IFERROR(__xludf.DUMMYFUNCTION("""COMPUTED_VALUE"""),0.0)</f>
        <v>0</v>
      </c>
      <c r="O73" s="42">
        <f>IFERROR(__xludf.DUMMYFUNCTION("""COMPUTED_VALUE"""),0.0)</f>
        <v>0</v>
      </c>
      <c r="P73" s="42">
        <f>IFERROR(__xludf.DUMMYFUNCTION("""COMPUTED_VALUE"""),0.0)</f>
        <v>0</v>
      </c>
      <c r="Q73" s="41">
        <f>IFERROR(__xludf.DUMMYFUNCTION("""COMPUTED_VALUE"""),0.0)</f>
        <v>0</v>
      </c>
      <c r="R73" s="42">
        <f>IFERROR(__xludf.DUMMYFUNCTION("""COMPUTED_VALUE"""),0.0)</f>
        <v>0</v>
      </c>
      <c r="S73" s="42">
        <f>IFERROR(__xludf.DUMMYFUNCTION("""COMPUTED_VALUE"""),0.0)</f>
        <v>0</v>
      </c>
      <c r="T73" s="42">
        <f>IFERROR(__xludf.DUMMYFUNCTION("""COMPUTED_VALUE"""),0.0)</f>
        <v>0</v>
      </c>
      <c r="U73" s="41">
        <f>IFERROR(__xludf.DUMMYFUNCTION("""COMPUTED_VALUE"""),0.0)</f>
        <v>0</v>
      </c>
      <c r="V73" s="42">
        <f>IFERROR(__xludf.DUMMYFUNCTION("""COMPUTED_VALUE"""),0.0)</f>
        <v>0</v>
      </c>
      <c r="W73" s="42">
        <f>IFERROR(__xludf.DUMMYFUNCTION("""COMPUTED_VALUE"""),0.0)</f>
        <v>0</v>
      </c>
      <c r="X73" s="42">
        <f>IFERROR(__xludf.DUMMYFUNCTION("""COMPUTED_VALUE"""),0.0)</f>
        <v>0</v>
      </c>
      <c r="Y73" s="41">
        <f>IFERROR(__xludf.DUMMYFUNCTION("""COMPUTED_VALUE"""),0.0)</f>
        <v>0</v>
      </c>
      <c r="Z73" s="42">
        <f>IFERROR(__xludf.DUMMYFUNCTION("""COMPUTED_VALUE"""),0.0)</f>
        <v>0</v>
      </c>
      <c r="AA73" s="42">
        <f>IFERROR(__xludf.DUMMYFUNCTION("""COMPUTED_VALUE"""),0.0)</f>
        <v>0</v>
      </c>
      <c r="AB73" s="42">
        <f>IFERROR(__xludf.DUMMYFUNCTION("""COMPUTED_VALUE"""),0.0)</f>
        <v>0</v>
      </c>
      <c r="AC73" s="41">
        <f>IFERROR(__xludf.DUMMYFUNCTION("""COMPUTED_VALUE"""),0.0)</f>
        <v>0</v>
      </c>
      <c r="AD73" s="42">
        <f>IFERROR(__xludf.DUMMYFUNCTION("""COMPUTED_VALUE"""),0.0)</f>
        <v>0</v>
      </c>
      <c r="AE73" s="42">
        <f>IFERROR(__xludf.DUMMYFUNCTION("""COMPUTED_VALUE"""),0.0)</f>
        <v>0</v>
      </c>
      <c r="AF73" s="42">
        <f>IFERROR(__xludf.DUMMYFUNCTION("""COMPUTED_VALUE"""),0.0)</f>
        <v>0</v>
      </c>
      <c r="AG73" s="41">
        <f>IFERROR(__xludf.DUMMYFUNCTION("""COMPUTED_VALUE"""),0.0)</f>
        <v>0</v>
      </c>
      <c r="AH73" s="42">
        <f>IFERROR(__xludf.DUMMYFUNCTION("""COMPUTED_VALUE"""),0.0)</f>
        <v>0</v>
      </c>
      <c r="AI73" s="42">
        <f>IFERROR(__xludf.DUMMYFUNCTION("""COMPUTED_VALUE"""),0.0)</f>
        <v>0</v>
      </c>
      <c r="AJ73" s="42">
        <f>IFERROR(__xludf.DUMMYFUNCTION("""COMPUTED_VALUE"""),0.0)</f>
        <v>0</v>
      </c>
      <c r="AK73" s="41">
        <f>IFERROR(__xludf.DUMMYFUNCTION("""COMPUTED_VALUE"""),0.0)</f>
        <v>0</v>
      </c>
      <c r="AL73" s="42">
        <f>IFERROR(__xludf.DUMMYFUNCTION("""COMPUTED_VALUE"""),0.0)</f>
        <v>0</v>
      </c>
      <c r="AM73" s="42">
        <f>IFERROR(__xludf.DUMMYFUNCTION("""COMPUTED_VALUE"""),0.0)</f>
        <v>0</v>
      </c>
      <c r="AN73" s="42">
        <f>IFERROR(__xludf.DUMMYFUNCTION("""COMPUTED_VALUE"""),0.0)</f>
        <v>0</v>
      </c>
      <c r="AO73" s="41">
        <f>IFERROR(__xludf.DUMMYFUNCTION("""COMPUTED_VALUE"""),0.0)</f>
        <v>0</v>
      </c>
      <c r="AP73" s="42">
        <f>IFERROR(__xludf.DUMMYFUNCTION("""COMPUTED_VALUE"""),0.0)</f>
        <v>0</v>
      </c>
      <c r="AQ73" s="42">
        <f>IFERROR(__xludf.DUMMYFUNCTION("""COMPUTED_VALUE"""),0.0)</f>
        <v>0</v>
      </c>
      <c r="AR73" s="42">
        <f>IFERROR(__xludf.DUMMYFUNCTION("""COMPUTED_VALUE"""),0.0)</f>
        <v>0</v>
      </c>
      <c r="AS73" s="41">
        <f>IFERROR(__xludf.DUMMYFUNCTION("""COMPUTED_VALUE"""),0.0)</f>
        <v>0</v>
      </c>
      <c r="AT73" s="42">
        <f>IFERROR(__xludf.DUMMYFUNCTION("""COMPUTED_VALUE"""),0.0)</f>
        <v>0</v>
      </c>
      <c r="AU73" s="42">
        <f>IFERROR(__xludf.DUMMYFUNCTION("""COMPUTED_VALUE"""),0.0)</f>
        <v>0</v>
      </c>
      <c r="AV73" s="42">
        <f>IFERROR(__xludf.DUMMYFUNCTION("""COMPUTED_VALUE"""),0.0)</f>
        <v>0</v>
      </c>
      <c r="AW73" s="41">
        <f>IFERROR(__xludf.DUMMYFUNCTION("""COMPUTED_VALUE"""),0.0)</f>
        <v>0</v>
      </c>
      <c r="AX73" s="42">
        <f>IFERROR(__xludf.DUMMYFUNCTION("""COMPUTED_VALUE"""),0.0)</f>
        <v>0</v>
      </c>
      <c r="AY73" s="42">
        <f>IFERROR(__xludf.DUMMYFUNCTION("""COMPUTED_VALUE"""),0.0)</f>
        <v>0</v>
      </c>
      <c r="AZ73" s="43">
        <f>IFERROR(__xludf.DUMMYFUNCTION("""COMPUTED_VALUE"""),0.0)</f>
        <v>0</v>
      </c>
      <c r="BA73" s="34"/>
    </row>
    <row r="74" ht="15.75" customHeight="1">
      <c r="A74" s="29"/>
      <c r="B74" s="196" t="str">
        <f>IFERROR(__xludf.DUMMYFUNCTION("""COMPUTED_VALUE"""),"6.3. Tổng số phòng đa chức năng")</f>
        <v>6.3. Tổng số phòng đa chức năng</v>
      </c>
      <c r="C74" s="57"/>
      <c r="D74" s="57" t="str">
        <f>IFERROR(__xludf.DUMMYFUNCTION("""COMPUTED_VALUE"""),"Phòng")</f>
        <v>Phòng</v>
      </c>
      <c r="E74" s="125">
        <f>IFERROR(__xludf.DUMMYFUNCTION("""COMPUTED_VALUE"""),11.0)</f>
        <v>11</v>
      </c>
      <c r="F74" s="125">
        <f>IFERROR(__xludf.DUMMYFUNCTION("""COMPUTED_VALUE"""),9.0)</f>
        <v>9</v>
      </c>
      <c r="G74" s="125">
        <f>IFERROR(__xludf.DUMMYFUNCTION("""COMPUTED_VALUE"""),0.0)</f>
        <v>0</v>
      </c>
      <c r="H74" s="125">
        <f>IFERROR(__xludf.DUMMYFUNCTION("""COMPUTED_VALUE"""),2.0)</f>
        <v>2</v>
      </c>
      <c r="I74" s="125">
        <f>IFERROR(__xludf.DUMMYFUNCTION("""COMPUTED_VALUE"""),9.0)</f>
        <v>9</v>
      </c>
      <c r="J74" s="125">
        <f>IFERROR(__xludf.DUMMYFUNCTION("""COMPUTED_VALUE"""),9.0)</f>
        <v>9</v>
      </c>
      <c r="K74" s="125">
        <f>IFERROR(__xludf.DUMMYFUNCTION("""COMPUTED_VALUE"""),0.0)</f>
        <v>0</v>
      </c>
      <c r="L74" s="125">
        <f>IFERROR(__xludf.DUMMYFUNCTION("""COMPUTED_VALUE"""),0.0)</f>
        <v>0</v>
      </c>
      <c r="M74" s="125">
        <f>IFERROR(__xludf.DUMMYFUNCTION("""COMPUTED_VALUE"""),9.0)</f>
        <v>9</v>
      </c>
      <c r="N74" s="125">
        <f>IFERROR(__xludf.DUMMYFUNCTION("""COMPUTED_VALUE"""),9.0)</f>
        <v>9</v>
      </c>
      <c r="O74" s="125">
        <f>IFERROR(__xludf.DUMMYFUNCTION("""COMPUTED_VALUE"""),0.0)</f>
        <v>0</v>
      </c>
      <c r="P74" s="125">
        <f>IFERROR(__xludf.DUMMYFUNCTION("""COMPUTED_VALUE"""),0.0)</f>
        <v>0</v>
      </c>
      <c r="Q74" s="125">
        <f>IFERROR(__xludf.DUMMYFUNCTION("""COMPUTED_VALUE"""),13.0)</f>
        <v>13</v>
      </c>
      <c r="R74" s="125">
        <f>IFERROR(__xludf.DUMMYFUNCTION("""COMPUTED_VALUE"""),9.0)</f>
        <v>9</v>
      </c>
      <c r="S74" s="125">
        <f>IFERROR(__xludf.DUMMYFUNCTION("""COMPUTED_VALUE"""),0.0)</f>
        <v>0</v>
      </c>
      <c r="T74" s="125">
        <f>IFERROR(__xludf.DUMMYFUNCTION("""COMPUTED_VALUE"""),4.0)</f>
        <v>4</v>
      </c>
      <c r="U74" s="125">
        <f>IFERROR(__xludf.DUMMYFUNCTION("""COMPUTED_VALUE"""),13.0)</f>
        <v>13</v>
      </c>
      <c r="V74" s="125">
        <f>IFERROR(__xludf.DUMMYFUNCTION("""COMPUTED_VALUE"""),9.0)</f>
        <v>9</v>
      </c>
      <c r="W74" s="125">
        <f>IFERROR(__xludf.DUMMYFUNCTION("""COMPUTED_VALUE"""),0.0)</f>
        <v>0</v>
      </c>
      <c r="X74" s="125">
        <f>IFERROR(__xludf.DUMMYFUNCTION("""COMPUTED_VALUE"""),4.0)</f>
        <v>4</v>
      </c>
      <c r="Y74" s="125">
        <f>IFERROR(__xludf.DUMMYFUNCTION("""COMPUTED_VALUE"""),12.0)</f>
        <v>12</v>
      </c>
      <c r="Z74" s="125">
        <f>IFERROR(__xludf.DUMMYFUNCTION("""COMPUTED_VALUE"""),8.0)</f>
        <v>8</v>
      </c>
      <c r="AA74" s="125">
        <f>IFERROR(__xludf.DUMMYFUNCTION("""COMPUTED_VALUE"""),0.0)</f>
        <v>0</v>
      </c>
      <c r="AB74" s="125">
        <f>IFERROR(__xludf.DUMMYFUNCTION("""COMPUTED_VALUE"""),4.0)</f>
        <v>4</v>
      </c>
      <c r="AC74" s="125">
        <f>IFERROR(__xludf.DUMMYFUNCTION("""COMPUTED_VALUE"""),12.0)</f>
        <v>12</v>
      </c>
      <c r="AD74" s="125">
        <f>IFERROR(__xludf.DUMMYFUNCTION("""COMPUTED_VALUE"""),8.0)</f>
        <v>8</v>
      </c>
      <c r="AE74" s="125">
        <f>IFERROR(__xludf.DUMMYFUNCTION("""COMPUTED_VALUE"""),0.0)</f>
        <v>0</v>
      </c>
      <c r="AF74" s="125">
        <f>IFERROR(__xludf.DUMMYFUNCTION("""COMPUTED_VALUE"""),4.0)</f>
        <v>4</v>
      </c>
      <c r="AG74" s="125">
        <f>IFERROR(__xludf.DUMMYFUNCTION("""COMPUTED_VALUE"""),0.0)</f>
        <v>0</v>
      </c>
      <c r="AH74" s="125">
        <f>IFERROR(__xludf.DUMMYFUNCTION("""COMPUTED_VALUE"""),0.0)</f>
        <v>0</v>
      </c>
      <c r="AI74" s="125">
        <f>IFERROR(__xludf.DUMMYFUNCTION("""COMPUTED_VALUE"""),0.0)</f>
        <v>0</v>
      </c>
      <c r="AJ74" s="125">
        <f>IFERROR(__xludf.DUMMYFUNCTION("""COMPUTED_VALUE"""),0.0)</f>
        <v>0</v>
      </c>
      <c r="AK74" s="125">
        <f>IFERROR(__xludf.DUMMYFUNCTION("""COMPUTED_VALUE"""),0.0)</f>
        <v>0</v>
      </c>
      <c r="AL74" s="125">
        <f>IFERROR(__xludf.DUMMYFUNCTION("""COMPUTED_VALUE"""),0.0)</f>
        <v>0</v>
      </c>
      <c r="AM74" s="125">
        <f>IFERROR(__xludf.DUMMYFUNCTION("""COMPUTED_VALUE"""),0.0)</f>
        <v>0</v>
      </c>
      <c r="AN74" s="125">
        <f>IFERROR(__xludf.DUMMYFUNCTION("""COMPUTED_VALUE"""),0.0)</f>
        <v>0</v>
      </c>
      <c r="AO74" s="125">
        <f>IFERROR(__xludf.DUMMYFUNCTION("""COMPUTED_VALUE"""),0.0)</f>
        <v>0</v>
      </c>
      <c r="AP74" s="125">
        <f>IFERROR(__xludf.DUMMYFUNCTION("""COMPUTED_VALUE"""),0.0)</f>
        <v>0</v>
      </c>
      <c r="AQ74" s="125">
        <f>IFERROR(__xludf.DUMMYFUNCTION("""COMPUTED_VALUE"""),0.0)</f>
        <v>0</v>
      </c>
      <c r="AR74" s="125">
        <f>IFERROR(__xludf.DUMMYFUNCTION("""COMPUTED_VALUE"""),0.0)</f>
        <v>0</v>
      </c>
      <c r="AS74" s="125">
        <f>IFERROR(__xludf.DUMMYFUNCTION("""COMPUTED_VALUE"""),0.0)</f>
        <v>0</v>
      </c>
      <c r="AT74" s="125">
        <f>IFERROR(__xludf.DUMMYFUNCTION("""COMPUTED_VALUE"""),0.0)</f>
        <v>0</v>
      </c>
      <c r="AU74" s="125">
        <f>IFERROR(__xludf.DUMMYFUNCTION("""COMPUTED_VALUE"""),0.0)</f>
        <v>0</v>
      </c>
      <c r="AV74" s="125">
        <f>IFERROR(__xludf.DUMMYFUNCTION("""COMPUTED_VALUE"""),0.0)</f>
        <v>0</v>
      </c>
      <c r="AW74" s="125">
        <f>IFERROR(__xludf.DUMMYFUNCTION("""COMPUTED_VALUE"""),0.0)</f>
        <v>0</v>
      </c>
      <c r="AX74" s="125">
        <f>IFERROR(__xludf.DUMMYFUNCTION("""COMPUTED_VALUE"""),0.0)</f>
        <v>0</v>
      </c>
      <c r="AY74" s="125">
        <f>IFERROR(__xludf.DUMMYFUNCTION("""COMPUTED_VALUE"""),0.0)</f>
        <v>0</v>
      </c>
      <c r="AZ74" s="127">
        <f>IFERROR(__xludf.DUMMYFUNCTION("""COMPUTED_VALUE"""),0.0)</f>
        <v>0</v>
      </c>
      <c r="BA74" s="34"/>
    </row>
    <row r="75" ht="15.75" customHeight="1">
      <c r="A75" s="29"/>
      <c r="B75" s="48" t="str">
        <f>IFERROR(__xludf.DUMMYFUNCTION("""COMPUTED_VALUE"""),"Chia ra:")</f>
        <v>Chia ra:</v>
      </c>
      <c r="C75" s="49"/>
      <c r="D75" s="3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50"/>
      <c r="BA75" s="34"/>
    </row>
    <row r="76" ht="15.75" customHeight="1">
      <c r="A76" s="29"/>
      <c r="B76" s="67" t="str">
        <f>IFERROR(__xludf.DUMMYFUNCTION("""COMPUTED_VALUE""")," + Kiên cố")</f>
        <v> + Kiên cố</v>
      </c>
      <c r="C76" s="31"/>
      <c r="D76" s="31" t="str">
        <f>IFERROR(__xludf.DUMMYFUNCTION("""COMPUTED_VALUE"""),"""")</f>
        <v>"</v>
      </c>
      <c r="E76" s="41">
        <f>IFERROR(__xludf.DUMMYFUNCTION("""COMPUTED_VALUE"""),11.0)</f>
        <v>11</v>
      </c>
      <c r="F76" s="42">
        <f>IFERROR(__xludf.DUMMYFUNCTION("""COMPUTED_VALUE"""),9.0)</f>
        <v>9</v>
      </c>
      <c r="G76" s="42">
        <f>IFERROR(__xludf.DUMMYFUNCTION("""COMPUTED_VALUE"""),0.0)</f>
        <v>0</v>
      </c>
      <c r="H76" s="42">
        <f>IFERROR(__xludf.DUMMYFUNCTION("""COMPUTED_VALUE"""),2.0)</f>
        <v>2</v>
      </c>
      <c r="I76" s="41">
        <f>IFERROR(__xludf.DUMMYFUNCTION("""COMPUTED_VALUE"""),9.0)</f>
        <v>9</v>
      </c>
      <c r="J76" s="42">
        <f>IFERROR(__xludf.DUMMYFUNCTION("""COMPUTED_VALUE"""),9.0)</f>
        <v>9</v>
      </c>
      <c r="K76" s="42">
        <f>IFERROR(__xludf.DUMMYFUNCTION("""COMPUTED_VALUE"""),0.0)</f>
        <v>0</v>
      </c>
      <c r="L76" s="42">
        <f>IFERROR(__xludf.DUMMYFUNCTION("""COMPUTED_VALUE"""),0.0)</f>
        <v>0</v>
      </c>
      <c r="M76" s="41">
        <f>IFERROR(__xludf.DUMMYFUNCTION("""COMPUTED_VALUE"""),9.0)</f>
        <v>9</v>
      </c>
      <c r="N76" s="42">
        <f>IFERROR(__xludf.DUMMYFUNCTION("""COMPUTED_VALUE"""),9.0)</f>
        <v>9</v>
      </c>
      <c r="O76" s="42">
        <f>IFERROR(__xludf.DUMMYFUNCTION("""COMPUTED_VALUE"""),0.0)</f>
        <v>0</v>
      </c>
      <c r="P76" s="42">
        <f>IFERROR(__xludf.DUMMYFUNCTION("""COMPUTED_VALUE"""),0.0)</f>
        <v>0</v>
      </c>
      <c r="Q76" s="41">
        <f>IFERROR(__xludf.DUMMYFUNCTION("""COMPUTED_VALUE"""),13.0)</f>
        <v>13</v>
      </c>
      <c r="R76" s="42">
        <f>IFERROR(__xludf.DUMMYFUNCTION("""COMPUTED_VALUE"""),9.0)</f>
        <v>9</v>
      </c>
      <c r="S76" s="42">
        <f>IFERROR(__xludf.DUMMYFUNCTION("""COMPUTED_VALUE"""),0.0)</f>
        <v>0</v>
      </c>
      <c r="T76" s="42">
        <f>IFERROR(__xludf.DUMMYFUNCTION("""COMPUTED_VALUE"""),4.0)</f>
        <v>4</v>
      </c>
      <c r="U76" s="41">
        <f>IFERROR(__xludf.DUMMYFUNCTION("""COMPUTED_VALUE"""),13.0)</f>
        <v>13</v>
      </c>
      <c r="V76" s="42">
        <f>IFERROR(__xludf.DUMMYFUNCTION("""COMPUTED_VALUE"""),9.0)</f>
        <v>9</v>
      </c>
      <c r="W76" s="42">
        <f>IFERROR(__xludf.DUMMYFUNCTION("""COMPUTED_VALUE"""),0.0)</f>
        <v>0</v>
      </c>
      <c r="X76" s="42">
        <f>IFERROR(__xludf.DUMMYFUNCTION("""COMPUTED_VALUE"""),4.0)</f>
        <v>4</v>
      </c>
      <c r="Y76" s="41">
        <f>IFERROR(__xludf.DUMMYFUNCTION("""COMPUTED_VALUE"""),12.0)</f>
        <v>12</v>
      </c>
      <c r="Z76" s="42">
        <f>IFERROR(__xludf.DUMMYFUNCTION("""COMPUTED_VALUE"""),8.0)</f>
        <v>8</v>
      </c>
      <c r="AA76" s="42">
        <f>IFERROR(__xludf.DUMMYFUNCTION("""COMPUTED_VALUE"""),0.0)</f>
        <v>0</v>
      </c>
      <c r="AB76" s="42">
        <f>IFERROR(__xludf.DUMMYFUNCTION("""COMPUTED_VALUE"""),4.0)</f>
        <v>4</v>
      </c>
      <c r="AC76" s="41">
        <f>IFERROR(__xludf.DUMMYFUNCTION("""COMPUTED_VALUE"""),12.0)</f>
        <v>12</v>
      </c>
      <c r="AD76" s="42">
        <f>IFERROR(__xludf.DUMMYFUNCTION("""COMPUTED_VALUE"""),8.0)</f>
        <v>8</v>
      </c>
      <c r="AE76" s="42">
        <f>IFERROR(__xludf.DUMMYFUNCTION("""COMPUTED_VALUE"""),0.0)</f>
        <v>0</v>
      </c>
      <c r="AF76" s="42">
        <f>IFERROR(__xludf.DUMMYFUNCTION("""COMPUTED_VALUE"""),4.0)</f>
        <v>4</v>
      </c>
      <c r="AG76" s="41">
        <f>IFERROR(__xludf.DUMMYFUNCTION("""COMPUTED_VALUE"""),0.0)</f>
        <v>0</v>
      </c>
      <c r="AH76" s="42">
        <f>IFERROR(__xludf.DUMMYFUNCTION("""COMPUTED_VALUE"""),0.0)</f>
        <v>0</v>
      </c>
      <c r="AI76" s="42">
        <f>IFERROR(__xludf.DUMMYFUNCTION("""COMPUTED_VALUE"""),0.0)</f>
        <v>0</v>
      </c>
      <c r="AJ76" s="42">
        <f>IFERROR(__xludf.DUMMYFUNCTION("""COMPUTED_VALUE"""),0.0)</f>
        <v>0</v>
      </c>
      <c r="AK76" s="41">
        <f>IFERROR(__xludf.DUMMYFUNCTION("""COMPUTED_VALUE"""),0.0)</f>
        <v>0</v>
      </c>
      <c r="AL76" s="42">
        <f>IFERROR(__xludf.DUMMYFUNCTION("""COMPUTED_VALUE"""),0.0)</f>
        <v>0</v>
      </c>
      <c r="AM76" s="42">
        <f>IFERROR(__xludf.DUMMYFUNCTION("""COMPUTED_VALUE"""),0.0)</f>
        <v>0</v>
      </c>
      <c r="AN76" s="42">
        <f>IFERROR(__xludf.DUMMYFUNCTION("""COMPUTED_VALUE"""),0.0)</f>
        <v>0</v>
      </c>
      <c r="AO76" s="41">
        <f>IFERROR(__xludf.DUMMYFUNCTION("""COMPUTED_VALUE"""),0.0)</f>
        <v>0</v>
      </c>
      <c r="AP76" s="42">
        <f>IFERROR(__xludf.DUMMYFUNCTION("""COMPUTED_VALUE"""),0.0)</f>
        <v>0</v>
      </c>
      <c r="AQ76" s="42">
        <f>IFERROR(__xludf.DUMMYFUNCTION("""COMPUTED_VALUE"""),0.0)</f>
        <v>0</v>
      </c>
      <c r="AR76" s="42">
        <f>IFERROR(__xludf.DUMMYFUNCTION("""COMPUTED_VALUE"""),0.0)</f>
        <v>0</v>
      </c>
      <c r="AS76" s="41">
        <f>IFERROR(__xludf.DUMMYFUNCTION("""COMPUTED_VALUE"""),0.0)</f>
        <v>0</v>
      </c>
      <c r="AT76" s="42">
        <f>IFERROR(__xludf.DUMMYFUNCTION("""COMPUTED_VALUE"""),0.0)</f>
        <v>0</v>
      </c>
      <c r="AU76" s="42">
        <f>IFERROR(__xludf.DUMMYFUNCTION("""COMPUTED_VALUE"""),0.0)</f>
        <v>0</v>
      </c>
      <c r="AV76" s="42">
        <f>IFERROR(__xludf.DUMMYFUNCTION("""COMPUTED_VALUE"""),0.0)</f>
        <v>0</v>
      </c>
      <c r="AW76" s="41">
        <f>IFERROR(__xludf.DUMMYFUNCTION("""COMPUTED_VALUE"""),0.0)</f>
        <v>0</v>
      </c>
      <c r="AX76" s="42">
        <f>IFERROR(__xludf.DUMMYFUNCTION("""COMPUTED_VALUE"""),0.0)</f>
        <v>0</v>
      </c>
      <c r="AY76" s="42">
        <f>IFERROR(__xludf.DUMMYFUNCTION("""COMPUTED_VALUE"""),0.0)</f>
        <v>0</v>
      </c>
      <c r="AZ76" s="43">
        <f>IFERROR(__xludf.DUMMYFUNCTION("""COMPUTED_VALUE"""),0.0)</f>
        <v>0</v>
      </c>
      <c r="BA76" s="34"/>
    </row>
    <row r="77" ht="15.75" customHeight="1">
      <c r="A77" s="29"/>
      <c r="B77" s="67" t="str">
        <f>IFERROR(__xludf.DUMMYFUNCTION("""COMPUTED_VALUE""")," + Bán kiên cố")</f>
        <v> + Bán kiên cố</v>
      </c>
      <c r="C77" s="31"/>
      <c r="D77" s="31" t="str">
        <f>IFERROR(__xludf.DUMMYFUNCTION("""COMPUTED_VALUE"""),"""")</f>
        <v>"</v>
      </c>
      <c r="E77" s="41">
        <f>IFERROR(__xludf.DUMMYFUNCTION("""COMPUTED_VALUE"""),0.0)</f>
        <v>0</v>
      </c>
      <c r="F77" s="42">
        <f>IFERROR(__xludf.DUMMYFUNCTION("""COMPUTED_VALUE"""),0.0)</f>
        <v>0</v>
      </c>
      <c r="G77" s="42">
        <f>IFERROR(__xludf.DUMMYFUNCTION("""COMPUTED_VALUE"""),0.0)</f>
        <v>0</v>
      </c>
      <c r="H77" s="42">
        <f>IFERROR(__xludf.DUMMYFUNCTION("""COMPUTED_VALUE"""),0.0)</f>
        <v>0</v>
      </c>
      <c r="I77" s="41">
        <f>IFERROR(__xludf.DUMMYFUNCTION("""COMPUTED_VALUE"""),0.0)</f>
        <v>0</v>
      </c>
      <c r="J77" s="42">
        <f>IFERROR(__xludf.DUMMYFUNCTION("""COMPUTED_VALUE"""),0.0)</f>
        <v>0</v>
      </c>
      <c r="K77" s="42">
        <f>IFERROR(__xludf.DUMMYFUNCTION("""COMPUTED_VALUE"""),0.0)</f>
        <v>0</v>
      </c>
      <c r="L77" s="42">
        <f>IFERROR(__xludf.DUMMYFUNCTION("""COMPUTED_VALUE"""),0.0)</f>
        <v>0</v>
      </c>
      <c r="M77" s="41">
        <f>IFERROR(__xludf.DUMMYFUNCTION("""COMPUTED_VALUE"""),0.0)</f>
        <v>0</v>
      </c>
      <c r="N77" s="42">
        <f>IFERROR(__xludf.DUMMYFUNCTION("""COMPUTED_VALUE"""),0.0)</f>
        <v>0</v>
      </c>
      <c r="O77" s="42">
        <f>IFERROR(__xludf.DUMMYFUNCTION("""COMPUTED_VALUE"""),0.0)</f>
        <v>0</v>
      </c>
      <c r="P77" s="42">
        <f>IFERROR(__xludf.DUMMYFUNCTION("""COMPUTED_VALUE"""),0.0)</f>
        <v>0</v>
      </c>
      <c r="Q77" s="41">
        <f>IFERROR(__xludf.DUMMYFUNCTION("""COMPUTED_VALUE"""),0.0)</f>
        <v>0</v>
      </c>
      <c r="R77" s="42">
        <f>IFERROR(__xludf.DUMMYFUNCTION("""COMPUTED_VALUE"""),0.0)</f>
        <v>0</v>
      </c>
      <c r="S77" s="42">
        <f>IFERROR(__xludf.DUMMYFUNCTION("""COMPUTED_VALUE"""),0.0)</f>
        <v>0</v>
      </c>
      <c r="T77" s="42">
        <f>IFERROR(__xludf.DUMMYFUNCTION("""COMPUTED_VALUE"""),0.0)</f>
        <v>0</v>
      </c>
      <c r="U77" s="41">
        <f>IFERROR(__xludf.DUMMYFUNCTION("""COMPUTED_VALUE"""),0.0)</f>
        <v>0</v>
      </c>
      <c r="V77" s="42">
        <f>IFERROR(__xludf.DUMMYFUNCTION("""COMPUTED_VALUE"""),0.0)</f>
        <v>0</v>
      </c>
      <c r="W77" s="42">
        <f>IFERROR(__xludf.DUMMYFUNCTION("""COMPUTED_VALUE"""),0.0)</f>
        <v>0</v>
      </c>
      <c r="X77" s="42">
        <f>IFERROR(__xludf.DUMMYFUNCTION("""COMPUTED_VALUE"""),0.0)</f>
        <v>0</v>
      </c>
      <c r="Y77" s="41">
        <f>IFERROR(__xludf.DUMMYFUNCTION("""COMPUTED_VALUE"""),0.0)</f>
        <v>0</v>
      </c>
      <c r="Z77" s="42">
        <f>IFERROR(__xludf.DUMMYFUNCTION("""COMPUTED_VALUE"""),0.0)</f>
        <v>0</v>
      </c>
      <c r="AA77" s="42">
        <f>IFERROR(__xludf.DUMMYFUNCTION("""COMPUTED_VALUE"""),0.0)</f>
        <v>0</v>
      </c>
      <c r="AB77" s="42">
        <f>IFERROR(__xludf.DUMMYFUNCTION("""COMPUTED_VALUE"""),0.0)</f>
        <v>0</v>
      </c>
      <c r="AC77" s="41">
        <f>IFERROR(__xludf.DUMMYFUNCTION("""COMPUTED_VALUE"""),0.0)</f>
        <v>0</v>
      </c>
      <c r="AD77" s="42">
        <f>IFERROR(__xludf.DUMMYFUNCTION("""COMPUTED_VALUE"""),0.0)</f>
        <v>0</v>
      </c>
      <c r="AE77" s="42">
        <f>IFERROR(__xludf.DUMMYFUNCTION("""COMPUTED_VALUE"""),0.0)</f>
        <v>0</v>
      </c>
      <c r="AF77" s="42">
        <f>IFERROR(__xludf.DUMMYFUNCTION("""COMPUTED_VALUE"""),0.0)</f>
        <v>0</v>
      </c>
      <c r="AG77" s="41">
        <f>IFERROR(__xludf.DUMMYFUNCTION("""COMPUTED_VALUE"""),0.0)</f>
        <v>0</v>
      </c>
      <c r="AH77" s="42">
        <f>IFERROR(__xludf.DUMMYFUNCTION("""COMPUTED_VALUE"""),0.0)</f>
        <v>0</v>
      </c>
      <c r="AI77" s="42">
        <f>IFERROR(__xludf.DUMMYFUNCTION("""COMPUTED_VALUE"""),0.0)</f>
        <v>0</v>
      </c>
      <c r="AJ77" s="42">
        <f>IFERROR(__xludf.DUMMYFUNCTION("""COMPUTED_VALUE"""),0.0)</f>
        <v>0</v>
      </c>
      <c r="AK77" s="41">
        <f>IFERROR(__xludf.DUMMYFUNCTION("""COMPUTED_VALUE"""),0.0)</f>
        <v>0</v>
      </c>
      <c r="AL77" s="42">
        <f>IFERROR(__xludf.DUMMYFUNCTION("""COMPUTED_VALUE"""),0.0)</f>
        <v>0</v>
      </c>
      <c r="AM77" s="42">
        <f>IFERROR(__xludf.DUMMYFUNCTION("""COMPUTED_VALUE"""),0.0)</f>
        <v>0</v>
      </c>
      <c r="AN77" s="42">
        <f>IFERROR(__xludf.DUMMYFUNCTION("""COMPUTED_VALUE"""),0.0)</f>
        <v>0</v>
      </c>
      <c r="AO77" s="41">
        <f>IFERROR(__xludf.DUMMYFUNCTION("""COMPUTED_VALUE"""),0.0)</f>
        <v>0</v>
      </c>
      <c r="AP77" s="42">
        <f>IFERROR(__xludf.DUMMYFUNCTION("""COMPUTED_VALUE"""),0.0)</f>
        <v>0</v>
      </c>
      <c r="AQ77" s="42">
        <f>IFERROR(__xludf.DUMMYFUNCTION("""COMPUTED_VALUE"""),0.0)</f>
        <v>0</v>
      </c>
      <c r="AR77" s="42">
        <f>IFERROR(__xludf.DUMMYFUNCTION("""COMPUTED_VALUE"""),0.0)</f>
        <v>0</v>
      </c>
      <c r="AS77" s="41">
        <f>IFERROR(__xludf.DUMMYFUNCTION("""COMPUTED_VALUE"""),0.0)</f>
        <v>0</v>
      </c>
      <c r="AT77" s="42">
        <f>IFERROR(__xludf.DUMMYFUNCTION("""COMPUTED_VALUE"""),0.0)</f>
        <v>0</v>
      </c>
      <c r="AU77" s="42">
        <f>IFERROR(__xludf.DUMMYFUNCTION("""COMPUTED_VALUE"""),0.0)</f>
        <v>0</v>
      </c>
      <c r="AV77" s="42">
        <f>IFERROR(__xludf.DUMMYFUNCTION("""COMPUTED_VALUE"""),0.0)</f>
        <v>0</v>
      </c>
      <c r="AW77" s="41">
        <f>IFERROR(__xludf.DUMMYFUNCTION("""COMPUTED_VALUE"""),0.0)</f>
        <v>0</v>
      </c>
      <c r="AX77" s="42">
        <f>IFERROR(__xludf.DUMMYFUNCTION("""COMPUTED_VALUE"""),0.0)</f>
        <v>0</v>
      </c>
      <c r="AY77" s="42">
        <f>IFERROR(__xludf.DUMMYFUNCTION("""COMPUTED_VALUE"""),0.0)</f>
        <v>0</v>
      </c>
      <c r="AZ77" s="43">
        <f>IFERROR(__xludf.DUMMYFUNCTION("""COMPUTED_VALUE"""),0.0)</f>
        <v>0</v>
      </c>
      <c r="BA77" s="34"/>
    </row>
    <row r="78" ht="15.75" customHeight="1">
      <c r="A78" s="29"/>
      <c r="B78" s="67" t="str">
        <f>IFERROR(__xludf.DUMMYFUNCTION("""COMPUTED_VALUE""")," + Tạm")</f>
        <v> + Tạm</v>
      </c>
      <c r="C78" s="31"/>
      <c r="D78" s="31" t="str">
        <f>IFERROR(__xludf.DUMMYFUNCTION("""COMPUTED_VALUE"""),"""")</f>
        <v>"</v>
      </c>
      <c r="E78" s="41">
        <f>IFERROR(__xludf.DUMMYFUNCTION("""COMPUTED_VALUE"""),0.0)</f>
        <v>0</v>
      </c>
      <c r="F78" s="42">
        <f>IFERROR(__xludf.DUMMYFUNCTION("""COMPUTED_VALUE"""),0.0)</f>
        <v>0</v>
      </c>
      <c r="G78" s="42">
        <f>IFERROR(__xludf.DUMMYFUNCTION("""COMPUTED_VALUE"""),0.0)</f>
        <v>0</v>
      </c>
      <c r="H78" s="42">
        <f>IFERROR(__xludf.DUMMYFUNCTION("""COMPUTED_VALUE"""),0.0)</f>
        <v>0</v>
      </c>
      <c r="I78" s="41">
        <f>IFERROR(__xludf.DUMMYFUNCTION("""COMPUTED_VALUE"""),0.0)</f>
        <v>0</v>
      </c>
      <c r="J78" s="42">
        <f>IFERROR(__xludf.DUMMYFUNCTION("""COMPUTED_VALUE"""),0.0)</f>
        <v>0</v>
      </c>
      <c r="K78" s="42">
        <f>IFERROR(__xludf.DUMMYFUNCTION("""COMPUTED_VALUE"""),0.0)</f>
        <v>0</v>
      </c>
      <c r="L78" s="42">
        <f>IFERROR(__xludf.DUMMYFUNCTION("""COMPUTED_VALUE"""),0.0)</f>
        <v>0</v>
      </c>
      <c r="M78" s="41">
        <f>IFERROR(__xludf.DUMMYFUNCTION("""COMPUTED_VALUE"""),0.0)</f>
        <v>0</v>
      </c>
      <c r="N78" s="42">
        <f>IFERROR(__xludf.DUMMYFUNCTION("""COMPUTED_VALUE"""),0.0)</f>
        <v>0</v>
      </c>
      <c r="O78" s="42">
        <f>IFERROR(__xludf.DUMMYFUNCTION("""COMPUTED_VALUE"""),0.0)</f>
        <v>0</v>
      </c>
      <c r="P78" s="42">
        <f>IFERROR(__xludf.DUMMYFUNCTION("""COMPUTED_VALUE"""),0.0)</f>
        <v>0</v>
      </c>
      <c r="Q78" s="41">
        <f>IFERROR(__xludf.DUMMYFUNCTION("""COMPUTED_VALUE"""),0.0)</f>
        <v>0</v>
      </c>
      <c r="R78" s="42">
        <f>IFERROR(__xludf.DUMMYFUNCTION("""COMPUTED_VALUE"""),0.0)</f>
        <v>0</v>
      </c>
      <c r="S78" s="42">
        <f>IFERROR(__xludf.DUMMYFUNCTION("""COMPUTED_VALUE"""),0.0)</f>
        <v>0</v>
      </c>
      <c r="T78" s="42">
        <f>IFERROR(__xludf.DUMMYFUNCTION("""COMPUTED_VALUE"""),0.0)</f>
        <v>0</v>
      </c>
      <c r="U78" s="41">
        <f>IFERROR(__xludf.DUMMYFUNCTION("""COMPUTED_VALUE"""),0.0)</f>
        <v>0</v>
      </c>
      <c r="V78" s="42">
        <f>IFERROR(__xludf.DUMMYFUNCTION("""COMPUTED_VALUE"""),0.0)</f>
        <v>0</v>
      </c>
      <c r="W78" s="42">
        <f>IFERROR(__xludf.DUMMYFUNCTION("""COMPUTED_VALUE"""),0.0)</f>
        <v>0</v>
      </c>
      <c r="X78" s="42">
        <f>IFERROR(__xludf.DUMMYFUNCTION("""COMPUTED_VALUE"""),0.0)</f>
        <v>0</v>
      </c>
      <c r="Y78" s="41">
        <f>IFERROR(__xludf.DUMMYFUNCTION("""COMPUTED_VALUE"""),0.0)</f>
        <v>0</v>
      </c>
      <c r="Z78" s="42">
        <f>IFERROR(__xludf.DUMMYFUNCTION("""COMPUTED_VALUE"""),0.0)</f>
        <v>0</v>
      </c>
      <c r="AA78" s="42">
        <f>IFERROR(__xludf.DUMMYFUNCTION("""COMPUTED_VALUE"""),0.0)</f>
        <v>0</v>
      </c>
      <c r="AB78" s="42">
        <f>IFERROR(__xludf.DUMMYFUNCTION("""COMPUTED_VALUE"""),0.0)</f>
        <v>0</v>
      </c>
      <c r="AC78" s="41">
        <f>IFERROR(__xludf.DUMMYFUNCTION("""COMPUTED_VALUE"""),0.0)</f>
        <v>0</v>
      </c>
      <c r="AD78" s="42">
        <f>IFERROR(__xludf.DUMMYFUNCTION("""COMPUTED_VALUE"""),0.0)</f>
        <v>0</v>
      </c>
      <c r="AE78" s="42">
        <f>IFERROR(__xludf.DUMMYFUNCTION("""COMPUTED_VALUE"""),0.0)</f>
        <v>0</v>
      </c>
      <c r="AF78" s="42">
        <f>IFERROR(__xludf.DUMMYFUNCTION("""COMPUTED_VALUE"""),0.0)</f>
        <v>0</v>
      </c>
      <c r="AG78" s="41">
        <f>IFERROR(__xludf.DUMMYFUNCTION("""COMPUTED_VALUE"""),0.0)</f>
        <v>0</v>
      </c>
      <c r="AH78" s="42">
        <f>IFERROR(__xludf.DUMMYFUNCTION("""COMPUTED_VALUE"""),0.0)</f>
        <v>0</v>
      </c>
      <c r="AI78" s="42">
        <f>IFERROR(__xludf.DUMMYFUNCTION("""COMPUTED_VALUE"""),0.0)</f>
        <v>0</v>
      </c>
      <c r="AJ78" s="42">
        <f>IFERROR(__xludf.DUMMYFUNCTION("""COMPUTED_VALUE"""),0.0)</f>
        <v>0</v>
      </c>
      <c r="AK78" s="41">
        <f>IFERROR(__xludf.DUMMYFUNCTION("""COMPUTED_VALUE"""),0.0)</f>
        <v>0</v>
      </c>
      <c r="AL78" s="42">
        <f>IFERROR(__xludf.DUMMYFUNCTION("""COMPUTED_VALUE"""),0.0)</f>
        <v>0</v>
      </c>
      <c r="AM78" s="42">
        <f>IFERROR(__xludf.DUMMYFUNCTION("""COMPUTED_VALUE"""),0.0)</f>
        <v>0</v>
      </c>
      <c r="AN78" s="42">
        <f>IFERROR(__xludf.DUMMYFUNCTION("""COMPUTED_VALUE"""),0.0)</f>
        <v>0</v>
      </c>
      <c r="AO78" s="41">
        <f>IFERROR(__xludf.DUMMYFUNCTION("""COMPUTED_VALUE"""),0.0)</f>
        <v>0</v>
      </c>
      <c r="AP78" s="42">
        <f>IFERROR(__xludf.DUMMYFUNCTION("""COMPUTED_VALUE"""),0.0)</f>
        <v>0</v>
      </c>
      <c r="AQ78" s="42">
        <f>IFERROR(__xludf.DUMMYFUNCTION("""COMPUTED_VALUE"""),0.0)</f>
        <v>0</v>
      </c>
      <c r="AR78" s="42">
        <f>IFERROR(__xludf.DUMMYFUNCTION("""COMPUTED_VALUE"""),0.0)</f>
        <v>0</v>
      </c>
      <c r="AS78" s="41">
        <f>IFERROR(__xludf.DUMMYFUNCTION("""COMPUTED_VALUE"""),0.0)</f>
        <v>0</v>
      </c>
      <c r="AT78" s="42">
        <f>IFERROR(__xludf.DUMMYFUNCTION("""COMPUTED_VALUE"""),0.0)</f>
        <v>0</v>
      </c>
      <c r="AU78" s="42">
        <f>IFERROR(__xludf.DUMMYFUNCTION("""COMPUTED_VALUE"""),0.0)</f>
        <v>0</v>
      </c>
      <c r="AV78" s="42">
        <f>IFERROR(__xludf.DUMMYFUNCTION("""COMPUTED_VALUE"""),0.0)</f>
        <v>0</v>
      </c>
      <c r="AW78" s="41">
        <f>IFERROR(__xludf.DUMMYFUNCTION("""COMPUTED_VALUE"""),0.0)</f>
        <v>0</v>
      </c>
      <c r="AX78" s="42">
        <f>IFERROR(__xludf.DUMMYFUNCTION("""COMPUTED_VALUE"""),0.0)</f>
        <v>0</v>
      </c>
      <c r="AY78" s="42">
        <f>IFERROR(__xludf.DUMMYFUNCTION("""COMPUTED_VALUE"""),0.0)</f>
        <v>0</v>
      </c>
      <c r="AZ78" s="43">
        <f>IFERROR(__xludf.DUMMYFUNCTION("""COMPUTED_VALUE"""),0.0)</f>
        <v>0</v>
      </c>
      <c r="BA78" s="34"/>
    </row>
    <row r="79" ht="15.75" customHeight="1">
      <c r="A79" s="29"/>
      <c r="B79" s="30" t="str">
        <f>IFERROR(__xludf.DUMMYFUNCTION("""COMPUTED_VALUE"""),"7. KHỐI PHÒNG HỖ TRỢ HỌC TẬP")</f>
        <v>7. KHỐI PHÒNG HỖ TRỢ HỌC TẬP</v>
      </c>
      <c r="C79" s="31" t="str">
        <f>IFERROR(__xludf.DUMMYFUNCTION("""COMPUTED_VALUE"""),"Quí")</f>
        <v>Quí</v>
      </c>
      <c r="D79" s="31" t="str">
        <f>IFERROR(__xludf.DUMMYFUNCTION("""COMPUTED_VALUE"""),"Phòng")</f>
        <v>Phòng</v>
      </c>
      <c r="E79" s="32">
        <f>IFERROR(__xludf.DUMMYFUNCTION("""COMPUTED_VALUE"""),65.0)</f>
        <v>65</v>
      </c>
      <c r="F79" s="32">
        <f>IFERROR(__xludf.DUMMYFUNCTION("""COMPUTED_VALUE"""),61.0)</f>
        <v>61</v>
      </c>
      <c r="G79" s="32">
        <f>IFERROR(__xludf.DUMMYFUNCTION("""COMPUTED_VALUE"""),0.0)</f>
        <v>0</v>
      </c>
      <c r="H79" s="32">
        <f>IFERROR(__xludf.DUMMYFUNCTION("""COMPUTED_VALUE"""),4.0)</f>
        <v>4</v>
      </c>
      <c r="I79" s="32">
        <f>IFERROR(__xludf.DUMMYFUNCTION("""COMPUTED_VALUE"""),58.0)</f>
        <v>58</v>
      </c>
      <c r="J79" s="32">
        <f>IFERROR(__xludf.DUMMYFUNCTION("""COMPUTED_VALUE"""),58.0)</f>
        <v>58</v>
      </c>
      <c r="K79" s="32">
        <f>IFERROR(__xludf.DUMMYFUNCTION("""COMPUTED_VALUE"""),0.0)</f>
        <v>0</v>
      </c>
      <c r="L79" s="32">
        <f>IFERROR(__xludf.DUMMYFUNCTION("""COMPUTED_VALUE"""),0.0)</f>
        <v>0</v>
      </c>
      <c r="M79" s="32">
        <f>IFERROR(__xludf.DUMMYFUNCTION("""COMPUTED_VALUE"""),57.0)</f>
        <v>57</v>
      </c>
      <c r="N79" s="32">
        <f>IFERROR(__xludf.DUMMYFUNCTION("""COMPUTED_VALUE"""),57.0)</f>
        <v>57</v>
      </c>
      <c r="O79" s="32">
        <f>IFERROR(__xludf.DUMMYFUNCTION("""COMPUTED_VALUE"""),0.0)</f>
        <v>0</v>
      </c>
      <c r="P79" s="32">
        <f>IFERROR(__xludf.DUMMYFUNCTION("""COMPUTED_VALUE"""),0.0)</f>
        <v>0</v>
      </c>
      <c r="Q79" s="32">
        <f>IFERROR(__xludf.DUMMYFUNCTION("""COMPUTED_VALUE"""),60.0)</f>
        <v>60</v>
      </c>
      <c r="R79" s="32">
        <f>IFERROR(__xludf.DUMMYFUNCTION("""COMPUTED_VALUE"""),57.0)</f>
        <v>57</v>
      </c>
      <c r="S79" s="32">
        <f>IFERROR(__xludf.DUMMYFUNCTION("""COMPUTED_VALUE"""),0.0)</f>
        <v>0</v>
      </c>
      <c r="T79" s="32">
        <f>IFERROR(__xludf.DUMMYFUNCTION("""COMPUTED_VALUE"""),3.0)</f>
        <v>3</v>
      </c>
      <c r="U79" s="32">
        <f>IFERROR(__xludf.DUMMYFUNCTION("""COMPUTED_VALUE"""),60.0)</f>
        <v>60</v>
      </c>
      <c r="V79" s="32">
        <f>IFERROR(__xludf.DUMMYFUNCTION("""COMPUTED_VALUE"""),57.0)</f>
        <v>57</v>
      </c>
      <c r="W79" s="32">
        <f>IFERROR(__xludf.DUMMYFUNCTION("""COMPUTED_VALUE"""),0.0)</f>
        <v>0</v>
      </c>
      <c r="X79" s="32">
        <f>IFERROR(__xludf.DUMMYFUNCTION("""COMPUTED_VALUE"""),3.0)</f>
        <v>3</v>
      </c>
      <c r="Y79" s="32">
        <f>IFERROR(__xludf.DUMMYFUNCTION("""COMPUTED_VALUE"""),58.0)</f>
        <v>58</v>
      </c>
      <c r="Z79" s="32">
        <f>IFERROR(__xludf.DUMMYFUNCTION("""COMPUTED_VALUE"""),55.0)</f>
        <v>55</v>
      </c>
      <c r="AA79" s="32">
        <f>IFERROR(__xludf.DUMMYFUNCTION("""COMPUTED_VALUE"""),0.0)</f>
        <v>0</v>
      </c>
      <c r="AB79" s="32">
        <f>IFERROR(__xludf.DUMMYFUNCTION("""COMPUTED_VALUE"""),3.0)</f>
        <v>3</v>
      </c>
      <c r="AC79" s="32">
        <f>IFERROR(__xludf.DUMMYFUNCTION("""COMPUTED_VALUE"""),56.0)</f>
        <v>56</v>
      </c>
      <c r="AD79" s="32">
        <f>IFERROR(__xludf.DUMMYFUNCTION("""COMPUTED_VALUE"""),53.0)</f>
        <v>53</v>
      </c>
      <c r="AE79" s="32">
        <f>IFERROR(__xludf.DUMMYFUNCTION("""COMPUTED_VALUE"""),0.0)</f>
        <v>0</v>
      </c>
      <c r="AF79" s="32">
        <f>IFERROR(__xludf.DUMMYFUNCTION("""COMPUTED_VALUE"""),3.0)</f>
        <v>3</v>
      </c>
      <c r="AG79" s="32">
        <f>IFERROR(__xludf.DUMMYFUNCTION("""COMPUTED_VALUE"""),6.0)</f>
        <v>6</v>
      </c>
      <c r="AH79" s="32">
        <f>IFERROR(__xludf.DUMMYFUNCTION("""COMPUTED_VALUE"""),6.0)</f>
        <v>6</v>
      </c>
      <c r="AI79" s="32">
        <f>IFERROR(__xludf.DUMMYFUNCTION("""COMPUTED_VALUE"""),0.0)</f>
        <v>0</v>
      </c>
      <c r="AJ79" s="32">
        <f>IFERROR(__xludf.DUMMYFUNCTION("""COMPUTED_VALUE"""),0.0)</f>
        <v>0</v>
      </c>
      <c r="AK79" s="32">
        <f>IFERROR(__xludf.DUMMYFUNCTION("""COMPUTED_VALUE"""),1.0)</f>
        <v>1</v>
      </c>
      <c r="AL79" s="32">
        <f>IFERROR(__xludf.DUMMYFUNCTION("""COMPUTED_VALUE"""),1.0)</f>
        <v>1</v>
      </c>
      <c r="AM79" s="32">
        <f>IFERROR(__xludf.DUMMYFUNCTION("""COMPUTED_VALUE"""),0.0)</f>
        <v>0</v>
      </c>
      <c r="AN79" s="32">
        <f>IFERROR(__xludf.DUMMYFUNCTION("""COMPUTED_VALUE"""),0.0)</f>
        <v>0</v>
      </c>
      <c r="AO79" s="32">
        <f>IFERROR(__xludf.DUMMYFUNCTION("""COMPUTED_VALUE"""),0.0)</f>
        <v>0</v>
      </c>
      <c r="AP79" s="32">
        <f>IFERROR(__xludf.DUMMYFUNCTION("""COMPUTED_VALUE"""),0.0)</f>
        <v>0</v>
      </c>
      <c r="AQ79" s="32">
        <f>IFERROR(__xludf.DUMMYFUNCTION("""COMPUTED_VALUE"""),0.0)</f>
        <v>0</v>
      </c>
      <c r="AR79" s="32">
        <f>IFERROR(__xludf.DUMMYFUNCTION("""COMPUTED_VALUE"""),0.0)</f>
        <v>0</v>
      </c>
      <c r="AS79" s="32">
        <f>IFERROR(__xludf.DUMMYFUNCTION("""COMPUTED_VALUE"""),0.0)</f>
        <v>0</v>
      </c>
      <c r="AT79" s="32">
        <f>IFERROR(__xludf.DUMMYFUNCTION("""COMPUTED_VALUE"""),0.0)</f>
        <v>0</v>
      </c>
      <c r="AU79" s="32">
        <f>IFERROR(__xludf.DUMMYFUNCTION("""COMPUTED_VALUE"""),0.0)</f>
        <v>0</v>
      </c>
      <c r="AV79" s="32">
        <f>IFERROR(__xludf.DUMMYFUNCTION("""COMPUTED_VALUE"""),0.0)</f>
        <v>0</v>
      </c>
      <c r="AW79" s="32">
        <f>IFERROR(__xludf.DUMMYFUNCTION("""COMPUTED_VALUE"""),0.0)</f>
        <v>0</v>
      </c>
      <c r="AX79" s="32">
        <f>IFERROR(__xludf.DUMMYFUNCTION("""COMPUTED_VALUE"""),0.0)</f>
        <v>0</v>
      </c>
      <c r="AY79" s="32">
        <f>IFERROR(__xludf.DUMMYFUNCTION("""COMPUTED_VALUE"""),0.0)</f>
        <v>0</v>
      </c>
      <c r="AZ79" s="33">
        <f>IFERROR(__xludf.DUMMYFUNCTION("""COMPUTED_VALUE"""),0.0)</f>
        <v>0</v>
      </c>
      <c r="BA79" s="34"/>
    </row>
    <row r="80" ht="15.75" customHeight="1">
      <c r="A80" s="29"/>
      <c r="B80" s="196" t="str">
        <f>IFERROR(__xludf.DUMMYFUNCTION("""COMPUTED_VALUE"""),"7.1. Tổng số thư viện")</f>
        <v>7.1. Tổng số thư viện</v>
      </c>
      <c r="C80" s="57"/>
      <c r="D80" s="57" t="str">
        <f>IFERROR(__xludf.DUMMYFUNCTION("""COMPUTED_VALUE"""),"Phòng")</f>
        <v>Phòng</v>
      </c>
      <c r="E80" s="125">
        <f>IFERROR(__xludf.DUMMYFUNCTION("""COMPUTED_VALUE"""),17.0)</f>
        <v>17</v>
      </c>
      <c r="F80" s="125">
        <f>IFERROR(__xludf.DUMMYFUNCTION("""COMPUTED_VALUE"""),16.0)</f>
        <v>16</v>
      </c>
      <c r="G80" s="125">
        <f>IFERROR(__xludf.DUMMYFUNCTION("""COMPUTED_VALUE"""),0.0)</f>
        <v>0</v>
      </c>
      <c r="H80" s="125">
        <f>IFERROR(__xludf.DUMMYFUNCTION("""COMPUTED_VALUE"""),1.0)</f>
        <v>1</v>
      </c>
      <c r="I80" s="125">
        <f>IFERROR(__xludf.DUMMYFUNCTION("""COMPUTED_VALUE"""),15.0)</f>
        <v>15</v>
      </c>
      <c r="J80" s="125">
        <f>IFERROR(__xludf.DUMMYFUNCTION("""COMPUTED_VALUE"""),15.0)</f>
        <v>15</v>
      </c>
      <c r="K80" s="125">
        <f>IFERROR(__xludf.DUMMYFUNCTION("""COMPUTED_VALUE"""),0.0)</f>
        <v>0</v>
      </c>
      <c r="L80" s="125">
        <f>IFERROR(__xludf.DUMMYFUNCTION("""COMPUTED_VALUE"""),0.0)</f>
        <v>0</v>
      </c>
      <c r="M80" s="125">
        <f>IFERROR(__xludf.DUMMYFUNCTION("""COMPUTED_VALUE"""),14.0)</f>
        <v>14</v>
      </c>
      <c r="N80" s="125">
        <f>IFERROR(__xludf.DUMMYFUNCTION("""COMPUTED_VALUE"""),14.0)</f>
        <v>14</v>
      </c>
      <c r="O80" s="125">
        <f>IFERROR(__xludf.DUMMYFUNCTION("""COMPUTED_VALUE"""),0.0)</f>
        <v>0</v>
      </c>
      <c r="P80" s="125">
        <f>IFERROR(__xludf.DUMMYFUNCTION("""COMPUTED_VALUE"""),0.0)</f>
        <v>0</v>
      </c>
      <c r="Q80" s="125">
        <f>IFERROR(__xludf.DUMMYFUNCTION("""COMPUTED_VALUE"""),16.0)</f>
        <v>16</v>
      </c>
      <c r="R80" s="125">
        <f>IFERROR(__xludf.DUMMYFUNCTION("""COMPUTED_VALUE"""),15.0)</f>
        <v>15</v>
      </c>
      <c r="S80" s="125">
        <f>IFERROR(__xludf.DUMMYFUNCTION("""COMPUTED_VALUE"""),0.0)</f>
        <v>0</v>
      </c>
      <c r="T80" s="125">
        <f>IFERROR(__xludf.DUMMYFUNCTION("""COMPUTED_VALUE"""),1.0)</f>
        <v>1</v>
      </c>
      <c r="U80" s="125">
        <f>IFERROR(__xludf.DUMMYFUNCTION("""COMPUTED_VALUE"""),16.0)</f>
        <v>16</v>
      </c>
      <c r="V80" s="125">
        <f>IFERROR(__xludf.DUMMYFUNCTION("""COMPUTED_VALUE"""),15.0)</f>
        <v>15</v>
      </c>
      <c r="W80" s="125">
        <f>IFERROR(__xludf.DUMMYFUNCTION("""COMPUTED_VALUE"""),0.0)</f>
        <v>0</v>
      </c>
      <c r="X80" s="125">
        <f>IFERROR(__xludf.DUMMYFUNCTION("""COMPUTED_VALUE"""),1.0)</f>
        <v>1</v>
      </c>
      <c r="Y80" s="125">
        <f>IFERROR(__xludf.DUMMYFUNCTION("""COMPUTED_VALUE"""),15.0)</f>
        <v>15</v>
      </c>
      <c r="Z80" s="125">
        <f>IFERROR(__xludf.DUMMYFUNCTION("""COMPUTED_VALUE"""),14.0)</f>
        <v>14</v>
      </c>
      <c r="AA80" s="125">
        <f>IFERROR(__xludf.DUMMYFUNCTION("""COMPUTED_VALUE"""),0.0)</f>
        <v>0</v>
      </c>
      <c r="AB80" s="125">
        <f>IFERROR(__xludf.DUMMYFUNCTION("""COMPUTED_VALUE"""),1.0)</f>
        <v>1</v>
      </c>
      <c r="AC80" s="125">
        <f>IFERROR(__xludf.DUMMYFUNCTION("""COMPUTED_VALUE"""),14.0)</f>
        <v>14</v>
      </c>
      <c r="AD80" s="125">
        <f>IFERROR(__xludf.DUMMYFUNCTION("""COMPUTED_VALUE"""),13.0)</f>
        <v>13</v>
      </c>
      <c r="AE80" s="125">
        <f>IFERROR(__xludf.DUMMYFUNCTION("""COMPUTED_VALUE"""),0.0)</f>
        <v>0</v>
      </c>
      <c r="AF80" s="125">
        <f>IFERROR(__xludf.DUMMYFUNCTION("""COMPUTED_VALUE"""),1.0)</f>
        <v>1</v>
      </c>
      <c r="AG80" s="125">
        <f>IFERROR(__xludf.DUMMYFUNCTION("""COMPUTED_VALUE"""),1.0)</f>
        <v>1</v>
      </c>
      <c r="AH80" s="125">
        <f>IFERROR(__xludf.DUMMYFUNCTION("""COMPUTED_VALUE"""),1.0)</f>
        <v>1</v>
      </c>
      <c r="AI80" s="125">
        <f>IFERROR(__xludf.DUMMYFUNCTION("""COMPUTED_VALUE"""),0.0)</f>
        <v>0</v>
      </c>
      <c r="AJ80" s="125">
        <f>IFERROR(__xludf.DUMMYFUNCTION("""COMPUTED_VALUE"""),0.0)</f>
        <v>0</v>
      </c>
      <c r="AK80" s="125">
        <f>IFERROR(__xludf.DUMMYFUNCTION("""COMPUTED_VALUE"""),1.0)</f>
        <v>1</v>
      </c>
      <c r="AL80" s="125">
        <f>IFERROR(__xludf.DUMMYFUNCTION("""COMPUTED_VALUE"""),1.0)</f>
        <v>1</v>
      </c>
      <c r="AM80" s="125">
        <f>IFERROR(__xludf.DUMMYFUNCTION("""COMPUTED_VALUE"""),0.0)</f>
        <v>0</v>
      </c>
      <c r="AN80" s="125">
        <f>IFERROR(__xludf.DUMMYFUNCTION("""COMPUTED_VALUE"""),0.0)</f>
        <v>0</v>
      </c>
      <c r="AO80" s="125">
        <f>IFERROR(__xludf.DUMMYFUNCTION("""COMPUTED_VALUE"""),0.0)</f>
        <v>0</v>
      </c>
      <c r="AP80" s="125">
        <f>IFERROR(__xludf.DUMMYFUNCTION("""COMPUTED_VALUE"""),0.0)</f>
        <v>0</v>
      </c>
      <c r="AQ80" s="125">
        <f>IFERROR(__xludf.DUMMYFUNCTION("""COMPUTED_VALUE"""),0.0)</f>
        <v>0</v>
      </c>
      <c r="AR80" s="125">
        <f>IFERROR(__xludf.DUMMYFUNCTION("""COMPUTED_VALUE"""),0.0)</f>
        <v>0</v>
      </c>
      <c r="AS80" s="125">
        <f>IFERROR(__xludf.DUMMYFUNCTION("""COMPUTED_VALUE"""),0.0)</f>
        <v>0</v>
      </c>
      <c r="AT80" s="125">
        <f>IFERROR(__xludf.DUMMYFUNCTION("""COMPUTED_VALUE"""),0.0)</f>
        <v>0</v>
      </c>
      <c r="AU80" s="125">
        <f>IFERROR(__xludf.DUMMYFUNCTION("""COMPUTED_VALUE"""),0.0)</f>
        <v>0</v>
      </c>
      <c r="AV80" s="125">
        <f>IFERROR(__xludf.DUMMYFUNCTION("""COMPUTED_VALUE"""),0.0)</f>
        <v>0</v>
      </c>
      <c r="AW80" s="125">
        <f>IFERROR(__xludf.DUMMYFUNCTION("""COMPUTED_VALUE"""),0.0)</f>
        <v>0</v>
      </c>
      <c r="AX80" s="125">
        <f>IFERROR(__xludf.DUMMYFUNCTION("""COMPUTED_VALUE"""),0.0)</f>
        <v>0</v>
      </c>
      <c r="AY80" s="125">
        <f>IFERROR(__xludf.DUMMYFUNCTION("""COMPUTED_VALUE"""),0.0)</f>
        <v>0</v>
      </c>
      <c r="AZ80" s="127">
        <f>IFERROR(__xludf.DUMMYFUNCTION("""COMPUTED_VALUE"""),0.0)</f>
        <v>0</v>
      </c>
      <c r="BA80" s="34"/>
    </row>
    <row r="81" ht="15.75" customHeight="1">
      <c r="A81" s="29"/>
      <c r="B81" s="48" t="str">
        <f>IFERROR(__xludf.DUMMYFUNCTION("""COMPUTED_VALUE"""),"Chia ra:")</f>
        <v>Chia ra:</v>
      </c>
      <c r="C81" s="49"/>
      <c r="D81" s="3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50"/>
      <c r="BA81" s="34"/>
    </row>
    <row r="82" ht="15.75" customHeight="1">
      <c r="A82" s="29"/>
      <c r="B82" s="67" t="str">
        <f>IFERROR(__xludf.DUMMYFUNCTION("""COMPUTED_VALUE""")," + Kiên cố")</f>
        <v> + Kiên cố</v>
      </c>
      <c r="C82" s="31"/>
      <c r="D82" s="31" t="str">
        <f>IFERROR(__xludf.DUMMYFUNCTION("""COMPUTED_VALUE"""),"""")</f>
        <v>"</v>
      </c>
      <c r="E82" s="41">
        <f>IFERROR(__xludf.DUMMYFUNCTION("""COMPUTED_VALUE"""),17.0)</f>
        <v>17</v>
      </c>
      <c r="F82" s="42">
        <f>IFERROR(__xludf.DUMMYFUNCTION("""COMPUTED_VALUE"""),16.0)</f>
        <v>16</v>
      </c>
      <c r="G82" s="42">
        <f>IFERROR(__xludf.DUMMYFUNCTION("""COMPUTED_VALUE"""),0.0)</f>
        <v>0</v>
      </c>
      <c r="H82" s="42">
        <f>IFERROR(__xludf.DUMMYFUNCTION("""COMPUTED_VALUE"""),1.0)</f>
        <v>1</v>
      </c>
      <c r="I82" s="41">
        <f>IFERROR(__xludf.DUMMYFUNCTION("""COMPUTED_VALUE"""),15.0)</f>
        <v>15</v>
      </c>
      <c r="J82" s="42">
        <f>IFERROR(__xludf.DUMMYFUNCTION("""COMPUTED_VALUE"""),15.0)</f>
        <v>15</v>
      </c>
      <c r="K82" s="42">
        <f>IFERROR(__xludf.DUMMYFUNCTION("""COMPUTED_VALUE"""),0.0)</f>
        <v>0</v>
      </c>
      <c r="L82" s="42">
        <f>IFERROR(__xludf.DUMMYFUNCTION("""COMPUTED_VALUE"""),0.0)</f>
        <v>0</v>
      </c>
      <c r="M82" s="41">
        <f>IFERROR(__xludf.DUMMYFUNCTION("""COMPUTED_VALUE"""),14.0)</f>
        <v>14</v>
      </c>
      <c r="N82" s="42">
        <f>IFERROR(__xludf.DUMMYFUNCTION("""COMPUTED_VALUE"""),14.0)</f>
        <v>14</v>
      </c>
      <c r="O82" s="42">
        <f>IFERROR(__xludf.DUMMYFUNCTION("""COMPUTED_VALUE"""),0.0)</f>
        <v>0</v>
      </c>
      <c r="P82" s="42">
        <f>IFERROR(__xludf.DUMMYFUNCTION("""COMPUTED_VALUE"""),0.0)</f>
        <v>0</v>
      </c>
      <c r="Q82" s="41">
        <f>IFERROR(__xludf.DUMMYFUNCTION("""COMPUTED_VALUE"""),16.0)</f>
        <v>16</v>
      </c>
      <c r="R82" s="42">
        <f>IFERROR(__xludf.DUMMYFUNCTION("""COMPUTED_VALUE"""),15.0)</f>
        <v>15</v>
      </c>
      <c r="S82" s="42">
        <f>IFERROR(__xludf.DUMMYFUNCTION("""COMPUTED_VALUE"""),0.0)</f>
        <v>0</v>
      </c>
      <c r="T82" s="42">
        <f>IFERROR(__xludf.DUMMYFUNCTION("""COMPUTED_VALUE"""),1.0)</f>
        <v>1</v>
      </c>
      <c r="U82" s="41">
        <f>IFERROR(__xludf.DUMMYFUNCTION("""COMPUTED_VALUE"""),16.0)</f>
        <v>16</v>
      </c>
      <c r="V82" s="42">
        <f>IFERROR(__xludf.DUMMYFUNCTION("""COMPUTED_VALUE"""),15.0)</f>
        <v>15</v>
      </c>
      <c r="W82" s="42">
        <f>IFERROR(__xludf.DUMMYFUNCTION("""COMPUTED_VALUE"""),0.0)</f>
        <v>0</v>
      </c>
      <c r="X82" s="42">
        <f>IFERROR(__xludf.DUMMYFUNCTION("""COMPUTED_VALUE"""),1.0)</f>
        <v>1</v>
      </c>
      <c r="Y82" s="41">
        <f>IFERROR(__xludf.DUMMYFUNCTION("""COMPUTED_VALUE"""),15.0)</f>
        <v>15</v>
      </c>
      <c r="Z82" s="42">
        <f>IFERROR(__xludf.DUMMYFUNCTION("""COMPUTED_VALUE"""),14.0)</f>
        <v>14</v>
      </c>
      <c r="AA82" s="42">
        <f>IFERROR(__xludf.DUMMYFUNCTION("""COMPUTED_VALUE"""),0.0)</f>
        <v>0</v>
      </c>
      <c r="AB82" s="42">
        <f>IFERROR(__xludf.DUMMYFUNCTION("""COMPUTED_VALUE"""),1.0)</f>
        <v>1</v>
      </c>
      <c r="AC82" s="41">
        <f>IFERROR(__xludf.DUMMYFUNCTION("""COMPUTED_VALUE"""),14.0)</f>
        <v>14</v>
      </c>
      <c r="AD82" s="42">
        <f>IFERROR(__xludf.DUMMYFUNCTION("""COMPUTED_VALUE"""),13.0)</f>
        <v>13</v>
      </c>
      <c r="AE82" s="42">
        <f>IFERROR(__xludf.DUMMYFUNCTION("""COMPUTED_VALUE"""),0.0)</f>
        <v>0</v>
      </c>
      <c r="AF82" s="42">
        <f>IFERROR(__xludf.DUMMYFUNCTION("""COMPUTED_VALUE"""),1.0)</f>
        <v>1</v>
      </c>
      <c r="AG82" s="41">
        <f>IFERROR(__xludf.DUMMYFUNCTION("""COMPUTED_VALUE"""),1.0)</f>
        <v>1</v>
      </c>
      <c r="AH82" s="42">
        <f>IFERROR(__xludf.DUMMYFUNCTION("""COMPUTED_VALUE"""),1.0)</f>
        <v>1</v>
      </c>
      <c r="AI82" s="42">
        <f>IFERROR(__xludf.DUMMYFUNCTION("""COMPUTED_VALUE"""),0.0)</f>
        <v>0</v>
      </c>
      <c r="AJ82" s="42">
        <f>IFERROR(__xludf.DUMMYFUNCTION("""COMPUTED_VALUE"""),0.0)</f>
        <v>0</v>
      </c>
      <c r="AK82" s="41">
        <f>IFERROR(__xludf.DUMMYFUNCTION("""COMPUTED_VALUE"""),1.0)</f>
        <v>1</v>
      </c>
      <c r="AL82" s="42">
        <f>IFERROR(__xludf.DUMMYFUNCTION("""COMPUTED_VALUE"""),1.0)</f>
        <v>1</v>
      </c>
      <c r="AM82" s="42">
        <f>IFERROR(__xludf.DUMMYFUNCTION("""COMPUTED_VALUE"""),0.0)</f>
        <v>0</v>
      </c>
      <c r="AN82" s="42">
        <f>IFERROR(__xludf.DUMMYFUNCTION("""COMPUTED_VALUE"""),0.0)</f>
        <v>0</v>
      </c>
      <c r="AO82" s="41">
        <f>IFERROR(__xludf.DUMMYFUNCTION("""COMPUTED_VALUE"""),0.0)</f>
        <v>0</v>
      </c>
      <c r="AP82" s="42">
        <f>IFERROR(__xludf.DUMMYFUNCTION("""COMPUTED_VALUE"""),0.0)</f>
        <v>0</v>
      </c>
      <c r="AQ82" s="42">
        <f>IFERROR(__xludf.DUMMYFUNCTION("""COMPUTED_VALUE"""),0.0)</f>
        <v>0</v>
      </c>
      <c r="AR82" s="42">
        <f>IFERROR(__xludf.DUMMYFUNCTION("""COMPUTED_VALUE"""),0.0)</f>
        <v>0</v>
      </c>
      <c r="AS82" s="41">
        <f>IFERROR(__xludf.DUMMYFUNCTION("""COMPUTED_VALUE"""),0.0)</f>
        <v>0</v>
      </c>
      <c r="AT82" s="42">
        <f>IFERROR(__xludf.DUMMYFUNCTION("""COMPUTED_VALUE"""),0.0)</f>
        <v>0</v>
      </c>
      <c r="AU82" s="42">
        <f>IFERROR(__xludf.DUMMYFUNCTION("""COMPUTED_VALUE"""),0.0)</f>
        <v>0</v>
      </c>
      <c r="AV82" s="42">
        <f>IFERROR(__xludf.DUMMYFUNCTION("""COMPUTED_VALUE"""),0.0)</f>
        <v>0</v>
      </c>
      <c r="AW82" s="41">
        <f>IFERROR(__xludf.DUMMYFUNCTION("""COMPUTED_VALUE"""),0.0)</f>
        <v>0</v>
      </c>
      <c r="AX82" s="42">
        <f>IFERROR(__xludf.DUMMYFUNCTION("""COMPUTED_VALUE"""),0.0)</f>
        <v>0</v>
      </c>
      <c r="AY82" s="42">
        <f>IFERROR(__xludf.DUMMYFUNCTION("""COMPUTED_VALUE"""),0.0)</f>
        <v>0</v>
      </c>
      <c r="AZ82" s="43">
        <f>IFERROR(__xludf.DUMMYFUNCTION("""COMPUTED_VALUE"""),0.0)</f>
        <v>0</v>
      </c>
      <c r="BA82" s="34"/>
    </row>
    <row r="83" ht="15.75" customHeight="1">
      <c r="A83" s="29"/>
      <c r="B83" s="67" t="str">
        <f>IFERROR(__xludf.DUMMYFUNCTION("""COMPUTED_VALUE""")," + Bán kiên cố")</f>
        <v> + Bán kiên cố</v>
      </c>
      <c r="C83" s="31"/>
      <c r="D83" s="31" t="str">
        <f>IFERROR(__xludf.DUMMYFUNCTION("""COMPUTED_VALUE"""),"""")</f>
        <v>"</v>
      </c>
      <c r="E83" s="41">
        <f>IFERROR(__xludf.DUMMYFUNCTION("""COMPUTED_VALUE"""),0.0)</f>
        <v>0</v>
      </c>
      <c r="F83" s="42">
        <f>IFERROR(__xludf.DUMMYFUNCTION("""COMPUTED_VALUE"""),0.0)</f>
        <v>0</v>
      </c>
      <c r="G83" s="42">
        <f>IFERROR(__xludf.DUMMYFUNCTION("""COMPUTED_VALUE"""),0.0)</f>
        <v>0</v>
      </c>
      <c r="H83" s="42">
        <f>IFERROR(__xludf.DUMMYFUNCTION("""COMPUTED_VALUE"""),0.0)</f>
        <v>0</v>
      </c>
      <c r="I83" s="41">
        <f>IFERROR(__xludf.DUMMYFUNCTION("""COMPUTED_VALUE"""),0.0)</f>
        <v>0</v>
      </c>
      <c r="J83" s="42">
        <f>IFERROR(__xludf.DUMMYFUNCTION("""COMPUTED_VALUE"""),0.0)</f>
        <v>0</v>
      </c>
      <c r="K83" s="42">
        <f>IFERROR(__xludf.DUMMYFUNCTION("""COMPUTED_VALUE"""),0.0)</f>
        <v>0</v>
      </c>
      <c r="L83" s="42">
        <f>IFERROR(__xludf.DUMMYFUNCTION("""COMPUTED_VALUE"""),0.0)</f>
        <v>0</v>
      </c>
      <c r="M83" s="41">
        <f>IFERROR(__xludf.DUMMYFUNCTION("""COMPUTED_VALUE"""),0.0)</f>
        <v>0</v>
      </c>
      <c r="N83" s="42">
        <f>IFERROR(__xludf.DUMMYFUNCTION("""COMPUTED_VALUE"""),0.0)</f>
        <v>0</v>
      </c>
      <c r="O83" s="42">
        <f>IFERROR(__xludf.DUMMYFUNCTION("""COMPUTED_VALUE"""),0.0)</f>
        <v>0</v>
      </c>
      <c r="P83" s="42">
        <f>IFERROR(__xludf.DUMMYFUNCTION("""COMPUTED_VALUE"""),0.0)</f>
        <v>0</v>
      </c>
      <c r="Q83" s="41">
        <f>IFERROR(__xludf.DUMMYFUNCTION("""COMPUTED_VALUE"""),0.0)</f>
        <v>0</v>
      </c>
      <c r="R83" s="42">
        <f>IFERROR(__xludf.DUMMYFUNCTION("""COMPUTED_VALUE"""),0.0)</f>
        <v>0</v>
      </c>
      <c r="S83" s="42">
        <f>IFERROR(__xludf.DUMMYFUNCTION("""COMPUTED_VALUE"""),0.0)</f>
        <v>0</v>
      </c>
      <c r="T83" s="42">
        <f>IFERROR(__xludf.DUMMYFUNCTION("""COMPUTED_VALUE"""),0.0)</f>
        <v>0</v>
      </c>
      <c r="U83" s="41">
        <f>IFERROR(__xludf.DUMMYFUNCTION("""COMPUTED_VALUE"""),0.0)</f>
        <v>0</v>
      </c>
      <c r="V83" s="42">
        <f>IFERROR(__xludf.DUMMYFUNCTION("""COMPUTED_VALUE"""),0.0)</f>
        <v>0</v>
      </c>
      <c r="W83" s="42">
        <f>IFERROR(__xludf.DUMMYFUNCTION("""COMPUTED_VALUE"""),0.0)</f>
        <v>0</v>
      </c>
      <c r="X83" s="42">
        <f>IFERROR(__xludf.DUMMYFUNCTION("""COMPUTED_VALUE"""),0.0)</f>
        <v>0</v>
      </c>
      <c r="Y83" s="41">
        <f>IFERROR(__xludf.DUMMYFUNCTION("""COMPUTED_VALUE"""),0.0)</f>
        <v>0</v>
      </c>
      <c r="Z83" s="42">
        <f>IFERROR(__xludf.DUMMYFUNCTION("""COMPUTED_VALUE"""),0.0)</f>
        <v>0</v>
      </c>
      <c r="AA83" s="42">
        <f>IFERROR(__xludf.DUMMYFUNCTION("""COMPUTED_VALUE"""),0.0)</f>
        <v>0</v>
      </c>
      <c r="AB83" s="42">
        <f>IFERROR(__xludf.DUMMYFUNCTION("""COMPUTED_VALUE"""),0.0)</f>
        <v>0</v>
      </c>
      <c r="AC83" s="41">
        <f>IFERROR(__xludf.DUMMYFUNCTION("""COMPUTED_VALUE"""),0.0)</f>
        <v>0</v>
      </c>
      <c r="AD83" s="42">
        <f>IFERROR(__xludf.DUMMYFUNCTION("""COMPUTED_VALUE"""),0.0)</f>
        <v>0</v>
      </c>
      <c r="AE83" s="42">
        <f>IFERROR(__xludf.DUMMYFUNCTION("""COMPUTED_VALUE"""),0.0)</f>
        <v>0</v>
      </c>
      <c r="AF83" s="42">
        <f>IFERROR(__xludf.DUMMYFUNCTION("""COMPUTED_VALUE"""),0.0)</f>
        <v>0</v>
      </c>
      <c r="AG83" s="41">
        <f>IFERROR(__xludf.DUMMYFUNCTION("""COMPUTED_VALUE"""),0.0)</f>
        <v>0</v>
      </c>
      <c r="AH83" s="42">
        <f>IFERROR(__xludf.DUMMYFUNCTION("""COMPUTED_VALUE"""),0.0)</f>
        <v>0</v>
      </c>
      <c r="AI83" s="42">
        <f>IFERROR(__xludf.DUMMYFUNCTION("""COMPUTED_VALUE"""),0.0)</f>
        <v>0</v>
      </c>
      <c r="AJ83" s="42">
        <f>IFERROR(__xludf.DUMMYFUNCTION("""COMPUTED_VALUE"""),0.0)</f>
        <v>0</v>
      </c>
      <c r="AK83" s="41">
        <f>IFERROR(__xludf.DUMMYFUNCTION("""COMPUTED_VALUE"""),0.0)</f>
        <v>0</v>
      </c>
      <c r="AL83" s="42">
        <f>IFERROR(__xludf.DUMMYFUNCTION("""COMPUTED_VALUE"""),0.0)</f>
        <v>0</v>
      </c>
      <c r="AM83" s="42">
        <f>IFERROR(__xludf.DUMMYFUNCTION("""COMPUTED_VALUE"""),0.0)</f>
        <v>0</v>
      </c>
      <c r="AN83" s="42">
        <f>IFERROR(__xludf.DUMMYFUNCTION("""COMPUTED_VALUE"""),0.0)</f>
        <v>0</v>
      </c>
      <c r="AO83" s="41">
        <f>IFERROR(__xludf.DUMMYFUNCTION("""COMPUTED_VALUE"""),0.0)</f>
        <v>0</v>
      </c>
      <c r="AP83" s="42">
        <f>IFERROR(__xludf.DUMMYFUNCTION("""COMPUTED_VALUE"""),0.0)</f>
        <v>0</v>
      </c>
      <c r="AQ83" s="42">
        <f>IFERROR(__xludf.DUMMYFUNCTION("""COMPUTED_VALUE"""),0.0)</f>
        <v>0</v>
      </c>
      <c r="AR83" s="42">
        <f>IFERROR(__xludf.DUMMYFUNCTION("""COMPUTED_VALUE"""),0.0)</f>
        <v>0</v>
      </c>
      <c r="AS83" s="41">
        <f>IFERROR(__xludf.DUMMYFUNCTION("""COMPUTED_VALUE"""),0.0)</f>
        <v>0</v>
      </c>
      <c r="AT83" s="42">
        <f>IFERROR(__xludf.DUMMYFUNCTION("""COMPUTED_VALUE"""),0.0)</f>
        <v>0</v>
      </c>
      <c r="AU83" s="42">
        <f>IFERROR(__xludf.DUMMYFUNCTION("""COMPUTED_VALUE"""),0.0)</f>
        <v>0</v>
      </c>
      <c r="AV83" s="42">
        <f>IFERROR(__xludf.DUMMYFUNCTION("""COMPUTED_VALUE"""),0.0)</f>
        <v>0</v>
      </c>
      <c r="AW83" s="41">
        <f>IFERROR(__xludf.DUMMYFUNCTION("""COMPUTED_VALUE"""),0.0)</f>
        <v>0</v>
      </c>
      <c r="AX83" s="42">
        <f>IFERROR(__xludf.DUMMYFUNCTION("""COMPUTED_VALUE"""),0.0)</f>
        <v>0</v>
      </c>
      <c r="AY83" s="42">
        <f>IFERROR(__xludf.DUMMYFUNCTION("""COMPUTED_VALUE"""),0.0)</f>
        <v>0</v>
      </c>
      <c r="AZ83" s="43">
        <f>IFERROR(__xludf.DUMMYFUNCTION("""COMPUTED_VALUE"""),0.0)</f>
        <v>0</v>
      </c>
      <c r="BA83" s="34"/>
    </row>
    <row r="84" ht="15.75" customHeight="1">
      <c r="A84" s="29"/>
      <c r="B84" s="67" t="str">
        <f>IFERROR(__xludf.DUMMYFUNCTION("""COMPUTED_VALUE""")," + Tạm")</f>
        <v> + Tạm</v>
      </c>
      <c r="C84" s="31"/>
      <c r="D84" s="31" t="str">
        <f>IFERROR(__xludf.DUMMYFUNCTION("""COMPUTED_VALUE"""),"""")</f>
        <v>"</v>
      </c>
      <c r="E84" s="41">
        <f>IFERROR(__xludf.DUMMYFUNCTION("""COMPUTED_VALUE"""),0.0)</f>
        <v>0</v>
      </c>
      <c r="F84" s="42">
        <f>IFERROR(__xludf.DUMMYFUNCTION("""COMPUTED_VALUE"""),0.0)</f>
        <v>0</v>
      </c>
      <c r="G84" s="42">
        <f>IFERROR(__xludf.DUMMYFUNCTION("""COMPUTED_VALUE"""),0.0)</f>
        <v>0</v>
      </c>
      <c r="H84" s="42">
        <f>IFERROR(__xludf.DUMMYFUNCTION("""COMPUTED_VALUE"""),0.0)</f>
        <v>0</v>
      </c>
      <c r="I84" s="41">
        <f>IFERROR(__xludf.DUMMYFUNCTION("""COMPUTED_VALUE"""),0.0)</f>
        <v>0</v>
      </c>
      <c r="J84" s="42">
        <f>IFERROR(__xludf.DUMMYFUNCTION("""COMPUTED_VALUE"""),0.0)</f>
        <v>0</v>
      </c>
      <c r="K84" s="42">
        <f>IFERROR(__xludf.DUMMYFUNCTION("""COMPUTED_VALUE"""),0.0)</f>
        <v>0</v>
      </c>
      <c r="L84" s="42">
        <f>IFERROR(__xludf.DUMMYFUNCTION("""COMPUTED_VALUE"""),0.0)</f>
        <v>0</v>
      </c>
      <c r="M84" s="41">
        <f>IFERROR(__xludf.DUMMYFUNCTION("""COMPUTED_VALUE"""),0.0)</f>
        <v>0</v>
      </c>
      <c r="N84" s="42">
        <f>IFERROR(__xludf.DUMMYFUNCTION("""COMPUTED_VALUE"""),0.0)</f>
        <v>0</v>
      </c>
      <c r="O84" s="42">
        <f>IFERROR(__xludf.DUMMYFUNCTION("""COMPUTED_VALUE"""),0.0)</f>
        <v>0</v>
      </c>
      <c r="P84" s="42">
        <f>IFERROR(__xludf.DUMMYFUNCTION("""COMPUTED_VALUE"""),0.0)</f>
        <v>0</v>
      </c>
      <c r="Q84" s="41">
        <f>IFERROR(__xludf.DUMMYFUNCTION("""COMPUTED_VALUE"""),0.0)</f>
        <v>0</v>
      </c>
      <c r="R84" s="42">
        <f>IFERROR(__xludf.DUMMYFUNCTION("""COMPUTED_VALUE"""),0.0)</f>
        <v>0</v>
      </c>
      <c r="S84" s="42">
        <f>IFERROR(__xludf.DUMMYFUNCTION("""COMPUTED_VALUE"""),0.0)</f>
        <v>0</v>
      </c>
      <c r="T84" s="42">
        <f>IFERROR(__xludf.DUMMYFUNCTION("""COMPUTED_VALUE"""),0.0)</f>
        <v>0</v>
      </c>
      <c r="U84" s="41">
        <f>IFERROR(__xludf.DUMMYFUNCTION("""COMPUTED_VALUE"""),0.0)</f>
        <v>0</v>
      </c>
      <c r="V84" s="42">
        <f>IFERROR(__xludf.DUMMYFUNCTION("""COMPUTED_VALUE"""),0.0)</f>
        <v>0</v>
      </c>
      <c r="W84" s="42">
        <f>IFERROR(__xludf.DUMMYFUNCTION("""COMPUTED_VALUE"""),0.0)</f>
        <v>0</v>
      </c>
      <c r="X84" s="42">
        <f>IFERROR(__xludf.DUMMYFUNCTION("""COMPUTED_VALUE"""),0.0)</f>
        <v>0</v>
      </c>
      <c r="Y84" s="41">
        <f>IFERROR(__xludf.DUMMYFUNCTION("""COMPUTED_VALUE"""),0.0)</f>
        <v>0</v>
      </c>
      <c r="Z84" s="42">
        <f>IFERROR(__xludf.DUMMYFUNCTION("""COMPUTED_VALUE"""),0.0)</f>
        <v>0</v>
      </c>
      <c r="AA84" s="42">
        <f>IFERROR(__xludf.DUMMYFUNCTION("""COMPUTED_VALUE"""),0.0)</f>
        <v>0</v>
      </c>
      <c r="AB84" s="42">
        <f>IFERROR(__xludf.DUMMYFUNCTION("""COMPUTED_VALUE"""),0.0)</f>
        <v>0</v>
      </c>
      <c r="AC84" s="41">
        <f>IFERROR(__xludf.DUMMYFUNCTION("""COMPUTED_VALUE"""),0.0)</f>
        <v>0</v>
      </c>
      <c r="AD84" s="42">
        <f>IFERROR(__xludf.DUMMYFUNCTION("""COMPUTED_VALUE"""),0.0)</f>
        <v>0</v>
      </c>
      <c r="AE84" s="42">
        <f>IFERROR(__xludf.DUMMYFUNCTION("""COMPUTED_VALUE"""),0.0)</f>
        <v>0</v>
      </c>
      <c r="AF84" s="42">
        <f>IFERROR(__xludf.DUMMYFUNCTION("""COMPUTED_VALUE"""),0.0)</f>
        <v>0</v>
      </c>
      <c r="AG84" s="41">
        <f>IFERROR(__xludf.DUMMYFUNCTION("""COMPUTED_VALUE"""),0.0)</f>
        <v>0</v>
      </c>
      <c r="AH84" s="42">
        <f>IFERROR(__xludf.DUMMYFUNCTION("""COMPUTED_VALUE"""),0.0)</f>
        <v>0</v>
      </c>
      <c r="AI84" s="42">
        <f>IFERROR(__xludf.DUMMYFUNCTION("""COMPUTED_VALUE"""),0.0)</f>
        <v>0</v>
      </c>
      <c r="AJ84" s="42">
        <f>IFERROR(__xludf.DUMMYFUNCTION("""COMPUTED_VALUE"""),0.0)</f>
        <v>0</v>
      </c>
      <c r="AK84" s="41">
        <f>IFERROR(__xludf.DUMMYFUNCTION("""COMPUTED_VALUE"""),0.0)</f>
        <v>0</v>
      </c>
      <c r="AL84" s="42">
        <f>IFERROR(__xludf.DUMMYFUNCTION("""COMPUTED_VALUE"""),0.0)</f>
        <v>0</v>
      </c>
      <c r="AM84" s="42">
        <f>IFERROR(__xludf.DUMMYFUNCTION("""COMPUTED_VALUE"""),0.0)</f>
        <v>0</v>
      </c>
      <c r="AN84" s="42">
        <f>IFERROR(__xludf.DUMMYFUNCTION("""COMPUTED_VALUE"""),0.0)</f>
        <v>0</v>
      </c>
      <c r="AO84" s="41">
        <f>IFERROR(__xludf.DUMMYFUNCTION("""COMPUTED_VALUE"""),0.0)</f>
        <v>0</v>
      </c>
      <c r="AP84" s="42">
        <f>IFERROR(__xludf.DUMMYFUNCTION("""COMPUTED_VALUE"""),0.0)</f>
        <v>0</v>
      </c>
      <c r="AQ84" s="42">
        <f>IFERROR(__xludf.DUMMYFUNCTION("""COMPUTED_VALUE"""),0.0)</f>
        <v>0</v>
      </c>
      <c r="AR84" s="42">
        <f>IFERROR(__xludf.DUMMYFUNCTION("""COMPUTED_VALUE"""),0.0)</f>
        <v>0</v>
      </c>
      <c r="AS84" s="41">
        <f>IFERROR(__xludf.DUMMYFUNCTION("""COMPUTED_VALUE"""),0.0)</f>
        <v>0</v>
      </c>
      <c r="AT84" s="42">
        <f>IFERROR(__xludf.DUMMYFUNCTION("""COMPUTED_VALUE"""),0.0)</f>
        <v>0</v>
      </c>
      <c r="AU84" s="42">
        <f>IFERROR(__xludf.DUMMYFUNCTION("""COMPUTED_VALUE"""),0.0)</f>
        <v>0</v>
      </c>
      <c r="AV84" s="42">
        <f>IFERROR(__xludf.DUMMYFUNCTION("""COMPUTED_VALUE"""),0.0)</f>
        <v>0</v>
      </c>
      <c r="AW84" s="41">
        <f>IFERROR(__xludf.DUMMYFUNCTION("""COMPUTED_VALUE"""),0.0)</f>
        <v>0</v>
      </c>
      <c r="AX84" s="42">
        <f>IFERROR(__xludf.DUMMYFUNCTION("""COMPUTED_VALUE"""),0.0)</f>
        <v>0</v>
      </c>
      <c r="AY84" s="42">
        <f>IFERROR(__xludf.DUMMYFUNCTION("""COMPUTED_VALUE"""),0.0)</f>
        <v>0</v>
      </c>
      <c r="AZ84" s="43">
        <f>IFERROR(__xludf.DUMMYFUNCTION("""COMPUTED_VALUE"""),0.0)</f>
        <v>0</v>
      </c>
      <c r="BA84" s="34"/>
    </row>
    <row r="85" ht="15.75" customHeight="1">
      <c r="A85" s="29"/>
      <c r="B85" s="196" t="str">
        <f>IFERROR(__xludf.DUMMYFUNCTION("""COMPUTED_VALUE"""),"7.2. Tổng số phòng thiết bị")</f>
        <v>7.2. Tổng số phòng thiết bị</v>
      </c>
      <c r="C85" s="57"/>
      <c r="D85" s="57" t="str">
        <f>IFERROR(__xludf.DUMMYFUNCTION("""COMPUTED_VALUE"""),"Phòng")</f>
        <v>Phòng</v>
      </c>
      <c r="E85" s="125">
        <f>IFERROR(__xludf.DUMMYFUNCTION("""COMPUTED_VALUE"""),20.0)</f>
        <v>20</v>
      </c>
      <c r="F85" s="125">
        <f>IFERROR(__xludf.DUMMYFUNCTION("""COMPUTED_VALUE"""),18.0)</f>
        <v>18</v>
      </c>
      <c r="G85" s="125">
        <f>IFERROR(__xludf.DUMMYFUNCTION("""COMPUTED_VALUE"""),0.0)</f>
        <v>0</v>
      </c>
      <c r="H85" s="125">
        <f>IFERROR(__xludf.DUMMYFUNCTION("""COMPUTED_VALUE"""),2.0)</f>
        <v>2</v>
      </c>
      <c r="I85" s="125">
        <f>IFERROR(__xludf.DUMMYFUNCTION("""COMPUTED_VALUE"""),18.0)</f>
        <v>18</v>
      </c>
      <c r="J85" s="125">
        <f>IFERROR(__xludf.DUMMYFUNCTION("""COMPUTED_VALUE"""),18.0)</f>
        <v>18</v>
      </c>
      <c r="K85" s="125">
        <f>IFERROR(__xludf.DUMMYFUNCTION("""COMPUTED_VALUE"""),0.0)</f>
        <v>0</v>
      </c>
      <c r="L85" s="125">
        <f>IFERROR(__xludf.DUMMYFUNCTION("""COMPUTED_VALUE"""),0.0)</f>
        <v>0</v>
      </c>
      <c r="M85" s="125">
        <f>IFERROR(__xludf.DUMMYFUNCTION("""COMPUTED_VALUE"""),18.0)</f>
        <v>18</v>
      </c>
      <c r="N85" s="125">
        <f>IFERROR(__xludf.DUMMYFUNCTION("""COMPUTED_VALUE"""),18.0)</f>
        <v>18</v>
      </c>
      <c r="O85" s="125">
        <f>IFERROR(__xludf.DUMMYFUNCTION("""COMPUTED_VALUE"""),0.0)</f>
        <v>0</v>
      </c>
      <c r="P85" s="125">
        <f>IFERROR(__xludf.DUMMYFUNCTION("""COMPUTED_VALUE"""),0.0)</f>
        <v>0</v>
      </c>
      <c r="Q85" s="125">
        <f>IFERROR(__xludf.DUMMYFUNCTION("""COMPUTED_VALUE"""),19.0)</f>
        <v>19</v>
      </c>
      <c r="R85" s="125">
        <f>IFERROR(__xludf.DUMMYFUNCTION("""COMPUTED_VALUE"""),18.0)</f>
        <v>18</v>
      </c>
      <c r="S85" s="125">
        <f>IFERROR(__xludf.DUMMYFUNCTION("""COMPUTED_VALUE"""),0.0)</f>
        <v>0</v>
      </c>
      <c r="T85" s="125">
        <f>IFERROR(__xludf.DUMMYFUNCTION("""COMPUTED_VALUE"""),1.0)</f>
        <v>1</v>
      </c>
      <c r="U85" s="125">
        <f>IFERROR(__xludf.DUMMYFUNCTION("""COMPUTED_VALUE"""),19.0)</f>
        <v>19</v>
      </c>
      <c r="V85" s="125">
        <f>IFERROR(__xludf.DUMMYFUNCTION("""COMPUTED_VALUE"""),18.0)</f>
        <v>18</v>
      </c>
      <c r="W85" s="125">
        <f>IFERROR(__xludf.DUMMYFUNCTION("""COMPUTED_VALUE"""),0.0)</f>
        <v>0</v>
      </c>
      <c r="X85" s="125">
        <f>IFERROR(__xludf.DUMMYFUNCTION("""COMPUTED_VALUE"""),1.0)</f>
        <v>1</v>
      </c>
      <c r="Y85" s="125">
        <f>IFERROR(__xludf.DUMMYFUNCTION("""COMPUTED_VALUE"""),19.0)</f>
        <v>19</v>
      </c>
      <c r="Z85" s="125">
        <f>IFERROR(__xludf.DUMMYFUNCTION("""COMPUTED_VALUE"""),18.0)</f>
        <v>18</v>
      </c>
      <c r="AA85" s="125">
        <f>IFERROR(__xludf.DUMMYFUNCTION("""COMPUTED_VALUE"""),0.0)</f>
        <v>0</v>
      </c>
      <c r="AB85" s="125">
        <f>IFERROR(__xludf.DUMMYFUNCTION("""COMPUTED_VALUE"""),1.0)</f>
        <v>1</v>
      </c>
      <c r="AC85" s="125">
        <f>IFERROR(__xludf.DUMMYFUNCTION("""COMPUTED_VALUE"""),19.0)</f>
        <v>19</v>
      </c>
      <c r="AD85" s="125">
        <f>IFERROR(__xludf.DUMMYFUNCTION("""COMPUTED_VALUE"""),18.0)</f>
        <v>18</v>
      </c>
      <c r="AE85" s="125">
        <f>IFERROR(__xludf.DUMMYFUNCTION("""COMPUTED_VALUE"""),0.0)</f>
        <v>0</v>
      </c>
      <c r="AF85" s="125">
        <f>IFERROR(__xludf.DUMMYFUNCTION("""COMPUTED_VALUE"""),1.0)</f>
        <v>1</v>
      </c>
      <c r="AG85" s="125">
        <f>IFERROR(__xludf.DUMMYFUNCTION("""COMPUTED_VALUE"""),2.0)</f>
        <v>2</v>
      </c>
      <c r="AH85" s="125">
        <f>IFERROR(__xludf.DUMMYFUNCTION("""COMPUTED_VALUE"""),2.0)</f>
        <v>2</v>
      </c>
      <c r="AI85" s="125">
        <f>IFERROR(__xludf.DUMMYFUNCTION("""COMPUTED_VALUE"""),0.0)</f>
        <v>0</v>
      </c>
      <c r="AJ85" s="125">
        <f>IFERROR(__xludf.DUMMYFUNCTION("""COMPUTED_VALUE"""),0.0)</f>
        <v>0</v>
      </c>
      <c r="AK85" s="125">
        <f>IFERROR(__xludf.DUMMYFUNCTION("""COMPUTED_VALUE"""),0.0)</f>
        <v>0</v>
      </c>
      <c r="AL85" s="125">
        <f>IFERROR(__xludf.DUMMYFUNCTION("""COMPUTED_VALUE"""),0.0)</f>
        <v>0</v>
      </c>
      <c r="AM85" s="125">
        <f>IFERROR(__xludf.DUMMYFUNCTION("""COMPUTED_VALUE"""),0.0)</f>
        <v>0</v>
      </c>
      <c r="AN85" s="125">
        <f>IFERROR(__xludf.DUMMYFUNCTION("""COMPUTED_VALUE"""),0.0)</f>
        <v>0</v>
      </c>
      <c r="AO85" s="125">
        <f>IFERROR(__xludf.DUMMYFUNCTION("""COMPUTED_VALUE"""),0.0)</f>
        <v>0</v>
      </c>
      <c r="AP85" s="125">
        <f>IFERROR(__xludf.DUMMYFUNCTION("""COMPUTED_VALUE"""),0.0)</f>
        <v>0</v>
      </c>
      <c r="AQ85" s="125">
        <f>IFERROR(__xludf.DUMMYFUNCTION("""COMPUTED_VALUE"""),0.0)</f>
        <v>0</v>
      </c>
      <c r="AR85" s="125">
        <f>IFERROR(__xludf.DUMMYFUNCTION("""COMPUTED_VALUE"""),0.0)</f>
        <v>0</v>
      </c>
      <c r="AS85" s="125">
        <f>IFERROR(__xludf.DUMMYFUNCTION("""COMPUTED_VALUE"""),0.0)</f>
        <v>0</v>
      </c>
      <c r="AT85" s="125">
        <f>IFERROR(__xludf.DUMMYFUNCTION("""COMPUTED_VALUE"""),0.0)</f>
        <v>0</v>
      </c>
      <c r="AU85" s="125">
        <f>IFERROR(__xludf.DUMMYFUNCTION("""COMPUTED_VALUE"""),0.0)</f>
        <v>0</v>
      </c>
      <c r="AV85" s="125">
        <f>IFERROR(__xludf.DUMMYFUNCTION("""COMPUTED_VALUE"""),0.0)</f>
        <v>0</v>
      </c>
      <c r="AW85" s="125">
        <f>IFERROR(__xludf.DUMMYFUNCTION("""COMPUTED_VALUE"""),0.0)</f>
        <v>0</v>
      </c>
      <c r="AX85" s="125">
        <f>IFERROR(__xludf.DUMMYFUNCTION("""COMPUTED_VALUE"""),0.0)</f>
        <v>0</v>
      </c>
      <c r="AY85" s="125">
        <f>IFERROR(__xludf.DUMMYFUNCTION("""COMPUTED_VALUE"""),0.0)</f>
        <v>0</v>
      </c>
      <c r="AZ85" s="127">
        <f>IFERROR(__xludf.DUMMYFUNCTION("""COMPUTED_VALUE"""),0.0)</f>
        <v>0</v>
      </c>
      <c r="BA85" s="34"/>
    </row>
    <row r="86" ht="15.75" customHeight="1">
      <c r="A86" s="29"/>
      <c r="B86" s="48" t="str">
        <f>IFERROR(__xludf.DUMMYFUNCTION("""COMPUTED_VALUE"""),"Chia ra:")</f>
        <v>Chia ra:</v>
      </c>
      <c r="C86" s="49"/>
      <c r="D86" s="3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50"/>
      <c r="BA86" s="34"/>
    </row>
    <row r="87" ht="15.75" customHeight="1">
      <c r="A87" s="29"/>
      <c r="B87" s="67" t="str">
        <f>IFERROR(__xludf.DUMMYFUNCTION("""COMPUTED_VALUE""")," + Kiên cố")</f>
        <v> + Kiên cố</v>
      </c>
      <c r="C87" s="31"/>
      <c r="D87" s="31" t="str">
        <f>IFERROR(__xludf.DUMMYFUNCTION("""COMPUTED_VALUE"""),"""")</f>
        <v>"</v>
      </c>
      <c r="E87" s="41">
        <f>IFERROR(__xludf.DUMMYFUNCTION("""COMPUTED_VALUE"""),19.0)</f>
        <v>19</v>
      </c>
      <c r="F87" s="42">
        <f>IFERROR(__xludf.DUMMYFUNCTION("""COMPUTED_VALUE"""),17.0)</f>
        <v>17</v>
      </c>
      <c r="G87" s="42">
        <f>IFERROR(__xludf.DUMMYFUNCTION("""COMPUTED_VALUE"""),0.0)</f>
        <v>0</v>
      </c>
      <c r="H87" s="42">
        <f>IFERROR(__xludf.DUMMYFUNCTION("""COMPUTED_VALUE"""),2.0)</f>
        <v>2</v>
      </c>
      <c r="I87" s="41">
        <f>IFERROR(__xludf.DUMMYFUNCTION("""COMPUTED_VALUE"""),17.0)</f>
        <v>17</v>
      </c>
      <c r="J87" s="42">
        <f>IFERROR(__xludf.DUMMYFUNCTION("""COMPUTED_VALUE"""),17.0)</f>
        <v>17</v>
      </c>
      <c r="K87" s="42">
        <f>IFERROR(__xludf.DUMMYFUNCTION("""COMPUTED_VALUE"""),0.0)</f>
        <v>0</v>
      </c>
      <c r="L87" s="42">
        <f>IFERROR(__xludf.DUMMYFUNCTION("""COMPUTED_VALUE"""),0.0)</f>
        <v>0</v>
      </c>
      <c r="M87" s="41">
        <f>IFERROR(__xludf.DUMMYFUNCTION("""COMPUTED_VALUE"""),17.0)</f>
        <v>17</v>
      </c>
      <c r="N87" s="42">
        <f>IFERROR(__xludf.DUMMYFUNCTION("""COMPUTED_VALUE"""),17.0)</f>
        <v>17</v>
      </c>
      <c r="O87" s="42">
        <f>IFERROR(__xludf.DUMMYFUNCTION("""COMPUTED_VALUE"""),0.0)</f>
        <v>0</v>
      </c>
      <c r="P87" s="42">
        <f>IFERROR(__xludf.DUMMYFUNCTION("""COMPUTED_VALUE"""),0.0)</f>
        <v>0</v>
      </c>
      <c r="Q87" s="41">
        <f>IFERROR(__xludf.DUMMYFUNCTION("""COMPUTED_VALUE"""),18.0)</f>
        <v>18</v>
      </c>
      <c r="R87" s="42">
        <f>IFERROR(__xludf.DUMMYFUNCTION("""COMPUTED_VALUE"""),17.0)</f>
        <v>17</v>
      </c>
      <c r="S87" s="42">
        <f>IFERROR(__xludf.DUMMYFUNCTION("""COMPUTED_VALUE"""),0.0)</f>
        <v>0</v>
      </c>
      <c r="T87" s="42">
        <f>IFERROR(__xludf.DUMMYFUNCTION("""COMPUTED_VALUE"""),1.0)</f>
        <v>1</v>
      </c>
      <c r="U87" s="41">
        <f>IFERROR(__xludf.DUMMYFUNCTION("""COMPUTED_VALUE"""),18.0)</f>
        <v>18</v>
      </c>
      <c r="V87" s="42">
        <f>IFERROR(__xludf.DUMMYFUNCTION("""COMPUTED_VALUE"""),17.0)</f>
        <v>17</v>
      </c>
      <c r="W87" s="42">
        <f>IFERROR(__xludf.DUMMYFUNCTION("""COMPUTED_VALUE"""),0.0)</f>
        <v>0</v>
      </c>
      <c r="X87" s="42">
        <f>IFERROR(__xludf.DUMMYFUNCTION("""COMPUTED_VALUE"""),1.0)</f>
        <v>1</v>
      </c>
      <c r="Y87" s="41">
        <f>IFERROR(__xludf.DUMMYFUNCTION("""COMPUTED_VALUE"""),18.0)</f>
        <v>18</v>
      </c>
      <c r="Z87" s="42">
        <f>IFERROR(__xludf.DUMMYFUNCTION("""COMPUTED_VALUE"""),17.0)</f>
        <v>17</v>
      </c>
      <c r="AA87" s="42">
        <f>IFERROR(__xludf.DUMMYFUNCTION("""COMPUTED_VALUE"""),0.0)</f>
        <v>0</v>
      </c>
      <c r="AB87" s="42">
        <f>IFERROR(__xludf.DUMMYFUNCTION("""COMPUTED_VALUE"""),1.0)</f>
        <v>1</v>
      </c>
      <c r="AC87" s="41">
        <f>IFERROR(__xludf.DUMMYFUNCTION("""COMPUTED_VALUE"""),18.0)</f>
        <v>18</v>
      </c>
      <c r="AD87" s="42">
        <f>IFERROR(__xludf.DUMMYFUNCTION("""COMPUTED_VALUE"""),17.0)</f>
        <v>17</v>
      </c>
      <c r="AE87" s="42">
        <f>IFERROR(__xludf.DUMMYFUNCTION("""COMPUTED_VALUE"""),0.0)</f>
        <v>0</v>
      </c>
      <c r="AF87" s="42">
        <f>IFERROR(__xludf.DUMMYFUNCTION("""COMPUTED_VALUE"""),1.0)</f>
        <v>1</v>
      </c>
      <c r="AG87" s="41">
        <f>IFERROR(__xludf.DUMMYFUNCTION("""COMPUTED_VALUE"""),2.0)</f>
        <v>2</v>
      </c>
      <c r="AH87" s="42">
        <f>IFERROR(__xludf.DUMMYFUNCTION("""COMPUTED_VALUE"""),2.0)</f>
        <v>2</v>
      </c>
      <c r="AI87" s="42">
        <f>IFERROR(__xludf.DUMMYFUNCTION("""COMPUTED_VALUE"""),0.0)</f>
        <v>0</v>
      </c>
      <c r="AJ87" s="42">
        <f>IFERROR(__xludf.DUMMYFUNCTION("""COMPUTED_VALUE"""),0.0)</f>
        <v>0</v>
      </c>
      <c r="AK87" s="41">
        <f>IFERROR(__xludf.DUMMYFUNCTION("""COMPUTED_VALUE"""),0.0)</f>
        <v>0</v>
      </c>
      <c r="AL87" s="42">
        <f>IFERROR(__xludf.DUMMYFUNCTION("""COMPUTED_VALUE"""),0.0)</f>
        <v>0</v>
      </c>
      <c r="AM87" s="42">
        <f>IFERROR(__xludf.DUMMYFUNCTION("""COMPUTED_VALUE"""),0.0)</f>
        <v>0</v>
      </c>
      <c r="AN87" s="42">
        <f>IFERROR(__xludf.DUMMYFUNCTION("""COMPUTED_VALUE"""),0.0)</f>
        <v>0</v>
      </c>
      <c r="AO87" s="41">
        <f>IFERROR(__xludf.DUMMYFUNCTION("""COMPUTED_VALUE"""),0.0)</f>
        <v>0</v>
      </c>
      <c r="AP87" s="42">
        <f>IFERROR(__xludf.DUMMYFUNCTION("""COMPUTED_VALUE"""),0.0)</f>
        <v>0</v>
      </c>
      <c r="AQ87" s="42">
        <f>IFERROR(__xludf.DUMMYFUNCTION("""COMPUTED_VALUE"""),0.0)</f>
        <v>0</v>
      </c>
      <c r="AR87" s="42">
        <f>IFERROR(__xludf.DUMMYFUNCTION("""COMPUTED_VALUE"""),0.0)</f>
        <v>0</v>
      </c>
      <c r="AS87" s="41">
        <f>IFERROR(__xludf.DUMMYFUNCTION("""COMPUTED_VALUE"""),0.0)</f>
        <v>0</v>
      </c>
      <c r="AT87" s="42">
        <f>IFERROR(__xludf.DUMMYFUNCTION("""COMPUTED_VALUE"""),0.0)</f>
        <v>0</v>
      </c>
      <c r="AU87" s="42">
        <f>IFERROR(__xludf.DUMMYFUNCTION("""COMPUTED_VALUE"""),0.0)</f>
        <v>0</v>
      </c>
      <c r="AV87" s="42">
        <f>IFERROR(__xludf.DUMMYFUNCTION("""COMPUTED_VALUE"""),0.0)</f>
        <v>0</v>
      </c>
      <c r="AW87" s="41">
        <f>IFERROR(__xludf.DUMMYFUNCTION("""COMPUTED_VALUE"""),0.0)</f>
        <v>0</v>
      </c>
      <c r="AX87" s="42">
        <f>IFERROR(__xludf.DUMMYFUNCTION("""COMPUTED_VALUE"""),0.0)</f>
        <v>0</v>
      </c>
      <c r="AY87" s="42">
        <f>IFERROR(__xludf.DUMMYFUNCTION("""COMPUTED_VALUE"""),0.0)</f>
        <v>0</v>
      </c>
      <c r="AZ87" s="43">
        <f>IFERROR(__xludf.DUMMYFUNCTION("""COMPUTED_VALUE"""),0.0)</f>
        <v>0</v>
      </c>
      <c r="BA87" s="34"/>
    </row>
    <row r="88" ht="15.75" customHeight="1">
      <c r="A88" s="29"/>
      <c r="B88" s="67" t="str">
        <f>IFERROR(__xludf.DUMMYFUNCTION("""COMPUTED_VALUE""")," + Bán kiên cố")</f>
        <v> + Bán kiên cố</v>
      </c>
      <c r="C88" s="31"/>
      <c r="D88" s="31" t="str">
        <f>IFERROR(__xludf.DUMMYFUNCTION("""COMPUTED_VALUE"""),"""")</f>
        <v>"</v>
      </c>
      <c r="E88" s="41">
        <f>IFERROR(__xludf.DUMMYFUNCTION("""COMPUTED_VALUE"""),1.0)</f>
        <v>1</v>
      </c>
      <c r="F88" s="42">
        <f>IFERROR(__xludf.DUMMYFUNCTION("""COMPUTED_VALUE"""),1.0)</f>
        <v>1</v>
      </c>
      <c r="G88" s="42">
        <f>IFERROR(__xludf.DUMMYFUNCTION("""COMPUTED_VALUE"""),0.0)</f>
        <v>0</v>
      </c>
      <c r="H88" s="42">
        <f>IFERROR(__xludf.DUMMYFUNCTION("""COMPUTED_VALUE"""),0.0)</f>
        <v>0</v>
      </c>
      <c r="I88" s="41">
        <f>IFERROR(__xludf.DUMMYFUNCTION("""COMPUTED_VALUE"""),1.0)</f>
        <v>1</v>
      </c>
      <c r="J88" s="42">
        <f>IFERROR(__xludf.DUMMYFUNCTION("""COMPUTED_VALUE"""),1.0)</f>
        <v>1</v>
      </c>
      <c r="K88" s="42">
        <f>IFERROR(__xludf.DUMMYFUNCTION("""COMPUTED_VALUE"""),0.0)</f>
        <v>0</v>
      </c>
      <c r="L88" s="42">
        <f>IFERROR(__xludf.DUMMYFUNCTION("""COMPUTED_VALUE"""),0.0)</f>
        <v>0</v>
      </c>
      <c r="M88" s="41">
        <f>IFERROR(__xludf.DUMMYFUNCTION("""COMPUTED_VALUE"""),1.0)</f>
        <v>1</v>
      </c>
      <c r="N88" s="42">
        <f>IFERROR(__xludf.DUMMYFUNCTION("""COMPUTED_VALUE"""),1.0)</f>
        <v>1</v>
      </c>
      <c r="O88" s="42">
        <f>IFERROR(__xludf.DUMMYFUNCTION("""COMPUTED_VALUE"""),0.0)</f>
        <v>0</v>
      </c>
      <c r="P88" s="42">
        <f>IFERROR(__xludf.DUMMYFUNCTION("""COMPUTED_VALUE"""),0.0)</f>
        <v>0</v>
      </c>
      <c r="Q88" s="41">
        <f>IFERROR(__xludf.DUMMYFUNCTION("""COMPUTED_VALUE"""),1.0)</f>
        <v>1</v>
      </c>
      <c r="R88" s="42">
        <f>IFERROR(__xludf.DUMMYFUNCTION("""COMPUTED_VALUE"""),1.0)</f>
        <v>1</v>
      </c>
      <c r="S88" s="42">
        <f>IFERROR(__xludf.DUMMYFUNCTION("""COMPUTED_VALUE"""),0.0)</f>
        <v>0</v>
      </c>
      <c r="T88" s="42">
        <f>IFERROR(__xludf.DUMMYFUNCTION("""COMPUTED_VALUE"""),0.0)</f>
        <v>0</v>
      </c>
      <c r="U88" s="41">
        <f>IFERROR(__xludf.DUMMYFUNCTION("""COMPUTED_VALUE"""),1.0)</f>
        <v>1</v>
      </c>
      <c r="V88" s="42">
        <f>IFERROR(__xludf.DUMMYFUNCTION("""COMPUTED_VALUE"""),1.0)</f>
        <v>1</v>
      </c>
      <c r="W88" s="42">
        <f>IFERROR(__xludf.DUMMYFUNCTION("""COMPUTED_VALUE"""),0.0)</f>
        <v>0</v>
      </c>
      <c r="X88" s="42">
        <f>IFERROR(__xludf.DUMMYFUNCTION("""COMPUTED_VALUE"""),0.0)</f>
        <v>0</v>
      </c>
      <c r="Y88" s="41">
        <f>IFERROR(__xludf.DUMMYFUNCTION("""COMPUTED_VALUE"""),1.0)</f>
        <v>1</v>
      </c>
      <c r="Z88" s="42">
        <f>IFERROR(__xludf.DUMMYFUNCTION("""COMPUTED_VALUE"""),1.0)</f>
        <v>1</v>
      </c>
      <c r="AA88" s="42">
        <f>IFERROR(__xludf.DUMMYFUNCTION("""COMPUTED_VALUE"""),0.0)</f>
        <v>0</v>
      </c>
      <c r="AB88" s="42">
        <f>IFERROR(__xludf.DUMMYFUNCTION("""COMPUTED_VALUE"""),0.0)</f>
        <v>0</v>
      </c>
      <c r="AC88" s="41">
        <f>IFERROR(__xludf.DUMMYFUNCTION("""COMPUTED_VALUE"""),1.0)</f>
        <v>1</v>
      </c>
      <c r="AD88" s="42">
        <f>IFERROR(__xludf.DUMMYFUNCTION("""COMPUTED_VALUE"""),1.0)</f>
        <v>1</v>
      </c>
      <c r="AE88" s="42">
        <f>IFERROR(__xludf.DUMMYFUNCTION("""COMPUTED_VALUE"""),0.0)</f>
        <v>0</v>
      </c>
      <c r="AF88" s="42">
        <f>IFERROR(__xludf.DUMMYFUNCTION("""COMPUTED_VALUE"""),0.0)</f>
        <v>0</v>
      </c>
      <c r="AG88" s="41">
        <f>IFERROR(__xludf.DUMMYFUNCTION("""COMPUTED_VALUE"""),0.0)</f>
        <v>0</v>
      </c>
      <c r="AH88" s="42">
        <f>IFERROR(__xludf.DUMMYFUNCTION("""COMPUTED_VALUE"""),0.0)</f>
        <v>0</v>
      </c>
      <c r="AI88" s="42">
        <f>IFERROR(__xludf.DUMMYFUNCTION("""COMPUTED_VALUE"""),0.0)</f>
        <v>0</v>
      </c>
      <c r="AJ88" s="42">
        <f>IFERROR(__xludf.DUMMYFUNCTION("""COMPUTED_VALUE"""),0.0)</f>
        <v>0</v>
      </c>
      <c r="AK88" s="41">
        <f>IFERROR(__xludf.DUMMYFUNCTION("""COMPUTED_VALUE"""),0.0)</f>
        <v>0</v>
      </c>
      <c r="AL88" s="42">
        <f>IFERROR(__xludf.DUMMYFUNCTION("""COMPUTED_VALUE"""),0.0)</f>
        <v>0</v>
      </c>
      <c r="AM88" s="42">
        <f>IFERROR(__xludf.DUMMYFUNCTION("""COMPUTED_VALUE"""),0.0)</f>
        <v>0</v>
      </c>
      <c r="AN88" s="42">
        <f>IFERROR(__xludf.DUMMYFUNCTION("""COMPUTED_VALUE"""),0.0)</f>
        <v>0</v>
      </c>
      <c r="AO88" s="41">
        <f>IFERROR(__xludf.DUMMYFUNCTION("""COMPUTED_VALUE"""),0.0)</f>
        <v>0</v>
      </c>
      <c r="AP88" s="42">
        <f>IFERROR(__xludf.DUMMYFUNCTION("""COMPUTED_VALUE"""),0.0)</f>
        <v>0</v>
      </c>
      <c r="AQ88" s="42">
        <f>IFERROR(__xludf.DUMMYFUNCTION("""COMPUTED_VALUE"""),0.0)</f>
        <v>0</v>
      </c>
      <c r="AR88" s="42">
        <f>IFERROR(__xludf.DUMMYFUNCTION("""COMPUTED_VALUE"""),0.0)</f>
        <v>0</v>
      </c>
      <c r="AS88" s="41">
        <f>IFERROR(__xludf.DUMMYFUNCTION("""COMPUTED_VALUE"""),0.0)</f>
        <v>0</v>
      </c>
      <c r="AT88" s="42">
        <f>IFERROR(__xludf.DUMMYFUNCTION("""COMPUTED_VALUE"""),0.0)</f>
        <v>0</v>
      </c>
      <c r="AU88" s="42">
        <f>IFERROR(__xludf.DUMMYFUNCTION("""COMPUTED_VALUE"""),0.0)</f>
        <v>0</v>
      </c>
      <c r="AV88" s="42">
        <f>IFERROR(__xludf.DUMMYFUNCTION("""COMPUTED_VALUE"""),0.0)</f>
        <v>0</v>
      </c>
      <c r="AW88" s="41">
        <f>IFERROR(__xludf.DUMMYFUNCTION("""COMPUTED_VALUE"""),0.0)</f>
        <v>0</v>
      </c>
      <c r="AX88" s="42">
        <f>IFERROR(__xludf.DUMMYFUNCTION("""COMPUTED_VALUE"""),0.0)</f>
        <v>0</v>
      </c>
      <c r="AY88" s="42">
        <f>IFERROR(__xludf.DUMMYFUNCTION("""COMPUTED_VALUE"""),0.0)</f>
        <v>0</v>
      </c>
      <c r="AZ88" s="43">
        <f>IFERROR(__xludf.DUMMYFUNCTION("""COMPUTED_VALUE"""),0.0)</f>
        <v>0</v>
      </c>
      <c r="BA88" s="34"/>
    </row>
    <row r="89" ht="15.75" customHeight="1">
      <c r="A89" s="29"/>
      <c r="B89" s="67" t="str">
        <f>IFERROR(__xludf.DUMMYFUNCTION("""COMPUTED_VALUE""")," + Tạm")</f>
        <v> + Tạm</v>
      </c>
      <c r="C89" s="31"/>
      <c r="D89" s="31" t="str">
        <f>IFERROR(__xludf.DUMMYFUNCTION("""COMPUTED_VALUE"""),"""")</f>
        <v>"</v>
      </c>
      <c r="E89" s="41">
        <f>IFERROR(__xludf.DUMMYFUNCTION("""COMPUTED_VALUE"""),0.0)</f>
        <v>0</v>
      </c>
      <c r="F89" s="42">
        <f>IFERROR(__xludf.DUMMYFUNCTION("""COMPUTED_VALUE"""),0.0)</f>
        <v>0</v>
      </c>
      <c r="G89" s="42">
        <f>IFERROR(__xludf.DUMMYFUNCTION("""COMPUTED_VALUE"""),0.0)</f>
        <v>0</v>
      </c>
      <c r="H89" s="42">
        <f>IFERROR(__xludf.DUMMYFUNCTION("""COMPUTED_VALUE"""),0.0)</f>
        <v>0</v>
      </c>
      <c r="I89" s="41">
        <f>IFERROR(__xludf.DUMMYFUNCTION("""COMPUTED_VALUE"""),0.0)</f>
        <v>0</v>
      </c>
      <c r="J89" s="42">
        <f>IFERROR(__xludf.DUMMYFUNCTION("""COMPUTED_VALUE"""),0.0)</f>
        <v>0</v>
      </c>
      <c r="K89" s="42">
        <f>IFERROR(__xludf.DUMMYFUNCTION("""COMPUTED_VALUE"""),0.0)</f>
        <v>0</v>
      </c>
      <c r="L89" s="42">
        <f>IFERROR(__xludf.DUMMYFUNCTION("""COMPUTED_VALUE"""),0.0)</f>
        <v>0</v>
      </c>
      <c r="M89" s="41">
        <f>IFERROR(__xludf.DUMMYFUNCTION("""COMPUTED_VALUE"""),0.0)</f>
        <v>0</v>
      </c>
      <c r="N89" s="42">
        <f>IFERROR(__xludf.DUMMYFUNCTION("""COMPUTED_VALUE"""),0.0)</f>
        <v>0</v>
      </c>
      <c r="O89" s="42">
        <f>IFERROR(__xludf.DUMMYFUNCTION("""COMPUTED_VALUE"""),0.0)</f>
        <v>0</v>
      </c>
      <c r="P89" s="42">
        <f>IFERROR(__xludf.DUMMYFUNCTION("""COMPUTED_VALUE"""),0.0)</f>
        <v>0</v>
      </c>
      <c r="Q89" s="41">
        <f>IFERROR(__xludf.DUMMYFUNCTION("""COMPUTED_VALUE"""),0.0)</f>
        <v>0</v>
      </c>
      <c r="R89" s="42">
        <f>IFERROR(__xludf.DUMMYFUNCTION("""COMPUTED_VALUE"""),0.0)</f>
        <v>0</v>
      </c>
      <c r="S89" s="42">
        <f>IFERROR(__xludf.DUMMYFUNCTION("""COMPUTED_VALUE"""),0.0)</f>
        <v>0</v>
      </c>
      <c r="T89" s="42">
        <f>IFERROR(__xludf.DUMMYFUNCTION("""COMPUTED_VALUE"""),0.0)</f>
        <v>0</v>
      </c>
      <c r="U89" s="41">
        <f>IFERROR(__xludf.DUMMYFUNCTION("""COMPUTED_VALUE"""),0.0)</f>
        <v>0</v>
      </c>
      <c r="V89" s="42">
        <f>IFERROR(__xludf.DUMMYFUNCTION("""COMPUTED_VALUE"""),0.0)</f>
        <v>0</v>
      </c>
      <c r="W89" s="42">
        <f>IFERROR(__xludf.DUMMYFUNCTION("""COMPUTED_VALUE"""),0.0)</f>
        <v>0</v>
      </c>
      <c r="X89" s="42">
        <f>IFERROR(__xludf.DUMMYFUNCTION("""COMPUTED_VALUE"""),0.0)</f>
        <v>0</v>
      </c>
      <c r="Y89" s="41">
        <f>IFERROR(__xludf.DUMMYFUNCTION("""COMPUTED_VALUE"""),0.0)</f>
        <v>0</v>
      </c>
      <c r="Z89" s="42">
        <f>IFERROR(__xludf.DUMMYFUNCTION("""COMPUTED_VALUE"""),0.0)</f>
        <v>0</v>
      </c>
      <c r="AA89" s="42">
        <f>IFERROR(__xludf.DUMMYFUNCTION("""COMPUTED_VALUE"""),0.0)</f>
        <v>0</v>
      </c>
      <c r="AB89" s="42">
        <f>IFERROR(__xludf.DUMMYFUNCTION("""COMPUTED_VALUE"""),0.0)</f>
        <v>0</v>
      </c>
      <c r="AC89" s="41">
        <f>IFERROR(__xludf.DUMMYFUNCTION("""COMPUTED_VALUE"""),0.0)</f>
        <v>0</v>
      </c>
      <c r="AD89" s="42">
        <f>IFERROR(__xludf.DUMMYFUNCTION("""COMPUTED_VALUE"""),0.0)</f>
        <v>0</v>
      </c>
      <c r="AE89" s="42">
        <f>IFERROR(__xludf.DUMMYFUNCTION("""COMPUTED_VALUE"""),0.0)</f>
        <v>0</v>
      </c>
      <c r="AF89" s="42">
        <f>IFERROR(__xludf.DUMMYFUNCTION("""COMPUTED_VALUE"""),0.0)</f>
        <v>0</v>
      </c>
      <c r="AG89" s="41">
        <f>IFERROR(__xludf.DUMMYFUNCTION("""COMPUTED_VALUE"""),0.0)</f>
        <v>0</v>
      </c>
      <c r="AH89" s="42">
        <f>IFERROR(__xludf.DUMMYFUNCTION("""COMPUTED_VALUE"""),0.0)</f>
        <v>0</v>
      </c>
      <c r="AI89" s="42">
        <f>IFERROR(__xludf.DUMMYFUNCTION("""COMPUTED_VALUE"""),0.0)</f>
        <v>0</v>
      </c>
      <c r="AJ89" s="42">
        <f>IFERROR(__xludf.DUMMYFUNCTION("""COMPUTED_VALUE"""),0.0)</f>
        <v>0</v>
      </c>
      <c r="AK89" s="41">
        <f>IFERROR(__xludf.DUMMYFUNCTION("""COMPUTED_VALUE"""),0.0)</f>
        <v>0</v>
      </c>
      <c r="AL89" s="42">
        <f>IFERROR(__xludf.DUMMYFUNCTION("""COMPUTED_VALUE"""),0.0)</f>
        <v>0</v>
      </c>
      <c r="AM89" s="42">
        <f>IFERROR(__xludf.DUMMYFUNCTION("""COMPUTED_VALUE"""),0.0)</f>
        <v>0</v>
      </c>
      <c r="AN89" s="42">
        <f>IFERROR(__xludf.DUMMYFUNCTION("""COMPUTED_VALUE"""),0.0)</f>
        <v>0</v>
      </c>
      <c r="AO89" s="41">
        <f>IFERROR(__xludf.DUMMYFUNCTION("""COMPUTED_VALUE"""),0.0)</f>
        <v>0</v>
      </c>
      <c r="AP89" s="42">
        <f>IFERROR(__xludf.DUMMYFUNCTION("""COMPUTED_VALUE"""),0.0)</f>
        <v>0</v>
      </c>
      <c r="AQ89" s="42">
        <f>IFERROR(__xludf.DUMMYFUNCTION("""COMPUTED_VALUE"""),0.0)</f>
        <v>0</v>
      </c>
      <c r="AR89" s="42">
        <f>IFERROR(__xludf.DUMMYFUNCTION("""COMPUTED_VALUE"""),0.0)</f>
        <v>0</v>
      </c>
      <c r="AS89" s="41">
        <f>IFERROR(__xludf.DUMMYFUNCTION("""COMPUTED_VALUE"""),0.0)</f>
        <v>0</v>
      </c>
      <c r="AT89" s="42">
        <f>IFERROR(__xludf.DUMMYFUNCTION("""COMPUTED_VALUE"""),0.0)</f>
        <v>0</v>
      </c>
      <c r="AU89" s="42">
        <f>IFERROR(__xludf.DUMMYFUNCTION("""COMPUTED_VALUE"""),0.0)</f>
        <v>0</v>
      </c>
      <c r="AV89" s="42">
        <f>IFERROR(__xludf.DUMMYFUNCTION("""COMPUTED_VALUE"""),0.0)</f>
        <v>0</v>
      </c>
      <c r="AW89" s="41">
        <f>IFERROR(__xludf.DUMMYFUNCTION("""COMPUTED_VALUE"""),0.0)</f>
        <v>0</v>
      </c>
      <c r="AX89" s="42">
        <f>IFERROR(__xludf.DUMMYFUNCTION("""COMPUTED_VALUE"""),0.0)</f>
        <v>0</v>
      </c>
      <c r="AY89" s="42">
        <f>IFERROR(__xludf.DUMMYFUNCTION("""COMPUTED_VALUE"""),0.0)</f>
        <v>0</v>
      </c>
      <c r="AZ89" s="43">
        <f>IFERROR(__xludf.DUMMYFUNCTION("""COMPUTED_VALUE"""),0.0)</f>
        <v>0</v>
      </c>
      <c r="BA89" s="34"/>
    </row>
    <row r="90" ht="15.75" customHeight="1">
      <c r="A90" s="29"/>
      <c r="B90" s="196" t="str">
        <f>IFERROR(__xludf.DUMMYFUNCTION("""COMPUTED_VALUE"""),"7.3. Tổng số phòng y tế")</f>
        <v>7.3. Tổng số phòng y tế</v>
      </c>
      <c r="C90" s="57"/>
      <c r="D90" s="57" t="str">
        <f>IFERROR(__xludf.DUMMYFUNCTION("""COMPUTED_VALUE"""),"Phòng")</f>
        <v>Phòng</v>
      </c>
      <c r="E90" s="125">
        <f>IFERROR(__xludf.DUMMYFUNCTION("""COMPUTED_VALUE"""),18.0)</f>
        <v>18</v>
      </c>
      <c r="F90" s="125">
        <f>IFERROR(__xludf.DUMMYFUNCTION("""COMPUTED_VALUE"""),17.0)</f>
        <v>17</v>
      </c>
      <c r="G90" s="125">
        <f>IFERROR(__xludf.DUMMYFUNCTION("""COMPUTED_VALUE"""),0.0)</f>
        <v>0</v>
      </c>
      <c r="H90" s="125">
        <f>IFERROR(__xludf.DUMMYFUNCTION("""COMPUTED_VALUE"""),1.0)</f>
        <v>1</v>
      </c>
      <c r="I90" s="125">
        <f>IFERROR(__xludf.DUMMYFUNCTION("""COMPUTED_VALUE"""),16.0)</f>
        <v>16</v>
      </c>
      <c r="J90" s="125">
        <f>IFERROR(__xludf.DUMMYFUNCTION("""COMPUTED_VALUE"""),16.0)</f>
        <v>16</v>
      </c>
      <c r="K90" s="125">
        <f>IFERROR(__xludf.DUMMYFUNCTION("""COMPUTED_VALUE"""),0.0)</f>
        <v>0</v>
      </c>
      <c r="L90" s="125">
        <f>IFERROR(__xludf.DUMMYFUNCTION("""COMPUTED_VALUE"""),0.0)</f>
        <v>0</v>
      </c>
      <c r="M90" s="125">
        <f>IFERROR(__xludf.DUMMYFUNCTION("""COMPUTED_VALUE"""),16.0)</f>
        <v>16</v>
      </c>
      <c r="N90" s="125">
        <f>IFERROR(__xludf.DUMMYFUNCTION("""COMPUTED_VALUE"""),16.0)</f>
        <v>16</v>
      </c>
      <c r="O90" s="125">
        <f>IFERROR(__xludf.DUMMYFUNCTION("""COMPUTED_VALUE"""),0.0)</f>
        <v>0</v>
      </c>
      <c r="P90" s="125">
        <f>IFERROR(__xludf.DUMMYFUNCTION("""COMPUTED_VALUE"""),0.0)</f>
        <v>0</v>
      </c>
      <c r="Q90" s="125">
        <f>IFERROR(__xludf.DUMMYFUNCTION("""COMPUTED_VALUE"""),16.0)</f>
        <v>16</v>
      </c>
      <c r="R90" s="125">
        <f>IFERROR(__xludf.DUMMYFUNCTION("""COMPUTED_VALUE"""),15.0)</f>
        <v>15</v>
      </c>
      <c r="S90" s="125">
        <f>IFERROR(__xludf.DUMMYFUNCTION("""COMPUTED_VALUE"""),0.0)</f>
        <v>0</v>
      </c>
      <c r="T90" s="125">
        <f>IFERROR(__xludf.DUMMYFUNCTION("""COMPUTED_VALUE"""),1.0)</f>
        <v>1</v>
      </c>
      <c r="U90" s="125">
        <f>IFERROR(__xludf.DUMMYFUNCTION("""COMPUTED_VALUE"""),16.0)</f>
        <v>16</v>
      </c>
      <c r="V90" s="125">
        <f>IFERROR(__xludf.DUMMYFUNCTION("""COMPUTED_VALUE"""),15.0)</f>
        <v>15</v>
      </c>
      <c r="W90" s="125">
        <f>IFERROR(__xludf.DUMMYFUNCTION("""COMPUTED_VALUE"""),0.0)</f>
        <v>0</v>
      </c>
      <c r="X90" s="125">
        <f>IFERROR(__xludf.DUMMYFUNCTION("""COMPUTED_VALUE"""),1.0)</f>
        <v>1</v>
      </c>
      <c r="Y90" s="125">
        <f>IFERROR(__xludf.DUMMYFUNCTION("""COMPUTED_VALUE"""),15.0)</f>
        <v>15</v>
      </c>
      <c r="Z90" s="125">
        <f>IFERROR(__xludf.DUMMYFUNCTION("""COMPUTED_VALUE"""),14.0)</f>
        <v>14</v>
      </c>
      <c r="AA90" s="125">
        <f>IFERROR(__xludf.DUMMYFUNCTION("""COMPUTED_VALUE"""),0.0)</f>
        <v>0</v>
      </c>
      <c r="AB90" s="125">
        <f>IFERROR(__xludf.DUMMYFUNCTION("""COMPUTED_VALUE"""),1.0)</f>
        <v>1</v>
      </c>
      <c r="AC90" s="125">
        <f>IFERROR(__xludf.DUMMYFUNCTION("""COMPUTED_VALUE"""),14.0)</f>
        <v>14</v>
      </c>
      <c r="AD90" s="125">
        <f>IFERROR(__xludf.DUMMYFUNCTION("""COMPUTED_VALUE"""),13.0)</f>
        <v>13</v>
      </c>
      <c r="AE90" s="125">
        <f>IFERROR(__xludf.DUMMYFUNCTION("""COMPUTED_VALUE"""),0.0)</f>
        <v>0</v>
      </c>
      <c r="AF90" s="125">
        <f>IFERROR(__xludf.DUMMYFUNCTION("""COMPUTED_VALUE"""),1.0)</f>
        <v>1</v>
      </c>
      <c r="AG90" s="125">
        <f>IFERROR(__xludf.DUMMYFUNCTION("""COMPUTED_VALUE"""),2.0)</f>
        <v>2</v>
      </c>
      <c r="AH90" s="125">
        <f>IFERROR(__xludf.DUMMYFUNCTION("""COMPUTED_VALUE"""),2.0)</f>
        <v>2</v>
      </c>
      <c r="AI90" s="125">
        <f>IFERROR(__xludf.DUMMYFUNCTION("""COMPUTED_VALUE"""),0.0)</f>
        <v>0</v>
      </c>
      <c r="AJ90" s="125">
        <f>IFERROR(__xludf.DUMMYFUNCTION("""COMPUTED_VALUE"""),0.0)</f>
        <v>0</v>
      </c>
      <c r="AK90" s="125">
        <f>IFERROR(__xludf.DUMMYFUNCTION("""COMPUTED_VALUE"""),0.0)</f>
        <v>0</v>
      </c>
      <c r="AL90" s="125">
        <f>IFERROR(__xludf.DUMMYFUNCTION("""COMPUTED_VALUE"""),0.0)</f>
        <v>0</v>
      </c>
      <c r="AM90" s="125">
        <f>IFERROR(__xludf.DUMMYFUNCTION("""COMPUTED_VALUE"""),0.0)</f>
        <v>0</v>
      </c>
      <c r="AN90" s="125">
        <f>IFERROR(__xludf.DUMMYFUNCTION("""COMPUTED_VALUE"""),0.0)</f>
        <v>0</v>
      </c>
      <c r="AO90" s="125">
        <f>IFERROR(__xludf.DUMMYFUNCTION("""COMPUTED_VALUE"""),0.0)</f>
        <v>0</v>
      </c>
      <c r="AP90" s="125">
        <f>IFERROR(__xludf.DUMMYFUNCTION("""COMPUTED_VALUE"""),0.0)</f>
        <v>0</v>
      </c>
      <c r="AQ90" s="125">
        <f>IFERROR(__xludf.DUMMYFUNCTION("""COMPUTED_VALUE"""),0.0)</f>
        <v>0</v>
      </c>
      <c r="AR90" s="125">
        <f>IFERROR(__xludf.DUMMYFUNCTION("""COMPUTED_VALUE"""),0.0)</f>
        <v>0</v>
      </c>
      <c r="AS90" s="125">
        <f>IFERROR(__xludf.DUMMYFUNCTION("""COMPUTED_VALUE"""),0.0)</f>
        <v>0</v>
      </c>
      <c r="AT90" s="125">
        <f>IFERROR(__xludf.DUMMYFUNCTION("""COMPUTED_VALUE"""),0.0)</f>
        <v>0</v>
      </c>
      <c r="AU90" s="125">
        <f>IFERROR(__xludf.DUMMYFUNCTION("""COMPUTED_VALUE"""),0.0)</f>
        <v>0</v>
      </c>
      <c r="AV90" s="125">
        <f>IFERROR(__xludf.DUMMYFUNCTION("""COMPUTED_VALUE"""),0.0)</f>
        <v>0</v>
      </c>
      <c r="AW90" s="125">
        <f>IFERROR(__xludf.DUMMYFUNCTION("""COMPUTED_VALUE"""),0.0)</f>
        <v>0</v>
      </c>
      <c r="AX90" s="125">
        <f>IFERROR(__xludf.DUMMYFUNCTION("""COMPUTED_VALUE"""),0.0)</f>
        <v>0</v>
      </c>
      <c r="AY90" s="125">
        <f>IFERROR(__xludf.DUMMYFUNCTION("""COMPUTED_VALUE"""),0.0)</f>
        <v>0</v>
      </c>
      <c r="AZ90" s="127">
        <f>IFERROR(__xludf.DUMMYFUNCTION("""COMPUTED_VALUE"""),0.0)</f>
        <v>0</v>
      </c>
      <c r="BA90" s="34"/>
    </row>
    <row r="91" ht="15.75" customHeight="1">
      <c r="A91" s="29"/>
      <c r="B91" s="48" t="str">
        <f>IFERROR(__xludf.DUMMYFUNCTION("""COMPUTED_VALUE"""),"Chia ra:")</f>
        <v>Chia ra:</v>
      </c>
      <c r="C91" s="49"/>
      <c r="D91" s="3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50"/>
      <c r="BA91" s="34"/>
    </row>
    <row r="92" ht="15.75" customHeight="1">
      <c r="A92" s="29"/>
      <c r="B92" s="67" t="str">
        <f>IFERROR(__xludf.DUMMYFUNCTION("""COMPUTED_VALUE""")," + Kiên cố")</f>
        <v> + Kiên cố</v>
      </c>
      <c r="C92" s="31"/>
      <c r="D92" s="31" t="str">
        <f>IFERROR(__xludf.DUMMYFUNCTION("""COMPUTED_VALUE"""),"""")</f>
        <v>"</v>
      </c>
      <c r="E92" s="41">
        <f>IFERROR(__xludf.DUMMYFUNCTION("""COMPUTED_VALUE"""),16.0)</f>
        <v>16</v>
      </c>
      <c r="F92" s="42">
        <f>IFERROR(__xludf.DUMMYFUNCTION("""COMPUTED_VALUE"""),15.0)</f>
        <v>15</v>
      </c>
      <c r="G92" s="42">
        <f>IFERROR(__xludf.DUMMYFUNCTION("""COMPUTED_VALUE"""),0.0)</f>
        <v>0</v>
      </c>
      <c r="H92" s="42">
        <f>IFERROR(__xludf.DUMMYFUNCTION("""COMPUTED_VALUE"""),1.0)</f>
        <v>1</v>
      </c>
      <c r="I92" s="41">
        <f>IFERROR(__xludf.DUMMYFUNCTION("""COMPUTED_VALUE"""),14.0)</f>
        <v>14</v>
      </c>
      <c r="J92" s="42">
        <f>IFERROR(__xludf.DUMMYFUNCTION("""COMPUTED_VALUE"""),14.0)</f>
        <v>14</v>
      </c>
      <c r="K92" s="42">
        <f>IFERROR(__xludf.DUMMYFUNCTION("""COMPUTED_VALUE"""),0.0)</f>
        <v>0</v>
      </c>
      <c r="L92" s="42">
        <f>IFERROR(__xludf.DUMMYFUNCTION("""COMPUTED_VALUE"""),0.0)</f>
        <v>0</v>
      </c>
      <c r="M92" s="41">
        <f>IFERROR(__xludf.DUMMYFUNCTION("""COMPUTED_VALUE"""),14.0)</f>
        <v>14</v>
      </c>
      <c r="N92" s="42">
        <f>IFERROR(__xludf.DUMMYFUNCTION("""COMPUTED_VALUE"""),14.0)</f>
        <v>14</v>
      </c>
      <c r="O92" s="42">
        <f>IFERROR(__xludf.DUMMYFUNCTION("""COMPUTED_VALUE"""),0.0)</f>
        <v>0</v>
      </c>
      <c r="P92" s="42">
        <f>IFERROR(__xludf.DUMMYFUNCTION("""COMPUTED_VALUE"""),0.0)</f>
        <v>0</v>
      </c>
      <c r="Q92" s="41">
        <f>IFERROR(__xludf.DUMMYFUNCTION("""COMPUTED_VALUE"""),15.0)</f>
        <v>15</v>
      </c>
      <c r="R92" s="42">
        <f>IFERROR(__xludf.DUMMYFUNCTION("""COMPUTED_VALUE"""),14.0)</f>
        <v>14</v>
      </c>
      <c r="S92" s="42">
        <f>IFERROR(__xludf.DUMMYFUNCTION("""COMPUTED_VALUE"""),0.0)</f>
        <v>0</v>
      </c>
      <c r="T92" s="42">
        <f>IFERROR(__xludf.DUMMYFUNCTION("""COMPUTED_VALUE"""),1.0)</f>
        <v>1</v>
      </c>
      <c r="U92" s="41">
        <f>IFERROR(__xludf.DUMMYFUNCTION("""COMPUTED_VALUE"""),15.0)</f>
        <v>15</v>
      </c>
      <c r="V92" s="42">
        <f>IFERROR(__xludf.DUMMYFUNCTION("""COMPUTED_VALUE"""),14.0)</f>
        <v>14</v>
      </c>
      <c r="W92" s="42">
        <f>IFERROR(__xludf.DUMMYFUNCTION("""COMPUTED_VALUE"""),0.0)</f>
        <v>0</v>
      </c>
      <c r="X92" s="42">
        <f>IFERROR(__xludf.DUMMYFUNCTION("""COMPUTED_VALUE"""),1.0)</f>
        <v>1</v>
      </c>
      <c r="Y92" s="41">
        <f>IFERROR(__xludf.DUMMYFUNCTION("""COMPUTED_VALUE"""),14.0)</f>
        <v>14</v>
      </c>
      <c r="Z92" s="42">
        <f>IFERROR(__xludf.DUMMYFUNCTION("""COMPUTED_VALUE"""),13.0)</f>
        <v>13</v>
      </c>
      <c r="AA92" s="42">
        <f>IFERROR(__xludf.DUMMYFUNCTION("""COMPUTED_VALUE"""),0.0)</f>
        <v>0</v>
      </c>
      <c r="AB92" s="42">
        <f>IFERROR(__xludf.DUMMYFUNCTION("""COMPUTED_VALUE"""),1.0)</f>
        <v>1</v>
      </c>
      <c r="AC92" s="41">
        <f>IFERROR(__xludf.DUMMYFUNCTION("""COMPUTED_VALUE"""),13.0)</f>
        <v>13</v>
      </c>
      <c r="AD92" s="42">
        <f>IFERROR(__xludf.DUMMYFUNCTION("""COMPUTED_VALUE"""),12.0)</f>
        <v>12</v>
      </c>
      <c r="AE92" s="42">
        <f>IFERROR(__xludf.DUMMYFUNCTION("""COMPUTED_VALUE"""),0.0)</f>
        <v>0</v>
      </c>
      <c r="AF92" s="42">
        <f>IFERROR(__xludf.DUMMYFUNCTION("""COMPUTED_VALUE"""),1.0)</f>
        <v>1</v>
      </c>
      <c r="AG92" s="41">
        <f>IFERROR(__xludf.DUMMYFUNCTION("""COMPUTED_VALUE"""),2.0)</f>
        <v>2</v>
      </c>
      <c r="AH92" s="42">
        <f>IFERROR(__xludf.DUMMYFUNCTION("""COMPUTED_VALUE"""),2.0)</f>
        <v>2</v>
      </c>
      <c r="AI92" s="42">
        <f>IFERROR(__xludf.DUMMYFUNCTION("""COMPUTED_VALUE"""),0.0)</f>
        <v>0</v>
      </c>
      <c r="AJ92" s="42">
        <f>IFERROR(__xludf.DUMMYFUNCTION("""COMPUTED_VALUE"""),0.0)</f>
        <v>0</v>
      </c>
      <c r="AK92" s="41">
        <f>IFERROR(__xludf.DUMMYFUNCTION("""COMPUTED_VALUE"""),0.0)</f>
        <v>0</v>
      </c>
      <c r="AL92" s="42">
        <f>IFERROR(__xludf.DUMMYFUNCTION("""COMPUTED_VALUE"""),0.0)</f>
        <v>0</v>
      </c>
      <c r="AM92" s="42">
        <f>IFERROR(__xludf.DUMMYFUNCTION("""COMPUTED_VALUE"""),0.0)</f>
        <v>0</v>
      </c>
      <c r="AN92" s="42">
        <f>IFERROR(__xludf.DUMMYFUNCTION("""COMPUTED_VALUE"""),0.0)</f>
        <v>0</v>
      </c>
      <c r="AO92" s="41">
        <f>IFERROR(__xludf.DUMMYFUNCTION("""COMPUTED_VALUE"""),0.0)</f>
        <v>0</v>
      </c>
      <c r="AP92" s="42">
        <f>IFERROR(__xludf.DUMMYFUNCTION("""COMPUTED_VALUE"""),0.0)</f>
        <v>0</v>
      </c>
      <c r="AQ92" s="42">
        <f>IFERROR(__xludf.DUMMYFUNCTION("""COMPUTED_VALUE"""),0.0)</f>
        <v>0</v>
      </c>
      <c r="AR92" s="42">
        <f>IFERROR(__xludf.DUMMYFUNCTION("""COMPUTED_VALUE"""),0.0)</f>
        <v>0</v>
      </c>
      <c r="AS92" s="41">
        <f>IFERROR(__xludf.DUMMYFUNCTION("""COMPUTED_VALUE"""),0.0)</f>
        <v>0</v>
      </c>
      <c r="AT92" s="42">
        <f>IFERROR(__xludf.DUMMYFUNCTION("""COMPUTED_VALUE"""),0.0)</f>
        <v>0</v>
      </c>
      <c r="AU92" s="42">
        <f>IFERROR(__xludf.DUMMYFUNCTION("""COMPUTED_VALUE"""),0.0)</f>
        <v>0</v>
      </c>
      <c r="AV92" s="42">
        <f>IFERROR(__xludf.DUMMYFUNCTION("""COMPUTED_VALUE"""),0.0)</f>
        <v>0</v>
      </c>
      <c r="AW92" s="41">
        <f>IFERROR(__xludf.DUMMYFUNCTION("""COMPUTED_VALUE"""),0.0)</f>
        <v>0</v>
      </c>
      <c r="AX92" s="42">
        <f>IFERROR(__xludf.DUMMYFUNCTION("""COMPUTED_VALUE"""),0.0)</f>
        <v>0</v>
      </c>
      <c r="AY92" s="42">
        <f>IFERROR(__xludf.DUMMYFUNCTION("""COMPUTED_VALUE"""),0.0)</f>
        <v>0</v>
      </c>
      <c r="AZ92" s="43">
        <f>IFERROR(__xludf.DUMMYFUNCTION("""COMPUTED_VALUE"""),0.0)</f>
        <v>0</v>
      </c>
      <c r="BA92" s="34"/>
    </row>
    <row r="93" ht="15.75" customHeight="1">
      <c r="A93" s="29"/>
      <c r="B93" s="67" t="str">
        <f>IFERROR(__xludf.DUMMYFUNCTION("""COMPUTED_VALUE""")," + Bán kiên cố")</f>
        <v> + Bán kiên cố</v>
      </c>
      <c r="C93" s="31"/>
      <c r="D93" s="31" t="str">
        <f>IFERROR(__xludf.DUMMYFUNCTION("""COMPUTED_VALUE"""),"""")</f>
        <v>"</v>
      </c>
      <c r="E93" s="41">
        <f>IFERROR(__xludf.DUMMYFUNCTION("""COMPUTED_VALUE"""),0.0)</f>
        <v>0</v>
      </c>
      <c r="F93" s="42">
        <f>IFERROR(__xludf.DUMMYFUNCTION("""COMPUTED_VALUE"""),0.0)</f>
        <v>0</v>
      </c>
      <c r="G93" s="42">
        <f>IFERROR(__xludf.DUMMYFUNCTION("""COMPUTED_VALUE"""),0.0)</f>
        <v>0</v>
      </c>
      <c r="H93" s="42">
        <f>IFERROR(__xludf.DUMMYFUNCTION("""COMPUTED_VALUE"""),0.0)</f>
        <v>0</v>
      </c>
      <c r="I93" s="41">
        <f>IFERROR(__xludf.DUMMYFUNCTION("""COMPUTED_VALUE"""),0.0)</f>
        <v>0</v>
      </c>
      <c r="J93" s="42">
        <f>IFERROR(__xludf.DUMMYFUNCTION("""COMPUTED_VALUE"""),0.0)</f>
        <v>0</v>
      </c>
      <c r="K93" s="42">
        <f>IFERROR(__xludf.DUMMYFUNCTION("""COMPUTED_VALUE"""),0.0)</f>
        <v>0</v>
      </c>
      <c r="L93" s="42">
        <f>IFERROR(__xludf.DUMMYFUNCTION("""COMPUTED_VALUE"""),0.0)</f>
        <v>0</v>
      </c>
      <c r="M93" s="41">
        <f>IFERROR(__xludf.DUMMYFUNCTION("""COMPUTED_VALUE"""),0.0)</f>
        <v>0</v>
      </c>
      <c r="N93" s="42">
        <f>IFERROR(__xludf.DUMMYFUNCTION("""COMPUTED_VALUE"""),0.0)</f>
        <v>0</v>
      </c>
      <c r="O93" s="42">
        <f>IFERROR(__xludf.DUMMYFUNCTION("""COMPUTED_VALUE"""),0.0)</f>
        <v>0</v>
      </c>
      <c r="P93" s="42">
        <f>IFERROR(__xludf.DUMMYFUNCTION("""COMPUTED_VALUE"""),0.0)</f>
        <v>0</v>
      </c>
      <c r="Q93" s="41">
        <f>IFERROR(__xludf.DUMMYFUNCTION("""COMPUTED_VALUE"""),0.0)</f>
        <v>0</v>
      </c>
      <c r="R93" s="42">
        <f>IFERROR(__xludf.DUMMYFUNCTION("""COMPUTED_VALUE"""),0.0)</f>
        <v>0</v>
      </c>
      <c r="S93" s="42">
        <f>IFERROR(__xludf.DUMMYFUNCTION("""COMPUTED_VALUE"""),0.0)</f>
        <v>0</v>
      </c>
      <c r="T93" s="42">
        <f>IFERROR(__xludf.DUMMYFUNCTION("""COMPUTED_VALUE"""),0.0)</f>
        <v>0</v>
      </c>
      <c r="U93" s="41">
        <f>IFERROR(__xludf.DUMMYFUNCTION("""COMPUTED_VALUE"""),0.0)</f>
        <v>0</v>
      </c>
      <c r="V93" s="42">
        <f>IFERROR(__xludf.DUMMYFUNCTION("""COMPUTED_VALUE"""),0.0)</f>
        <v>0</v>
      </c>
      <c r="W93" s="42">
        <f>IFERROR(__xludf.DUMMYFUNCTION("""COMPUTED_VALUE"""),0.0)</f>
        <v>0</v>
      </c>
      <c r="X93" s="42">
        <f>IFERROR(__xludf.DUMMYFUNCTION("""COMPUTED_VALUE"""),0.0)</f>
        <v>0</v>
      </c>
      <c r="Y93" s="41">
        <f>IFERROR(__xludf.DUMMYFUNCTION("""COMPUTED_VALUE"""),0.0)</f>
        <v>0</v>
      </c>
      <c r="Z93" s="42">
        <f>IFERROR(__xludf.DUMMYFUNCTION("""COMPUTED_VALUE"""),0.0)</f>
        <v>0</v>
      </c>
      <c r="AA93" s="42">
        <f>IFERROR(__xludf.DUMMYFUNCTION("""COMPUTED_VALUE"""),0.0)</f>
        <v>0</v>
      </c>
      <c r="AB93" s="42">
        <f>IFERROR(__xludf.DUMMYFUNCTION("""COMPUTED_VALUE"""),0.0)</f>
        <v>0</v>
      </c>
      <c r="AC93" s="41">
        <f>IFERROR(__xludf.DUMMYFUNCTION("""COMPUTED_VALUE"""),0.0)</f>
        <v>0</v>
      </c>
      <c r="AD93" s="42">
        <f>IFERROR(__xludf.DUMMYFUNCTION("""COMPUTED_VALUE"""),0.0)</f>
        <v>0</v>
      </c>
      <c r="AE93" s="42">
        <f>IFERROR(__xludf.DUMMYFUNCTION("""COMPUTED_VALUE"""),0.0)</f>
        <v>0</v>
      </c>
      <c r="AF93" s="42">
        <f>IFERROR(__xludf.DUMMYFUNCTION("""COMPUTED_VALUE"""),0.0)</f>
        <v>0</v>
      </c>
      <c r="AG93" s="41">
        <f>IFERROR(__xludf.DUMMYFUNCTION("""COMPUTED_VALUE"""),0.0)</f>
        <v>0</v>
      </c>
      <c r="AH93" s="42">
        <f>IFERROR(__xludf.DUMMYFUNCTION("""COMPUTED_VALUE"""),0.0)</f>
        <v>0</v>
      </c>
      <c r="AI93" s="42">
        <f>IFERROR(__xludf.DUMMYFUNCTION("""COMPUTED_VALUE"""),0.0)</f>
        <v>0</v>
      </c>
      <c r="AJ93" s="42">
        <f>IFERROR(__xludf.DUMMYFUNCTION("""COMPUTED_VALUE"""),0.0)</f>
        <v>0</v>
      </c>
      <c r="AK93" s="41">
        <f>IFERROR(__xludf.DUMMYFUNCTION("""COMPUTED_VALUE"""),0.0)</f>
        <v>0</v>
      </c>
      <c r="AL93" s="42">
        <f>IFERROR(__xludf.DUMMYFUNCTION("""COMPUTED_VALUE"""),0.0)</f>
        <v>0</v>
      </c>
      <c r="AM93" s="42">
        <f>IFERROR(__xludf.DUMMYFUNCTION("""COMPUTED_VALUE"""),0.0)</f>
        <v>0</v>
      </c>
      <c r="AN93" s="42">
        <f>IFERROR(__xludf.DUMMYFUNCTION("""COMPUTED_VALUE"""),0.0)</f>
        <v>0</v>
      </c>
      <c r="AO93" s="41">
        <f>IFERROR(__xludf.DUMMYFUNCTION("""COMPUTED_VALUE"""),0.0)</f>
        <v>0</v>
      </c>
      <c r="AP93" s="42">
        <f>IFERROR(__xludf.DUMMYFUNCTION("""COMPUTED_VALUE"""),0.0)</f>
        <v>0</v>
      </c>
      <c r="AQ93" s="42">
        <f>IFERROR(__xludf.DUMMYFUNCTION("""COMPUTED_VALUE"""),0.0)</f>
        <v>0</v>
      </c>
      <c r="AR93" s="42">
        <f>IFERROR(__xludf.DUMMYFUNCTION("""COMPUTED_VALUE"""),0.0)</f>
        <v>0</v>
      </c>
      <c r="AS93" s="41">
        <f>IFERROR(__xludf.DUMMYFUNCTION("""COMPUTED_VALUE"""),0.0)</f>
        <v>0</v>
      </c>
      <c r="AT93" s="42">
        <f>IFERROR(__xludf.DUMMYFUNCTION("""COMPUTED_VALUE"""),0.0)</f>
        <v>0</v>
      </c>
      <c r="AU93" s="42">
        <f>IFERROR(__xludf.DUMMYFUNCTION("""COMPUTED_VALUE"""),0.0)</f>
        <v>0</v>
      </c>
      <c r="AV93" s="42">
        <f>IFERROR(__xludf.DUMMYFUNCTION("""COMPUTED_VALUE"""),0.0)</f>
        <v>0</v>
      </c>
      <c r="AW93" s="41">
        <f>IFERROR(__xludf.DUMMYFUNCTION("""COMPUTED_VALUE"""),0.0)</f>
        <v>0</v>
      </c>
      <c r="AX93" s="42">
        <f>IFERROR(__xludf.DUMMYFUNCTION("""COMPUTED_VALUE"""),0.0)</f>
        <v>0</v>
      </c>
      <c r="AY93" s="42">
        <f>IFERROR(__xludf.DUMMYFUNCTION("""COMPUTED_VALUE"""),0.0)</f>
        <v>0</v>
      </c>
      <c r="AZ93" s="43">
        <f>IFERROR(__xludf.DUMMYFUNCTION("""COMPUTED_VALUE"""),0.0)</f>
        <v>0</v>
      </c>
      <c r="BA93" s="34"/>
    </row>
    <row r="94" ht="15.75" customHeight="1">
      <c r="A94" s="29"/>
      <c r="B94" s="67" t="str">
        <f>IFERROR(__xludf.DUMMYFUNCTION("""COMPUTED_VALUE""")," + Tạm")</f>
        <v> + Tạm</v>
      </c>
      <c r="C94" s="31"/>
      <c r="D94" s="31" t="str">
        <f>IFERROR(__xludf.DUMMYFUNCTION("""COMPUTED_VALUE"""),"""")</f>
        <v>"</v>
      </c>
      <c r="E94" s="41">
        <f>IFERROR(__xludf.DUMMYFUNCTION("""COMPUTED_VALUE"""),2.0)</f>
        <v>2</v>
      </c>
      <c r="F94" s="42">
        <f>IFERROR(__xludf.DUMMYFUNCTION("""COMPUTED_VALUE"""),2.0)</f>
        <v>2</v>
      </c>
      <c r="G94" s="42">
        <f>IFERROR(__xludf.DUMMYFUNCTION("""COMPUTED_VALUE"""),0.0)</f>
        <v>0</v>
      </c>
      <c r="H94" s="42">
        <f>IFERROR(__xludf.DUMMYFUNCTION("""COMPUTED_VALUE"""),0.0)</f>
        <v>0</v>
      </c>
      <c r="I94" s="41">
        <f>IFERROR(__xludf.DUMMYFUNCTION("""COMPUTED_VALUE"""),2.0)</f>
        <v>2</v>
      </c>
      <c r="J94" s="42">
        <f>IFERROR(__xludf.DUMMYFUNCTION("""COMPUTED_VALUE"""),2.0)</f>
        <v>2</v>
      </c>
      <c r="K94" s="42">
        <f>IFERROR(__xludf.DUMMYFUNCTION("""COMPUTED_VALUE"""),0.0)</f>
        <v>0</v>
      </c>
      <c r="L94" s="42">
        <f>IFERROR(__xludf.DUMMYFUNCTION("""COMPUTED_VALUE"""),0.0)</f>
        <v>0</v>
      </c>
      <c r="M94" s="41">
        <f>IFERROR(__xludf.DUMMYFUNCTION("""COMPUTED_VALUE"""),2.0)</f>
        <v>2</v>
      </c>
      <c r="N94" s="42">
        <f>IFERROR(__xludf.DUMMYFUNCTION("""COMPUTED_VALUE"""),2.0)</f>
        <v>2</v>
      </c>
      <c r="O94" s="42">
        <f>IFERROR(__xludf.DUMMYFUNCTION("""COMPUTED_VALUE"""),0.0)</f>
        <v>0</v>
      </c>
      <c r="P94" s="42">
        <f>IFERROR(__xludf.DUMMYFUNCTION("""COMPUTED_VALUE"""),0.0)</f>
        <v>0</v>
      </c>
      <c r="Q94" s="41">
        <f>IFERROR(__xludf.DUMMYFUNCTION("""COMPUTED_VALUE"""),1.0)</f>
        <v>1</v>
      </c>
      <c r="R94" s="42">
        <f>IFERROR(__xludf.DUMMYFUNCTION("""COMPUTED_VALUE"""),1.0)</f>
        <v>1</v>
      </c>
      <c r="S94" s="42">
        <f>IFERROR(__xludf.DUMMYFUNCTION("""COMPUTED_VALUE"""),0.0)</f>
        <v>0</v>
      </c>
      <c r="T94" s="42">
        <f>IFERROR(__xludf.DUMMYFUNCTION("""COMPUTED_VALUE"""),0.0)</f>
        <v>0</v>
      </c>
      <c r="U94" s="41">
        <f>IFERROR(__xludf.DUMMYFUNCTION("""COMPUTED_VALUE"""),1.0)</f>
        <v>1</v>
      </c>
      <c r="V94" s="42">
        <f>IFERROR(__xludf.DUMMYFUNCTION("""COMPUTED_VALUE"""),1.0)</f>
        <v>1</v>
      </c>
      <c r="W94" s="42">
        <f>IFERROR(__xludf.DUMMYFUNCTION("""COMPUTED_VALUE"""),0.0)</f>
        <v>0</v>
      </c>
      <c r="X94" s="42">
        <f>IFERROR(__xludf.DUMMYFUNCTION("""COMPUTED_VALUE"""),0.0)</f>
        <v>0</v>
      </c>
      <c r="Y94" s="41">
        <f>IFERROR(__xludf.DUMMYFUNCTION("""COMPUTED_VALUE"""),1.0)</f>
        <v>1</v>
      </c>
      <c r="Z94" s="42">
        <f>IFERROR(__xludf.DUMMYFUNCTION("""COMPUTED_VALUE"""),1.0)</f>
        <v>1</v>
      </c>
      <c r="AA94" s="42">
        <f>IFERROR(__xludf.DUMMYFUNCTION("""COMPUTED_VALUE"""),0.0)</f>
        <v>0</v>
      </c>
      <c r="AB94" s="42">
        <f>IFERROR(__xludf.DUMMYFUNCTION("""COMPUTED_VALUE"""),0.0)</f>
        <v>0</v>
      </c>
      <c r="AC94" s="41">
        <f>IFERROR(__xludf.DUMMYFUNCTION("""COMPUTED_VALUE"""),1.0)</f>
        <v>1</v>
      </c>
      <c r="AD94" s="42">
        <f>IFERROR(__xludf.DUMMYFUNCTION("""COMPUTED_VALUE"""),1.0)</f>
        <v>1</v>
      </c>
      <c r="AE94" s="42">
        <f>IFERROR(__xludf.DUMMYFUNCTION("""COMPUTED_VALUE"""),0.0)</f>
        <v>0</v>
      </c>
      <c r="AF94" s="42">
        <f>IFERROR(__xludf.DUMMYFUNCTION("""COMPUTED_VALUE"""),0.0)</f>
        <v>0</v>
      </c>
      <c r="AG94" s="41">
        <f>IFERROR(__xludf.DUMMYFUNCTION("""COMPUTED_VALUE"""),0.0)</f>
        <v>0</v>
      </c>
      <c r="AH94" s="42">
        <f>IFERROR(__xludf.DUMMYFUNCTION("""COMPUTED_VALUE"""),0.0)</f>
        <v>0</v>
      </c>
      <c r="AI94" s="42">
        <f>IFERROR(__xludf.DUMMYFUNCTION("""COMPUTED_VALUE"""),0.0)</f>
        <v>0</v>
      </c>
      <c r="AJ94" s="42">
        <f>IFERROR(__xludf.DUMMYFUNCTION("""COMPUTED_VALUE"""),0.0)</f>
        <v>0</v>
      </c>
      <c r="AK94" s="41">
        <f>IFERROR(__xludf.DUMMYFUNCTION("""COMPUTED_VALUE"""),0.0)</f>
        <v>0</v>
      </c>
      <c r="AL94" s="42">
        <f>IFERROR(__xludf.DUMMYFUNCTION("""COMPUTED_VALUE"""),0.0)</f>
        <v>0</v>
      </c>
      <c r="AM94" s="42">
        <f>IFERROR(__xludf.DUMMYFUNCTION("""COMPUTED_VALUE"""),0.0)</f>
        <v>0</v>
      </c>
      <c r="AN94" s="42">
        <f>IFERROR(__xludf.DUMMYFUNCTION("""COMPUTED_VALUE"""),0.0)</f>
        <v>0</v>
      </c>
      <c r="AO94" s="41">
        <f>IFERROR(__xludf.DUMMYFUNCTION("""COMPUTED_VALUE"""),0.0)</f>
        <v>0</v>
      </c>
      <c r="AP94" s="42">
        <f>IFERROR(__xludf.DUMMYFUNCTION("""COMPUTED_VALUE"""),0.0)</f>
        <v>0</v>
      </c>
      <c r="AQ94" s="42">
        <f>IFERROR(__xludf.DUMMYFUNCTION("""COMPUTED_VALUE"""),0.0)</f>
        <v>0</v>
      </c>
      <c r="AR94" s="42">
        <f>IFERROR(__xludf.DUMMYFUNCTION("""COMPUTED_VALUE"""),0.0)</f>
        <v>0</v>
      </c>
      <c r="AS94" s="41">
        <f>IFERROR(__xludf.DUMMYFUNCTION("""COMPUTED_VALUE"""),0.0)</f>
        <v>0</v>
      </c>
      <c r="AT94" s="42">
        <f>IFERROR(__xludf.DUMMYFUNCTION("""COMPUTED_VALUE"""),0.0)</f>
        <v>0</v>
      </c>
      <c r="AU94" s="42">
        <f>IFERROR(__xludf.DUMMYFUNCTION("""COMPUTED_VALUE"""),0.0)</f>
        <v>0</v>
      </c>
      <c r="AV94" s="42">
        <f>IFERROR(__xludf.DUMMYFUNCTION("""COMPUTED_VALUE"""),0.0)</f>
        <v>0</v>
      </c>
      <c r="AW94" s="41">
        <f>IFERROR(__xludf.DUMMYFUNCTION("""COMPUTED_VALUE"""),0.0)</f>
        <v>0</v>
      </c>
      <c r="AX94" s="42">
        <f>IFERROR(__xludf.DUMMYFUNCTION("""COMPUTED_VALUE"""),0.0)</f>
        <v>0</v>
      </c>
      <c r="AY94" s="42">
        <f>IFERROR(__xludf.DUMMYFUNCTION("""COMPUTED_VALUE"""),0.0)</f>
        <v>0</v>
      </c>
      <c r="AZ94" s="43">
        <f>IFERROR(__xludf.DUMMYFUNCTION("""COMPUTED_VALUE"""),0.0)</f>
        <v>0</v>
      </c>
      <c r="BA94" s="34"/>
    </row>
    <row r="95" ht="15.75" customHeight="1">
      <c r="A95" s="29"/>
      <c r="B95" s="196" t="str">
        <f>IFERROR(__xludf.DUMMYFUNCTION("""COMPUTED_VALUE"""),"7.4. Tổng số nhà đa năng")</f>
        <v>7.4. Tổng số nhà đa năng</v>
      </c>
      <c r="C95" s="57"/>
      <c r="D95" s="57" t="str">
        <f>IFERROR(__xludf.DUMMYFUNCTION("""COMPUTED_VALUE"""),"Phòng")</f>
        <v>Phòng</v>
      </c>
      <c r="E95" s="125">
        <f>IFERROR(__xludf.DUMMYFUNCTION("""COMPUTED_VALUE"""),10.0)</f>
        <v>10</v>
      </c>
      <c r="F95" s="125">
        <f>IFERROR(__xludf.DUMMYFUNCTION("""COMPUTED_VALUE"""),10.0)</f>
        <v>10</v>
      </c>
      <c r="G95" s="125">
        <f>IFERROR(__xludf.DUMMYFUNCTION("""COMPUTED_VALUE"""),0.0)</f>
        <v>0</v>
      </c>
      <c r="H95" s="125">
        <f>IFERROR(__xludf.DUMMYFUNCTION("""COMPUTED_VALUE"""),0.0)</f>
        <v>0</v>
      </c>
      <c r="I95" s="125">
        <f>IFERROR(__xludf.DUMMYFUNCTION("""COMPUTED_VALUE"""),9.0)</f>
        <v>9</v>
      </c>
      <c r="J95" s="125">
        <f>IFERROR(__xludf.DUMMYFUNCTION("""COMPUTED_VALUE"""),9.0)</f>
        <v>9</v>
      </c>
      <c r="K95" s="125">
        <f>IFERROR(__xludf.DUMMYFUNCTION("""COMPUTED_VALUE"""),0.0)</f>
        <v>0</v>
      </c>
      <c r="L95" s="125">
        <f>IFERROR(__xludf.DUMMYFUNCTION("""COMPUTED_VALUE"""),0.0)</f>
        <v>0</v>
      </c>
      <c r="M95" s="125">
        <f>IFERROR(__xludf.DUMMYFUNCTION("""COMPUTED_VALUE"""),9.0)</f>
        <v>9</v>
      </c>
      <c r="N95" s="125">
        <f>IFERROR(__xludf.DUMMYFUNCTION("""COMPUTED_VALUE"""),9.0)</f>
        <v>9</v>
      </c>
      <c r="O95" s="125">
        <f>IFERROR(__xludf.DUMMYFUNCTION("""COMPUTED_VALUE"""),0.0)</f>
        <v>0</v>
      </c>
      <c r="P95" s="125">
        <f>IFERROR(__xludf.DUMMYFUNCTION("""COMPUTED_VALUE"""),0.0)</f>
        <v>0</v>
      </c>
      <c r="Q95" s="125">
        <f>IFERROR(__xludf.DUMMYFUNCTION("""COMPUTED_VALUE"""),9.0)</f>
        <v>9</v>
      </c>
      <c r="R95" s="125">
        <f>IFERROR(__xludf.DUMMYFUNCTION("""COMPUTED_VALUE"""),9.0)</f>
        <v>9</v>
      </c>
      <c r="S95" s="125">
        <f>IFERROR(__xludf.DUMMYFUNCTION("""COMPUTED_VALUE"""),0.0)</f>
        <v>0</v>
      </c>
      <c r="T95" s="125">
        <f>IFERROR(__xludf.DUMMYFUNCTION("""COMPUTED_VALUE"""),0.0)</f>
        <v>0</v>
      </c>
      <c r="U95" s="125">
        <f>IFERROR(__xludf.DUMMYFUNCTION("""COMPUTED_VALUE"""),9.0)</f>
        <v>9</v>
      </c>
      <c r="V95" s="125">
        <f>IFERROR(__xludf.DUMMYFUNCTION("""COMPUTED_VALUE"""),9.0)</f>
        <v>9</v>
      </c>
      <c r="W95" s="125">
        <f>IFERROR(__xludf.DUMMYFUNCTION("""COMPUTED_VALUE"""),0.0)</f>
        <v>0</v>
      </c>
      <c r="X95" s="125">
        <f>IFERROR(__xludf.DUMMYFUNCTION("""COMPUTED_VALUE"""),0.0)</f>
        <v>0</v>
      </c>
      <c r="Y95" s="125">
        <f>IFERROR(__xludf.DUMMYFUNCTION("""COMPUTED_VALUE"""),9.0)</f>
        <v>9</v>
      </c>
      <c r="Z95" s="125">
        <f>IFERROR(__xludf.DUMMYFUNCTION("""COMPUTED_VALUE"""),9.0)</f>
        <v>9</v>
      </c>
      <c r="AA95" s="125">
        <f>IFERROR(__xludf.DUMMYFUNCTION("""COMPUTED_VALUE"""),0.0)</f>
        <v>0</v>
      </c>
      <c r="AB95" s="125">
        <f>IFERROR(__xludf.DUMMYFUNCTION("""COMPUTED_VALUE"""),0.0)</f>
        <v>0</v>
      </c>
      <c r="AC95" s="125">
        <f>IFERROR(__xludf.DUMMYFUNCTION("""COMPUTED_VALUE"""),9.0)</f>
        <v>9</v>
      </c>
      <c r="AD95" s="125">
        <f>IFERROR(__xludf.DUMMYFUNCTION("""COMPUTED_VALUE"""),9.0)</f>
        <v>9</v>
      </c>
      <c r="AE95" s="125">
        <f>IFERROR(__xludf.DUMMYFUNCTION("""COMPUTED_VALUE"""),0.0)</f>
        <v>0</v>
      </c>
      <c r="AF95" s="125">
        <f>IFERROR(__xludf.DUMMYFUNCTION("""COMPUTED_VALUE"""),0.0)</f>
        <v>0</v>
      </c>
      <c r="AG95" s="125">
        <f>IFERROR(__xludf.DUMMYFUNCTION("""COMPUTED_VALUE"""),1.0)</f>
        <v>1</v>
      </c>
      <c r="AH95" s="125">
        <f>IFERROR(__xludf.DUMMYFUNCTION("""COMPUTED_VALUE"""),1.0)</f>
        <v>1</v>
      </c>
      <c r="AI95" s="125">
        <f>IFERROR(__xludf.DUMMYFUNCTION("""COMPUTED_VALUE"""),0.0)</f>
        <v>0</v>
      </c>
      <c r="AJ95" s="125">
        <f>IFERROR(__xludf.DUMMYFUNCTION("""COMPUTED_VALUE"""),0.0)</f>
        <v>0</v>
      </c>
      <c r="AK95" s="125">
        <f>IFERROR(__xludf.DUMMYFUNCTION("""COMPUTED_VALUE"""),0.0)</f>
        <v>0</v>
      </c>
      <c r="AL95" s="125">
        <f>IFERROR(__xludf.DUMMYFUNCTION("""COMPUTED_VALUE"""),0.0)</f>
        <v>0</v>
      </c>
      <c r="AM95" s="125">
        <f>IFERROR(__xludf.DUMMYFUNCTION("""COMPUTED_VALUE"""),0.0)</f>
        <v>0</v>
      </c>
      <c r="AN95" s="125">
        <f>IFERROR(__xludf.DUMMYFUNCTION("""COMPUTED_VALUE"""),0.0)</f>
        <v>0</v>
      </c>
      <c r="AO95" s="125">
        <f>IFERROR(__xludf.DUMMYFUNCTION("""COMPUTED_VALUE"""),0.0)</f>
        <v>0</v>
      </c>
      <c r="AP95" s="125">
        <f>IFERROR(__xludf.DUMMYFUNCTION("""COMPUTED_VALUE"""),0.0)</f>
        <v>0</v>
      </c>
      <c r="AQ95" s="125">
        <f>IFERROR(__xludf.DUMMYFUNCTION("""COMPUTED_VALUE"""),0.0)</f>
        <v>0</v>
      </c>
      <c r="AR95" s="125">
        <f>IFERROR(__xludf.DUMMYFUNCTION("""COMPUTED_VALUE"""),0.0)</f>
        <v>0</v>
      </c>
      <c r="AS95" s="125">
        <f>IFERROR(__xludf.DUMMYFUNCTION("""COMPUTED_VALUE"""),0.0)</f>
        <v>0</v>
      </c>
      <c r="AT95" s="125">
        <f>IFERROR(__xludf.DUMMYFUNCTION("""COMPUTED_VALUE"""),0.0)</f>
        <v>0</v>
      </c>
      <c r="AU95" s="125">
        <f>IFERROR(__xludf.DUMMYFUNCTION("""COMPUTED_VALUE"""),0.0)</f>
        <v>0</v>
      </c>
      <c r="AV95" s="125">
        <f>IFERROR(__xludf.DUMMYFUNCTION("""COMPUTED_VALUE"""),0.0)</f>
        <v>0</v>
      </c>
      <c r="AW95" s="125">
        <f>IFERROR(__xludf.DUMMYFUNCTION("""COMPUTED_VALUE"""),0.0)</f>
        <v>0</v>
      </c>
      <c r="AX95" s="125">
        <f>IFERROR(__xludf.DUMMYFUNCTION("""COMPUTED_VALUE"""),0.0)</f>
        <v>0</v>
      </c>
      <c r="AY95" s="125">
        <f>IFERROR(__xludf.DUMMYFUNCTION("""COMPUTED_VALUE"""),0.0)</f>
        <v>0</v>
      </c>
      <c r="AZ95" s="127">
        <f>IFERROR(__xludf.DUMMYFUNCTION("""COMPUTED_VALUE"""),0.0)</f>
        <v>0</v>
      </c>
      <c r="BA95" s="34"/>
    </row>
    <row r="96" ht="15.75" customHeight="1">
      <c r="A96" s="29"/>
      <c r="B96" s="48" t="str">
        <f>IFERROR(__xludf.DUMMYFUNCTION("""COMPUTED_VALUE"""),"Chia ra:")</f>
        <v>Chia ra:</v>
      </c>
      <c r="C96" s="49"/>
      <c r="D96" s="3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50"/>
      <c r="BA96" s="34"/>
    </row>
    <row r="97" ht="15.75" customHeight="1">
      <c r="A97" s="29"/>
      <c r="B97" s="67" t="str">
        <f>IFERROR(__xludf.DUMMYFUNCTION("""COMPUTED_VALUE""")," + Kiên cố")</f>
        <v> + Kiên cố</v>
      </c>
      <c r="C97" s="31"/>
      <c r="D97" s="31" t="str">
        <f>IFERROR(__xludf.DUMMYFUNCTION("""COMPUTED_VALUE"""),"""")</f>
        <v>"</v>
      </c>
      <c r="E97" s="41">
        <f>IFERROR(__xludf.DUMMYFUNCTION("""COMPUTED_VALUE"""),10.0)</f>
        <v>10</v>
      </c>
      <c r="F97" s="42">
        <f>IFERROR(__xludf.DUMMYFUNCTION("""COMPUTED_VALUE"""),10.0)</f>
        <v>10</v>
      </c>
      <c r="G97" s="42">
        <f>IFERROR(__xludf.DUMMYFUNCTION("""COMPUTED_VALUE"""),0.0)</f>
        <v>0</v>
      </c>
      <c r="H97" s="42">
        <f>IFERROR(__xludf.DUMMYFUNCTION("""COMPUTED_VALUE"""),0.0)</f>
        <v>0</v>
      </c>
      <c r="I97" s="41">
        <f>IFERROR(__xludf.DUMMYFUNCTION("""COMPUTED_VALUE"""),9.0)</f>
        <v>9</v>
      </c>
      <c r="J97" s="42">
        <f>IFERROR(__xludf.DUMMYFUNCTION("""COMPUTED_VALUE"""),9.0)</f>
        <v>9</v>
      </c>
      <c r="K97" s="42">
        <f>IFERROR(__xludf.DUMMYFUNCTION("""COMPUTED_VALUE"""),0.0)</f>
        <v>0</v>
      </c>
      <c r="L97" s="42">
        <f>IFERROR(__xludf.DUMMYFUNCTION("""COMPUTED_VALUE"""),0.0)</f>
        <v>0</v>
      </c>
      <c r="M97" s="41">
        <f>IFERROR(__xludf.DUMMYFUNCTION("""COMPUTED_VALUE"""),9.0)</f>
        <v>9</v>
      </c>
      <c r="N97" s="42">
        <f>IFERROR(__xludf.DUMMYFUNCTION("""COMPUTED_VALUE"""),9.0)</f>
        <v>9</v>
      </c>
      <c r="O97" s="42">
        <f>IFERROR(__xludf.DUMMYFUNCTION("""COMPUTED_VALUE"""),0.0)</f>
        <v>0</v>
      </c>
      <c r="P97" s="42">
        <f>IFERROR(__xludf.DUMMYFUNCTION("""COMPUTED_VALUE"""),0.0)</f>
        <v>0</v>
      </c>
      <c r="Q97" s="41">
        <f>IFERROR(__xludf.DUMMYFUNCTION("""COMPUTED_VALUE"""),9.0)</f>
        <v>9</v>
      </c>
      <c r="R97" s="42">
        <f>IFERROR(__xludf.DUMMYFUNCTION("""COMPUTED_VALUE"""),9.0)</f>
        <v>9</v>
      </c>
      <c r="S97" s="42">
        <f>IFERROR(__xludf.DUMMYFUNCTION("""COMPUTED_VALUE"""),0.0)</f>
        <v>0</v>
      </c>
      <c r="T97" s="42">
        <f>IFERROR(__xludf.DUMMYFUNCTION("""COMPUTED_VALUE"""),0.0)</f>
        <v>0</v>
      </c>
      <c r="U97" s="41">
        <f>IFERROR(__xludf.DUMMYFUNCTION("""COMPUTED_VALUE"""),9.0)</f>
        <v>9</v>
      </c>
      <c r="V97" s="42">
        <f>IFERROR(__xludf.DUMMYFUNCTION("""COMPUTED_VALUE"""),9.0)</f>
        <v>9</v>
      </c>
      <c r="W97" s="42">
        <f>IFERROR(__xludf.DUMMYFUNCTION("""COMPUTED_VALUE"""),0.0)</f>
        <v>0</v>
      </c>
      <c r="X97" s="42">
        <f>IFERROR(__xludf.DUMMYFUNCTION("""COMPUTED_VALUE"""),0.0)</f>
        <v>0</v>
      </c>
      <c r="Y97" s="41">
        <f>IFERROR(__xludf.DUMMYFUNCTION("""COMPUTED_VALUE"""),9.0)</f>
        <v>9</v>
      </c>
      <c r="Z97" s="42">
        <f>IFERROR(__xludf.DUMMYFUNCTION("""COMPUTED_VALUE"""),9.0)</f>
        <v>9</v>
      </c>
      <c r="AA97" s="42">
        <f>IFERROR(__xludf.DUMMYFUNCTION("""COMPUTED_VALUE"""),0.0)</f>
        <v>0</v>
      </c>
      <c r="AB97" s="42">
        <f>IFERROR(__xludf.DUMMYFUNCTION("""COMPUTED_VALUE"""),0.0)</f>
        <v>0</v>
      </c>
      <c r="AC97" s="41">
        <f>IFERROR(__xludf.DUMMYFUNCTION("""COMPUTED_VALUE"""),9.0)</f>
        <v>9</v>
      </c>
      <c r="AD97" s="42">
        <f>IFERROR(__xludf.DUMMYFUNCTION("""COMPUTED_VALUE"""),9.0)</f>
        <v>9</v>
      </c>
      <c r="AE97" s="42">
        <f>IFERROR(__xludf.DUMMYFUNCTION("""COMPUTED_VALUE"""),0.0)</f>
        <v>0</v>
      </c>
      <c r="AF97" s="42">
        <f>IFERROR(__xludf.DUMMYFUNCTION("""COMPUTED_VALUE"""),0.0)</f>
        <v>0</v>
      </c>
      <c r="AG97" s="41">
        <f>IFERROR(__xludf.DUMMYFUNCTION("""COMPUTED_VALUE"""),1.0)</f>
        <v>1</v>
      </c>
      <c r="AH97" s="42">
        <f>IFERROR(__xludf.DUMMYFUNCTION("""COMPUTED_VALUE"""),1.0)</f>
        <v>1</v>
      </c>
      <c r="AI97" s="42">
        <f>IFERROR(__xludf.DUMMYFUNCTION("""COMPUTED_VALUE"""),0.0)</f>
        <v>0</v>
      </c>
      <c r="AJ97" s="42">
        <f>IFERROR(__xludf.DUMMYFUNCTION("""COMPUTED_VALUE"""),0.0)</f>
        <v>0</v>
      </c>
      <c r="AK97" s="41">
        <f>IFERROR(__xludf.DUMMYFUNCTION("""COMPUTED_VALUE"""),0.0)</f>
        <v>0</v>
      </c>
      <c r="AL97" s="42">
        <f>IFERROR(__xludf.DUMMYFUNCTION("""COMPUTED_VALUE"""),0.0)</f>
        <v>0</v>
      </c>
      <c r="AM97" s="42">
        <f>IFERROR(__xludf.DUMMYFUNCTION("""COMPUTED_VALUE"""),0.0)</f>
        <v>0</v>
      </c>
      <c r="AN97" s="42">
        <f>IFERROR(__xludf.DUMMYFUNCTION("""COMPUTED_VALUE"""),0.0)</f>
        <v>0</v>
      </c>
      <c r="AO97" s="41">
        <f>IFERROR(__xludf.DUMMYFUNCTION("""COMPUTED_VALUE"""),0.0)</f>
        <v>0</v>
      </c>
      <c r="AP97" s="42">
        <f>IFERROR(__xludf.DUMMYFUNCTION("""COMPUTED_VALUE"""),0.0)</f>
        <v>0</v>
      </c>
      <c r="AQ97" s="42">
        <f>IFERROR(__xludf.DUMMYFUNCTION("""COMPUTED_VALUE"""),0.0)</f>
        <v>0</v>
      </c>
      <c r="AR97" s="42">
        <f>IFERROR(__xludf.DUMMYFUNCTION("""COMPUTED_VALUE"""),0.0)</f>
        <v>0</v>
      </c>
      <c r="AS97" s="41">
        <f>IFERROR(__xludf.DUMMYFUNCTION("""COMPUTED_VALUE"""),0.0)</f>
        <v>0</v>
      </c>
      <c r="AT97" s="42">
        <f>IFERROR(__xludf.DUMMYFUNCTION("""COMPUTED_VALUE"""),0.0)</f>
        <v>0</v>
      </c>
      <c r="AU97" s="42">
        <f>IFERROR(__xludf.DUMMYFUNCTION("""COMPUTED_VALUE"""),0.0)</f>
        <v>0</v>
      </c>
      <c r="AV97" s="42">
        <f>IFERROR(__xludf.DUMMYFUNCTION("""COMPUTED_VALUE"""),0.0)</f>
        <v>0</v>
      </c>
      <c r="AW97" s="41">
        <f>IFERROR(__xludf.DUMMYFUNCTION("""COMPUTED_VALUE"""),0.0)</f>
        <v>0</v>
      </c>
      <c r="AX97" s="42">
        <f>IFERROR(__xludf.DUMMYFUNCTION("""COMPUTED_VALUE"""),0.0)</f>
        <v>0</v>
      </c>
      <c r="AY97" s="42">
        <f>IFERROR(__xludf.DUMMYFUNCTION("""COMPUTED_VALUE"""),0.0)</f>
        <v>0</v>
      </c>
      <c r="AZ97" s="43">
        <f>IFERROR(__xludf.DUMMYFUNCTION("""COMPUTED_VALUE"""),0.0)</f>
        <v>0</v>
      </c>
      <c r="BA97" s="34"/>
    </row>
    <row r="98" ht="15.75" customHeight="1">
      <c r="A98" s="29"/>
      <c r="B98" s="67" t="str">
        <f>IFERROR(__xludf.DUMMYFUNCTION("""COMPUTED_VALUE""")," + Bán kiên cố")</f>
        <v> + Bán kiên cố</v>
      </c>
      <c r="C98" s="31"/>
      <c r="D98" s="31" t="str">
        <f>IFERROR(__xludf.DUMMYFUNCTION("""COMPUTED_VALUE"""),"""")</f>
        <v>"</v>
      </c>
      <c r="E98" s="41">
        <f>IFERROR(__xludf.DUMMYFUNCTION("""COMPUTED_VALUE"""),0.0)</f>
        <v>0</v>
      </c>
      <c r="F98" s="42">
        <f>IFERROR(__xludf.DUMMYFUNCTION("""COMPUTED_VALUE"""),0.0)</f>
        <v>0</v>
      </c>
      <c r="G98" s="42">
        <f>IFERROR(__xludf.DUMMYFUNCTION("""COMPUTED_VALUE"""),0.0)</f>
        <v>0</v>
      </c>
      <c r="H98" s="42">
        <f>IFERROR(__xludf.DUMMYFUNCTION("""COMPUTED_VALUE"""),0.0)</f>
        <v>0</v>
      </c>
      <c r="I98" s="41">
        <f>IFERROR(__xludf.DUMMYFUNCTION("""COMPUTED_VALUE"""),0.0)</f>
        <v>0</v>
      </c>
      <c r="J98" s="42">
        <f>IFERROR(__xludf.DUMMYFUNCTION("""COMPUTED_VALUE"""),0.0)</f>
        <v>0</v>
      </c>
      <c r="K98" s="42">
        <f>IFERROR(__xludf.DUMMYFUNCTION("""COMPUTED_VALUE"""),0.0)</f>
        <v>0</v>
      </c>
      <c r="L98" s="42">
        <f>IFERROR(__xludf.DUMMYFUNCTION("""COMPUTED_VALUE"""),0.0)</f>
        <v>0</v>
      </c>
      <c r="M98" s="41">
        <f>IFERROR(__xludf.DUMMYFUNCTION("""COMPUTED_VALUE"""),0.0)</f>
        <v>0</v>
      </c>
      <c r="N98" s="42">
        <f>IFERROR(__xludf.DUMMYFUNCTION("""COMPUTED_VALUE"""),0.0)</f>
        <v>0</v>
      </c>
      <c r="O98" s="42">
        <f>IFERROR(__xludf.DUMMYFUNCTION("""COMPUTED_VALUE"""),0.0)</f>
        <v>0</v>
      </c>
      <c r="P98" s="42">
        <f>IFERROR(__xludf.DUMMYFUNCTION("""COMPUTED_VALUE"""),0.0)</f>
        <v>0</v>
      </c>
      <c r="Q98" s="41">
        <f>IFERROR(__xludf.DUMMYFUNCTION("""COMPUTED_VALUE"""),0.0)</f>
        <v>0</v>
      </c>
      <c r="R98" s="42">
        <f>IFERROR(__xludf.DUMMYFUNCTION("""COMPUTED_VALUE"""),0.0)</f>
        <v>0</v>
      </c>
      <c r="S98" s="42">
        <f>IFERROR(__xludf.DUMMYFUNCTION("""COMPUTED_VALUE"""),0.0)</f>
        <v>0</v>
      </c>
      <c r="T98" s="42">
        <f>IFERROR(__xludf.DUMMYFUNCTION("""COMPUTED_VALUE"""),0.0)</f>
        <v>0</v>
      </c>
      <c r="U98" s="41">
        <f>IFERROR(__xludf.DUMMYFUNCTION("""COMPUTED_VALUE"""),0.0)</f>
        <v>0</v>
      </c>
      <c r="V98" s="42">
        <f>IFERROR(__xludf.DUMMYFUNCTION("""COMPUTED_VALUE"""),0.0)</f>
        <v>0</v>
      </c>
      <c r="W98" s="42">
        <f>IFERROR(__xludf.DUMMYFUNCTION("""COMPUTED_VALUE"""),0.0)</f>
        <v>0</v>
      </c>
      <c r="X98" s="42">
        <f>IFERROR(__xludf.DUMMYFUNCTION("""COMPUTED_VALUE"""),0.0)</f>
        <v>0</v>
      </c>
      <c r="Y98" s="41">
        <f>IFERROR(__xludf.DUMMYFUNCTION("""COMPUTED_VALUE"""),0.0)</f>
        <v>0</v>
      </c>
      <c r="Z98" s="42">
        <f>IFERROR(__xludf.DUMMYFUNCTION("""COMPUTED_VALUE"""),0.0)</f>
        <v>0</v>
      </c>
      <c r="AA98" s="42">
        <f>IFERROR(__xludf.DUMMYFUNCTION("""COMPUTED_VALUE"""),0.0)</f>
        <v>0</v>
      </c>
      <c r="AB98" s="42">
        <f>IFERROR(__xludf.DUMMYFUNCTION("""COMPUTED_VALUE"""),0.0)</f>
        <v>0</v>
      </c>
      <c r="AC98" s="41">
        <f>IFERROR(__xludf.DUMMYFUNCTION("""COMPUTED_VALUE"""),0.0)</f>
        <v>0</v>
      </c>
      <c r="AD98" s="42">
        <f>IFERROR(__xludf.DUMMYFUNCTION("""COMPUTED_VALUE"""),0.0)</f>
        <v>0</v>
      </c>
      <c r="AE98" s="42">
        <f>IFERROR(__xludf.DUMMYFUNCTION("""COMPUTED_VALUE"""),0.0)</f>
        <v>0</v>
      </c>
      <c r="AF98" s="42">
        <f>IFERROR(__xludf.DUMMYFUNCTION("""COMPUTED_VALUE"""),0.0)</f>
        <v>0</v>
      </c>
      <c r="AG98" s="41">
        <f>IFERROR(__xludf.DUMMYFUNCTION("""COMPUTED_VALUE"""),0.0)</f>
        <v>0</v>
      </c>
      <c r="AH98" s="42">
        <f>IFERROR(__xludf.DUMMYFUNCTION("""COMPUTED_VALUE"""),0.0)</f>
        <v>0</v>
      </c>
      <c r="AI98" s="42">
        <f>IFERROR(__xludf.DUMMYFUNCTION("""COMPUTED_VALUE"""),0.0)</f>
        <v>0</v>
      </c>
      <c r="AJ98" s="42">
        <f>IFERROR(__xludf.DUMMYFUNCTION("""COMPUTED_VALUE"""),0.0)</f>
        <v>0</v>
      </c>
      <c r="AK98" s="41">
        <f>IFERROR(__xludf.DUMMYFUNCTION("""COMPUTED_VALUE"""),0.0)</f>
        <v>0</v>
      </c>
      <c r="AL98" s="42">
        <f>IFERROR(__xludf.DUMMYFUNCTION("""COMPUTED_VALUE"""),0.0)</f>
        <v>0</v>
      </c>
      <c r="AM98" s="42">
        <f>IFERROR(__xludf.DUMMYFUNCTION("""COMPUTED_VALUE"""),0.0)</f>
        <v>0</v>
      </c>
      <c r="AN98" s="42">
        <f>IFERROR(__xludf.DUMMYFUNCTION("""COMPUTED_VALUE"""),0.0)</f>
        <v>0</v>
      </c>
      <c r="AO98" s="41">
        <f>IFERROR(__xludf.DUMMYFUNCTION("""COMPUTED_VALUE"""),0.0)</f>
        <v>0</v>
      </c>
      <c r="AP98" s="42">
        <f>IFERROR(__xludf.DUMMYFUNCTION("""COMPUTED_VALUE"""),0.0)</f>
        <v>0</v>
      </c>
      <c r="AQ98" s="42">
        <f>IFERROR(__xludf.DUMMYFUNCTION("""COMPUTED_VALUE"""),0.0)</f>
        <v>0</v>
      </c>
      <c r="AR98" s="42">
        <f>IFERROR(__xludf.DUMMYFUNCTION("""COMPUTED_VALUE"""),0.0)</f>
        <v>0</v>
      </c>
      <c r="AS98" s="41">
        <f>IFERROR(__xludf.DUMMYFUNCTION("""COMPUTED_VALUE"""),0.0)</f>
        <v>0</v>
      </c>
      <c r="AT98" s="42">
        <f>IFERROR(__xludf.DUMMYFUNCTION("""COMPUTED_VALUE"""),0.0)</f>
        <v>0</v>
      </c>
      <c r="AU98" s="42">
        <f>IFERROR(__xludf.DUMMYFUNCTION("""COMPUTED_VALUE"""),0.0)</f>
        <v>0</v>
      </c>
      <c r="AV98" s="42">
        <f>IFERROR(__xludf.DUMMYFUNCTION("""COMPUTED_VALUE"""),0.0)</f>
        <v>0</v>
      </c>
      <c r="AW98" s="41">
        <f>IFERROR(__xludf.DUMMYFUNCTION("""COMPUTED_VALUE"""),0.0)</f>
        <v>0</v>
      </c>
      <c r="AX98" s="42">
        <f>IFERROR(__xludf.DUMMYFUNCTION("""COMPUTED_VALUE"""),0.0)</f>
        <v>0</v>
      </c>
      <c r="AY98" s="42">
        <f>IFERROR(__xludf.DUMMYFUNCTION("""COMPUTED_VALUE"""),0.0)</f>
        <v>0</v>
      </c>
      <c r="AZ98" s="43">
        <f>IFERROR(__xludf.DUMMYFUNCTION("""COMPUTED_VALUE"""),0.0)</f>
        <v>0</v>
      </c>
      <c r="BA98" s="34"/>
    </row>
    <row r="99" ht="15.75" customHeight="1">
      <c r="A99" s="29"/>
      <c r="B99" s="128" t="str">
        <f>IFERROR(__xludf.DUMMYFUNCTION("""COMPUTED_VALUE""")," + Tạm")</f>
        <v> + Tạm</v>
      </c>
      <c r="C99" s="129"/>
      <c r="D99" s="129" t="str">
        <f>IFERROR(__xludf.DUMMYFUNCTION("""COMPUTED_VALUE"""),"""")</f>
        <v>"</v>
      </c>
      <c r="E99" s="130">
        <f>IFERROR(__xludf.DUMMYFUNCTION("""COMPUTED_VALUE"""),0.0)</f>
        <v>0</v>
      </c>
      <c r="F99" s="131">
        <f>IFERROR(__xludf.DUMMYFUNCTION("""COMPUTED_VALUE"""),0.0)</f>
        <v>0</v>
      </c>
      <c r="G99" s="131">
        <f>IFERROR(__xludf.DUMMYFUNCTION("""COMPUTED_VALUE"""),0.0)</f>
        <v>0</v>
      </c>
      <c r="H99" s="131">
        <f>IFERROR(__xludf.DUMMYFUNCTION("""COMPUTED_VALUE"""),0.0)</f>
        <v>0</v>
      </c>
      <c r="I99" s="130">
        <f>IFERROR(__xludf.DUMMYFUNCTION("""COMPUTED_VALUE"""),0.0)</f>
        <v>0</v>
      </c>
      <c r="J99" s="131">
        <f>IFERROR(__xludf.DUMMYFUNCTION("""COMPUTED_VALUE"""),0.0)</f>
        <v>0</v>
      </c>
      <c r="K99" s="131">
        <f>IFERROR(__xludf.DUMMYFUNCTION("""COMPUTED_VALUE"""),0.0)</f>
        <v>0</v>
      </c>
      <c r="L99" s="131">
        <f>IFERROR(__xludf.DUMMYFUNCTION("""COMPUTED_VALUE"""),0.0)</f>
        <v>0</v>
      </c>
      <c r="M99" s="130">
        <f>IFERROR(__xludf.DUMMYFUNCTION("""COMPUTED_VALUE"""),0.0)</f>
        <v>0</v>
      </c>
      <c r="N99" s="131">
        <f>IFERROR(__xludf.DUMMYFUNCTION("""COMPUTED_VALUE"""),0.0)</f>
        <v>0</v>
      </c>
      <c r="O99" s="131">
        <f>IFERROR(__xludf.DUMMYFUNCTION("""COMPUTED_VALUE"""),0.0)</f>
        <v>0</v>
      </c>
      <c r="P99" s="131">
        <f>IFERROR(__xludf.DUMMYFUNCTION("""COMPUTED_VALUE"""),0.0)</f>
        <v>0</v>
      </c>
      <c r="Q99" s="130">
        <f>IFERROR(__xludf.DUMMYFUNCTION("""COMPUTED_VALUE"""),0.0)</f>
        <v>0</v>
      </c>
      <c r="R99" s="131">
        <f>IFERROR(__xludf.DUMMYFUNCTION("""COMPUTED_VALUE"""),0.0)</f>
        <v>0</v>
      </c>
      <c r="S99" s="131">
        <f>IFERROR(__xludf.DUMMYFUNCTION("""COMPUTED_VALUE"""),0.0)</f>
        <v>0</v>
      </c>
      <c r="T99" s="131">
        <f>IFERROR(__xludf.DUMMYFUNCTION("""COMPUTED_VALUE"""),0.0)</f>
        <v>0</v>
      </c>
      <c r="U99" s="130">
        <f>IFERROR(__xludf.DUMMYFUNCTION("""COMPUTED_VALUE"""),0.0)</f>
        <v>0</v>
      </c>
      <c r="V99" s="131">
        <f>IFERROR(__xludf.DUMMYFUNCTION("""COMPUTED_VALUE"""),0.0)</f>
        <v>0</v>
      </c>
      <c r="W99" s="131">
        <f>IFERROR(__xludf.DUMMYFUNCTION("""COMPUTED_VALUE"""),0.0)</f>
        <v>0</v>
      </c>
      <c r="X99" s="131">
        <f>IFERROR(__xludf.DUMMYFUNCTION("""COMPUTED_VALUE"""),0.0)</f>
        <v>0</v>
      </c>
      <c r="Y99" s="130">
        <f>IFERROR(__xludf.DUMMYFUNCTION("""COMPUTED_VALUE"""),0.0)</f>
        <v>0</v>
      </c>
      <c r="Z99" s="131">
        <f>IFERROR(__xludf.DUMMYFUNCTION("""COMPUTED_VALUE"""),0.0)</f>
        <v>0</v>
      </c>
      <c r="AA99" s="131">
        <f>IFERROR(__xludf.DUMMYFUNCTION("""COMPUTED_VALUE"""),0.0)</f>
        <v>0</v>
      </c>
      <c r="AB99" s="131">
        <f>IFERROR(__xludf.DUMMYFUNCTION("""COMPUTED_VALUE"""),0.0)</f>
        <v>0</v>
      </c>
      <c r="AC99" s="130">
        <f>IFERROR(__xludf.DUMMYFUNCTION("""COMPUTED_VALUE"""),0.0)</f>
        <v>0</v>
      </c>
      <c r="AD99" s="131">
        <f>IFERROR(__xludf.DUMMYFUNCTION("""COMPUTED_VALUE"""),0.0)</f>
        <v>0</v>
      </c>
      <c r="AE99" s="131">
        <f>IFERROR(__xludf.DUMMYFUNCTION("""COMPUTED_VALUE"""),0.0)</f>
        <v>0</v>
      </c>
      <c r="AF99" s="131">
        <f>IFERROR(__xludf.DUMMYFUNCTION("""COMPUTED_VALUE"""),0.0)</f>
        <v>0</v>
      </c>
      <c r="AG99" s="130">
        <f>IFERROR(__xludf.DUMMYFUNCTION("""COMPUTED_VALUE"""),0.0)</f>
        <v>0</v>
      </c>
      <c r="AH99" s="131">
        <f>IFERROR(__xludf.DUMMYFUNCTION("""COMPUTED_VALUE"""),0.0)</f>
        <v>0</v>
      </c>
      <c r="AI99" s="131">
        <f>IFERROR(__xludf.DUMMYFUNCTION("""COMPUTED_VALUE"""),0.0)</f>
        <v>0</v>
      </c>
      <c r="AJ99" s="131">
        <f>IFERROR(__xludf.DUMMYFUNCTION("""COMPUTED_VALUE"""),0.0)</f>
        <v>0</v>
      </c>
      <c r="AK99" s="130">
        <f>IFERROR(__xludf.DUMMYFUNCTION("""COMPUTED_VALUE"""),0.0)</f>
        <v>0</v>
      </c>
      <c r="AL99" s="131">
        <f>IFERROR(__xludf.DUMMYFUNCTION("""COMPUTED_VALUE"""),0.0)</f>
        <v>0</v>
      </c>
      <c r="AM99" s="131">
        <f>IFERROR(__xludf.DUMMYFUNCTION("""COMPUTED_VALUE"""),0.0)</f>
        <v>0</v>
      </c>
      <c r="AN99" s="131">
        <f>IFERROR(__xludf.DUMMYFUNCTION("""COMPUTED_VALUE"""),0.0)</f>
        <v>0</v>
      </c>
      <c r="AO99" s="130">
        <f>IFERROR(__xludf.DUMMYFUNCTION("""COMPUTED_VALUE"""),0.0)</f>
        <v>0</v>
      </c>
      <c r="AP99" s="131">
        <f>IFERROR(__xludf.DUMMYFUNCTION("""COMPUTED_VALUE"""),0.0)</f>
        <v>0</v>
      </c>
      <c r="AQ99" s="131">
        <f>IFERROR(__xludf.DUMMYFUNCTION("""COMPUTED_VALUE"""),0.0)</f>
        <v>0</v>
      </c>
      <c r="AR99" s="131">
        <f>IFERROR(__xludf.DUMMYFUNCTION("""COMPUTED_VALUE"""),0.0)</f>
        <v>0</v>
      </c>
      <c r="AS99" s="130">
        <f>IFERROR(__xludf.DUMMYFUNCTION("""COMPUTED_VALUE"""),0.0)</f>
        <v>0</v>
      </c>
      <c r="AT99" s="131">
        <f>IFERROR(__xludf.DUMMYFUNCTION("""COMPUTED_VALUE"""),0.0)</f>
        <v>0</v>
      </c>
      <c r="AU99" s="131">
        <f>IFERROR(__xludf.DUMMYFUNCTION("""COMPUTED_VALUE"""),0.0)</f>
        <v>0</v>
      </c>
      <c r="AV99" s="131">
        <f>IFERROR(__xludf.DUMMYFUNCTION("""COMPUTED_VALUE"""),0.0)</f>
        <v>0</v>
      </c>
      <c r="AW99" s="130">
        <f>IFERROR(__xludf.DUMMYFUNCTION("""COMPUTED_VALUE"""),0.0)</f>
        <v>0</v>
      </c>
      <c r="AX99" s="131">
        <f>IFERROR(__xludf.DUMMYFUNCTION("""COMPUTED_VALUE"""),0.0)</f>
        <v>0</v>
      </c>
      <c r="AY99" s="131">
        <f>IFERROR(__xludf.DUMMYFUNCTION("""COMPUTED_VALUE"""),0.0)</f>
        <v>0</v>
      </c>
      <c r="AZ99" s="132">
        <f>IFERROR(__xludf.DUMMYFUNCTION("""COMPUTED_VALUE"""),0.0)</f>
        <v>0</v>
      </c>
      <c r="BA99" s="34"/>
    </row>
    <row r="100" ht="15.0" customHeight="1">
      <c r="A100" s="1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"/>
    </row>
    <row r="101" ht="18.75" hidden="1" customHeight="1">
      <c r="A101" s="1"/>
      <c r="B101" s="207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</row>
    <row r="102" ht="18.75" hidden="1" customHeight="1">
      <c r="A102" s="1"/>
      <c r="B102" s="207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</row>
    <row r="103" ht="18.75" hidden="1" customHeight="1">
      <c r="A103" s="1"/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</row>
    <row r="104" ht="18.75" hidden="1" customHeight="1">
      <c r="A104" s="1"/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</row>
    <row r="105" ht="18.75" hidden="1" customHeight="1">
      <c r="A105" s="1"/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</row>
    <row r="106" ht="18.75" hidden="1" customHeight="1">
      <c r="A106" s="1"/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</row>
    <row r="107" ht="18.75" hidden="1" customHeight="1">
      <c r="A107" s="1"/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</row>
    <row r="108" ht="18.75" hidden="1" customHeight="1">
      <c r="A108" s="1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</row>
    <row r="109" ht="18.75" hidden="1" customHeight="1">
      <c r="A109" s="1"/>
      <c r="B109" s="207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</row>
    <row r="110" ht="18.75" hidden="1" customHeight="1">
      <c r="A110" s="1"/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</row>
    <row r="111" ht="18.75" hidden="1" customHeight="1">
      <c r="A111" s="1"/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</row>
    <row r="112" ht="18.75" hidden="1" customHeight="1">
      <c r="A112" s="1"/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</row>
    <row r="113" ht="18.75" hidden="1" customHeight="1">
      <c r="A113" s="1"/>
      <c r="B113" s="207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</row>
    <row r="114" ht="18.75" hidden="1" customHeight="1">
      <c r="A114" s="1"/>
      <c r="B114" s="207"/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</row>
    <row r="115" ht="18.75" hidden="1" customHeight="1">
      <c r="A115" s="1"/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</row>
    <row r="116" ht="18.75" hidden="1" customHeight="1">
      <c r="A116" s="1"/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</row>
    <row r="117" ht="18.75" hidden="1" customHeight="1">
      <c r="A117" s="1"/>
      <c r="B117" s="207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</row>
    <row r="118" ht="18.75" hidden="1" customHeight="1">
      <c r="A118" s="1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</row>
    <row r="119" ht="18.75" hidden="1" customHeight="1">
      <c r="A119" s="1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</row>
    <row r="120" ht="18.75" hidden="1" customHeight="1">
      <c r="A120" s="1"/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</row>
    <row r="121" ht="18.75" hidden="1" customHeight="1">
      <c r="A121" s="1"/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</row>
    <row r="122" ht="18.75" hidden="1" customHeight="1">
      <c r="A122" s="1"/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</row>
    <row r="123" ht="18.75" hidden="1" customHeight="1">
      <c r="A123" s="1"/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</row>
    <row r="124" ht="18.75" hidden="1" customHeight="1">
      <c r="A124" s="1"/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</row>
    <row r="125" ht="18.75" hidden="1" customHeight="1">
      <c r="A125" s="1"/>
      <c r="B125" s="207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</row>
    <row r="126" ht="18.75" hidden="1" customHeight="1">
      <c r="A126" s="1"/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</row>
    <row r="127" ht="18.75" hidden="1" customHeight="1">
      <c r="A127" s="1"/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</row>
    <row r="128" ht="18.75" hidden="1" customHeight="1">
      <c r="A128" s="1"/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</row>
    <row r="129" ht="18.75" hidden="1" customHeight="1">
      <c r="A129" s="1"/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</row>
    <row r="130" ht="18.75" hidden="1" customHeight="1">
      <c r="A130" s="1"/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</row>
    <row r="131" ht="18.75" hidden="1" customHeight="1">
      <c r="A131" s="1"/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</row>
    <row r="132" ht="18.75" hidden="1" customHeight="1">
      <c r="A132" s="1"/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</row>
    <row r="133" ht="18.75" hidden="1" customHeight="1">
      <c r="A133" s="1"/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</row>
    <row r="134" ht="18.75" hidden="1" customHeight="1">
      <c r="A134" s="1"/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</row>
    <row r="135" ht="18.75" hidden="1" customHeight="1">
      <c r="A135" s="1"/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</row>
    <row r="136" ht="18.75" hidden="1" customHeight="1">
      <c r="A136" s="1"/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</row>
    <row r="137" ht="18.75" hidden="1" customHeight="1">
      <c r="A137" s="1"/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</row>
    <row r="138" ht="18.75" hidden="1" customHeight="1">
      <c r="A138" s="1"/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</row>
    <row r="139" ht="18.75" hidden="1" customHeight="1">
      <c r="A139" s="1"/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</row>
    <row r="140" ht="18.75" hidden="1" customHeight="1">
      <c r="A140" s="1"/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</row>
    <row r="141" ht="18.75" hidden="1" customHeight="1">
      <c r="A141" s="1"/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</row>
    <row r="142" ht="18.75" hidden="1" customHeight="1">
      <c r="A142" s="1"/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</row>
    <row r="143" ht="18.75" hidden="1" customHeight="1">
      <c r="A143" s="1"/>
      <c r="B143" s="207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</row>
    <row r="144" ht="18.75" hidden="1" customHeight="1">
      <c r="A144" s="1"/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</row>
    <row r="145" ht="18.75" hidden="1" customHeight="1">
      <c r="A145" s="1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</row>
    <row r="146" ht="18.75" hidden="1" customHeight="1">
      <c r="A146" s="1"/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</row>
    <row r="147" ht="18.75" hidden="1" customHeight="1">
      <c r="A147" s="1"/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</row>
    <row r="148" ht="18.75" hidden="1" customHeight="1">
      <c r="A148" s="1"/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</row>
    <row r="149" ht="18.75" hidden="1" customHeight="1">
      <c r="A149" s="1"/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</row>
    <row r="150" ht="18.75" hidden="1" customHeight="1">
      <c r="A150" s="1"/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</row>
    <row r="151" ht="18.75" hidden="1" customHeight="1">
      <c r="A151" s="1"/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</row>
    <row r="152" ht="8.25" hidden="1" customHeight="1">
      <c r="A152" s="259"/>
      <c r="B152" s="250"/>
      <c r="C152" s="251"/>
      <c r="D152" s="251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  <c r="Z152" s="252"/>
      <c r="AA152" s="252"/>
      <c r="AB152" s="252"/>
      <c r="AC152" s="252"/>
      <c r="AD152" s="252"/>
      <c r="AE152" s="252"/>
      <c r="AF152" s="252"/>
      <c r="AG152" s="252"/>
      <c r="AH152" s="252"/>
      <c r="AI152" s="252"/>
      <c r="AJ152" s="252"/>
      <c r="AK152" s="252"/>
      <c r="AL152" s="252"/>
      <c r="AM152" s="252"/>
      <c r="AN152" s="252"/>
      <c r="AO152" s="252"/>
      <c r="AP152" s="252"/>
      <c r="AQ152" s="252"/>
      <c r="AR152" s="252"/>
      <c r="AS152" s="252"/>
      <c r="AT152" s="252"/>
      <c r="AU152" s="252"/>
      <c r="AV152" s="252"/>
      <c r="AW152" s="252"/>
      <c r="AX152" s="252"/>
      <c r="AY152" s="252"/>
      <c r="AZ152" s="252"/>
      <c r="BA152" s="249"/>
    </row>
    <row r="153" ht="18.75" hidden="1" customHeight="1">
      <c r="A153" s="1"/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</row>
    <row r="154" ht="18.75" hidden="1" customHeight="1">
      <c r="A154" s="1"/>
      <c r="B154" s="207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</row>
    <row r="155" ht="18.75" hidden="1" customHeight="1">
      <c r="A155" s="1"/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</row>
    <row r="156" ht="18.75" hidden="1" customHeight="1">
      <c r="A156" s="1"/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</row>
    <row r="157" ht="18.75" hidden="1" customHeight="1">
      <c r="A157" s="1"/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</row>
    <row r="158" ht="18.75" hidden="1" customHeight="1">
      <c r="A158" s="1"/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</row>
    <row r="159" ht="18.75" hidden="1" customHeight="1">
      <c r="A159" s="1"/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</row>
    <row r="160" ht="18.75" hidden="1" customHeight="1">
      <c r="A160" s="1"/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</row>
    <row r="161" ht="18.75" hidden="1" customHeight="1">
      <c r="A161" s="1"/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</row>
    <row r="162" ht="18.75" hidden="1" customHeight="1">
      <c r="A162" s="1"/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</row>
    <row r="163" ht="18.75" hidden="1" customHeight="1">
      <c r="A163" s="1"/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</row>
    <row r="164" ht="18.75" hidden="1" customHeight="1">
      <c r="A164" s="1"/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</row>
    <row r="165" ht="18.75" hidden="1" customHeight="1">
      <c r="A165" s="1"/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</row>
    <row r="166" ht="18.75" hidden="1" customHeight="1">
      <c r="A166" s="1"/>
      <c r="B166" s="207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</row>
    <row r="167" ht="18.75" hidden="1" customHeight="1">
      <c r="A167" s="1"/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</row>
    <row r="168" ht="18.75" hidden="1" customHeight="1">
      <c r="A168" s="1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</row>
    <row r="169" ht="18.75" hidden="1" customHeight="1">
      <c r="A169" s="1"/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</row>
    <row r="170" ht="18.75" hidden="1" customHeight="1">
      <c r="A170" s="1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</row>
    <row r="171" ht="18.75" hidden="1" customHeight="1">
      <c r="A171" s="1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</row>
    <row r="172" ht="18.75" hidden="1" customHeight="1">
      <c r="A172" s="1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</row>
    <row r="173" ht="18.75" hidden="1" customHeight="1">
      <c r="A173" s="1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</row>
    <row r="174" ht="18.75" hidden="1" customHeight="1">
      <c r="A174" s="1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</row>
    <row r="175" ht="18.75" hidden="1" customHeight="1">
      <c r="A175" s="1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</row>
    <row r="176" ht="18.75" hidden="1" customHeight="1">
      <c r="A176" s="1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</row>
    <row r="177" ht="18.75" hidden="1" customHeight="1">
      <c r="A177" s="1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</row>
    <row r="178" ht="18.75" hidden="1" customHeight="1">
      <c r="A178" s="1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</row>
    <row r="179" ht="18.75" hidden="1" customHeight="1">
      <c r="A179" s="1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</row>
    <row r="180" ht="18.75" hidden="1" customHeight="1">
      <c r="A180" s="1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</row>
    <row r="181" ht="18.75" hidden="1" customHeight="1">
      <c r="A181" s="1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</row>
    <row r="182" ht="18.75" hidden="1" customHeight="1">
      <c r="A182" s="1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</row>
    <row r="183" ht="18.75" hidden="1" customHeight="1">
      <c r="A183" s="1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</row>
    <row r="184" ht="18.75" hidden="1" customHeight="1">
      <c r="A184" s="1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</row>
    <row r="185" ht="18.75" hidden="1" customHeight="1">
      <c r="A185" s="1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</row>
    <row r="186" ht="18.75" hidden="1" customHeight="1">
      <c r="A186" s="1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</row>
    <row r="187" ht="18.75" hidden="1" customHeight="1">
      <c r="A187" s="1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</row>
    <row r="188" ht="18.75" hidden="1" customHeight="1">
      <c r="A188" s="1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</row>
    <row r="189" ht="18.75" hidden="1" customHeight="1">
      <c r="A189" s="1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</row>
    <row r="190" ht="18.75" hidden="1" customHeight="1">
      <c r="A190" s="1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</row>
    <row r="191" ht="18.75" hidden="1" customHeight="1">
      <c r="A191" s="1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</row>
    <row r="192" ht="18.75" hidden="1" customHeight="1">
      <c r="A192" s="1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</row>
    <row r="193" ht="18.75" hidden="1" customHeight="1">
      <c r="A193" s="1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</row>
    <row r="194" ht="18.75" hidden="1" customHeight="1">
      <c r="A194" s="1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</row>
    <row r="195" ht="18.75" hidden="1" customHeight="1">
      <c r="A195" s="1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</row>
    <row r="196" ht="18.75" hidden="1" customHeight="1">
      <c r="A196" s="1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</row>
    <row r="197" ht="18.75" hidden="1" customHeight="1">
      <c r="A197" s="1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</row>
    <row r="198" ht="18.75" hidden="1" customHeight="1">
      <c r="A198" s="1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</row>
    <row r="199" ht="18.75" hidden="1" customHeight="1">
      <c r="A199" s="1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</row>
    <row r="200" ht="18.75" hidden="1" customHeight="1">
      <c r="A200" s="1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</row>
    <row r="201" ht="18.75" hidden="1" customHeight="1">
      <c r="A201" s="1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</row>
    <row r="202" ht="18.75" hidden="1" customHeight="1">
      <c r="A202" s="1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</row>
    <row r="203" ht="18.75" hidden="1" customHeight="1">
      <c r="A203" s="1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</row>
    <row r="204" ht="18.75" hidden="1" customHeight="1">
      <c r="A204" s="1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</row>
    <row r="205" ht="18.75" hidden="1" customHeight="1">
      <c r="A205" s="1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</row>
    <row r="206" ht="18.75" hidden="1" customHeight="1">
      <c r="A206" s="1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</row>
    <row r="207" ht="18.75" hidden="1" customHeight="1">
      <c r="A207" s="1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</row>
    <row r="208" ht="18.75" hidden="1" customHeight="1">
      <c r="A208" s="1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</row>
    <row r="209" ht="18.75" hidden="1" customHeight="1">
      <c r="A209" s="1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</row>
    <row r="210" ht="18.75" hidden="1" customHeight="1">
      <c r="A210" s="1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</row>
    <row r="211" ht="18.75" hidden="1" customHeight="1">
      <c r="A211" s="1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</row>
    <row r="212" ht="18.75" hidden="1" customHeight="1">
      <c r="A212" s="1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</row>
    <row r="213" ht="18.75" hidden="1" customHeight="1">
      <c r="A213" s="1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</row>
    <row r="214" ht="18.75" hidden="1" customHeight="1">
      <c r="A214" s="1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</row>
    <row r="215" ht="18.75" hidden="1" customHeight="1">
      <c r="A215" s="1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</row>
    <row r="216" ht="18.75" hidden="1" customHeight="1">
      <c r="A216" s="1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</row>
    <row r="217" ht="18.75" hidden="1" customHeight="1">
      <c r="A217" s="1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</row>
    <row r="218" ht="18.75" hidden="1" customHeight="1">
      <c r="A218" s="1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</row>
    <row r="219" ht="18.75" hidden="1" customHeight="1">
      <c r="A219" s="1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</row>
    <row r="220" ht="18.75" hidden="1" customHeight="1">
      <c r="A220" s="1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</row>
    <row r="221" ht="18.75" hidden="1" customHeight="1">
      <c r="A221" s="1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</row>
    <row r="222" ht="18.75" hidden="1" customHeight="1">
      <c r="A222" s="1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</row>
    <row r="223" ht="18.75" hidden="1" customHeight="1">
      <c r="A223" s="1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</row>
    <row r="224" ht="18.75" hidden="1" customHeight="1">
      <c r="A224" s="1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</row>
    <row r="225" ht="18.75" hidden="1" customHeight="1">
      <c r="A225" s="1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</row>
    <row r="226" ht="18.75" hidden="1" customHeight="1">
      <c r="A226" s="1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</row>
    <row r="227" ht="18.75" hidden="1" customHeight="1">
      <c r="A227" s="1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</row>
    <row r="228" ht="18.75" hidden="1" customHeight="1">
      <c r="A228" s="1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</row>
    <row r="229" ht="18.75" hidden="1" customHeight="1">
      <c r="A229" s="1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</row>
    <row r="230" ht="18.75" hidden="1" customHeight="1">
      <c r="A230" s="1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</row>
    <row r="231" ht="18.75" hidden="1" customHeight="1">
      <c r="A231" s="1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</row>
    <row r="232" ht="18.75" hidden="1" customHeight="1">
      <c r="A232" s="1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</row>
    <row r="233" ht="18.75" hidden="1" customHeight="1">
      <c r="A233" s="1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</row>
    <row r="234" ht="18.75" hidden="1" customHeight="1">
      <c r="A234" s="1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</row>
    <row r="235" ht="18.75" hidden="1" customHeight="1">
      <c r="A235" s="1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</row>
    <row r="236" ht="18.75" hidden="1" customHeight="1">
      <c r="A236" s="1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</row>
    <row r="237" ht="18.75" hidden="1" customHeight="1">
      <c r="A237" s="1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/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</row>
    <row r="238" ht="18.75" hidden="1" customHeight="1">
      <c r="A238" s="1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/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</row>
    <row r="239" ht="18.75" hidden="1" customHeight="1">
      <c r="A239" s="1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/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</row>
    <row r="240" ht="18.75" hidden="1" customHeight="1">
      <c r="A240" s="1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</row>
    <row r="241" ht="18.75" hidden="1" customHeight="1">
      <c r="A241" s="1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</row>
    <row r="242" ht="18.75" hidden="1" customHeight="1">
      <c r="A242" s="1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</row>
    <row r="243" ht="18.75" hidden="1" customHeight="1">
      <c r="A243" s="1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</row>
    <row r="244" ht="18.75" hidden="1" customHeight="1">
      <c r="A244" s="1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</row>
    <row r="245" ht="18.75" hidden="1" customHeight="1">
      <c r="A245" s="1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</row>
    <row r="246" ht="18.75" hidden="1" customHeight="1">
      <c r="A246" s="1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/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</row>
    <row r="247" ht="18.75" hidden="1" customHeight="1">
      <c r="A247" s="1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/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</row>
    <row r="248" ht="18.75" hidden="1" customHeight="1">
      <c r="A248" s="1"/>
      <c r="B248" s="207"/>
      <c r="C248" s="207"/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  <c r="AB248" s="207"/>
      <c r="AC248" s="207"/>
      <c r="AD248" s="207"/>
      <c r="AE248" s="207"/>
      <c r="AF248" s="207"/>
      <c r="AG248" s="207"/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</row>
    <row r="249" ht="18.75" hidden="1" customHeight="1">
      <c r="A249" s="1"/>
      <c r="B249" s="207"/>
      <c r="C249" s="207"/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  <c r="AA249" s="207"/>
      <c r="AB249" s="207"/>
      <c r="AC249" s="207"/>
      <c r="AD249" s="207"/>
      <c r="AE249" s="207"/>
      <c r="AF249" s="207"/>
      <c r="AG249" s="207"/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</row>
    <row r="250" ht="18.75" hidden="1" customHeight="1">
      <c r="A250" s="1"/>
      <c r="B250" s="207"/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  <c r="AA250" s="207"/>
      <c r="AB250" s="207"/>
      <c r="AC250" s="207"/>
      <c r="AD250" s="207"/>
      <c r="AE250" s="207"/>
      <c r="AF250" s="207"/>
      <c r="AG250" s="207"/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</row>
    <row r="251" ht="18.75" hidden="1" customHeight="1">
      <c r="A251" s="1"/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  <c r="AA251" s="207"/>
      <c r="AB251" s="207"/>
      <c r="AC251" s="207"/>
      <c r="AD251" s="207"/>
      <c r="AE251" s="207"/>
      <c r="AF251" s="207"/>
      <c r="AG251" s="207"/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</row>
    <row r="252" ht="18.75" hidden="1" customHeight="1">
      <c r="A252" s="1"/>
      <c r="B252" s="207"/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  <c r="AA252" s="207"/>
      <c r="AB252" s="207"/>
      <c r="AC252" s="207"/>
      <c r="AD252" s="207"/>
      <c r="AE252" s="207"/>
      <c r="AF252" s="207"/>
      <c r="AG252" s="207"/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</row>
    <row r="253" ht="18.75" hidden="1" customHeight="1">
      <c r="A253" s="1"/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  <c r="AA253" s="207"/>
      <c r="AB253" s="207"/>
      <c r="AC253" s="207"/>
      <c r="AD253" s="207"/>
      <c r="AE253" s="207"/>
      <c r="AF253" s="207"/>
      <c r="AG253" s="207"/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</row>
    <row r="254" ht="18.75" hidden="1" customHeight="1">
      <c r="A254" s="1"/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  <c r="AA254" s="207"/>
      <c r="AB254" s="207"/>
      <c r="AC254" s="207"/>
      <c r="AD254" s="207"/>
      <c r="AE254" s="207"/>
      <c r="AF254" s="207"/>
      <c r="AG254" s="207"/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</row>
    <row r="255" ht="18.75" hidden="1" customHeight="1">
      <c r="A255" s="1"/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  <c r="AA255" s="207"/>
      <c r="AB255" s="207"/>
      <c r="AC255" s="207"/>
      <c r="AD255" s="207"/>
      <c r="AE255" s="207"/>
      <c r="AF255" s="207"/>
      <c r="AG255" s="207"/>
      <c r="AH255" s="207"/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</row>
    <row r="256" ht="18.75" hidden="1" customHeight="1">
      <c r="A256" s="1"/>
      <c r="B256" s="207"/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  <c r="AA256" s="207"/>
      <c r="AB256" s="207"/>
      <c r="AC256" s="207"/>
      <c r="AD256" s="207"/>
      <c r="AE256" s="207"/>
      <c r="AF256" s="207"/>
      <c r="AG256" s="207"/>
      <c r="AH256" s="207"/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</row>
    <row r="257" ht="18.75" hidden="1" customHeight="1">
      <c r="A257" s="1"/>
      <c r="B257" s="207"/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  <c r="AA257" s="207"/>
      <c r="AB257" s="207"/>
      <c r="AC257" s="207"/>
      <c r="AD257" s="207"/>
      <c r="AE257" s="207"/>
      <c r="AF257" s="207"/>
      <c r="AG257" s="207"/>
      <c r="AH257" s="207"/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</row>
    <row r="258" ht="18.75" hidden="1" customHeight="1">
      <c r="A258" s="1"/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  <c r="AB258" s="207"/>
      <c r="AC258" s="207"/>
      <c r="AD258" s="207"/>
      <c r="AE258" s="207"/>
      <c r="AF258" s="207"/>
      <c r="AG258" s="207"/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</row>
    <row r="259" ht="18.75" hidden="1" customHeight="1">
      <c r="A259" s="1"/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7"/>
      <c r="AB259" s="207"/>
      <c r="AC259" s="207"/>
      <c r="AD259" s="207"/>
      <c r="AE259" s="207"/>
      <c r="AF259" s="207"/>
      <c r="AG259" s="207"/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</row>
    <row r="260" ht="18.75" hidden="1" customHeight="1">
      <c r="A260" s="1"/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/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</row>
    <row r="261" ht="18.75" hidden="1" customHeight="1">
      <c r="A261" s="1"/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  <c r="AA261" s="207"/>
      <c r="AB261" s="207"/>
      <c r="AC261" s="207"/>
      <c r="AD261" s="207"/>
      <c r="AE261" s="207"/>
      <c r="AF261" s="207"/>
      <c r="AG261" s="207"/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</row>
    <row r="262" ht="18.75" hidden="1" customHeight="1">
      <c r="A262" s="1"/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7"/>
      <c r="AB262" s="207"/>
      <c r="AC262" s="207"/>
      <c r="AD262" s="207"/>
      <c r="AE262" s="207"/>
      <c r="AF262" s="207"/>
      <c r="AG262" s="207"/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</row>
    <row r="263" ht="18.75" hidden="1" customHeight="1">
      <c r="A263" s="1"/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  <c r="AA263" s="207"/>
      <c r="AB263" s="207"/>
      <c r="AC263" s="207"/>
      <c r="AD263" s="207"/>
      <c r="AE263" s="207"/>
      <c r="AF263" s="207"/>
      <c r="AG263" s="207"/>
      <c r="AH263" s="207"/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</row>
    <row r="264" ht="18.75" hidden="1" customHeight="1">
      <c r="A264" s="1"/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  <c r="AA264" s="207"/>
      <c r="AB264" s="207"/>
      <c r="AC264" s="207"/>
      <c r="AD264" s="207"/>
      <c r="AE264" s="207"/>
      <c r="AF264" s="207"/>
      <c r="AG264" s="207"/>
      <c r="AH264" s="207"/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</row>
    <row r="265" ht="18.75" hidden="1" customHeight="1">
      <c r="A265" s="1"/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  <c r="AA265" s="207"/>
      <c r="AB265" s="207"/>
      <c r="AC265" s="207"/>
      <c r="AD265" s="207"/>
      <c r="AE265" s="207"/>
      <c r="AF265" s="207"/>
      <c r="AG265" s="207"/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</row>
    <row r="266" ht="18.75" hidden="1" customHeight="1">
      <c r="A266" s="1"/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  <c r="AA266" s="207"/>
      <c r="AB266" s="207"/>
      <c r="AC266" s="207"/>
      <c r="AD266" s="207"/>
      <c r="AE266" s="207"/>
      <c r="AF266" s="207"/>
      <c r="AG266" s="207"/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</row>
    <row r="267" ht="18.75" hidden="1" customHeight="1">
      <c r="A267" s="1"/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  <c r="AA267" s="207"/>
      <c r="AB267" s="207"/>
      <c r="AC267" s="207"/>
      <c r="AD267" s="207"/>
      <c r="AE267" s="207"/>
      <c r="AF267" s="207"/>
      <c r="AG267" s="207"/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</row>
    <row r="268" ht="18.75" hidden="1" customHeight="1">
      <c r="A268" s="1"/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  <c r="AA268" s="207"/>
      <c r="AB268" s="207"/>
      <c r="AC268" s="207"/>
      <c r="AD268" s="207"/>
      <c r="AE268" s="207"/>
      <c r="AF268" s="207"/>
      <c r="AG268" s="207"/>
      <c r="AH268" s="207"/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</row>
    <row r="269" ht="18.75" hidden="1" customHeight="1">
      <c r="A269" s="1"/>
      <c r="B269" s="207"/>
      <c r="C269" s="207"/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  <c r="AA269" s="207"/>
      <c r="AB269" s="207"/>
      <c r="AC269" s="207"/>
      <c r="AD269" s="207"/>
      <c r="AE269" s="207"/>
      <c r="AF269" s="207"/>
      <c r="AG269" s="207"/>
      <c r="AH269" s="207"/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</row>
    <row r="270" ht="18.75" hidden="1" customHeight="1">
      <c r="A270" s="1"/>
      <c r="B270" s="207"/>
      <c r="C270" s="207"/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  <c r="AA270" s="207"/>
      <c r="AB270" s="207"/>
      <c r="AC270" s="207"/>
      <c r="AD270" s="207"/>
      <c r="AE270" s="207"/>
      <c r="AF270" s="207"/>
      <c r="AG270" s="207"/>
      <c r="AH270" s="207"/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</row>
    <row r="271" ht="18.75" hidden="1" customHeight="1">
      <c r="A271" s="1"/>
      <c r="B271" s="207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  <c r="AA271" s="207"/>
      <c r="AB271" s="207"/>
      <c r="AC271" s="207"/>
      <c r="AD271" s="207"/>
      <c r="AE271" s="207"/>
      <c r="AF271" s="207"/>
      <c r="AG271" s="207"/>
      <c r="AH271" s="207"/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</row>
    <row r="272" ht="18.75" hidden="1" customHeight="1">
      <c r="A272" s="1"/>
      <c r="B272" s="207"/>
      <c r="C272" s="207"/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/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</row>
    <row r="273" ht="18.75" hidden="1" customHeight="1">
      <c r="A273" s="1"/>
      <c r="B273" s="207"/>
      <c r="C273" s="207"/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</row>
    <row r="274" ht="18.75" hidden="1" customHeight="1">
      <c r="A274" s="1"/>
      <c r="B274" s="207"/>
      <c r="C274" s="207"/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/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</row>
    <row r="275" ht="18.75" hidden="1" customHeight="1">
      <c r="A275" s="1"/>
      <c r="B275" s="207"/>
      <c r="C275" s="207"/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/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</row>
    <row r="276" ht="18.75" hidden="1" customHeight="1">
      <c r="A276" s="1"/>
      <c r="B276" s="207"/>
      <c r="C276" s="207"/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</row>
    <row r="277" ht="18.75" hidden="1" customHeight="1">
      <c r="A277" s="1"/>
      <c r="B277" s="207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  <c r="AA277" s="207"/>
      <c r="AB277" s="207"/>
      <c r="AC277" s="207"/>
      <c r="AD277" s="207"/>
      <c r="AE277" s="207"/>
      <c r="AF277" s="207"/>
      <c r="AG277" s="207"/>
      <c r="AH277" s="207"/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</row>
    <row r="278" ht="18.75" hidden="1" customHeight="1">
      <c r="A278" s="1"/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  <c r="AA278" s="207"/>
      <c r="AB278" s="207"/>
      <c r="AC278" s="207"/>
      <c r="AD278" s="207"/>
      <c r="AE278" s="207"/>
      <c r="AF278" s="207"/>
      <c r="AG278" s="207"/>
      <c r="AH278" s="207"/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</row>
    <row r="279" ht="18.75" hidden="1" customHeight="1">
      <c r="A279" s="1"/>
      <c r="B279" s="207"/>
      <c r="C279" s="207"/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7"/>
      <c r="AB279" s="207"/>
      <c r="AC279" s="207"/>
      <c r="AD279" s="207"/>
      <c r="AE279" s="207"/>
      <c r="AF279" s="207"/>
      <c r="AG279" s="207"/>
      <c r="AH279" s="207"/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</row>
    <row r="280" ht="18.75" hidden="1" customHeight="1">
      <c r="A280" s="1"/>
      <c r="B280" s="207"/>
      <c r="C280" s="207"/>
      <c r="D280" s="207"/>
      <c r="E280" s="207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  <c r="AA280" s="207"/>
      <c r="AB280" s="207"/>
      <c r="AC280" s="207"/>
      <c r="AD280" s="207"/>
      <c r="AE280" s="207"/>
      <c r="AF280" s="207"/>
      <c r="AG280" s="207"/>
      <c r="AH280" s="207"/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</row>
    <row r="281" ht="18.75" hidden="1" customHeight="1">
      <c r="A281" s="1"/>
      <c r="B281" s="207"/>
      <c r="C281" s="207"/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  <c r="AA281" s="207"/>
      <c r="AB281" s="207"/>
      <c r="AC281" s="207"/>
      <c r="AD281" s="207"/>
      <c r="AE281" s="207"/>
      <c r="AF281" s="207"/>
      <c r="AG281" s="207"/>
      <c r="AH281" s="207"/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</row>
    <row r="282" ht="18.75" hidden="1" customHeight="1">
      <c r="A282" s="1"/>
      <c r="B282" s="207"/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/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</row>
    <row r="283" ht="18.75" hidden="1" customHeight="1">
      <c r="A283" s="1"/>
      <c r="B283" s="207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  <c r="AB283" s="207"/>
      <c r="AC283" s="207"/>
      <c r="AD283" s="207"/>
      <c r="AE283" s="207"/>
      <c r="AF283" s="207"/>
      <c r="AG283" s="207"/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</row>
    <row r="284" ht="18.75" hidden="1" customHeight="1">
      <c r="A284" s="1"/>
      <c r="B284" s="207"/>
      <c r="C284" s="207"/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  <c r="AA284" s="207"/>
      <c r="AB284" s="207"/>
      <c r="AC284" s="207"/>
      <c r="AD284" s="207"/>
      <c r="AE284" s="207"/>
      <c r="AF284" s="207"/>
      <c r="AG284" s="207"/>
      <c r="AH284" s="207"/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</row>
    <row r="285" ht="18.75" hidden="1" customHeight="1">
      <c r="A285" s="1"/>
      <c r="B285" s="207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  <c r="AA285" s="207"/>
      <c r="AB285" s="207"/>
      <c r="AC285" s="207"/>
      <c r="AD285" s="207"/>
      <c r="AE285" s="207"/>
      <c r="AF285" s="207"/>
      <c r="AG285" s="207"/>
      <c r="AH285" s="207"/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</row>
    <row r="286" ht="18.75" hidden="1" customHeight="1">
      <c r="A286" s="1"/>
      <c r="B286" s="207"/>
      <c r="C286" s="207"/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  <c r="AA286" s="207"/>
      <c r="AB286" s="207"/>
      <c r="AC286" s="207"/>
      <c r="AD286" s="207"/>
      <c r="AE286" s="207"/>
      <c r="AF286" s="207"/>
      <c r="AG286" s="207"/>
      <c r="AH286" s="207"/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</row>
    <row r="287" ht="18.75" hidden="1" customHeight="1">
      <c r="A287" s="1"/>
      <c r="B287" s="207"/>
      <c r="C287" s="207"/>
      <c r="D287" s="207"/>
      <c r="E287" s="207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  <c r="AA287" s="207"/>
      <c r="AB287" s="207"/>
      <c r="AC287" s="207"/>
      <c r="AD287" s="207"/>
      <c r="AE287" s="207"/>
      <c r="AF287" s="207"/>
      <c r="AG287" s="207"/>
      <c r="AH287" s="207"/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</row>
    <row r="288" ht="18.75" hidden="1" customHeight="1">
      <c r="A288" s="1"/>
      <c r="B288" s="207"/>
      <c r="C288" s="207"/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  <c r="AA288" s="207"/>
      <c r="AB288" s="207"/>
      <c r="AC288" s="207"/>
      <c r="AD288" s="207"/>
      <c r="AE288" s="207"/>
      <c r="AF288" s="207"/>
      <c r="AG288" s="207"/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</row>
    <row r="289" ht="18.75" hidden="1" customHeight="1">
      <c r="A289" s="1"/>
      <c r="B289" s="207"/>
      <c r="C289" s="207"/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  <c r="AB289" s="207"/>
      <c r="AC289" s="207"/>
      <c r="AD289" s="207"/>
      <c r="AE289" s="207"/>
      <c r="AF289" s="207"/>
      <c r="AG289" s="207"/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</row>
    <row r="290" ht="18.75" hidden="1" customHeight="1">
      <c r="A290" s="1"/>
      <c r="B290" s="207"/>
      <c r="C290" s="207"/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  <c r="AA290" s="207"/>
      <c r="AB290" s="207"/>
      <c r="AC290" s="207"/>
      <c r="AD290" s="207"/>
      <c r="AE290" s="207"/>
      <c r="AF290" s="207"/>
      <c r="AG290" s="207"/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</row>
    <row r="291" ht="18.75" hidden="1" customHeight="1">
      <c r="A291" s="1"/>
      <c r="B291" s="207"/>
      <c r="C291" s="207"/>
      <c r="D291" s="207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  <c r="AA291" s="207"/>
      <c r="AB291" s="207"/>
      <c r="AC291" s="207"/>
      <c r="AD291" s="207"/>
      <c r="AE291" s="207"/>
      <c r="AF291" s="207"/>
      <c r="AG291" s="207"/>
      <c r="AH291" s="207"/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</row>
    <row r="292" ht="18.75" hidden="1" customHeight="1">
      <c r="A292" s="1"/>
      <c r="B292" s="207"/>
      <c r="C292" s="207"/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  <c r="AA292" s="207"/>
      <c r="AB292" s="207"/>
      <c r="AC292" s="207"/>
      <c r="AD292" s="207"/>
      <c r="AE292" s="207"/>
      <c r="AF292" s="207"/>
      <c r="AG292" s="207"/>
      <c r="AH292" s="207"/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</row>
    <row r="293" ht="18.75" hidden="1" customHeight="1">
      <c r="A293" s="1"/>
      <c r="B293" s="207"/>
      <c r="C293" s="207"/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  <c r="AA293" s="207"/>
      <c r="AB293" s="207"/>
      <c r="AC293" s="207"/>
      <c r="AD293" s="207"/>
      <c r="AE293" s="207"/>
      <c r="AF293" s="207"/>
      <c r="AG293" s="207"/>
      <c r="AH293" s="207"/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</row>
    <row r="294" ht="18.75" hidden="1" customHeight="1">
      <c r="A294" s="1"/>
      <c r="B294" s="207"/>
      <c r="C294" s="207"/>
      <c r="D294" s="207"/>
      <c r="E294" s="207"/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  <c r="AA294" s="207"/>
      <c r="AB294" s="207"/>
      <c r="AC294" s="207"/>
      <c r="AD294" s="207"/>
      <c r="AE294" s="207"/>
      <c r="AF294" s="207"/>
      <c r="AG294" s="207"/>
      <c r="AH294" s="207"/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</row>
    <row r="295" ht="18.75" hidden="1" customHeight="1">
      <c r="A295" s="1"/>
      <c r="B295" s="207"/>
      <c r="C295" s="207"/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  <c r="AA295" s="207"/>
      <c r="AB295" s="207"/>
      <c r="AC295" s="207"/>
      <c r="AD295" s="207"/>
      <c r="AE295" s="207"/>
      <c r="AF295" s="207"/>
      <c r="AG295" s="207"/>
      <c r="AH295" s="207"/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</row>
    <row r="296" ht="18.75" hidden="1" customHeight="1">
      <c r="A296" s="1"/>
      <c r="B296" s="207"/>
      <c r="C296" s="207"/>
      <c r="D296" s="207"/>
      <c r="E296" s="207"/>
      <c r="F296" s="207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  <c r="AA296" s="207"/>
      <c r="AB296" s="207"/>
      <c r="AC296" s="207"/>
      <c r="AD296" s="207"/>
      <c r="AE296" s="207"/>
      <c r="AF296" s="207"/>
      <c r="AG296" s="207"/>
      <c r="AH296" s="207"/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</row>
    <row r="297" ht="18.75" hidden="1" customHeight="1">
      <c r="A297" s="1"/>
      <c r="B297" s="207"/>
      <c r="C297" s="207"/>
      <c r="D297" s="207"/>
      <c r="E297" s="207"/>
      <c r="F297" s="207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  <c r="AA297" s="207"/>
      <c r="AB297" s="207"/>
      <c r="AC297" s="207"/>
      <c r="AD297" s="207"/>
      <c r="AE297" s="207"/>
      <c r="AF297" s="207"/>
      <c r="AG297" s="207"/>
      <c r="AH297" s="207"/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</row>
    <row r="298" ht="18.75" hidden="1" customHeight="1">
      <c r="A298" s="1"/>
      <c r="B298" s="207"/>
      <c r="C298" s="207"/>
      <c r="D298" s="207"/>
      <c r="E298" s="207"/>
      <c r="F298" s="207"/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  <c r="AA298" s="207"/>
      <c r="AB298" s="207"/>
      <c r="AC298" s="207"/>
      <c r="AD298" s="207"/>
      <c r="AE298" s="207"/>
      <c r="AF298" s="207"/>
      <c r="AG298" s="207"/>
      <c r="AH298" s="207"/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</row>
    <row r="299" ht="18.75" hidden="1" customHeight="1">
      <c r="A299" s="1"/>
      <c r="B299" s="207"/>
      <c r="C299" s="207"/>
      <c r="D299" s="207"/>
      <c r="E299" s="207"/>
      <c r="F299" s="207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  <c r="AA299" s="207"/>
      <c r="AB299" s="207"/>
      <c r="AC299" s="207"/>
      <c r="AD299" s="207"/>
      <c r="AE299" s="207"/>
      <c r="AF299" s="207"/>
      <c r="AG299" s="207"/>
      <c r="AH299" s="207"/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</row>
    <row r="300" ht="18.75" hidden="1" customHeight="1">
      <c r="A300" s="1"/>
      <c r="B300" s="207"/>
      <c r="C300" s="207"/>
      <c r="D300" s="207"/>
      <c r="E300" s="207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  <c r="AA300" s="207"/>
      <c r="AB300" s="207"/>
      <c r="AC300" s="207"/>
      <c r="AD300" s="207"/>
      <c r="AE300" s="207"/>
      <c r="AF300" s="207"/>
      <c r="AG300" s="207"/>
      <c r="AH300" s="207"/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</row>
    <row r="301" ht="18.75" hidden="1" customHeight="1">
      <c r="A301" s="1"/>
      <c r="B301" s="207"/>
      <c r="C301" s="207"/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  <c r="AB301" s="207"/>
      <c r="AC301" s="207"/>
      <c r="AD301" s="207"/>
      <c r="AE301" s="207"/>
      <c r="AF301" s="207"/>
      <c r="AG301" s="207"/>
      <c r="AH301" s="207"/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</row>
    <row r="302" ht="18.75" hidden="1" customHeight="1">
      <c r="A302" s="1"/>
      <c r="B302" s="207"/>
      <c r="C302" s="207"/>
      <c r="D302" s="207"/>
      <c r="E302" s="207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  <c r="AA302" s="207"/>
      <c r="AB302" s="207"/>
      <c r="AC302" s="207"/>
      <c r="AD302" s="207"/>
      <c r="AE302" s="207"/>
      <c r="AF302" s="207"/>
      <c r="AG302" s="207"/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</row>
    <row r="303" ht="18.75" hidden="1" customHeight="1">
      <c r="A303" s="1"/>
      <c r="B303" s="207"/>
      <c r="C303" s="207"/>
      <c r="D303" s="207"/>
      <c r="E303" s="207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  <c r="AA303" s="207"/>
      <c r="AB303" s="207"/>
      <c r="AC303" s="207"/>
      <c r="AD303" s="207"/>
      <c r="AE303" s="207"/>
      <c r="AF303" s="207"/>
      <c r="AG303" s="207"/>
      <c r="AH303" s="207"/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</row>
    <row r="304" ht="18.75" hidden="1" customHeight="1">
      <c r="A304" s="1"/>
      <c r="B304" s="207"/>
      <c r="C304" s="207"/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  <c r="AA304" s="207"/>
      <c r="AB304" s="207"/>
      <c r="AC304" s="207"/>
      <c r="AD304" s="207"/>
      <c r="AE304" s="207"/>
      <c r="AF304" s="207"/>
      <c r="AG304" s="207"/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</row>
    <row r="305" ht="18.75" hidden="1" customHeight="1">
      <c r="A305" s="1"/>
      <c r="B305" s="207"/>
      <c r="C305" s="207"/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  <c r="AA305" s="207"/>
      <c r="AB305" s="207"/>
      <c r="AC305" s="207"/>
      <c r="AD305" s="207"/>
      <c r="AE305" s="207"/>
      <c r="AF305" s="207"/>
      <c r="AG305" s="207"/>
      <c r="AH305" s="207"/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</row>
    <row r="306" ht="18.75" hidden="1" customHeight="1">
      <c r="A306" s="1"/>
      <c r="B306" s="207"/>
      <c r="C306" s="207"/>
      <c r="D306" s="207"/>
      <c r="E306" s="207"/>
      <c r="F306" s="207"/>
      <c r="G306" s="207"/>
      <c r="H306" s="207"/>
      <c r="I306" s="207"/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  <c r="AA306" s="207"/>
      <c r="AB306" s="207"/>
      <c r="AC306" s="207"/>
      <c r="AD306" s="207"/>
      <c r="AE306" s="207"/>
      <c r="AF306" s="207"/>
      <c r="AG306" s="207"/>
      <c r="AH306" s="207"/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</row>
    <row r="307" ht="18.75" hidden="1" customHeight="1">
      <c r="A307" s="1"/>
      <c r="B307" s="207"/>
      <c r="C307" s="207"/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  <c r="AA307" s="207"/>
      <c r="AB307" s="207"/>
      <c r="AC307" s="207"/>
      <c r="AD307" s="207"/>
      <c r="AE307" s="207"/>
      <c r="AF307" s="207"/>
      <c r="AG307" s="207"/>
      <c r="AH307" s="207"/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</row>
    <row r="308" ht="18.75" hidden="1" customHeight="1">
      <c r="A308" s="1"/>
      <c r="B308" s="207"/>
      <c r="C308" s="207"/>
      <c r="D308" s="207"/>
      <c r="E308" s="207"/>
      <c r="F308" s="207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  <c r="AA308" s="207"/>
      <c r="AB308" s="207"/>
      <c r="AC308" s="207"/>
      <c r="AD308" s="207"/>
      <c r="AE308" s="207"/>
      <c r="AF308" s="207"/>
      <c r="AG308" s="207"/>
      <c r="AH308" s="207"/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</row>
    <row r="309" ht="18.75" hidden="1" customHeight="1">
      <c r="A309" s="1"/>
      <c r="B309" s="207"/>
      <c r="C309" s="207"/>
      <c r="D309" s="207"/>
      <c r="E309" s="207"/>
      <c r="F309" s="207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  <c r="AA309" s="207"/>
      <c r="AB309" s="207"/>
      <c r="AC309" s="207"/>
      <c r="AD309" s="207"/>
      <c r="AE309" s="207"/>
      <c r="AF309" s="207"/>
      <c r="AG309" s="207"/>
      <c r="AH309" s="207"/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</row>
    <row r="310" ht="18.75" hidden="1" customHeight="1">
      <c r="A310" s="1"/>
      <c r="B310" s="207"/>
      <c r="C310" s="207"/>
      <c r="D310" s="207"/>
      <c r="E310" s="207"/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  <c r="AA310" s="207"/>
      <c r="AB310" s="207"/>
      <c r="AC310" s="207"/>
      <c r="AD310" s="207"/>
      <c r="AE310" s="207"/>
      <c r="AF310" s="207"/>
      <c r="AG310" s="207"/>
      <c r="AH310" s="207"/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</row>
    <row r="311" ht="18.75" hidden="1" customHeight="1">
      <c r="A311" s="1"/>
      <c r="B311" s="207"/>
      <c r="C311" s="207"/>
      <c r="D311" s="207"/>
      <c r="E311" s="207"/>
      <c r="F311" s="207"/>
      <c r="G311" s="207"/>
      <c r="H311" s="207"/>
      <c r="I311" s="207"/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  <c r="AA311" s="207"/>
      <c r="AB311" s="207"/>
      <c r="AC311" s="207"/>
      <c r="AD311" s="207"/>
      <c r="AE311" s="207"/>
      <c r="AF311" s="207"/>
      <c r="AG311" s="207"/>
      <c r="AH311" s="207"/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</row>
    <row r="312" ht="18.75" hidden="1" customHeight="1">
      <c r="A312" s="1"/>
      <c r="B312" s="207"/>
      <c r="C312" s="207"/>
      <c r="D312" s="207"/>
      <c r="E312" s="207"/>
      <c r="F312" s="207"/>
      <c r="G312" s="207"/>
      <c r="H312" s="207"/>
      <c r="I312" s="207"/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  <c r="AA312" s="207"/>
      <c r="AB312" s="207"/>
      <c r="AC312" s="207"/>
      <c r="AD312" s="207"/>
      <c r="AE312" s="207"/>
      <c r="AF312" s="207"/>
      <c r="AG312" s="207"/>
      <c r="AH312" s="207"/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</row>
    <row r="313" ht="18.75" hidden="1" customHeight="1">
      <c r="A313" s="1"/>
      <c r="B313" s="207"/>
      <c r="C313" s="207"/>
      <c r="D313" s="207"/>
      <c r="E313" s="207"/>
      <c r="F313" s="207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  <c r="AA313" s="207"/>
      <c r="AB313" s="207"/>
      <c r="AC313" s="207"/>
      <c r="AD313" s="207"/>
      <c r="AE313" s="207"/>
      <c r="AF313" s="207"/>
      <c r="AG313" s="207"/>
      <c r="AH313" s="207"/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  <c r="AZ313" s="207"/>
      <c r="BA313" s="207"/>
    </row>
    <row r="314" ht="18.75" hidden="1" customHeight="1">
      <c r="A314" s="1"/>
      <c r="B314" s="207"/>
      <c r="C314" s="207"/>
      <c r="D314" s="207"/>
      <c r="E314" s="207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  <c r="AB314" s="207"/>
      <c r="AC314" s="207"/>
      <c r="AD314" s="207"/>
      <c r="AE314" s="207"/>
      <c r="AF314" s="207"/>
      <c r="AG314" s="207"/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</row>
    <row r="315" ht="18.75" hidden="1" customHeight="1">
      <c r="A315" s="1"/>
      <c r="B315" s="207"/>
      <c r="C315" s="207"/>
      <c r="D315" s="207"/>
      <c r="E315" s="207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  <c r="AB315" s="207"/>
      <c r="AC315" s="207"/>
      <c r="AD315" s="207"/>
      <c r="AE315" s="207"/>
      <c r="AF315" s="207"/>
      <c r="AG315" s="207"/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</row>
    <row r="316" ht="18.75" hidden="1" customHeight="1">
      <c r="A316" s="1"/>
      <c r="B316" s="207"/>
      <c r="C316" s="207"/>
      <c r="D316" s="207"/>
      <c r="E316" s="207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  <c r="AB316" s="207"/>
      <c r="AC316" s="207"/>
      <c r="AD316" s="207"/>
      <c r="AE316" s="207"/>
      <c r="AF316" s="207"/>
      <c r="AG316" s="207"/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</row>
    <row r="317" ht="18.75" hidden="1" customHeight="1">
      <c r="A317" s="1"/>
      <c r="B317" s="207"/>
      <c r="C317" s="207"/>
      <c r="D317" s="207"/>
      <c r="E317" s="207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  <c r="AB317" s="207"/>
      <c r="AC317" s="207"/>
      <c r="AD317" s="207"/>
      <c r="AE317" s="207"/>
      <c r="AF317" s="207"/>
      <c r="AG317" s="207"/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</row>
    <row r="318" ht="18.75" hidden="1" customHeight="1">
      <c r="A318" s="1"/>
      <c r="B318" s="2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/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</row>
    <row r="319" ht="18.75" hidden="1" customHeight="1">
      <c r="A319" s="1"/>
      <c r="B319" s="207"/>
      <c r="C319" s="207"/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  <c r="AA319" s="207"/>
      <c r="AB319" s="207"/>
      <c r="AC319" s="207"/>
      <c r="AD319" s="207"/>
      <c r="AE319" s="207"/>
      <c r="AF319" s="207"/>
      <c r="AG319" s="207"/>
      <c r="AH319" s="207"/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</row>
    <row r="320" ht="18.75" hidden="1" customHeight="1">
      <c r="A320" s="1"/>
      <c r="B320" s="207"/>
      <c r="C320" s="207"/>
      <c r="D320" s="207"/>
      <c r="E320" s="207"/>
      <c r="F320" s="207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  <c r="AA320" s="207"/>
      <c r="AB320" s="207"/>
      <c r="AC320" s="207"/>
      <c r="AD320" s="207"/>
      <c r="AE320" s="207"/>
      <c r="AF320" s="207"/>
      <c r="AG320" s="207"/>
      <c r="AH320" s="207"/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</row>
    <row r="321" ht="18.75" hidden="1" customHeight="1">
      <c r="A321" s="1"/>
      <c r="B321" s="207"/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  <c r="AA321" s="207"/>
      <c r="AB321" s="207"/>
      <c r="AC321" s="207"/>
      <c r="AD321" s="207"/>
      <c r="AE321" s="207"/>
      <c r="AF321" s="207"/>
      <c r="AG321" s="207"/>
      <c r="AH321" s="207"/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</row>
    <row r="322" ht="18.75" hidden="1" customHeight="1">
      <c r="A322" s="1"/>
      <c r="B322" s="207"/>
      <c r="C322" s="207"/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  <c r="AA322" s="207"/>
      <c r="AB322" s="207"/>
      <c r="AC322" s="207"/>
      <c r="AD322" s="207"/>
      <c r="AE322" s="207"/>
      <c r="AF322" s="207"/>
      <c r="AG322" s="207"/>
      <c r="AH322" s="207"/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</row>
    <row r="323" ht="18.75" hidden="1" customHeight="1">
      <c r="A323" s="1"/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  <c r="AA323" s="207"/>
      <c r="AB323" s="207"/>
      <c r="AC323" s="207"/>
      <c r="AD323" s="207"/>
      <c r="AE323" s="207"/>
      <c r="AF323" s="207"/>
      <c r="AG323" s="207"/>
      <c r="AH323" s="207"/>
      <c r="AI323" s="207"/>
      <c r="AJ323" s="207"/>
      <c r="AK323" s="207"/>
      <c r="AL323" s="207"/>
      <c r="AM323" s="207"/>
      <c r="AN323" s="207"/>
      <c r="AO323" s="207"/>
      <c r="AP323" s="207"/>
      <c r="AQ323" s="207"/>
      <c r="AR323" s="207"/>
      <c r="AS323" s="207"/>
      <c r="AT323" s="207"/>
      <c r="AU323" s="207"/>
      <c r="AV323" s="207"/>
      <c r="AW323" s="207"/>
      <c r="AX323" s="207"/>
      <c r="AY323" s="207"/>
      <c r="AZ323" s="207"/>
      <c r="BA323" s="207"/>
    </row>
    <row r="324" ht="18.75" hidden="1" customHeight="1">
      <c r="A324" s="1"/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  <c r="AA324" s="207"/>
      <c r="AB324" s="207"/>
      <c r="AC324" s="207"/>
      <c r="AD324" s="207"/>
      <c r="AE324" s="207"/>
      <c r="AF324" s="207"/>
      <c r="AG324" s="207"/>
      <c r="AH324" s="207"/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</row>
    <row r="325" ht="18.75" hidden="1" customHeight="1">
      <c r="A325" s="1"/>
      <c r="B325" s="207"/>
      <c r="C325" s="207"/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  <c r="AA325" s="207"/>
      <c r="AB325" s="207"/>
      <c r="AC325" s="207"/>
      <c r="AD325" s="207"/>
      <c r="AE325" s="207"/>
      <c r="AF325" s="207"/>
      <c r="AG325" s="207"/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</row>
    <row r="326" ht="18.75" hidden="1" customHeight="1">
      <c r="A326" s="1"/>
      <c r="B326" s="207"/>
      <c r="C326" s="207"/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  <c r="AA326" s="207"/>
      <c r="AB326" s="207"/>
      <c r="AC326" s="207"/>
      <c r="AD326" s="207"/>
      <c r="AE326" s="207"/>
      <c r="AF326" s="207"/>
      <c r="AG326" s="207"/>
      <c r="AH326" s="207"/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</row>
    <row r="327" ht="18.75" hidden="1" customHeight="1">
      <c r="A327" s="1"/>
      <c r="B327" s="207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  <c r="AA327" s="207"/>
      <c r="AB327" s="207"/>
      <c r="AC327" s="207"/>
      <c r="AD327" s="207"/>
      <c r="AE327" s="207"/>
      <c r="AF327" s="207"/>
      <c r="AG327" s="207"/>
      <c r="AH327" s="207"/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</row>
    <row r="328" ht="18.75" hidden="1" customHeight="1">
      <c r="A328" s="1"/>
      <c r="B328" s="207"/>
      <c r="C328" s="207"/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  <c r="AA328" s="207"/>
      <c r="AB328" s="207"/>
      <c r="AC328" s="207"/>
      <c r="AD328" s="207"/>
      <c r="AE328" s="207"/>
      <c r="AF328" s="207"/>
      <c r="AG328" s="207"/>
      <c r="AH328" s="207"/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</row>
    <row r="329" ht="18.75" hidden="1" customHeight="1">
      <c r="A329" s="1"/>
      <c r="B329" s="207"/>
      <c r="C329" s="207"/>
      <c r="D329" s="207"/>
      <c r="E329" s="207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  <c r="AA329" s="207"/>
      <c r="AB329" s="207"/>
      <c r="AC329" s="207"/>
      <c r="AD329" s="207"/>
      <c r="AE329" s="207"/>
      <c r="AF329" s="207"/>
      <c r="AG329" s="207"/>
      <c r="AH329" s="207"/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</row>
    <row r="330" ht="18.75" hidden="1" customHeight="1">
      <c r="A330" s="1"/>
      <c r="B330" s="207"/>
      <c r="C330" s="207"/>
      <c r="D330" s="207"/>
      <c r="E330" s="207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  <c r="AA330" s="207"/>
      <c r="AB330" s="207"/>
      <c r="AC330" s="207"/>
      <c r="AD330" s="207"/>
      <c r="AE330" s="207"/>
      <c r="AF330" s="207"/>
      <c r="AG330" s="207"/>
      <c r="AH330" s="207"/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</row>
    <row r="331" ht="18.75" hidden="1" customHeight="1">
      <c r="A331" s="1"/>
      <c r="B331" s="207"/>
      <c r="C331" s="207"/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  <c r="AA331" s="207"/>
      <c r="AB331" s="207"/>
      <c r="AC331" s="207"/>
      <c r="AD331" s="207"/>
      <c r="AE331" s="207"/>
      <c r="AF331" s="207"/>
      <c r="AG331" s="207"/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</row>
    <row r="332" ht="18.75" hidden="1" customHeight="1">
      <c r="A332" s="1"/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  <c r="AA332" s="207"/>
      <c r="AB332" s="207"/>
      <c r="AC332" s="207"/>
      <c r="AD332" s="207"/>
      <c r="AE332" s="207"/>
      <c r="AF332" s="207"/>
      <c r="AG332" s="207"/>
      <c r="AH332" s="207"/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  <c r="AZ332" s="207"/>
      <c r="BA332" s="207"/>
    </row>
    <row r="333" ht="18.75" hidden="1" customHeight="1">
      <c r="A333" s="1"/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  <c r="AA333" s="207"/>
      <c r="AB333" s="207"/>
      <c r="AC333" s="207"/>
      <c r="AD333" s="207"/>
      <c r="AE333" s="207"/>
      <c r="AF333" s="207"/>
      <c r="AG333" s="207"/>
      <c r="AH333" s="207"/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</row>
    <row r="334" ht="18.75" hidden="1" customHeight="1">
      <c r="A334" s="1"/>
      <c r="B334" s="207"/>
      <c r="C334" s="207"/>
      <c r="D334" s="207"/>
      <c r="E334" s="207"/>
      <c r="F334" s="207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  <c r="AA334" s="207"/>
      <c r="AB334" s="207"/>
      <c r="AC334" s="207"/>
      <c r="AD334" s="207"/>
      <c r="AE334" s="207"/>
      <c r="AF334" s="207"/>
      <c r="AG334" s="207"/>
      <c r="AH334" s="207"/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</row>
    <row r="335" ht="18.75" hidden="1" customHeight="1">
      <c r="A335" s="1"/>
      <c r="B335" s="207"/>
      <c r="C335" s="207"/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  <c r="AA335" s="207"/>
      <c r="AB335" s="207"/>
      <c r="AC335" s="207"/>
      <c r="AD335" s="207"/>
      <c r="AE335" s="207"/>
      <c r="AF335" s="207"/>
      <c r="AG335" s="207"/>
      <c r="AH335" s="207"/>
      <c r="AI335" s="207"/>
      <c r="AJ335" s="207"/>
      <c r="AK335" s="207"/>
      <c r="AL335" s="207"/>
      <c r="AM335" s="207"/>
      <c r="AN335" s="207"/>
      <c r="AO335" s="207"/>
      <c r="AP335" s="207"/>
      <c r="AQ335" s="207"/>
      <c r="AR335" s="207"/>
      <c r="AS335" s="207"/>
      <c r="AT335" s="207"/>
      <c r="AU335" s="207"/>
      <c r="AV335" s="207"/>
      <c r="AW335" s="207"/>
      <c r="AX335" s="207"/>
      <c r="AY335" s="207"/>
      <c r="AZ335" s="207"/>
      <c r="BA335" s="207"/>
    </row>
    <row r="336" ht="18.75" hidden="1" customHeight="1">
      <c r="A336" s="1"/>
      <c r="B336" s="207"/>
      <c r="C336" s="207"/>
      <c r="D336" s="207"/>
      <c r="E336" s="207"/>
      <c r="F336" s="207"/>
      <c r="G336" s="207"/>
      <c r="H336" s="207"/>
      <c r="I336" s="207"/>
      <c r="J336" s="207"/>
      <c r="K336" s="207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  <c r="AA336" s="207"/>
      <c r="AB336" s="207"/>
      <c r="AC336" s="207"/>
      <c r="AD336" s="207"/>
      <c r="AE336" s="207"/>
      <c r="AF336" s="207"/>
      <c r="AG336" s="207"/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</row>
    <row r="337" ht="18.75" hidden="1" customHeight="1">
      <c r="A337" s="1"/>
      <c r="B337" s="207"/>
      <c r="C337" s="207"/>
      <c r="D337" s="207"/>
      <c r="E337" s="207"/>
      <c r="F337" s="207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  <c r="AA337" s="207"/>
      <c r="AB337" s="207"/>
      <c r="AC337" s="207"/>
      <c r="AD337" s="207"/>
      <c r="AE337" s="207"/>
      <c r="AF337" s="207"/>
      <c r="AG337" s="207"/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</row>
    <row r="338" ht="18.75" hidden="1" customHeight="1">
      <c r="A338" s="1"/>
      <c r="B338" s="207"/>
      <c r="C338" s="207"/>
      <c r="D338" s="207"/>
      <c r="E338" s="207"/>
      <c r="F338" s="207"/>
      <c r="G338" s="207"/>
      <c r="H338" s="207"/>
      <c r="I338" s="207"/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  <c r="AA338" s="207"/>
      <c r="AB338" s="207"/>
      <c r="AC338" s="207"/>
      <c r="AD338" s="207"/>
      <c r="AE338" s="207"/>
      <c r="AF338" s="207"/>
      <c r="AG338" s="207"/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</row>
    <row r="339" ht="18.75" hidden="1" customHeight="1">
      <c r="A339" s="1"/>
      <c r="B339" s="207"/>
      <c r="C339" s="207"/>
      <c r="D339" s="207"/>
      <c r="E339" s="207"/>
      <c r="F339" s="207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  <c r="AA339" s="207"/>
      <c r="AB339" s="207"/>
      <c r="AC339" s="207"/>
      <c r="AD339" s="207"/>
      <c r="AE339" s="207"/>
      <c r="AF339" s="207"/>
      <c r="AG339" s="207"/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</row>
    <row r="340" ht="18.75" hidden="1" customHeight="1">
      <c r="A340" s="1"/>
      <c r="B340" s="207"/>
      <c r="C340" s="207"/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  <c r="AA340" s="207"/>
      <c r="AB340" s="207"/>
      <c r="AC340" s="207"/>
      <c r="AD340" s="207"/>
      <c r="AE340" s="207"/>
      <c r="AF340" s="207"/>
      <c r="AG340" s="207"/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</row>
    <row r="341" ht="18.75" hidden="1" customHeight="1">
      <c r="A341" s="1"/>
      <c r="B341" s="207"/>
      <c r="C341" s="207"/>
      <c r="D341" s="207"/>
      <c r="E341" s="207"/>
      <c r="F341" s="207"/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  <c r="AA341" s="207"/>
      <c r="AB341" s="207"/>
      <c r="AC341" s="207"/>
      <c r="AD341" s="207"/>
      <c r="AE341" s="207"/>
      <c r="AF341" s="207"/>
      <c r="AG341" s="207"/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</row>
    <row r="342" ht="18.75" hidden="1" customHeight="1">
      <c r="A342" s="1"/>
      <c r="B342" s="207"/>
      <c r="C342" s="207"/>
      <c r="D342" s="207"/>
      <c r="E342" s="207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  <c r="AA342" s="207"/>
      <c r="AB342" s="207"/>
      <c r="AC342" s="207"/>
      <c r="AD342" s="207"/>
      <c r="AE342" s="207"/>
      <c r="AF342" s="207"/>
      <c r="AG342" s="207"/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</row>
    <row r="343" ht="18.75" hidden="1" customHeight="1">
      <c r="A343" s="1"/>
      <c r="B343" s="207"/>
      <c r="C343" s="207"/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  <c r="AA343" s="207"/>
      <c r="AB343" s="207"/>
      <c r="AC343" s="207"/>
      <c r="AD343" s="207"/>
      <c r="AE343" s="207"/>
      <c r="AF343" s="207"/>
      <c r="AG343" s="207"/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</row>
    <row r="344" ht="18.75" hidden="1" customHeight="1">
      <c r="A344" s="1"/>
      <c r="B344" s="207"/>
      <c r="C344" s="207"/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  <c r="AA344" s="207"/>
      <c r="AB344" s="207"/>
      <c r="AC344" s="207"/>
      <c r="AD344" s="207"/>
      <c r="AE344" s="207"/>
      <c r="AF344" s="207"/>
      <c r="AG344" s="207"/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</row>
    <row r="345" ht="18.75" hidden="1" customHeight="1">
      <c r="A345" s="1"/>
      <c r="B345" s="207"/>
      <c r="C345" s="207"/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  <c r="AA345" s="207"/>
      <c r="AB345" s="207"/>
      <c r="AC345" s="207"/>
      <c r="AD345" s="207"/>
      <c r="AE345" s="207"/>
      <c r="AF345" s="207"/>
      <c r="AG345" s="207"/>
      <c r="AH345" s="207"/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</row>
    <row r="346" ht="18.75" hidden="1" customHeight="1">
      <c r="A346" s="1"/>
      <c r="B346" s="207"/>
      <c r="C346" s="207"/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  <c r="AA346" s="207"/>
      <c r="AB346" s="207"/>
      <c r="AC346" s="207"/>
      <c r="AD346" s="207"/>
      <c r="AE346" s="207"/>
      <c r="AF346" s="207"/>
      <c r="AG346" s="207"/>
      <c r="AH346" s="207"/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</row>
    <row r="347" ht="18.75" hidden="1" customHeight="1">
      <c r="A347" s="1"/>
      <c r="B347" s="207"/>
      <c r="C347" s="207"/>
      <c r="D347" s="207"/>
      <c r="E347" s="207"/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  <c r="AA347" s="207"/>
      <c r="AB347" s="207"/>
      <c r="AC347" s="207"/>
      <c r="AD347" s="207"/>
      <c r="AE347" s="207"/>
      <c r="AF347" s="207"/>
      <c r="AG347" s="207"/>
      <c r="AH347" s="207"/>
      <c r="AI347" s="207"/>
      <c r="AJ347" s="207"/>
      <c r="AK347" s="207"/>
      <c r="AL347" s="207"/>
      <c r="AM347" s="207"/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</row>
    <row r="348" ht="18.75" hidden="1" customHeight="1">
      <c r="A348" s="1"/>
      <c r="B348" s="207"/>
      <c r="C348" s="207"/>
      <c r="D348" s="207"/>
      <c r="E348" s="207"/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  <c r="AA348" s="207"/>
      <c r="AB348" s="207"/>
      <c r="AC348" s="207"/>
      <c r="AD348" s="207"/>
      <c r="AE348" s="207"/>
      <c r="AF348" s="207"/>
      <c r="AG348" s="207"/>
      <c r="AH348" s="207"/>
      <c r="AI348" s="207"/>
      <c r="AJ348" s="207"/>
      <c r="AK348" s="207"/>
      <c r="AL348" s="207"/>
      <c r="AM348" s="207"/>
      <c r="AN348" s="207"/>
      <c r="AO348" s="207"/>
      <c r="AP348" s="207"/>
      <c r="AQ348" s="207"/>
      <c r="AR348" s="207"/>
      <c r="AS348" s="207"/>
      <c r="AT348" s="207"/>
      <c r="AU348" s="207"/>
      <c r="AV348" s="207"/>
      <c r="AW348" s="207"/>
      <c r="AX348" s="207"/>
      <c r="AY348" s="207"/>
      <c r="AZ348" s="207"/>
      <c r="BA348" s="207"/>
    </row>
    <row r="349" ht="18.75" hidden="1" customHeight="1">
      <c r="A349" s="1"/>
      <c r="B349" s="207"/>
      <c r="C349" s="207"/>
      <c r="D349" s="207"/>
      <c r="E349" s="207"/>
      <c r="F349" s="207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  <c r="AA349" s="207"/>
      <c r="AB349" s="207"/>
      <c r="AC349" s="207"/>
      <c r="AD349" s="207"/>
      <c r="AE349" s="207"/>
      <c r="AF349" s="207"/>
      <c r="AG349" s="207"/>
      <c r="AH349" s="207"/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</row>
    <row r="350" ht="18.75" hidden="1" customHeight="1">
      <c r="A350" s="1"/>
      <c r="B350" s="207"/>
      <c r="C350" s="207"/>
      <c r="D350" s="207"/>
      <c r="E350" s="207"/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  <c r="AA350" s="207"/>
      <c r="AB350" s="207"/>
      <c r="AC350" s="207"/>
      <c r="AD350" s="207"/>
      <c r="AE350" s="207"/>
      <c r="AF350" s="207"/>
      <c r="AG350" s="207"/>
      <c r="AH350" s="207"/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</row>
    <row r="351" ht="18.75" hidden="1" customHeight="1">
      <c r="A351" s="1"/>
      <c r="B351" s="207"/>
      <c r="C351" s="207"/>
      <c r="D351" s="207"/>
      <c r="E351" s="207"/>
      <c r="F351" s="207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  <c r="AA351" s="207"/>
      <c r="AB351" s="207"/>
      <c r="AC351" s="207"/>
      <c r="AD351" s="207"/>
      <c r="AE351" s="207"/>
      <c r="AF351" s="207"/>
      <c r="AG351" s="207"/>
      <c r="AH351" s="207"/>
      <c r="AI351" s="207"/>
      <c r="AJ351" s="207"/>
      <c r="AK351" s="207"/>
      <c r="AL351" s="207"/>
      <c r="AM351" s="207"/>
      <c r="AN351" s="207"/>
      <c r="AO351" s="207"/>
      <c r="AP351" s="207"/>
      <c r="AQ351" s="207"/>
      <c r="AR351" s="207"/>
      <c r="AS351" s="207"/>
      <c r="AT351" s="207"/>
      <c r="AU351" s="207"/>
      <c r="AV351" s="207"/>
      <c r="AW351" s="207"/>
      <c r="AX351" s="207"/>
      <c r="AY351" s="207"/>
      <c r="AZ351" s="207"/>
      <c r="BA351" s="207"/>
    </row>
    <row r="352" ht="18.75" hidden="1" customHeight="1">
      <c r="A352" s="1"/>
      <c r="B352" s="207"/>
      <c r="C352" s="207"/>
      <c r="D352" s="207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  <c r="AA352" s="207"/>
      <c r="AB352" s="207"/>
      <c r="AC352" s="207"/>
      <c r="AD352" s="207"/>
      <c r="AE352" s="207"/>
      <c r="AF352" s="207"/>
      <c r="AG352" s="207"/>
      <c r="AH352" s="207"/>
      <c r="AI352" s="207"/>
      <c r="AJ352" s="207"/>
      <c r="AK352" s="207"/>
      <c r="AL352" s="207"/>
      <c r="AM352" s="207"/>
      <c r="AN352" s="207"/>
      <c r="AO352" s="207"/>
      <c r="AP352" s="207"/>
      <c r="AQ352" s="207"/>
      <c r="AR352" s="207"/>
      <c r="AS352" s="207"/>
      <c r="AT352" s="207"/>
      <c r="AU352" s="207"/>
      <c r="AV352" s="207"/>
      <c r="AW352" s="207"/>
      <c r="AX352" s="207"/>
      <c r="AY352" s="207"/>
      <c r="AZ352" s="207"/>
      <c r="BA352" s="207"/>
    </row>
    <row r="353" ht="18.75" hidden="1" customHeight="1">
      <c r="A353" s="1"/>
      <c r="B353" s="207"/>
      <c r="C353" s="207"/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  <c r="AA353" s="207"/>
      <c r="AB353" s="207"/>
      <c r="AC353" s="207"/>
      <c r="AD353" s="207"/>
      <c r="AE353" s="207"/>
      <c r="AF353" s="207"/>
      <c r="AG353" s="207"/>
      <c r="AH353" s="207"/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</row>
    <row r="354" ht="18.75" hidden="1" customHeight="1">
      <c r="A354" s="1"/>
      <c r="B354" s="207"/>
      <c r="C354" s="207"/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  <c r="AA354" s="207"/>
      <c r="AB354" s="207"/>
      <c r="AC354" s="207"/>
      <c r="AD354" s="207"/>
      <c r="AE354" s="207"/>
      <c r="AF354" s="207"/>
      <c r="AG354" s="207"/>
      <c r="AH354" s="207"/>
      <c r="AI354" s="207"/>
      <c r="AJ354" s="207"/>
      <c r="AK354" s="207"/>
      <c r="AL354" s="207"/>
      <c r="AM354" s="207"/>
      <c r="AN354" s="207"/>
      <c r="AO354" s="207"/>
      <c r="AP354" s="207"/>
      <c r="AQ354" s="207"/>
      <c r="AR354" s="207"/>
      <c r="AS354" s="207"/>
      <c r="AT354" s="207"/>
      <c r="AU354" s="207"/>
      <c r="AV354" s="207"/>
      <c r="AW354" s="207"/>
      <c r="AX354" s="207"/>
      <c r="AY354" s="207"/>
      <c r="AZ354" s="207"/>
      <c r="BA354" s="207"/>
    </row>
    <row r="355" ht="18.75" hidden="1" customHeight="1">
      <c r="A355" s="1"/>
      <c r="B355" s="207"/>
      <c r="C355" s="207"/>
      <c r="D355" s="207"/>
      <c r="E355" s="207"/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  <c r="AA355" s="207"/>
      <c r="AB355" s="207"/>
      <c r="AC355" s="207"/>
      <c r="AD355" s="207"/>
      <c r="AE355" s="207"/>
      <c r="AF355" s="207"/>
      <c r="AG355" s="207"/>
      <c r="AH355" s="207"/>
      <c r="AI355" s="207"/>
      <c r="AJ355" s="207"/>
      <c r="AK355" s="207"/>
      <c r="AL355" s="207"/>
      <c r="AM355" s="207"/>
      <c r="AN355" s="207"/>
      <c r="AO355" s="207"/>
      <c r="AP355" s="207"/>
      <c r="AQ355" s="207"/>
      <c r="AR355" s="207"/>
      <c r="AS355" s="207"/>
      <c r="AT355" s="207"/>
      <c r="AU355" s="207"/>
      <c r="AV355" s="207"/>
      <c r="AW355" s="207"/>
      <c r="AX355" s="207"/>
      <c r="AY355" s="207"/>
      <c r="AZ355" s="207"/>
      <c r="BA355" s="207"/>
    </row>
    <row r="356" ht="18.75" hidden="1" customHeight="1">
      <c r="A356" s="1"/>
      <c r="B356" s="207"/>
      <c r="C356" s="207"/>
      <c r="D356" s="207"/>
      <c r="E356" s="207"/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  <c r="AA356" s="207"/>
      <c r="AB356" s="207"/>
      <c r="AC356" s="207"/>
      <c r="AD356" s="207"/>
      <c r="AE356" s="207"/>
      <c r="AF356" s="207"/>
      <c r="AG356" s="207"/>
      <c r="AH356" s="207"/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</row>
    <row r="357" ht="18.75" hidden="1" customHeight="1">
      <c r="A357" s="1"/>
      <c r="B357" s="207"/>
      <c r="C357" s="207"/>
      <c r="D357" s="207"/>
      <c r="E357" s="207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  <c r="AA357" s="207"/>
      <c r="AB357" s="207"/>
      <c r="AC357" s="207"/>
      <c r="AD357" s="207"/>
      <c r="AE357" s="207"/>
      <c r="AF357" s="207"/>
      <c r="AG357" s="207"/>
      <c r="AH357" s="207"/>
      <c r="AI357" s="207"/>
      <c r="AJ357" s="207"/>
      <c r="AK357" s="207"/>
      <c r="AL357" s="207"/>
      <c r="AM357" s="207"/>
      <c r="AN357" s="207"/>
      <c r="AO357" s="207"/>
      <c r="AP357" s="207"/>
      <c r="AQ357" s="207"/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</row>
    <row r="358" ht="18.75" hidden="1" customHeight="1">
      <c r="A358" s="1"/>
      <c r="B358" s="207"/>
      <c r="C358" s="207"/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  <c r="AA358" s="207"/>
      <c r="AB358" s="207"/>
      <c r="AC358" s="207"/>
      <c r="AD358" s="207"/>
      <c r="AE358" s="207"/>
      <c r="AF358" s="207"/>
      <c r="AG358" s="207"/>
      <c r="AH358" s="207"/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</row>
    <row r="359" ht="18.75" hidden="1" customHeight="1">
      <c r="A359" s="1"/>
      <c r="B359" s="207"/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  <c r="AA359" s="207"/>
      <c r="AB359" s="207"/>
      <c r="AC359" s="207"/>
      <c r="AD359" s="207"/>
      <c r="AE359" s="207"/>
      <c r="AF359" s="207"/>
      <c r="AG359" s="207"/>
      <c r="AH359" s="207"/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07"/>
      <c r="BA359" s="207"/>
    </row>
    <row r="360" ht="18.75" hidden="1" customHeight="1">
      <c r="A360" s="1"/>
      <c r="B360" s="207"/>
      <c r="C360" s="207"/>
      <c r="D360" s="207"/>
      <c r="E360" s="207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  <c r="AA360" s="207"/>
      <c r="AB360" s="207"/>
      <c r="AC360" s="207"/>
      <c r="AD360" s="207"/>
      <c r="AE360" s="207"/>
      <c r="AF360" s="207"/>
      <c r="AG360" s="207"/>
      <c r="AH360" s="207"/>
      <c r="AI360" s="207"/>
      <c r="AJ360" s="207"/>
      <c r="AK360" s="207"/>
      <c r="AL360" s="207"/>
      <c r="AM360" s="207"/>
      <c r="AN360" s="207"/>
      <c r="AO360" s="207"/>
      <c r="AP360" s="207"/>
      <c r="AQ360" s="207"/>
      <c r="AR360" s="207"/>
      <c r="AS360" s="207"/>
      <c r="AT360" s="207"/>
      <c r="AU360" s="207"/>
      <c r="AV360" s="207"/>
      <c r="AW360" s="207"/>
      <c r="AX360" s="207"/>
      <c r="AY360" s="207"/>
      <c r="AZ360" s="207"/>
      <c r="BA360" s="207"/>
    </row>
    <row r="361" ht="18.75" hidden="1" customHeight="1">
      <c r="A361" s="1"/>
      <c r="B361" s="207"/>
      <c r="C361" s="207"/>
      <c r="D361" s="207"/>
      <c r="E361" s="207"/>
      <c r="F361" s="207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  <c r="AA361" s="207"/>
      <c r="AB361" s="207"/>
      <c r="AC361" s="207"/>
      <c r="AD361" s="207"/>
      <c r="AE361" s="207"/>
      <c r="AF361" s="207"/>
      <c r="AG361" s="207"/>
      <c r="AH361" s="207"/>
      <c r="AI361" s="207"/>
      <c r="AJ361" s="207"/>
      <c r="AK361" s="207"/>
      <c r="AL361" s="207"/>
      <c r="AM361" s="207"/>
      <c r="AN361" s="207"/>
      <c r="AO361" s="207"/>
      <c r="AP361" s="207"/>
      <c r="AQ361" s="207"/>
      <c r="AR361" s="207"/>
      <c r="AS361" s="207"/>
      <c r="AT361" s="207"/>
      <c r="AU361" s="207"/>
      <c r="AV361" s="207"/>
      <c r="AW361" s="207"/>
      <c r="AX361" s="207"/>
      <c r="AY361" s="207"/>
      <c r="AZ361" s="207"/>
      <c r="BA361" s="207"/>
    </row>
    <row r="362" ht="18.75" hidden="1" customHeight="1">
      <c r="A362" s="1"/>
      <c r="B362" s="207"/>
      <c r="C362" s="207"/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  <c r="AA362" s="207"/>
      <c r="AB362" s="207"/>
      <c r="AC362" s="207"/>
      <c r="AD362" s="207"/>
      <c r="AE362" s="207"/>
      <c r="AF362" s="207"/>
      <c r="AG362" s="207"/>
      <c r="AH362" s="207"/>
      <c r="AI362" s="207"/>
      <c r="AJ362" s="207"/>
      <c r="AK362" s="207"/>
      <c r="AL362" s="207"/>
      <c r="AM362" s="207"/>
      <c r="AN362" s="207"/>
      <c r="AO362" s="207"/>
      <c r="AP362" s="207"/>
      <c r="AQ362" s="207"/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</row>
    <row r="363" ht="18.75" hidden="1" customHeight="1">
      <c r="A363" s="1"/>
      <c r="B363" s="207"/>
      <c r="C363" s="207"/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  <c r="AA363" s="207"/>
      <c r="AB363" s="207"/>
      <c r="AC363" s="207"/>
      <c r="AD363" s="207"/>
      <c r="AE363" s="207"/>
      <c r="AF363" s="207"/>
      <c r="AG363" s="207"/>
      <c r="AH363" s="207"/>
      <c r="AI363" s="207"/>
      <c r="AJ363" s="207"/>
      <c r="AK363" s="207"/>
      <c r="AL363" s="207"/>
      <c r="AM363" s="207"/>
      <c r="AN363" s="207"/>
      <c r="AO363" s="207"/>
      <c r="AP363" s="207"/>
      <c r="AQ363" s="207"/>
      <c r="AR363" s="207"/>
      <c r="AS363" s="207"/>
      <c r="AT363" s="207"/>
      <c r="AU363" s="207"/>
      <c r="AV363" s="207"/>
      <c r="AW363" s="207"/>
      <c r="AX363" s="207"/>
      <c r="AY363" s="207"/>
      <c r="AZ363" s="207"/>
      <c r="BA363" s="207"/>
    </row>
    <row r="364" ht="18.75" hidden="1" customHeight="1">
      <c r="A364" s="1"/>
      <c r="B364" s="207"/>
      <c r="C364" s="207"/>
      <c r="D364" s="207"/>
      <c r="E364" s="207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  <c r="AA364" s="207"/>
      <c r="AB364" s="207"/>
      <c r="AC364" s="207"/>
      <c r="AD364" s="207"/>
      <c r="AE364" s="207"/>
      <c r="AF364" s="207"/>
      <c r="AG364" s="207"/>
      <c r="AH364" s="207"/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</row>
    <row r="365" ht="18.75" hidden="1" customHeight="1">
      <c r="A365" s="1"/>
      <c r="B365" s="207"/>
      <c r="C365" s="207"/>
      <c r="D365" s="207"/>
      <c r="E365" s="207"/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  <c r="AA365" s="207"/>
      <c r="AB365" s="207"/>
      <c r="AC365" s="207"/>
      <c r="AD365" s="207"/>
      <c r="AE365" s="207"/>
      <c r="AF365" s="207"/>
      <c r="AG365" s="207"/>
      <c r="AH365" s="207"/>
      <c r="AI365" s="207"/>
      <c r="AJ365" s="207"/>
      <c r="AK365" s="207"/>
      <c r="AL365" s="207"/>
      <c r="AM365" s="207"/>
      <c r="AN365" s="207"/>
      <c r="AO365" s="207"/>
      <c r="AP365" s="207"/>
      <c r="AQ365" s="207"/>
      <c r="AR365" s="207"/>
      <c r="AS365" s="207"/>
      <c r="AT365" s="207"/>
      <c r="AU365" s="207"/>
      <c r="AV365" s="207"/>
      <c r="AW365" s="207"/>
      <c r="AX365" s="207"/>
      <c r="AY365" s="207"/>
      <c r="AZ365" s="207"/>
      <c r="BA365" s="207"/>
    </row>
    <row r="366" ht="18.75" hidden="1" customHeight="1">
      <c r="A366" s="1"/>
      <c r="B366" s="207"/>
      <c r="C366" s="207"/>
      <c r="D366" s="207"/>
      <c r="E366" s="207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  <c r="AA366" s="207"/>
      <c r="AB366" s="207"/>
      <c r="AC366" s="207"/>
      <c r="AD366" s="207"/>
      <c r="AE366" s="207"/>
      <c r="AF366" s="207"/>
      <c r="AG366" s="207"/>
      <c r="AH366" s="207"/>
      <c r="AI366" s="207"/>
      <c r="AJ366" s="207"/>
      <c r="AK366" s="207"/>
      <c r="AL366" s="207"/>
      <c r="AM366" s="207"/>
      <c r="AN366" s="207"/>
      <c r="AO366" s="207"/>
      <c r="AP366" s="207"/>
      <c r="AQ366" s="207"/>
      <c r="AR366" s="207"/>
      <c r="AS366" s="207"/>
      <c r="AT366" s="207"/>
      <c r="AU366" s="207"/>
      <c r="AV366" s="207"/>
      <c r="AW366" s="207"/>
      <c r="AX366" s="207"/>
      <c r="AY366" s="207"/>
      <c r="AZ366" s="207"/>
      <c r="BA366" s="207"/>
    </row>
    <row r="367" ht="18.75" hidden="1" customHeight="1">
      <c r="A367" s="1"/>
      <c r="B367" s="207"/>
      <c r="C367" s="207"/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  <c r="AA367" s="207"/>
      <c r="AB367" s="207"/>
      <c r="AC367" s="207"/>
      <c r="AD367" s="207"/>
      <c r="AE367" s="207"/>
      <c r="AF367" s="207"/>
      <c r="AG367" s="207"/>
      <c r="AH367" s="207"/>
      <c r="AI367" s="207"/>
      <c r="AJ367" s="207"/>
      <c r="AK367" s="207"/>
      <c r="AL367" s="207"/>
      <c r="AM367" s="207"/>
      <c r="AN367" s="207"/>
      <c r="AO367" s="207"/>
      <c r="AP367" s="207"/>
      <c r="AQ367" s="207"/>
      <c r="AR367" s="207"/>
      <c r="AS367" s="207"/>
      <c r="AT367" s="207"/>
      <c r="AU367" s="207"/>
      <c r="AV367" s="207"/>
      <c r="AW367" s="207"/>
      <c r="AX367" s="207"/>
      <c r="AY367" s="207"/>
      <c r="AZ367" s="207"/>
      <c r="BA367" s="207"/>
    </row>
    <row r="368" ht="18.75" hidden="1" customHeight="1">
      <c r="A368" s="1"/>
      <c r="B368" s="207"/>
      <c r="C368" s="207"/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  <c r="AA368" s="207"/>
      <c r="AB368" s="207"/>
      <c r="AC368" s="207"/>
      <c r="AD368" s="207"/>
      <c r="AE368" s="207"/>
      <c r="AF368" s="207"/>
      <c r="AG368" s="207"/>
      <c r="AH368" s="207"/>
      <c r="AI368" s="207"/>
      <c r="AJ368" s="207"/>
      <c r="AK368" s="207"/>
      <c r="AL368" s="207"/>
      <c r="AM368" s="207"/>
      <c r="AN368" s="207"/>
      <c r="AO368" s="207"/>
      <c r="AP368" s="207"/>
      <c r="AQ368" s="207"/>
      <c r="AR368" s="207"/>
      <c r="AS368" s="207"/>
      <c r="AT368" s="207"/>
      <c r="AU368" s="207"/>
      <c r="AV368" s="207"/>
      <c r="AW368" s="207"/>
      <c r="AX368" s="207"/>
      <c r="AY368" s="207"/>
      <c r="AZ368" s="207"/>
      <c r="BA368" s="207"/>
    </row>
    <row r="369" ht="18.75" hidden="1" customHeight="1">
      <c r="A369" s="1"/>
      <c r="B369" s="207"/>
      <c r="C369" s="207"/>
      <c r="D369" s="207"/>
      <c r="E369" s="207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  <c r="AA369" s="207"/>
      <c r="AB369" s="207"/>
      <c r="AC369" s="207"/>
      <c r="AD369" s="207"/>
      <c r="AE369" s="207"/>
      <c r="AF369" s="207"/>
      <c r="AG369" s="207"/>
      <c r="AH369" s="207"/>
      <c r="AI369" s="207"/>
      <c r="AJ369" s="207"/>
      <c r="AK369" s="207"/>
      <c r="AL369" s="207"/>
      <c r="AM369" s="207"/>
      <c r="AN369" s="207"/>
      <c r="AO369" s="207"/>
      <c r="AP369" s="207"/>
      <c r="AQ369" s="207"/>
      <c r="AR369" s="207"/>
      <c r="AS369" s="207"/>
      <c r="AT369" s="207"/>
      <c r="AU369" s="207"/>
      <c r="AV369" s="207"/>
      <c r="AW369" s="207"/>
      <c r="AX369" s="207"/>
      <c r="AY369" s="207"/>
      <c r="AZ369" s="207"/>
      <c r="BA369" s="207"/>
    </row>
    <row r="370" ht="18.75" hidden="1" customHeight="1">
      <c r="A370" s="1"/>
      <c r="B370" s="207"/>
      <c r="C370" s="207"/>
      <c r="D370" s="207"/>
      <c r="E370" s="207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  <c r="AA370" s="207"/>
      <c r="AB370" s="207"/>
      <c r="AC370" s="207"/>
      <c r="AD370" s="207"/>
      <c r="AE370" s="207"/>
      <c r="AF370" s="207"/>
      <c r="AG370" s="207"/>
      <c r="AH370" s="207"/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</row>
    <row r="371" ht="18.75" hidden="1" customHeight="1">
      <c r="A371" s="1"/>
      <c r="B371" s="207"/>
      <c r="C371" s="207"/>
      <c r="D371" s="207"/>
      <c r="E371" s="207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  <c r="AA371" s="207"/>
      <c r="AB371" s="207"/>
      <c r="AC371" s="207"/>
      <c r="AD371" s="207"/>
      <c r="AE371" s="207"/>
      <c r="AF371" s="207"/>
      <c r="AG371" s="207"/>
      <c r="AH371" s="207"/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</row>
    <row r="372" ht="18.75" hidden="1" customHeight="1">
      <c r="A372" s="1"/>
      <c r="B372" s="207"/>
      <c r="C372" s="207"/>
      <c r="D372" s="207"/>
      <c r="E372" s="207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  <c r="AA372" s="207"/>
      <c r="AB372" s="207"/>
      <c r="AC372" s="207"/>
      <c r="AD372" s="207"/>
      <c r="AE372" s="207"/>
      <c r="AF372" s="207"/>
      <c r="AG372" s="207"/>
      <c r="AH372" s="207"/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</row>
    <row r="373" ht="18.75" hidden="1" customHeight="1">
      <c r="A373" s="1"/>
      <c r="B373" s="207"/>
      <c r="C373" s="207"/>
      <c r="D373" s="207"/>
      <c r="E373" s="207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  <c r="AA373" s="207"/>
      <c r="AB373" s="207"/>
      <c r="AC373" s="207"/>
      <c r="AD373" s="207"/>
      <c r="AE373" s="207"/>
      <c r="AF373" s="207"/>
      <c r="AG373" s="207"/>
      <c r="AH373" s="207"/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</row>
    <row r="374" ht="18.75" hidden="1" customHeight="1">
      <c r="A374" s="1"/>
      <c r="B374" s="207"/>
      <c r="C374" s="207"/>
      <c r="D374" s="207"/>
      <c r="E374" s="207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  <c r="AA374" s="207"/>
      <c r="AB374" s="207"/>
      <c r="AC374" s="207"/>
      <c r="AD374" s="207"/>
      <c r="AE374" s="207"/>
      <c r="AF374" s="207"/>
      <c r="AG374" s="207"/>
      <c r="AH374" s="207"/>
      <c r="AI374" s="207"/>
      <c r="AJ374" s="207"/>
      <c r="AK374" s="207"/>
      <c r="AL374" s="207"/>
      <c r="AM374" s="207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7"/>
    </row>
    <row r="375" ht="18.75" hidden="1" customHeight="1">
      <c r="A375" s="1"/>
      <c r="B375" s="207"/>
      <c r="C375" s="207"/>
      <c r="D375" s="207"/>
      <c r="E375" s="207"/>
      <c r="F375" s="207"/>
      <c r="G375" s="207"/>
      <c r="H375" s="207"/>
      <c r="I375" s="207"/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  <c r="AA375" s="207"/>
      <c r="AB375" s="207"/>
      <c r="AC375" s="207"/>
      <c r="AD375" s="207"/>
      <c r="AE375" s="207"/>
      <c r="AF375" s="207"/>
      <c r="AG375" s="207"/>
      <c r="AH375" s="207"/>
      <c r="AI375" s="207"/>
      <c r="AJ375" s="207"/>
      <c r="AK375" s="207"/>
      <c r="AL375" s="207"/>
      <c r="AM375" s="207"/>
      <c r="AN375" s="207"/>
      <c r="AO375" s="207"/>
      <c r="AP375" s="207"/>
      <c r="AQ375" s="207"/>
      <c r="AR375" s="207"/>
      <c r="AS375" s="207"/>
      <c r="AT375" s="207"/>
      <c r="AU375" s="207"/>
      <c r="AV375" s="207"/>
      <c r="AW375" s="207"/>
      <c r="AX375" s="207"/>
      <c r="AY375" s="207"/>
      <c r="AZ375" s="207"/>
      <c r="BA375" s="207"/>
    </row>
    <row r="376" ht="18.75" hidden="1" customHeight="1">
      <c r="A376" s="1"/>
      <c r="B376" s="207"/>
      <c r="C376" s="207"/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  <c r="AA376" s="207"/>
      <c r="AB376" s="207"/>
      <c r="AC376" s="207"/>
      <c r="AD376" s="207"/>
      <c r="AE376" s="207"/>
      <c r="AF376" s="207"/>
      <c r="AG376" s="207"/>
      <c r="AH376" s="207"/>
      <c r="AI376" s="207"/>
      <c r="AJ376" s="207"/>
      <c r="AK376" s="207"/>
      <c r="AL376" s="207"/>
      <c r="AM376" s="207"/>
      <c r="AN376" s="207"/>
      <c r="AO376" s="207"/>
      <c r="AP376" s="207"/>
      <c r="AQ376" s="207"/>
      <c r="AR376" s="207"/>
      <c r="AS376" s="207"/>
      <c r="AT376" s="207"/>
      <c r="AU376" s="207"/>
      <c r="AV376" s="207"/>
      <c r="AW376" s="207"/>
      <c r="AX376" s="207"/>
      <c r="AY376" s="207"/>
      <c r="AZ376" s="207"/>
      <c r="BA376" s="207"/>
    </row>
    <row r="377" ht="18.75" hidden="1" customHeight="1">
      <c r="A377" s="1"/>
      <c r="B377" s="207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  <c r="AA377" s="207"/>
      <c r="AB377" s="207"/>
      <c r="AC377" s="207"/>
      <c r="AD377" s="207"/>
      <c r="AE377" s="207"/>
      <c r="AF377" s="207"/>
      <c r="AG377" s="207"/>
      <c r="AH377" s="207"/>
      <c r="AI377" s="207"/>
      <c r="AJ377" s="207"/>
      <c r="AK377" s="207"/>
      <c r="AL377" s="207"/>
      <c r="AM377" s="207"/>
      <c r="AN377" s="207"/>
      <c r="AO377" s="207"/>
      <c r="AP377" s="207"/>
      <c r="AQ377" s="207"/>
      <c r="AR377" s="207"/>
      <c r="AS377" s="207"/>
      <c r="AT377" s="207"/>
      <c r="AU377" s="207"/>
      <c r="AV377" s="207"/>
      <c r="AW377" s="207"/>
      <c r="AX377" s="207"/>
      <c r="AY377" s="207"/>
      <c r="AZ377" s="207"/>
      <c r="BA377" s="207"/>
    </row>
    <row r="378" ht="18.75" hidden="1" customHeight="1">
      <c r="A378" s="1"/>
      <c r="B378" s="207"/>
      <c r="C378" s="207"/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  <c r="AA378" s="207"/>
      <c r="AB378" s="207"/>
      <c r="AC378" s="207"/>
      <c r="AD378" s="207"/>
      <c r="AE378" s="207"/>
      <c r="AF378" s="207"/>
      <c r="AG378" s="207"/>
      <c r="AH378" s="207"/>
      <c r="AI378" s="207"/>
      <c r="AJ378" s="207"/>
      <c r="AK378" s="207"/>
      <c r="AL378" s="207"/>
      <c r="AM378" s="207"/>
      <c r="AN378" s="207"/>
      <c r="AO378" s="207"/>
      <c r="AP378" s="207"/>
      <c r="AQ378" s="207"/>
      <c r="AR378" s="207"/>
      <c r="AS378" s="207"/>
      <c r="AT378" s="207"/>
      <c r="AU378" s="207"/>
      <c r="AV378" s="207"/>
      <c r="AW378" s="207"/>
      <c r="AX378" s="207"/>
      <c r="AY378" s="207"/>
      <c r="AZ378" s="207"/>
      <c r="BA378" s="207"/>
    </row>
    <row r="379" ht="18.75" hidden="1" customHeight="1">
      <c r="A379" s="1"/>
      <c r="B379" s="207"/>
      <c r="C379" s="207"/>
      <c r="D379" s="207"/>
      <c r="E379" s="207"/>
      <c r="F379" s="207"/>
      <c r="G379" s="207"/>
      <c r="H379" s="207"/>
      <c r="I379" s="207"/>
      <c r="J379" s="207"/>
      <c r="K379" s="207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  <c r="AA379" s="207"/>
      <c r="AB379" s="207"/>
      <c r="AC379" s="207"/>
      <c r="AD379" s="207"/>
      <c r="AE379" s="207"/>
      <c r="AF379" s="207"/>
      <c r="AG379" s="207"/>
      <c r="AH379" s="207"/>
      <c r="AI379" s="207"/>
      <c r="AJ379" s="207"/>
      <c r="AK379" s="207"/>
      <c r="AL379" s="207"/>
      <c r="AM379" s="207"/>
      <c r="AN379" s="207"/>
      <c r="AO379" s="207"/>
      <c r="AP379" s="207"/>
      <c r="AQ379" s="207"/>
      <c r="AR379" s="207"/>
      <c r="AS379" s="207"/>
      <c r="AT379" s="207"/>
      <c r="AU379" s="207"/>
      <c r="AV379" s="207"/>
      <c r="AW379" s="207"/>
      <c r="AX379" s="207"/>
      <c r="AY379" s="207"/>
      <c r="AZ379" s="207"/>
      <c r="BA379" s="207"/>
    </row>
    <row r="380" ht="18.75" hidden="1" customHeight="1">
      <c r="A380" s="1"/>
      <c r="B380" s="207"/>
      <c r="C380" s="207"/>
      <c r="D380" s="207"/>
      <c r="E380" s="207"/>
      <c r="F380" s="207"/>
      <c r="G380" s="207"/>
      <c r="H380" s="207"/>
      <c r="I380" s="207"/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  <c r="AA380" s="207"/>
      <c r="AB380" s="207"/>
      <c r="AC380" s="207"/>
      <c r="AD380" s="207"/>
      <c r="AE380" s="207"/>
      <c r="AF380" s="207"/>
      <c r="AG380" s="207"/>
      <c r="AH380" s="207"/>
      <c r="AI380" s="207"/>
      <c r="AJ380" s="207"/>
      <c r="AK380" s="207"/>
      <c r="AL380" s="207"/>
      <c r="AM380" s="207"/>
      <c r="AN380" s="207"/>
      <c r="AO380" s="207"/>
      <c r="AP380" s="207"/>
      <c r="AQ380" s="207"/>
      <c r="AR380" s="207"/>
      <c r="AS380" s="207"/>
      <c r="AT380" s="207"/>
      <c r="AU380" s="207"/>
      <c r="AV380" s="207"/>
      <c r="AW380" s="207"/>
      <c r="AX380" s="207"/>
      <c r="AY380" s="207"/>
      <c r="AZ380" s="207"/>
      <c r="BA380" s="207"/>
    </row>
    <row r="381" ht="18.75" hidden="1" customHeight="1">
      <c r="A381" s="1"/>
      <c r="B381" s="207"/>
      <c r="C381" s="207"/>
      <c r="D381" s="207"/>
      <c r="E381" s="207"/>
      <c r="F381" s="207"/>
      <c r="G381" s="207"/>
      <c r="H381" s="207"/>
      <c r="I381" s="207"/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  <c r="AA381" s="207"/>
      <c r="AB381" s="207"/>
      <c r="AC381" s="207"/>
      <c r="AD381" s="207"/>
      <c r="AE381" s="207"/>
      <c r="AF381" s="207"/>
      <c r="AG381" s="207"/>
      <c r="AH381" s="207"/>
      <c r="AI381" s="207"/>
      <c r="AJ381" s="207"/>
      <c r="AK381" s="207"/>
      <c r="AL381" s="207"/>
      <c r="AM381" s="207"/>
      <c r="AN381" s="207"/>
      <c r="AO381" s="207"/>
      <c r="AP381" s="207"/>
      <c r="AQ381" s="207"/>
      <c r="AR381" s="207"/>
      <c r="AS381" s="207"/>
      <c r="AT381" s="207"/>
      <c r="AU381" s="207"/>
      <c r="AV381" s="207"/>
      <c r="AW381" s="207"/>
      <c r="AX381" s="207"/>
      <c r="AY381" s="207"/>
      <c r="AZ381" s="207"/>
      <c r="BA381" s="207"/>
    </row>
    <row r="382" ht="18.75" hidden="1" customHeight="1">
      <c r="A382" s="1"/>
      <c r="B382" s="207"/>
      <c r="C382" s="207"/>
      <c r="D382" s="207"/>
      <c r="E382" s="207"/>
      <c r="F382" s="207"/>
      <c r="G382" s="207"/>
      <c r="H382" s="207"/>
      <c r="I382" s="207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  <c r="AA382" s="207"/>
      <c r="AB382" s="207"/>
      <c r="AC382" s="207"/>
      <c r="AD382" s="207"/>
      <c r="AE382" s="207"/>
      <c r="AF382" s="207"/>
      <c r="AG382" s="207"/>
      <c r="AH382" s="207"/>
      <c r="AI382" s="207"/>
      <c r="AJ382" s="207"/>
      <c r="AK382" s="207"/>
      <c r="AL382" s="207"/>
      <c r="AM382" s="207"/>
      <c r="AN382" s="207"/>
      <c r="AO382" s="207"/>
      <c r="AP382" s="207"/>
      <c r="AQ382" s="207"/>
      <c r="AR382" s="207"/>
      <c r="AS382" s="207"/>
      <c r="AT382" s="207"/>
      <c r="AU382" s="207"/>
      <c r="AV382" s="207"/>
      <c r="AW382" s="207"/>
      <c r="AX382" s="207"/>
      <c r="AY382" s="207"/>
      <c r="AZ382" s="207"/>
      <c r="BA382" s="207"/>
    </row>
    <row r="383" ht="18.75" hidden="1" customHeight="1">
      <c r="A383" s="1"/>
      <c r="B383" s="207"/>
      <c r="C383" s="207"/>
      <c r="D383" s="207"/>
      <c r="E383" s="207"/>
      <c r="F383" s="207"/>
      <c r="G383" s="207"/>
      <c r="H383" s="207"/>
      <c r="I383" s="207"/>
      <c r="J383" s="207"/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  <c r="AA383" s="207"/>
      <c r="AB383" s="207"/>
      <c r="AC383" s="207"/>
      <c r="AD383" s="207"/>
      <c r="AE383" s="207"/>
      <c r="AF383" s="207"/>
      <c r="AG383" s="207"/>
      <c r="AH383" s="207"/>
      <c r="AI383" s="207"/>
      <c r="AJ383" s="207"/>
      <c r="AK383" s="207"/>
      <c r="AL383" s="207"/>
      <c r="AM383" s="207"/>
      <c r="AN383" s="207"/>
      <c r="AO383" s="207"/>
      <c r="AP383" s="207"/>
      <c r="AQ383" s="207"/>
      <c r="AR383" s="207"/>
      <c r="AS383" s="207"/>
      <c r="AT383" s="207"/>
      <c r="AU383" s="207"/>
      <c r="AV383" s="207"/>
      <c r="AW383" s="207"/>
      <c r="AX383" s="207"/>
      <c r="AY383" s="207"/>
      <c r="AZ383" s="207"/>
      <c r="BA383" s="207"/>
    </row>
    <row r="384" ht="18.75" hidden="1" customHeight="1">
      <c r="A384" s="1"/>
      <c r="B384" s="207"/>
      <c r="C384" s="207"/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  <c r="AB384" s="207"/>
      <c r="AC384" s="207"/>
      <c r="AD384" s="207"/>
      <c r="AE384" s="207"/>
      <c r="AF384" s="207"/>
      <c r="AG384" s="207"/>
      <c r="AH384" s="207"/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</row>
    <row r="385" ht="18.75" hidden="1" customHeight="1">
      <c r="A385" s="1"/>
      <c r="B385" s="207"/>
      <c r="C385" s="207"/>
      <c r="D385" s="207"/>
      <c r="E385" s="207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  <c r="AA385" s="207"/>
      <c r="AB385" s="207"/>
      <c r="AC385" s="207"/>
      <c r="AD385" s="207"/>
      <c r="AE385" s="207"/>
      <c r="AF385" s="207"/>
      <c r="AG385" s="207"/>
      <c r="AH385" s="207"/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07"/>
    </row>
    <row r="386" ht="18.75" hidden="1" customHeight="1">
      <c r="A386" s="1"/>
      <c r="B386" s="207"/>
      <c r="C386" s="207"/>
      <c r="D386" s="207"/>
      <c r="E386" s="207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  <c r="AB386" s="207"/>
      <c r="AC386" s="207"/>
      <c r="AD386" s="207"/>
      <c r="AE386" s="207"/>
      <c r="AF386" s="207"/>
      <c r="AG386" s="207"/>
      <c r="AH386" s="207"/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</row>
    <row r="387" ht="18.75" hidden="1" customHeight="1">
      <c r="A387" s="1"/>
      <c r="B387" s="207"/>
      <c r="C387" s="207"/>
      <c r="D387" s="207"/>
      <c r="E387" s="207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  <c r="AB387" s="207"/>
      <c r="AC387" s="207"/>
      <c r="AD387" s="207"/>
      <c r="AE387" s="207"/>
      <c r="AF387" s="207"/>
      <c r="AG387" s="207"/>
      <c r="AH387" s="207"/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</row>
    <row r="388" ht="18.75" hidden="1" customHeight="1">
      <c r="A388" s="1"/>
      <c r="B388" s="207"/>
      <c r="C388" s="207"/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  <c r="AA388" s="207"/>
      <c r="AB388" s="207"/>
      <c r="AC388" s="207"/>
      <c r="AD388" s="207"/>
      <c r="AE388" s="207"/>
      <c r="AF388" s="207"/>
      <c r="AG388" s="207"/>
      <c r="AH388" s="207"/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07"/>
    </row>
    <row r="389" ht="18.75" hidden="1" customHeight="1">
      <c r="A389" s="1"/>
      <c r="B389" s="207"/>
      <c r="C389" s="207"/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  <c r="AA389" s="207"/>
      <c r="AB389" s="207"/>
      <c r="AC389" s="207"/>
      <c r="AD389" s="207"/>
      <c r="AE389" s="207"/>
      <c r="AF389" s="207"/>
      <c r="AG389" s="207"/>
      <c r="AH389" s="207"/>
      <c r="AI389" s="207"/>
      <c r="AJ389" s="207"/>
      <c r="AK389" s="207"/>
      <c r="AL389" s="207"/>
      <c r="AM389" s="207"/>
      <c r="AN389" s="207"/>
      <c r="AO389" s="207"/>
      <c r="AP389" s="207"/>
      <c r="AQ389" s="207"/>
      <c r="AR389" s="207"/>
      <c r="AS389" s="207"/>
      <c r="AT389" s="207"/>
      <c r="AU389" s="207"/>
      <c r="AV389" s="207"/>
      <c r="AW389" s="207"/>
      <c r="AX389" s="207"/>
      <c r="AY389" s="207"/>
      <c r="AZ389" s="207"/>
      <c r="BA389" s="207"/>
    </row>
    <row r="390" ht="18.75" hidden="1" customHeight="1">
      <c r="A390" s="1"/>
      <c r="B390" s="207"/>
      <c r="C390" s="207"/>
      <c r="D390" s="207"/>
      <c r="E390" s="207"/>
      <c r="F390" s="207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  <c r="AA390" s="207"/>
      <c r="AB390" s="207"/>
      <c r="AC390" s="207"/>
      <c r="AD390" s="207"/>
      <c r="AE390" s="207"/>
      <c r="AF390" s="207"/>
      <c r="AG390" s="207"/>
      <c r="AH390" s="207"/>
      <c r="AI390" s="207"/>
      <c r="AJ390" s="207"/>
      <c r="AK390" s="207"/>
      <c r="AL390" s="207"/>
      <c r="AM390" s="207"/>
      <c r="AN390" s="207"/>
      <c r="AO390" s="207"/>
      <c r="AP390" s="207"/>
      <c r="AQ390" s="207"/>
      <c r="AR390" s="207"/>
      <c r="AS390" s="207"/>
      <c r="AT390" s="207"/>
      <c r="AU390" s="207"/>
      <c r="AV390" s="207"/>
      <c r="AW390" s="207"/>
      <c r="AX390" s="207"/>
      <c r="AY390" s="207"/>
      <c r="AZ390" s="207"/>
      <c r="BA390" s="207"/>
    </row>
    <row r="391" ht="18.75" hidden="1" customHeight="1">
      <c r="A391" s="1"/>
      <c r="B391" s="207"/>
      <c r="C391" s="207"/>
      <c r="D391" s="207"/>
      <c r="E391" s="207"/>
      <c r="F391" s="207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  <c r="AA391" s="207"/>
      <c r="AB391" s="207"/>
      <c r="AC391" s="207"/>
      <c r="AD391" s="207"/>
      <c r="AE391" s="207"/>
      <c r="AF391" s="207"/>
      <c r="AG391" s="207"/>
      <c r="AH391" s="207"/>
      <c r="AI391" s="207"/>
      <c r="AJ391" s="207"/>
      <c r="AK391" s="207"/>
      <c r="AL391" s="207"/>
      <c r="AM391" s="207"/>
      <c r="AN391" s="207"/>
      <c r="AO391" s="207"/>
      <c r="AP391" s="207"/>
      <c r="AQ391" s="207"/>
      <c r="AR391" s="207"/>
      <c r="AS391" s="207"/>
      <c r="AT391" s="207"/>
      <c r="AU391" s="207"/>
      <c r="AV391" s="207"/>
      <c r="AW391" s="207"/>
      <c r="AX391" s="207"/>
      <c r="AY391" s="207"/>
      <c r="AZ391" s="207"/>
      <c r="BA391" s="207"/>
    </row>
    <row r="392" ht="18.75" hidden="1" customHeight="1">
      <c r="A392" s="1"/>
      <c r="B392" s="207"/>
      <c r="C392" s="207"/>
      <c r="D392" s="207"/>
      <c r="E392" s="207"/>
      <c r="F392" s="207"/>
      <c r="G392" s="207"/>
      <c r="H392" s="207"/>
      <c r="I392" s="207"/>
      <c r="J392" s="207"/>
      <c r="K392" s="207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  <c r="AA392" s="207"/>
      <c r="AB392" s="207"/>
      <c r="AC392" s="207"/>
      <c r="AD392" s="207"/>
      <c r="AE392" s="207"/>
      <c r="AF392" s="207"/>
      <c r="AG392" s="207"/>
      <c r="AH392" s="207"/>
      <c r="AI392" s="207"/>
      <c r="AJ392" s="207"/>
      <c r="AK392" s="207"/>
      <c r="AL392" s="207"/>
      <c r="AM392" s="207"/>
      <c r="AN392" s="207"/>
      <c r="AO392" s="207"/>
      <c r="AP392" s="207"/>
      <c r="AQ392" s="207"/>
      <c r="AR392" s="207"/>
      <c r="AS392" s="207"/>
      <c r="AT392" s="207"/>
      <c r="AU392" s="207"/>
      <c r="AV392" s="207"/>
      <c r="AW392" s="207"/>
      <c r="AX392" s="207"/>
      <c r="AY392" s="207"/>
      <c r="AZ392" s="207"/>
      <c r="BA392" s="207"/>
    </row>
    <row r="393" ht="18.75" hidden="1" customHeight="1">
      <c r="A393" s="1"/>
      <c r="B393" s="207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  <c r="AA393" s="207"/>
      <c r="AB393" s="207"/>
      <c r="AC393" s="207"/>
      <c r="AD393" s="207"/>
      <c r="AE393" s="207"/>
      <c r="AF393" s="207"/>
      <c r="AG393" s="207"/>
      <c r="AH393" s="207"/>
      <c r="AI393" s="207"/>
      <c r="AJ393" s="207"/>
      <c r="AK393" s="207"/>
      <c r="AL393" s="207"/>
      <c r="AM393" s="207"/>
      <c r="AN393" s="207"/>
      <c r="AO393" s="207"/>
      <c r="AP393" s="207"/>
      <c r="AQ393" s="207"/>
      <c r="AR393" s="207"/>
      <c r="AS393" s="207"/>
      <c r="AT393" s="207"/>
      <c r="AU393" s="207"/>
      <c r="AV393" s="207"/>
      <c r="AW393" s="207"/>
      <c r="AX393" s="207"/>
      <c r="AY393" s="207"/>
      <c r="AZ393" s="207"/>
      <c r="BA393" s="207"/>
    </row>
    <row r="394" ht="18.75" hidden="1" customHeight="1">
      <c r="A394" s="1"/>
      <c r="B394" s="207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  <c r="AA394" s="207"/>
      <c r="AB394" s="207"/>
      <c r="AC394" s="207"/>
      <c r="AD394" s="207"/>
      <c r="AE394" s="207"/>
      <c r="AF394" s="207"/>
      <c r="AG394" s="207"/>
      <c r="AH394" s="207"/>
      <c r="AI394" s="207"/>
      <c r="AJ394" s="207"/>
      <c r="AK394" s="207"/>
      <c r="AL394" s="207"/>
      <c r="AM394" s="207"/>
      <c r="AN394" s="207"/>
      <c r="AO394" s="207"/>
      <c r="AP394" s="207"/>
      <c r="AQ394" s="207"/>
      <c r="AR394" s="207"/>
      <c r="AS394" s="207"/>
      <c r="AT394" s="207"/>
      <c r="AU394" s="207"/>
      <c r="AV394" s="207"/>
      <c r="AW394" s="207"/>
      <c r="AX394" s="207"/>
      <c r="AY394" s="207"/>
      <c r="AZ394" s="207"/>
      <c r="BA394" s="207"/>
    </row>
    <row r="395" ht="18.75" hidden="1" customHeight="1">
      <c r="A395" s="1"/>
      <c r="B395" s="207"/>
      <c r="C395" s="207"/>
      <c r="D395" s="207"/>
      <c r="E395" s="207"/>
      <c r="F395" s="207"/>
      <c r="G395" s="207"/>
      <c r="H395" s="207"/>
      <c r="I395" s="207"/>
      <c r="J395" s="207"/>
      <c r="K395" s="207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  <c r="AA395" s="207"/>
      <c r="AB395" s="207"/>
      <c r="AC395" s="207"/>
      <c r="AD395" s="207"/>
      <c r="AE395" s="207"/>
      <c r="AF395" s="207"/>
      <c r="AG395" s="207"/>
      <c r="AH395" s="207"/>
      <c r="AI395" s="207"/>
      <c r="AJ395" s="207"/>
      <c r="AK395" s="207"/>
      <c r="AL395" s="207"/>
      <c r="AM395" s="207"/>
      <c r="AN395" s="207"/>
      <c r="AO395" s="207"/>
      <c r="AP395" s="207"/>
      <c r="AQ395" s="207"/>
      <c r="AR395" s="207"/>
      <c r="AS395" s="207"/>
      <c r="AT395" s="207"/>
      <c r="AU395" s="207"/>
      <c r="AV395" s="207"/>
      <c r="AW395" s="207"/>
      <c r="AX395" s="207"/>
      <c r="AY395" s="207"/>
      <c r="AZ395" s="207"/>
      <c r="BA395" s="207"/>
    </row>
    <row r="396" ht="18.75" hidden="1" customHeight="1">
      <c r="A396" s="1"/>
      <c r="B396" s="207"/>
      <c r="C396" s="207"/>
      <c r="D396" s="207"/>
      <c r="E396" s="207"/>
      <c r="F396" s="207"/>
      <c r="G396" s="207"/>
      <c r="H396" s="207"/>
      <c r="I396" s="207"/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  <c r="AA396" s="207"/>
      <c r="AB396" s="207"/>
      <c r="AC396" s="207"/>
      <c r="AD396" s="207"/>
      <c r="AE396" s="207"/>
      <c r="AF396" s="207"/>
      <c r="AG396" s="207"/>
      <c r="AH396" s="207"/>
      <c r="AI396" s="207"/>
      <c r="AJ396" s="207"/>
      <c r="AK396" s="207"/>
      <c r="AL396" s="207"/>
      <c r="AM396" s="207"/>
      <c r="AN396" s="207"/>
      <c r="AO396" s="207"/>
      <c r="AP396" s="207"/>
      <c r="AQ396" s="207"/>
      <c r="AR396" s="207"/>
      <c r="AS396" s="207"/>
      <c r="AT396" s="207"/>
      <c r="AU396" s="207"/>
      <c r="AV396" s="207"/>
      <c r="AW396" s="207"/>
      <c r="AX396" s="207"/>
      <c r="AY396" s="207"/>
      <c r="AZ396" s="207"/>
      <c r="BA396" s="207"/>
    </row>
    <row r="397" ht="18.75" hidden="1" customHeight="1">
      <c r="A397" s="1"/>
      <c r="B397" s="207"/>
      <c r="C397" s="207"/>
      <c r="D397" s="207"/>
      <c r="E397" s="207"/>
      <c r="F397" s="207"/>
      <c r="G397" s="207"/>
      <c r="H397" s="207"/>
      <c r="I397" s="207"/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  <c r="AA397" s="207"/>
      <c r="AB397" s="207"/>
      <c r="AC397" s="207"/>
      <c r="AD397" s="207"/>
      <c r="AE397" s="207"/>
      <c r="AF397" s="207"/>
      <c r="AG397" s="207"/>
      <c r="AH397" s="207"/>
      <c r="AI397" s="207"/>
      <c r="AJ397" s="207"/>
      <c r="AK397" s="207"/>
      <c r="AL397" s="207"/>
      <c r="AM397" s="207"/>
      <c r="AN397" s="207"/>
      <c r="AO397" s="207"/>
      <c r="AP397" s="207"/>
      <c r="AQ397" s="207"/>
      <c r="AR397" s="207"/>
      <c r="AS397" s="207"/>
      <c r="AT397" s="207"/>
      <c r="AU397" s="207"/>
      <c r="AV397" s="207"/>
      <c r="AW397" s="207"/>
      <c r="AX397" s="207"/>
      <c r="AY397" s="207"/>
      <c r="AZ397" s="207"/>
      <c r="BA397" s="207"/>
    </row>
    <row r="398" ht="18.75" hidden="1" customHeight="1">
      <c r="A398" s="1"/>
      <c r="B398" s="207"/>
      <c r="C398" s="207"/>
      <c r="D398" s="207"/>
      <c r="E398" s="207"/>
      <c r="F398" s="207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  <c r="AA398" s="207"/>
      <c r="AB398" s="207"/>
      <c r="AC398" s="207"/>
      <c r="AD398" s="207"/>
      <c r="AE398" s="207"/>
      <c r="AF398" s="207"/>
      <c r="AG398" s="207"/>
      <c r="AH398" s="207"/>
      <c r="AI398" s="207"/>
      <c r="AJ398" s="207"/>
      <c r="AK398" s="207"/>
      <c r="AL398" s="207"/>
      <c r="AM398" s="207"/>
      <c r="AN398" s="207"/>
      <c r="AO398" s="207"/>
      <c r="AP398" s="207"/>
      <c r="AQ398" s="207"/>
      <c r="AR398" s="207"/>
      <c r="AS398" s="207"/>
      <c r="AT398" s="207"/>
      <c r="AU398" s="207"/>
      <c r="AV398" s="207"/>
      <c r="AW398" s="207"/>
      <c r="AX398" s="207"/>
      <c r="AY398" s="207"/>
      <c r="AZ398" s="207"/>
      <c r="BA398" s="207"/>
    </row>
    <row r="399" ht="18.75" hidden="1" customHeight="1">
      <c r="A399" s="1"/>
      <c r="B399" s="207"/>
      <c r="C399" s="207"/>
      <c r="D399" s="207"/>
      <c r="E399" s="207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  <c r="AA399" s="207"/>
      <c r="AB399" s="207"/>
      <c r="AC399" s="207"/>
      <c r="AD399" s="207"/>
      <c r="AE399" s="207"/>
      <c r="AF399" s="207"/>
      <c r="AG399" s="207"/>
      <c r="AH399" s="207"/>
      <c r="AI399" s="207"/>
      <c r="AJ399" s="207"/>
      <c r="AK399" s="207"/>
      <c r="AL399" s="207"/>
      <c r="AM399" s="207"/>
      <c r="AN399" s="207"/>
      <c r="AO399" s="207"/>
      <c r="AP399" s="207"/>
      <c r="AQ399" s="207"/>
      <c r="AR399" s="207"/>
      <c r="AS399" s="207"/>
      <c r="AT399" s="207"/>
      <c r="AU399" s="207"/>
      <c r="AV399" s="207"/>
      <c r="AW399" s="207"/>
      <c r="AX399" s="207"/>
      <c r="AY399" s="207"/>
      <c r="AZ399" s="207"/>
      <c r="BA399" s="207"/>
    </row>
    <row r="400" ht="18.75" hidden="1" customHeight="1">
      <c r="A400" s="1"/>
      <c r="B400" s="207"/>
      <c r="C400" s="207"/>
      <c r="D400" s="207"/>
      <c r="E400" s="207"/>
      <c r="F400" s="207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  <c r="AA400" s="207"/>
      <c r="AB400" s="207"/>
      <c r="AC400" s="207"/>
      <c r="AD400" s="207"/>
      <c r="AE400" s="207"/>
      <c r="AF400" s="207"/>
      <c r="AG400" s="207"/>
      <c r="AH400" s="207"/>
      <c r="AI400" s="207"/>
      <c r="AJ400" s="207"/>
      <c r="AK400" s="207"/>
      <c r="AL400" s="207"/>
      <c r="AM400" s="207"/>
      <c r="AN400" s="207"/>
      <c r="AO400" s="207"/>
      <c r="AP400" s="207"/>
      <c r="AQ400" s="207"/>
      <c r="AR400" s="207"/>
      <c r="AS400" s="207"/>
      <c r="AT400" s="207"/>
      <c r="AU400" s="207"/>
      <c r="AV400" s="207"/>
      <c r="AW400" s="207"/>
      <c r="AX400" s="207"/>
      <c r="AY400" s="207"/>
      <c r="AZ400" s="207"/>
      <c r="BA400" s="207"/>
    </row>
    <row r="401" ht="18.75" hidden="1" customHeight="1">
      <c r="A401" s="1"/>
      <c r="B401" s="207"/>
      <c r="C401" s="207"/>
      <c r="D401" s="207"/>
      <c r="E401" s="207"/>
      <c r="F401" s="207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  <c r="AA401" s="207"/>
      <c r="AB401" s="207"/>
      <c r="AC401" s="207"/>
      <c r="AD401" s="207"/>
      <c r="AE401" s="207"/>
      <c r="AF401" s="207"/>
      <c r="AG401" s="207"/>
      <c r="AH401" s="207"/>
      <c r="AI401" s="207"/>
      <c r="AJ401" s="207"/>
      <c r="AK401" s="207"/>
      <c r="AL401" s="207"/>
      <c r="AM401" s="207"/>
      <c r="AN401" s="207"/>
      <c r="AO401" s="207"/>
      <c r="AP401" s="207"/>
      <c r="AQ401" s="207"/>
      <c r="AR401" s="207"/>
      <c r="AS401" s="207"/>
      <c r="AT401" s="207"/>
      <c r="AU401" s="207"/>
      <c r="AV401" s="207"/>
      <c r="AW401" s="207"/>
      <c r="AX401" s="207"/>
      <c r="AY401" s="207"/>
      <c r="AZ401" s="207"/>
      <c r="BA401" s="207"/>
    </row>
    <row r="402" ht="18.75" hidden="1" customHeight="1">
      <c r="A402" s="1"/>
      <c r="B402" s="207"/>
      <c r="C402" s="207"/>
      <c r="D402" s="207"/>
      <c r="E402" s="207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  <c r="AA402" s="207"/>
      <c r="AB402" s="207"/>
      <c r="AC402" s="207"/>
      <c r="AD402" s="207"/>
      <c r="AE402" s="207"/>
      <c r="AF402" s="207"/>
      <c r="AG402" s="207"/>
      <c r="AH402" s="207"/>
      <c r="AI402" s="207"/>
      <c r="AJ402" s="207"/>
      <c r="AK402" s="207"/>
      <c r="AL402" s="207"/>
      <c r="AM402" s="207"/>
      <c r="AN402" s="207"/>
      <c r="AO402" s="207"/>
      <c r="AP402" s="207"/>
      <c r="AQ402" s="207"/>
      <c r="AR402" s="207"/>
      <c r="AS402" s="207"/>
      <c r="AT402" s="207"/>
      <c r="AU402" s="207"/>
      <c r="AV402" s="207"/>
      <c r="AW402" s="207"/>
      <c r="AX402" s="207"/>
      <c r="AY402" s="207"/>
      <c r="AZ402" s="207"/>
      <c r="BA402" s="207"/>
    </row>
    <row r="403" ht="18.75" hidden="1" customHeight="1">
      <c r="A403" s="1"/>
      <c r="B403" s="207"/>
      <c r="C403" s="207"/>
      <c r="D403" s="207"/>
      <c r="E403" s="207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  <c r="AA403" s="207"/>
      <c r="AB403" s="207"/>
      <c r="AC403" s="207"/>
      <c r="AD403" s="207"/>
      <c r="AE403" s="207"/>
      <c r="AF403" s="207"/>
      <c r="AG403" s="207"/>
      <c r="AH403" s="207"/>
      <c r="AI403" s="207"/>
      <c r="AJ403" s="207"/>
      <c r="AK403" s="207"/>
      <c r="AL403" s="207"/>
      <c r="AM403" s="207"/>
      <c r="AN403" s="207"/>
      <c r="AO403" s="207"/>
      <c r="AP403" s="207"/>
      <c r="AQ403" s="207"/>
      <c r="AR403" s="207"/>
      <c r="AS403" s="207"/>
      <c r="AT403" s="207"/>
      <c r="AU403" s="207"/>
      <c r="AV403" s="207"/>
      <c r="AW403" s="207"/>
      <c r="AX403" s="207"/>
      <c r="AY403" s="207"/>
      <c r="AZ403" s="207"/>
      <c r="BA403" s="207"/>
    </row>
    <row r="404" ht="18.75" hidden="1" customHeight="1">
      <c r="A404" s="1"/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  <c r="AA404" s="207"/>
      <c r="AB404" s="207"/>
      <c r="AC404" s="207"/>
      <c r="AD404" s="207"/>
      <c r="AE404" s="207"/>
      <c r="AF404" s="207"/>
      <c r="AG404" s="207"/>
      <c r="AH404" s="207"/>
      <c r="AI404" s="207"/>
      <c r="AJ404" s="207"/>
      <c r="AK404" s="207"/>
      <c r="AL404" s="207"/>
      <c r="AM404" s="207"/>
      <c r="AN404" s="207"/>
      <c r="AO404" s="207"/>
      <c r="AP404" s="207"/>
      <c r="AQ404" s="207"/>
      <c r="AR404" s="207"/>
      <c r="AS404" s="207"/>
      <c r="AT404" s="207"/>
      <c r="AU404" s="207"/>
      <c r="AV404" s="207"/>
      <c r="AW404" s="207"/>
      <c r="AX404" s="207"/>
      <c r="AY404" s="207"/>
      <c r="AZ404" s="207"/>
      <c r="BA404" s="207"/>
    </row>
    <row r="405" ht="18.75" hidden="1" customHeight="1">
      <c r="A405" s="1"/>
      <c r="B405" s="207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  <c r="AA405" s="207"/>
      <c r="AB405" s="207"/>
      <c r="AC405" s="207"/>
      <c r="AD405" s="207"/>
      <c r="AE405" s="207"/>
      <c r="AF405" s="207"/>
      <c r="AG405" s="207"/>
      <c r="AH405" s="207"/>
      <c r="AI405" s="207"/>
      <c r="AJ405" s="207"/>
      <c r="AK405" s="207"/>
      <c r="AL405" s="207"/>
      <c r="AM405" s="207"/>
      <c r="AN405" s="207"/>
      <c r="AO405" s="207"/>
      <c r="AP405" s="207"/>
      <c r="AQ405" s="207"/>
      <c r="AR405" s="207"/>
      <c r="AS405" s="207"/>
      <c r="AT405" s="207"/>
      <c r="AU405" s="207"/>
      <c r="AV405" s="207"/>
      <c r="AW405" s="207"/>
      <c r="AX405" s="207"/>
      <c r="AY405" s="207"/>
      <c r="AZ405" s="207"/>
      <c r="BA405" s="207"/>
    </row>
    <row r="406" ht="18.75" hidden="1" customHeight="1">
      <c r="A406" s="1"/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  <c r="AA406" s="207"/>
      <c r="AB406" s="207"/>
      <c r="AC406" s="207"/>
      <c r="AD406" s="207"/>
      <c r="AE406" s="207"/>
      <c r="AF406" s="207"/>
      <c r="AG406" s="207"/>
      <c r="AH406" s="207"/>
      <c r="AI406" s="207"/>
      <c r="AJ406" s="207"/>
      <c r="AK406" s="207"/>
      <c r="AL406" s="207"/>
      <c r="AM406" s="207"/>
      <c r="AN406" s="207"/>
      <c r="AO406" s="207"/>
      <c r="AP406" s="207"/>
      <c r="AQ406" s="207"/>
      <c r="AR406" s="207"/>
      <c r="AS406" s="207"/>
      <c r="AT406" s="207"/>
      <c r="AU406" s="207"/>
      <c r="AV406" s="207"/>
      <c r="AW406" s="207"/>
      <c r="AX406" s="207"/>
      <c r="AY406" s="207"/>
      <c r="AZ406" s="207"/>
      <c r="BA406" s="207"/>
    </row>
    <row r="407" ht="18.75" hidden="1" customHeight="1">
      <c r="A407" s="1"/>
      <c r="B407" s="207"/>
      <c r="C407" s="207"/>
      <c r="D407" s="207"/>
      <c r="E407" s="207"/>
      <c r="F407" s="207"/>
      <c r="G407" s="207"/>
      <c r="H407" s="207"/>
      <c r="I407" s="207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  <c r="AA407" s="207"/>
      <c r="AB407" s="207"/>
      <c r="AC407" s="207"/>
      <c r="AD407" s="207"/>
      <c r="AE407" s="207"/>
      <c r="AF407" s="207"/>
      <c r="AG407" s="207"/>
      <c r="AH407" s="207"/>
      <c r="AI407" s="207"/>
      <c r="AJ407" s="207"/>
      <c r="AK407" s="207"/>
      <c r="AL407" s="207"/>
      <c r="AM407" s="207"/>
      <c r="AN407" s="207"/>
      <c r="AO407" s="207"/>
      <c r="AP407" s="207"/>
      <c r="AQ407" s="207"/>
      <c r="AR407" s="207"/>
      <c r="AS407" s="207"/>
      <c r="AT407" s="207"/>
      <c r="AU407" s="207"/>
      <c r="AV407" s="207"/>
      <c r="AW407" s="207"/>
      <c r="AX407" s="207"/>
      <c r="AY407" s="207"/>
      <c r="AZ407" s="207"/>
      <c r="BA407" s="207"/>
    </row>
    <row r="408" ht="18.75" hidden="1" customHeight="1">
      <c r="A408" s="1"/>
      <c r="B408" s="207"/>
      <c r="C408" s="207"/>
      <c r="D408" s="207"/>
      <c r="E408" s="207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  <c r="AA408" s="207"/>
      <c r="AB408" s="207"/>
      <c r="AC408" s="207"/>
      <c r="AD408" s="207"/>
      <c r="AE408" s="207"/>
      <c r="AF408" s="207"/>
      <c r="AG408" s="207"/>
      <c r="AH408" s="207"/>
      <c r="AI408" s="207"/>
      <c r="AJ408" s="207"/>
      <c r="AK408" s="207"/>
      <c r="AL408" s="207"/>
      <c r="AM408" s="207"/>
      <c r="AN408" s="207"/>
      <c r="AO408" s="207"/>
      <c r="AP408" s="207"/>
      <c r="AQ408" s="207"/>
      <c r="AR408" s="207"/>
      <c r="AS408" s="207"/>
      <c r="AT408" s="207"/>
      <c r="AU408" s="207"/>
      <c r="AV408" s="207"/>
      <c r="AW408" s="207"/>
      <c r="AX408" s="207"/>
      <c r="AY408" s="207"/>
      <c r="AZ408" s="207"/>
      <c r="BA408" s="207"/>
    </row>
    <row r="409" ht="18.75" hidden="1" customHeight="1">
      <c r="A409" s="1"/>
      <c r="B409" s="207"/>
      <c r="C409" s="207"/>
      <c r="D409" s="207"/>
      <c r="E409" s="207"/>
      <c r="F409" s="207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  <c r="AA409" s="207"/>
      <c r="AB409" s="207"/>
      <c r="AC409" s="207"/>
      <c r="AD409" s="207"/>
      <c r="AE409" s="207"/>
      <c r="AF409" s="207"/>
      <c r="AG409" s="207"/>
      <c r="AH409" s="207"/>
      <c r="AI409" s="207"/>
      <c r="AJ409" s="207"/>
      <c r="AK409" s="207"/>
      <c r="AL409" s="207"/>
      <c r="AM409" s="207"/>
      <c r="AN409" s="207"/>
      <c r="AO409" s="207"/>
      <c r="AP409" s="207"/>
      <c r="AQ409" s="207"/>
      <c r="AR409" s="207"/>
      <c r="AS409" s="207"/>
      <c r="AT409" s="207"/>
      <c r="AU409" s="207"/>
      <c r="AV409" s="207"/>
      <c r="AW409" s="207"/>
      <c r="AX409" s="207"/>
      <c r="AY409" s="207"/>
      <c r="AZ409" s="207"/>
      <c r="BA409" s="207"/>
    </row>
    <row r="410" ht="18.75" hidden="1" customHeight="1">
      <c r="A410" s="1"/>
      <c r="B410" s="207"/>
      <c r="C410" s="207"/>
      <c r="D410" s="207"/>
      <c r="E410" s="207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  <c r="AA410" s="207"/>
      <c r="AB410" s="207"/>
      <c r="AC410" s="207"/>
      <c r="AD410" s="207"/>
      <c r="AE410" s="207"/>
      <c r="AF410" s="207"/>
      <c r="AG410" s="207"/>
      <c r="AH410" s="207"/>
      <c r="AI410" s="207"/>
      <c r="AJ410" s="207"/>
      <c r="AK410" s="207"/>
      <c r="AL410" s="207"/>
      <c r="AM410" s="207"/>
      <c r="AN410" s="207"/>
      <c r="AO410" s="207"/>
      <c r="AP410" s="207"/>
      <c r="AQ410" s="207"/>
      <c r="AR410" s="207"/>
      <c r="AS410" s="207"/>
      <c r="AT410" s="207"/>
      <c r="AU410" s="207"/>
      <c r="AV410" s="207"/>
      <c r="AW410" s="207"/>
      <c r="AX410" s="207"/>
      <c r="AY410" s="207"/>
      <c r="AZ410" s="207"/>
      <c r="BA410" s="207"/>
    </row>
    <row r="411" ht="18.75" hidden="1" customHeight="1">
      <c r="A411" s="1"/>
      <c r="B411" s="207"/>
      <c r="C411" s="207"/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  <c r="AB411" s="207"/>
      <c r="AC411" s="207"/>
      <c r="AD411" s="207"/>
      <c r="AE411" s="207"/>
      <c r="AF411" s="207"/>
      <c r="AG411" s="207"/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</row>
    <row r="412" ht="18.75" hidden="1" customHeight="1">
      <c r="A412" s="1"/>
      <c r="B412" s="207"/>
      <c r="C412" s="207"/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</row>
    <row r="413" ht="18.75" hidden="1" customHeight="1">
      <c r="A413" s="1"/>
      <c r="B413" s="207"/>
      <c r="C413" s="207"/>
      <c r="D413" s="207"/>
      <c r="E413" s="207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</row>
    <row r="414" ht="18.75" hidden="1" customHeight="1">
      <c r="A414" s="1"/>
      <c r="B414" s="207"/>
      <c r="C414" s="207"/>
      <c r="D414" s="207"/>
      <c r="E414" s="207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/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</row>
    <row r="415" ht="18.75" hidden="1" customHeight="1">
      <c r="A415" s="1"/>
      <c r="B415" s="207"/>
      <c r="C415" s="207"/>
      <c r="D415" s="207"/>
      <c r="E415" s="207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/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</row>
    <row r="416" ht="18.75" hidden="1" customHeight="1">
      <c r="A416" s="1"/>
      <c r="B416" s="207"/>
      <c r="C416" s="207"/>
      <c r="D416" s="207"/>
      <c r="E416" s="207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</row>
    <row r="417" ht="18.75" hidden="1" customHeight="1">
      <c r="A417" s="1"/>
      <c r="B417" s="207"/>
      <c r="C417" s="207"/>
      <c r="D417" s="207"/>
      <c r="E417" s="207"/>
      <c r="F417" s="207"/>
      <c r="G417" s="207"/>
      <c r="H417" s="207"/>
      <c r="I417" s="207"/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  <c r="AA417" s="207"/>
      <c r="AB417" s="207"/>
      <c r="AC417" s="207"/>
      <c r="AD417" s="207"/>
      <c r="AE417" s="207"/>
      <c r="AF417" s="207"/>
      <c r="AG417" s="207"/>
      <c r="AH417" s="207"/>
      <c r="AI417" s="207"/>
      <c r="AJ417" s="207"/>
      <c r="AK417" s="207"/>
      <c r="AL417" s="207"/>
      <c r="AM417" s="207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7"/>
    </row>
    <row r="418" ht="18.75" hidden="1" customHeight="1">
      <c r="A418" s="1"/>
      <c r="B418" s="207"/>
      <c r="C418" s="207"/>
      <c r="D418" s="207"/>
      <c r="E418" s="207"/>
      <c r="F418" s="207"/>
      <c r="G418" s="207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  <c r="AA418" s="207"/>
      <c r="AB418" s="207"/>
      <c r="AC418" s="207"/>
      <c r="AD418" s="207"/>
      <c r="AE418" s="207"/>
      <c r="AF418" s="207"/>
      <c r="AG418" s="207"/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</row>
    <row r="419" ht="18.75" hidden="1" customHeight="1">
      <c r="A419" s="1"/>
      <c r="B419" s="207"/>
      <c r="C419" s="207"/>
      <c r="D419" s="207"/>
      <c r="E419" s="207"/>
      <c r="F419" s="207"/>
      <c r="G419" s="207"/>
      <c r="H419" s="207"/>
      <c r="I419" s="207"/>
      <c r="J419" s="207"/>
      <c r="K419" s="207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  <c r="AA419" s="207"/>
      <c r="AB419" s="207"/>
      <c r="AC419" s="207"/>
      <c r="AD419" s="207"/>
      <c r="AE419" s="207"/>
      <c r="AF419" s="207"/>
      <c r="AG419" s="207"/>
      <c r="AH419" s="207"/>
      <c r="AI419" s="207"/>
      <c r="AJ419" s="207"/>
      <c r="AK419" s="207"/>
      <c r="AL419" s="207"/>
      <c r="AM419" s="207"/>
      <c r="AN419" s="207"/>
      <c r="AO419" s="207"/>
      <c r="AP419" s="207"/>
      <c r="AQ419" s="207"/>
      <c r="AR419" s="207"/>
      <c r="AS419" s="207"/>
      <c r="AT419" s="207"/>
      <c r="AU419" s="207"/>
      <c r="AV419" s="207"/>
      <c r="AW419" s="207"/>
      <c r="AX419" s="207"/>
      <c r="AY419" s="207"/>
      <c r="AZ419" s="207"/>
      <c r="BA419" s="207"/>
    </row>
    <row r="420" ht="18.75" hidden="1" customHeight="1">
      <c r="A420" s="1"/>
      <c r="B420" s="207"/>
      <c r="C420" s="207"/>
      <c r="D420" s="207"/>
      <c r="E420" s="207"/>
      <c r="F420" s="207"/>
      <c r="G420" s="207"/>
      <c r="H420" s="207"/>
      <c r="I420" s="207"/>
      <c r="J420" s="207"/>
      <c r="K420" s="207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  <c r="AA420" s="207"/>
      <c r="AB420" s="207"/>
      <c r="AC420" s="207"/>
      <c r="AD420" s="207"/>
      <c r="AE420" s="207"/>
      <c r="AF420" s="207"/>
      <c r="AG420" s="207"/>
      <c r="AH420" s="207"/>
      <c r="AI420" s="207"/>
      <c r="AJ420" s="207"/>
      <c r="AK420" s="207"/>
      <c r="AL420" s="207"/>
      <c r="AM420" s="207"/>
      <c r="AN420" s="207"/>
      <c r="AO420" s="207"/>
      <c r="AP420" s="207"/>
      <c r="AQ420" s="207"/>
      <c r="AR420" s="207"/>
      <c r="AS420" s="207"/>
      <c r="AT420" s="207"/>
      <c r="AU420" s="207"/>
      <c r="AV420" s="207"/>
      <c r="AW420" s="207"/>
      <c r="AX420" s="207"/>
      <c r="AY420" s="207"/>
      <c r="AZ420" s="207"/>
      <c r="BA420" s="207"/>
    </row>
    <row r="421" ht="18.75" hidden="1" customHeight="1">
      <c r="A421" s="1"/>
      <c r="B421" s="207"/>
      <c r="C421" s="207"/>
      <c r="D421" s="207"/>
      <c r="E421" s="207"/>
      <c r="F421" s="207"/>
      <c r="G421" s="207"/>
      <c r="H421" s="207"/>
      <c r="I421" s="207"/>
      <c r="J421" s="207"/>
      <c r="K421" s="207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  <c r="AA421" s="207"/>
      <c r="AB421" s="207"/>
      <c r="AC421" s="207"/>
      <c r="AD421" s="207"/>
      <c r="AE421" s="207"/>
      <c r="AF421" s="207"/>
      <c r="AG421" s="207"/>
      <c r="AH421" s="207"/>
      <c r="AI421" s="207"/>
      <c r="AJ421" s="207"/>
      <c r="AK421" s="207"/>
      <c r="AL421" s="207"/>
      <c r="AM421" s="207"/>
      <c r="AN421" s="207"/>
      <c r="AO421" s="207"/>
      <c r="AP421" s="207"/>
      <c r="AQ421" s="207"/>
      <c r="AR421" s="207"/>
      <c r="AS421" s="207"/>
      <c r="AT421" s="207"/>
      <c r="AU421" s="207"/>
      <c r="AV421" s="207"/>
      <c r="AW421" s="207"/>
      <c r="AX421" s="207"/>
      <c r="AY421" s="207"/>
      <c r="AZ421" s="207"/>
      <c r="BA421" s="207"/>
    </row>
    <row r="422" ht="18.75" hidden="1" customHeight="1">
      <c r="A422" s="1"/>
      <c r="B422" s="207"/>
      <c r="C422" s="207"/>
      <c r="D422" s="207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  <c r="AB422" s="207"/>
      <c r="AC422" s="207"/>
      <c r="AD422" s="207"/>
      <c r="AE422" s="207"/>
      <c r="AF422" s="207"/>
      <c r="AG422" s="207"/>
      <c r="AH422" s="207"/>
      <c r="AI422" s="207"/>
      <c r="AJ422" s="207"/>
      <c r="AK422" s="207"/>
      <c r="AL422" s="207"/>
      <c r="AM422" s="207"/>
      <c r="AN422" s="207"/>
      <c r="AO422" s="207"/>
      <c r="AP422" s="207"/>
      <c r="AQ422" s="207"/>
      <c r="AR422" s="207"/>
      <c r="AS422" s="207"/>
      <c r="AT422" s="207"/>
      <c r="AU422" s="207"/>
      <c r="AV422" s="207"/>
      <c r="AW422" s="207"/>
      <c r="AX422" s="207"/>
      <c r="AY422" s="207"/>
      <c r="AZ422" s="207"/>
      <c r="BA422" s="207"/>
    </row>
    <row r="423" ht="18.75" hidden="1" customHeight="1">
      <c r="A423" s="1"/>
      <c r="B423" s="207"/>
      <c r="C423" s="207"/>
      <c r="D423" s="207"/>
      <c r="E423" s="207"/>
      <c r="F423" s="207"/>
      <c r="G423" s="207"/>
      <c r="H423" s="207"/>
      <c r="I423" s="207"/>
      <c r="J423" s="207"/>
      <c r="K423" s="207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  <c r="AA423" s="207"/>
      <c r="AB423" s="207"/>
      <c r="AC423" s="207"/>
      <c r="AD423" s="207"/>
      <c r="AE423" s="207"/>
      <c r="AF423" s="207"/>
      <c r="AG423" s="207"/>
      <c r="AH423" s="207"/>
      <c r="AI423" s="207"/>
      <c r="AJ423" s="207"/>
      <c r="AK423" s="207"/>
      <c r="AL423" s="207"/>
      <c r="AM423" s="207"/>
      <c r="AN423" s="207"/>
      <c r="AO423" s="207"/>
      <c r="AP423" s="207"/>
      <c r="AQ423" s="207"/>
      <c r="AR423" s="207"/>
      <c r="AS423" s="207"/>
      <c r="AT423" s="207"/>
      <c r="AU423" s="207"/>
      <c r="AV423" s="207"/>
      <c r="AW423" s="207"/>
      <c r="AX423" s="207"/>
      <c r="AY423" s="207"/>
      <c r="AZ423" s="207"/>
      <c r="BA423" s="207"/>
    </row>
    <row r="424" ht="18.75" hidden="1" customHeight="1">
      <c r="A424" s="1"/>
      <c r="B424" s="207"/>
      <c r="C424" s="207"/>
      <c r="D424" s="207"/>
      <c r="E424" s="207"/>
      <c r="F424" s="207"/>
      <c r="G424" s="207"/>
      <c r="H424" s="207"/>
      <c r="I424" s="207"/>
      <c r="J424" s="207"/>
      <c r="K424" s="207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  <c r="AA424" s="207"/>
      <c r="AB424" s="207"/>
      <c r="AC424" s="207"/>
      <c r="AD424" s="207"/>
      <c r="AE424" s="207"/>
      <c r="AF424" s="207"/>
      <c r="AG424" s="207"/>
      <c r="AH424" s="207"/>
      <c r="AI424" s="207"/>
      <c r="AJ424" s="207"/>
      <c r="AK424" s="207"/>
      <c r="AL424" s="207"/>
      <c r="AM424" s="207"/>
      <c r="AN424" s="207"/>
      <c r="AO424" s="207"/>
      <c r="AP424" s="207"/>
      <c r="AQ424" s="207"/>
      <c r="AR424" s="207"/>
      <c r="AS424" s="207"/>
      <c r="AT424" s="207"/>
      <c r="AU424" s="207"/>
      <c r="AV424" s="207"/>
      <c r="AW424" s="207"/>
      <c r="AX424" s="207"/>
      <c r="AY424" s="207"/>
      <c r="AZ424" s="207"/>
      <c r="BA424" s="207"/>
    </row>
    <row r="425" ht="18.75" hidden="1" customHeight="1">
      <c r="A425" s="1"/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  <c r="AA425" s="207"/>
      <c r="AB425" s="207"/>
      <c r="AC425" s="207"/>
      <c r="AD425" s="207"/>
      <c r="AE425" s="207"/>
      <c r="AF425" s="207"/>
      <c r="AG425" s="207"/>
      <c r="AH425" s="207"/>
      <c r="AI425" s="207"/>
      <c r="AJ425" s="207"/>
      <c r="AK425" s="207"/>
      <c r="AL425" s="207"/>
      <c r="AM425" s="207"/>
      <c r="AN425" s="207"/>
      <c r="AO425" s="207"/>
      <c r="AP425" s="207"/>
      <c r="AQ425" s="207"/>
      <c r="AR425" s="207"/>
      <c r="AS425" s="207"/>
      <c r="AT425" s="207"/>
      <c r="AU425" s="207"/>
      <c r="AV425" s="207"/>
      <c r="AW425" s="207"/>
      <c r="AX425" s="207"/>
      <c r="AY425" s="207"/>
      <c r="AZ425" s="207"/>
      <c r="BA425" s="207"/>
    </row>
    <row r="426" ht="18.75" hidden="1" customHeight="1">
      <c r="A426" s="1"/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  <c r="AA426" s="207"/>
      <c r="AB426" s="207"/>
      <c r="AC426" s="207"/>
      <c r="AD426" s="207"/>
      <c r="AE426" s="207"/>
      <c r="AF426" s="207"/>
      <c r="AG426" s="207"/>
      <c r="AH426" s="207"/>
      <c r="AI426" s="207"/>
      <c r="AJ426" s="207"/>
      <c r="AK426" s="207"/>
      <c r="AL426" s="207"/>
      <c r="AM426" s="207"/>
      <c r="AN426" s="207"/>
      <c r="AO426" s="207"/>
      <c r="AP426" s="207"/>
      <c r="AQ426" s="207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</row>
    <row r="427" ht="18.75" hidden="1" customHeight="1">
      <c r="A427" s="1"/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  <c r="AB427" s="207"/>
      <c r="AC427" s="207"/>
      <c r="AD427" s="207"/>
      <c r="AE427" s="207"/>
      <c r="AF427" s="207"/>
      <c r="AG427" s="207"/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</row>
    <row r="428" ht="18.75" hidden="1" customHeight="1">
      <c r="A428" s="1"/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  <c r="AA428" s="207"/>
      <c r="AB428" s="207"/>
      <c r="AC428" s="207"/>
      <c r="AD428" s="207"/>
      <c r="AE428" s="207"/>
      <c r="AF428" s="207"/>
      <c r="AG428" s="207"/>
      <c r="AH428" s="207"/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</row>
    <row r="429" ht="18.75" hidden="1" customHeight="1">
      <c r="A429" s="1"/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  <c r="AB429" s="207"/>
      <c r="AC429" s="207"/>
      <c r="AD429" s="207"/>
      <c r="AE429" s="207"/>
      <c r="AF429" s="207"/>
      <c r="AG429" s="207"/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</row>
    <row r="430" ht="18.75" hidden="1" customHeight="1">
      <c r="A430" s="1"/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  <c r="AB430" s="207"/>
      <c r="AC430" s="207"/>
      <c r="AD430" s="207"/>
      <c r="AE430" s="207"/>
      <c r="AF430" s="207"/>
      <c r="AG430" s="207"/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</row>
    <row r="431" ht="18.75" hidden="1" customHeight="1">
      <c r="A431" s="1"/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  <c r="AA431" s="207"/>
      <c r="AB431" s="207"/>
      <c r="AC431" s="207"/>
      <c r="AD431" s="207"/>
      <c r="AE431" s="207"/>
      <c r="AF431" s="207"/>
      <c r="AG431" s="207"/>
      <c r="AH431" s="207"/>
      <c r="AI431" s="207"/>
      <c r="AJ431" s="207"/>
      <c r="AK431" s="207"/>
      <c r="AL431" s="207"/>
      <c r="AM431" s="207"/>
      <c r="AN431" s="207"/>
      <c r="AO431" s="207"/>
      <c r="AP431" s="207"/>
      <c r="AQ431" s="207"/>
      <c r="AR431" s="207"/>
      <c r="AS431" s="207"/>
      <c r="AT431" s="207"/>
      <c r="AU431" s="207"/>
      <c r="AV431" s="207"/>
      <c r="AW431" s="207"/>
      <c r="AX431" s="207"/>
      <c r="AY431" s="207"/>
      <c r="AZ431" s="207"/>
      <c r="BA431" s="207"/>
    </row>
    <row r="432" ht="18.75" hidden="1" customHeight="1">
      <c r="A432" s="1"/>
      <c r="B432" s="207"/>
      <c r="C432" s="207"/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  <c r="AA432" s="207"/>
      <c r="AB432" s="207"/>
      <c r="AC432" s="207"/>
      <c r="AD432" s="207"/>
      <c r="AE432" s="207"/>
      <c r="AF432" s="207"/>
      <c r="AG432" s="207"/>
      <c r="AH432" s="207"/>
      <c r="AI432" s="207"/>
      <c r="AJ432" s="207"/>
      <c r="AK432" s="207"/>
      <c r="AL432" s="207"/>
      <c r="AM432" s="207"/>
      <c r="AN432" s="207"/>
      <c r="AO432" s="207"/>
      <c r="AP432" s="207"/>
      <c r="AQ432" s="207"/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7"/>
    </row>
    <row r="433" ht="18.75" hidden="1" customHeight="1">
      <c r="A433" s="1"/>
      <c r="B433" s="207"/>
      <c r="C433" s="207"/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  <c r="AA433" s="207"/>
      <c r="AB433" s="207"/>
      <c r="AC433" s="207"/>
      <c r="AD433" s="207"/>
      <c r="AE433" s="207"/>
      <c r="AF433" s="207"/>
      <c r="AG433" s="207"/>
      <c r="AH433" s="207"/>
      <c r="AI433" s="207"/>
      <c r="AJ433" s="207"/>
      <c r="AK433" s="207"/>
      <c r="AL433" s="207"/>
      <c r="AM433" s="207"/>
      <c r="AN433" s="207"/>
      <c r="AO433" s="207"/>
      <c r="AP433" s="207"/>
      <c r="AQ433" s="207"/>
      <c r="AR433" s="207"/>
      <c r="AS433" s="207"/>
      <c r="AT433" s="207"/>
      <c r="AU433" s="207"/>
      <c r="AV433" s="207"/>
      <c r="AW433" s="207"/>
      <c r="AX433" s="207"/>
      <c r="AY433" s="207"/>
      <c r="AZ433" s="207"/>
      <c r="BA433" s="207"/>
    </row>
    <row r="434" ht="18.75" hidden="1" customHeight="1">
      <c r="A434" s="1"/>
      <c r="B434" s="207"/>
      <c r="C434" s="207"/>
      <c r="D434" s="207"/>
      <c r="E434" s="207"/>
      <c r="F434" s="207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  <c r="AA434" s="207"/>
      <c r="AB434" s="207"/>
      <c r="AC434" s="207"/>
      <c r="AD434" s="207"/>
      <c r="AE434" s="207"/>
      <c r="AF434" s="207"/>
      <c r="AG434" s="207"/>
      <c r="AH434" s="207"/>
      <c r="AI434" s="207"/>
      <c r="AJ434" s="207"/>
      <c r="AK434" s="207"/>
      <c r="AL434" s="207"/>
      <c r="AM434" s="207"/>
      <c r="AN434" s="207"/>
      <c r="AO434" s="207"/>
      <c r="AP434" s="207"/>
      <c r="AQ434" s="207"/>
      <c r="AR434" s="207"/>
      <c r="AS434" s="207"/>
      <c r="AT434" s="207"/>
      <c r="AU434" s="207"/>
      <c r="AV434" s="207"/>
      <c r="AW434" s="207"/>
      <c r="AX434" s="207"/>
      <c r="AY434" s="207"/>
      <c r="AZ434" s="207"/>
      <c r="BA434" s="207"/>
    </row>
    <row r="435" ht="18.75" hidden="1" customHeight="1">
      <c r="A435" s="1"/>
      <c r="B435" s="207"/>
      <c r="C435" s="207"/>
      <c r="D435" s="207"/>
      <c r="E435" s="207"/>
      <c r="F435" s="207"/>
      <c r="G435" s="207"/>
      <c r="H435" s="207"/>
      <c r="I435" s="207"/>
      <c r="J435" s="207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  <c r="AA435" s="207"/>
      <c r="AB435" s="207"/>
      <c r="AC435" s="207"/>
      <c r="AD435" s="207"/>
      <c r="AE435" s="207"/>
      <c r="AF435" s="207"/>
      <c r="AG435" s="207"/>
      <c r="AH435" s="207"/>
      <c r="AI435" s="207"/>
      <c r="AJ435" s="207"/>
      <c r="AK435" s="207"/>
      <c r="AL435" s="207"/>
      <c r="AM435" s="207"/>
      <c r="AN435" s="207"/>
      <c r="AO435" s="207"/>
      <c r="AP435" s="207"/>
      <c r="AQ435" s="207"/>
      <c r="AR435" s="207"/>
      <c r="AS435" s="207"/>
      <c r="AT435" s="207"/>
      <c r="AU435" s="207"/>
      <c r="AV435" s="207"/>
      <c r="AW435" s="207"/>
      <c r="AX435" s="207"/>
      <c r="AY435" s="207"/>
      <c r="AZ435" s="207"/>
      <c r="BA435" s="207"/>
    </row>
    <row r="436" ht="18.75" hidden="1" customHeight="1">
      <c r="A436" s="1"/>
      <c r="B436" s="207"/>
      <c r="C436" s="207"/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  <c r="AA436" s="207"/>
      <c r="AB436" s="207"/>
      <c r="AC436" s="207"/>
      <c r="AD436" s="207"/>
      <c r="AE436" s="207"/>
      <c r="AF436" s="207"/>
      <c r="AG436" s="207"/>
      <c r="AH436" s="207"/>
      <c r="AI436" s="207"/>
      <c r="AJ436" s="207"/>
      <c r="AK436" s="207"/>
      <c r="AL436" s="207"/>
      <c r="AM436" s="207"/>
      <c r="AN436" s="207"/>
      <c r="AO436" s="207"/>
      <c r="AP436" s="207"/>
      <c r="AQ436" s="207"/>
      <c r="AR436" s="207"/>
      <c r="AS436" s="207"/>
      <c r="AT436" s="207"/>
      <c r="AU436" s="207"/>
      <c r="AV436" s="207"/>
      <c r="AW436" s="207"/>
      <c r="AX436" s="207"/>
      <c r="AY436" s="207"/>
      <c r="AZ436" s="207"/>
      <c r="BA436" s="207"/>
    </row>
    <row r="437" ht="18.75" hidden="1" customHeight="1">
      <c r="A437" s="1"/>
      <c r="B437" s="207"/>
      <c r="C437" s="207"/>
      <c r="D437" s="207"/>
      <c r="E437" s="207"/>
      <c r="F437" s="207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  <c r="AA437" s="207"/>
      <c r="AB437" s="207"/>
      <c r="AC437" s="207"/>
      <c r="AD437" s="207"/>
      <c r="AE437" s="207"/>
      <c r="AF437" s="207"/>
      <c r="AG437" s="207"/>
      <c r="AH437" s="207"/>
      <c r="AI437" s="207"/>
      <c r="AJ437" s="207"/>
      <c r="AK437" s="207"/>
      <c r="AL437" s="207"/>
      <c r="AM437" s="207"/>
      <c r="AN437" s="207"/>
      <c r="AO437" s="207"/>
      <c r="AP437" s="207"/>
      <c r="AQ437" s="207"/>
      <c r="AR437" s="207"/>
      <c r="AS437" s="207"/>
      <c r="AT437" s="207"/>
      <c r="AU437" s="207"/>
      <c r="AV437" s="207"/>
      <c r="AW437" s="207"/>
      <c r="AX437" s="207"/>
      <c r="AY437" s="207"/>
      <c r="AZ437" s="207"/>
      <c r="BA437" s="207"/>
    </row>
    <row r="438" ht="18.75" hidden="1" customHeight="1">
      <c r="A438" s="1"/>
      <c r="B438" s="207"/>
      <c r="C438" s="207"/>
      <c r="D438" s="207"/>
      <c r="E438" s="207"/>
      <c r="F438" s="207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  <c r="AA438" s="207"/>
      <c r="AB438" s="207"/>
      <c r="AC438" s="207"/>
      <c r="AD438" s="207"/>
      <c r="AE438" s="207"/>
      <c r="AF438" s="207"/>
      <c r="AG438" s="207"/>
      <c r="AH438" s="207"/>
      <c r="AI438" s="207"/>
      <c r="AJ438" s="207"/>
      <c r="AK438" s="207"/>
      <c r="AL438" s="207"/>
      <c r="AM438" s="207"/>
      <c r="AN438" s="207"/>
      <c r="AO438" s="207"/>
      <c r="AP438" s="207"/>
      <c r="AQ438" s="207"/>
      <c r="AR438" s="207"/>
      <c r="AS438" s="207"/>
      <c r="AT438" s="207"/>
      <c r="AU438" s="207"/>
      <c r="AV438" s="207"/>
      <c r="AW438" s="207"/>
      <c r="AX438" s="207"/>
      <c r="AY438" s="207"/>
      <c r="AZ438" s="207"/>
      <c r="BA438" s="207"/>
    </row>
    <row r="439" ht="18.75" hidden="1" customHeight="1">
      <c r="A439" s="1"/>
      <c r="B439" s="207"/>
      <c r="C439" s="207"/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  <c r="AA439" s="207"/>
      <c r="AB439" s="207"/>
      <c r="AC439" s="207"/>
      <c r="AD439" s="207"/>
      <c r="AE439" s="207"/>
      <c r="AF439" s="207"/>
      <c r="AG439" s="207"/>
      <c r="AH439" s="207"/>
      <c r="AI439" s="207"/>
      <c r="AJ439" s="207"/>
      <c r="AK439" s="207"/>
      <c r="AL439" s="207"/>
      <c r="AM439" s="207"/>
      <c r="AN439" s="207"/>
      <c r="AO439" s="207"/>
      <c r="AP439" s="207"/>
      <c r="AQ439" s="207"/>
      <c r="AR439" s="207"/>
      <c r="AS439" s="207"/>
      <c r="AT439" s="207"/>
      <c r="AU439" s="207"/>
      <c r="AV439" s="207"/>
      <c r="AW439" s="207"/>
      <c r="AX439" s="207"/>
      <c r="AY439" s="207"/>
      <c r="AZ439" s="207"/>
      <c r="BA439" s="207"/>
    </row>
    <row r="440" ht="18.75" hidden="1" customHeight="1">
      <c r="A440" s="1"/>
      <c r="B440" s="207"/>
      <c r="C440" s="207"/>
      <c r="D440" s="207"/>
      <c r="E440" s="207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  <c r="AA440" s="207"/>
      <c r="AB440" s="207"/>
      <c r="AC440" s="207"/>
      <c r="AD440" s="207"/>
      <c r="AE440" s="207"/>
      <c r="AF440" s="207"/>
      <c r="AG440" s="207"/>
      <c r="AH440" s="207"/>
      <c r="AI440" s="207"/>
      <c r="AJ440" s="207"/>
      <c r="AK440" s="207"/>
      <c r="AL440" s="207"/>
      <c r="AM440" s="207"/>
      <c r="AN440" s="207"/>
      <c r="AO440" s="207"/>
      <c r="AP440" s="207"/>
      <c r="AQ440" s="207"/>
      <c r="AR440" s="207"/>
      <c r="AS440" s="207"/>
      <c r="AT440" s="207"/>
      <c r="AU440" s="207"/>
      <c r="AV440" s="207"/>
      <c r="AW440" s="207"/>
      <c r="AX440" s="207"/>
      <c r="AY440" s="207"/>
      <c r="AZ440" s="207"/>
      <c r="BA440" s="207"/>
    </row>
    <row r="441" ht="18.75" hidden="1" customHeight="1">
      <c r="A441" s="1"/>
      <c r="B441" s="207"/>
      <c r="C441" s="207"/>
      <c r="D441" s="207"/>
      <c r="E441" s="207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  <c r="AA441" s="207"/>
      <c r="AB441" s="207"/>
      <c r="AC441" s="207"/>
      <c r="AD441" s="207"/>
      <c r="AE441" s="207"/>
      <c r="AF441" s="207"/>
      <c r="AG441" s="207"/>
      <c r="AH441" s="207"/>
      <c r="AI441" s="207"/>
      <c r="AJ441" s="207"/>
      <c r="AK441" s="207"/>
      <c r="AL441" s="207"/>
      <c r="AM441" s="207"/>
      <c r="AN441" s="207"/>
      <c r="AO441" s="207"/>
      <c r="AP441" s="207"/>
      <c r="AQ441" s="207"/>
      <c r="AR441" s="207"/>
      <c r="AS441" s="207"/>
      <c r="AT441" s="207"/>
      <c r="AU441" s="207"/>
      <c r="AV441" s="207"/>
      <c r="AW441" s="207"/>
      <c r="AX441" s="207"/>
      <c r="AY441" s="207"/>
      <c r="AZ441" s="207"/>
      <c r="BA441" s="207"/>
    </row>
    <row r="442" ht="18.75" hidden="1" customHeight="1">
      <c r="A442" s="1"/>
      <c r="B442" s="207"/>
      <c r="C442" s="207"/>
      <c r="D442" s="207"/>
      <c r="E442" s="207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  <c r="AA442" s="207"/>
      <c r="AB442" s="207"/>
      <c r="AC442" s="207"/>
      <c r="AD442" s="207"/>
      <c r="AE442" s="207"/>
      <c r="AF442" s="207"/>
      <c r="AG442" s="207"/>
      <c r="AH442" s="207"/>
      <c r="AI442" s="207"/>
      <c r="AJ442" s="207"/>
      <c r="AK442" s="207"/>
      <c r="AL442" s="207"/>
      <c r="AM442" s="207"/>
      <c r="AN442" s="207"/>
      <c r="AO442" s="207"/>
      <c r="AP442" s="207"/>
      <c r="AQ442" s="207"/>
      <c r="AR442" s="207"/>
      <c r="AS442" s="207"/>
      <c r="AT442" s="207"/>
      <c r="AU442" s="207"/>
      <c r="AV442" s="207"/>
      <c r="AW442" s="207"/>
      <c r="AX442" s="207"/>
      <c r="AY442" s="207"/>
      <c r="AZ442" s="207"/>
      <c r="BA442" s="207"/>
    </row>
    <row r="443" ht="18.75" hidden="1" customHeight="1">
      <c r="A443" s="1"/>
      <c r="B443" s="207"/>
      <c r="C443" s="207"/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  <c r="AA443" s="207"/>
      <c r="AB443" s="207"/>
      <c r="AC443" s="207"/>
      <c r="AD443" s="207"/>
      <c r="AE443" s="207"/>
      <c r="AF443" s="207"/>
      <c r="AG443" s="207"/>
      <c r="AH443" s="207"/>
      <c r="AI443" s="207"/>
      <c r="AJ443" s="207"/>
      <c r="AK443" s="207"/>
      <c r="AL443" s="207"/>
      <c r="AM443" s="207"/>
      <c r="AN443" s="207"/>
      <c r="AO443" s="207"/>
      <c r="AP443" s="207"/>
      <c r="AQ443" s="207"/>
      <c r="AR443" s="207"/>
      <c r="AS443" s="207"/>
      <c r="AT443" s="207"/>
      <c r="AU443" s="207"/>
      <c r="AV443" s="207"/>
      <c r="AW443" s="207"/>
      <c r="AX443" s="207"/>
      <c r="AY443" s="207"/>
      <c r="AZ443" s="207"/>
      <c r="BA443" s="207"/>
    </row>
    <row r="444" ht="18.75" hidden="1" customHeight="1">
      <c r="A444" s="1"/>
      <c r="B444" s="207"/>
      <c r="C444" s="207"/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  <c r="AA444" s="207"/>
      <c r="AB444" s="207"/>
      <c r="AC444" s="207"/>
      <c r="AD444" s="207"/>
      <c r="AE444" s="207"/>
      <c r="AF444" s="207"/>
      <c r="AG444" s="207"/>
      <c r="AH444" s="207"/>
      <c r="AI444" s="207"/>
      <c r="AJ444" s="207"/>
      <c r="AK444" s="207"/>
      <c r="AL444" s="207"/>
      <c r="AM444" s="207"/>
      <c r="AN444" s="207"/>
      <c r="AO444" s="207"/>
      <c r="AP444" s="207"/>
      <c r="AQ444" s="207"/>
      <c r="AR444" s="207"/>
      <c r="AS444" s="207"/>
      <c r="AT444" s="207"/>
      <c r="AU444" s="207"/>
      <c r="AV444" s="207"/>
      <c r="AW444" s="207"/>
      <c r="AX444" s="207"/>
      <c r="AY444" s="207"/>
      <c r="AZ444" s="207"/>
      <c r="BA444" s="207"/>
    </row>
    <row r="445" ht="18.75" hidden="1" customHeight="1">
      <c r="A445" s="1"/>
      <c r="B445" s="207"/>
      <c r="C445" s="207"/>
      <c r="D445" s="207"/>
      <c r="E445" s="207"/>
      <c r="F445" s="207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  <c r="AA445" s="207"/>
      <c r="AB445" s="207"/>
      <c r="AC445" s="207"/>
      <c r="AD445" s="207"/>
      <c r="AE445" s="207"/>
      <c r="AF445" s="207"/>
      <c r="AG445" s="207"/>
      <c r="AH445" s="207"/>
      <c r="AI445" s="207"/>
      <c r="AJ445" s="207"/>
      <c r="AK445" s="207"/>
      <c r="AL445" s="207"/>
      <c r="AM445" s="207"/>
      <c r="AN445" s="207"/>
      <c r="AO445" s="207"/>
      <c r="AP445" s="207"/>
      <c r="AQ445" s="207"/>
      <c r="AR445" s="207"/>
      <c r="AS445" s="207"/>
      <c r="AT445" s="207"/>
      <c r="AU445" s="207"/>
      <c r="AV445" s="207"/>
      <c r="AW445" s="207"/>
      <c r="AX445" s="207"/>
      <c r="AY445" s="207"/>
      <c r="AZ445" s="207"/>
      <c r="BA445" s="207"/>
    </row>
    <row r="446" ht="18.75" hidden="1" customHeight="1">
      <c r="A446" s="1"/>
      <c r="B446" s="207"/>
      <c r="C446" s="207"/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  <c r="AA446" s="207"/>
      <c r="AB446" s="207"/>
      <c r="AC446" s="207"/>
      <c r="AD446" s="207"/>
      <c r="AE446" s="207"/>
      <c r="AF446" s="207"/>
      <c r="AG446" s="207"/>
      <c r="AH446" s="207"/>
      <c r="AI446" s="207"/>
      <c r="AJ446" s="207"/>
      <c r="AK446" s="207"/>
      <c r="AL446" s="207"/>
      <c r="AM446" s="207"/>
      <c r="AN446" s="207"/>
      <c r="AO446" s="207"/>
      <c r="AP446" s="207"/>
      <c r="AQ446" s="207"/>
      <c r="AR446" s="207"/>
      <c r="AS446" s="207"/>
      <c r="AT446" s="207"/>
      <c r="AU446" s="207"/>
      <c r="AV446" s="207"/>
      <c r="AW446" s="207"/>
      <c r="AX446" s="207"/>
      <c r="AY446" s="207"/>
      <c r="AZ446" s="207"/>
      <c r="BA446" s="207"/>
    </row>
    <row r="447" ht="18.75" hidden="1" customHeight="1">
      <c r="A447" s="1"/>
      <c r="B447" s="207"/>
      <c r="C447" s="207"/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  <c r="AA447" s="207"/>
      <c r="AB447" s="207"/>
      <c r="AC447" s="207"/>
      <c r="AD447" s="207"/>
      <c r="AE447" s="207"/>
      <c r="AF447" s="207"/>
      <c r="AG447" s="207"/>
      <c r="AH447" s="207"/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</row>
    <row r="448" ht="18.75" hidden="1" customHeight="1">
      <c r="A448" s="1"/>
      <c r="B448" s="207"/>
      <c r="C448" s="207"/>
      <c r="D448" s="207"/>
      <c r="E448" s="207"/>
      <c r="F448" s="207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  <c r="AA448" s="207"/>
      <c r="AB448" s="207"/>
      <c r="AC448" s="207"/>
      <c r="AD448" s="207"/>
      <c r="AE448" s="207"/>
      <c r="AF448" s="207"/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</row>
    <row r="449" ht="18.75" hidden="1" customHeight="1">
      <c r="A449" s="1"/>
      <c r="B449" s="207"/>
      <c r="C449" s="207"/>
      <c r="D449" s="207"/>
      <c r="E449" s="207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  <c r="AA449" s="207"/>
      <c r="AB449" s="207"/>
      <c r="AC449" s="207"/>
      <c r="AD449" s="207"/>
      <c r="AE449" s="207"/>
      <c r="AF449" s="207"/>
      <c r="AG449" s="207"/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</row>
    <row r="450" ht="18.75" hidden="1" customHeight="1">
      <c r="A450" s="1"/>
      <c r="B450" s="207"/>
      <c r="C450" s="207"/>
      <c r="D450" s="207"/>
      <c r="E450" s="207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  <c r="AA450" s="207"/>
      <c r="AB450" s="207"/>
      <c r="AC450" s="207"/>
      <c r="AD450" s="207"/>
      <c r="AE450" s="207"/>
      <c r="AF450" s="207"/>
      <c r="AG450" s="207"/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</row>
    <row r="451" ht="18.75" hidden="1" customHeight="1">
      <c r="A451" s="1"/>
      <c r="B451" s="207"/>
      <c r="C451" s="207"/>
      <c r="D451" s="207"/>
      <c r="E451" s="207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  <c r="AA451" s="207"/>
      <c r="AB451" s="207"/>
      <c r="AC451" s="207"/>
      <c r="AD451" s="207"/>
      <c r="AE451" s="207"/>
      <c r="AF451" s="207"/>
      <c r="AG451" s="207"/>
      <c r="AH451" s="207"/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</row>
    <row r="452" ht="18.75" hidden="1" customHeight="1">
      <c r="A452" s="1"/>
      <c r="B452" s="207"/>
      <c r="C452" s="207"/>
      <c r="D452" s="207"/>
      <c r="E452" s="207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  <c r="AA452" s="207"/>
      <c r="AB452" s="207"/>
      <c r="AC452" s="207"/>
      <c r="AD452" s="207"/>
      <c r="AE452" s="207"/>
      <c r="AF452" s="207"/>
      <c r="AG452" s="207"/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</row>
    <row r="453" ht="18.75" hidden="1" customHeight="1">
      <c r="A453" s="1"/>
      <c r="B453" s="207"/>
      <c r="C453" s="207"/>
      <c r="D453" s="207"/>
      <c r="E453" s="207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  <c r="AA453" s="207"/>
      <c r="AB453" s="207"/>
      <c r="AC453" s="207"/>
      <c r="AD453" s="207"/>
      <c r="AE453" s="207"/>
      <c r="AF453" s="207"/>
      <c r="AG453" s="207"/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</row>
    <row r="454" ht="18.75" hidden="1" customHeight="1">
      <c r="A454" s="1"/>
      <c r="B454" s="207"/>
      <c r="C454" s="207"/>
      <c r="D454" s="207"/>
      <c r="E454" s="207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  <c r="AA454" s="207"/>
      <c r="AB454" s="207"/>
      <c r="AC454" s="207"/>
      <c r="AD454" s="207"/>
      <c r="AE454" s="207"/>
      <c r="AF454" s="207"/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</row>
    <row r="455" ht="18.75" hidden="1" customHeight="1">
      <c r="A455" s="1"/>
      <c r="B455" s="207"/>
      <c r="C455" s="207"/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  <c r="AA455" s="207"/>
      <c r="AB455" s="207"/>
      <c r="AC455" s="207"/>
      <c r="AD455" s="207"/>
      <c r="AE455" s="207"/>
      <c r="AF455" s="207"/>
      <c r="AG455" s="207"/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</row>
    <row r="456" ht="18.75" hidden="1" customHeight="1">
      <c r="A456" s="1"/>
      <c r="B456" s="207"/>
      <c r="C456" s="207"/>
      <c r="D456" s="207"/>
      <c r="E456" s="207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  <c r="AA456" s="207"/>
      <c r="AB456" s="207"/>
      <c r="AC456" s="207"/>
      <c r="AD456" s="207"/>
      <c r="AE456" s="207"/>
      <c r="AF456" s="207"/>
      <c r="AG456" s="207"/>
      <c r="AH456" s="207"/>
      <c r="AI456" s="207"/>
      <c r="AJ456" s="207"/>
      <c r="AK456" s="207"/>
      <c r="AL456" s="207"/>
      <c r="AM456" s="207"/>
      <c r="AN456" s="207"/>
      <c r="AO456" s="207"/>
      <c r="AP456" s="207"/>
      <c r="AQ456" s="207"/>
      <c r="AR456" s="207"/>
      <c r="AS456" s="207"/>
      <c r="AT456" s="207"/>
      <c r="AU456" s="207"/>
      <c r="AV456" s="207"/>
      <c r="AW456" s="207"/>
      <c r="AX456" s="207"/>
      <c r="AY456" s="207"/>
      <c r="AZ456" s="207"/>
      <c r="BA456" s="207"/>
    </row>
    <row r="457" ht="18.75" hidden="1" customHeight="1">
      <c r="A457" s="1"/>
      <c r="B457" s="207"/>
      <c r="C457" s="207"/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  <c r="AB457" s="207"/>
      <c r="AC457" s="207"/>
      <c r="AD457" s="207"/>
      <c r="AE457" s="207"/>
      <c r="AF457" s="207"/>
      <c r="AG457" s="207"/>
      <c r="AH457" s="207"/>
      <c r="AI457" s="207"/>
      <c r="AJ457" s="207"/>
      <c r="AK457" s="207"/>
      <c r="AL457" s="207"/>
      <c r="AM457" s="207"/>
      <c r="AN457" s="207"/>
      <c r="AO457" s="207"/>
      <c r="AP457" s="207"/>
      <c r="AQ457" s="207"/>
      <c r="AR457" s="207"/>
      <c r="AS457" s="207"/>
      <c r="AT457" s="207"/>
      <c r="AU457" s="207"/>
      <c r="AV457" s="207"/>
      <c r="AW457" s="207"/>
      <c r="AX457" s="207"/>
      <c r="AY457" s="207"/>
      <c r="AZ457" s="207"/>
      <c r="BA457" s="207"/>
    </row>
    <row r="458" ht="18.75" hidden="1" customHeight="1">
      <c r="A458" s="1"/>
      <c r="B458" s="207"/>
      <c r="C458" s="207"/>
      <c r="D458" s="207"/>
      <c r="E458" s="207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  <c r="AB458" s="207"/>
      <c r="AC458" s="207"/>
      <c r="AD458" s="207"/>
      <c r="AE458" s="207"/>
      <c r="AF458" s="207"/>
      <c r="AG458" s="207"/>
      <c r="AH458" s="207"/>
      <c r="AI458" s="207"/>
      <c r="AJ458" s="207"/>
      <c r="AK458" s="207"/>
      <c r="AL458" s="207"/>
      <c r="AM458" s="207"/>
      <c r="AN458" s="207"/>
      <c r="AO458" s="207"/>
      <c r="AP458" s="207"/>
      <c r="AQ458" s="207"/>
      <c r="AR458" s="207"/>
      <c r="AS458" s="207"/>
      <c r="AT458" s="207"/>
      <c r="AU458" s="207"/>
      <c r="AV458" s="207"/>
      <c r="AW458" s="207"/>
      <c r="AX458" s="207"/>
      <c r="AY458" s="207"/>
      <c r="AZ458" s="207"/>
      <c r="BA458" s="207"/>
    </row>
    <row r="459" ht="18.75" hidden="1" customHeight="1">
      <c r="A459" s="1"/>
      <c r="B459" s="207"/>
      <c r="C459" s="207"/>
      <c r="D459" s="207"/>
      <c r="E459" s="207"/>
      <c r="F459" s="207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  <c r="AA459" s="207"/>
      <c r="AB459" s="207"/>
      <c r="AC459" s="207"/>
      <c r="AD459" s="207"/>
      <c r="AE459" s="207"/>
      <c r="AF459" s="207"/>
      <c r="AG459" s="207"/>
      <c r="AH459" s="207"/>
      <c r="AI459" s="207"/>
      <c r="AJ459" s="207"/>
      <c r="AK459" s="207"/>
      <c r="AL459" s="207"/>
      <c r="AM459" s="207"/>
      <c r="AN459" s="207"/>
      <c r="AO459" s="207"/>
      <c r="AP459" s="207"/>
      <c r="AQ459" s="207"/>
      <c r="AR459" s="207"/>
      <c r="AS459" s="207"/>
      <c r="AT459" s="207"/>
      <c r="AU459" s="207"/>
      <c r="AV459" s="207"/>
      <c r="AW459" s="207"/>
      <c r="AX459" s="207"/>
      <c r="AY459" s="207"/>
      <c r="AZ459" s="207"/>
      <c r="BA459" s="207"/>
    </row>
    <row r="460" ht="18.75" hidden="1" customHeight="1">
      <c r="A460" s="1"/>
      <c r="B460" s="207"/>
      <c r="C460" s="207"/>
      <c r="D460" s="207"/>
      <c r="E460" s="207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  <c r="AA460" s="207"/>
      <c r="AB460" s="207"/>
      <c r="AC460" s="207"/>
      <c r="AD460" s="207"/>
      <c r="AE460" s="207"/>
      <c r="AF460" s="207"/>
      <c r="AG460" s="207"/>
      <c r="AH460" s="207"/>
      <c r="AI460" s="207"/>
      <c r="AJ460" s="207"/>
      <c r="AK460" s="207"/>
      <c r="AL460" s="207"/>
      <c r="AM460" s="207"/>
      <c r="AN460" s="207"/>
      <c r="AO460" s="207"/>
      <c r="AP460" s="207"/>
      <c r="AQ460" s="207"/>
      <c r="AR460" s="207"/>
      <c r="AS460" s="207"/>
      <c r="AT460" s="207"/>
      <c r="AU460" s="207"/>
      <c r="AV460" s="207"/>
      <c r="AW460" s="207"/>
      <c r="AX460" s="207"/>
      <c r="AY460" s="207"/>
      <c r="AZ460" s="207"/>
      <c r="BA460" s="207"/>
    </row>
    <row r="461" ht="18.75" hidden="1" customHeight="1">
      <c r="A461" s="1"/>
      <c r="B461" s="207"/>
      <c r="C461" s="207"/>
      <c r="D461" s="207"/>
      <c r="E461" s="207"/>
      <c r="F461" s="207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  <c r="AA461" s="207"/>
      <c r="AB461" s="207"/>
      <c r="AC461" s="207"/>
      <c r="AD461" s="207"/>
      <c r="AE461" s="207"/>
      <c r="AF461" s="207"/>
      <c r="AG461" s="207"/>
      <c r="AH461" s="207"/>
      <c r="AI461" s="207"/>
      <c r="AJ461" s="207"/>
      <c r="AK461" s="207"/>
      <c r="AL461" s="207"/>
      <c r="AM461" s="207"/>
      <c r="AN461" s="207"/>
      <c r="AO461" s="207"/>
      <c r="AP461" s="207"/>
      <c r="AQ461" s="207"/>
      <c r="AR461" s="207"/>
      <c r="AS461" s="207"/>
      <c r="AT461" s="207"/>
      <c r="AU461" s="207"/>
      <c r="AV461" s="207"/>
      <c r="AW461" s="207"/>
      <c r="AX461" s="207"/>
      <c r="AY461" s="207"/>
      <c r="AZ461" s="207"/>
      <c r="BA461" s="207"/>
    </row>
    <row r="462" ht="18.75" hidden="1" customHeight="1">
      <c r="A462" s="1"/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  <c r="AA462" s="207"/>
      <c r="AB462" s="207"/>
      <c r="AC462" s="207"/>
      <c r="AD462" s="207"/>
      <c r="AE462" s="207"/>
      <c r="AF462" s="207"/>
      <c r="AG462" s="207"/>
      <c r="AH462" s="207"/>
      <c r="AI462" s="207"/>
      <c r="AJ462" s="207"/>
      <c r="AK462" s="207"/>
      <c r="AL462" s="207"/>
      <c r="AM462" s="207"/>
      <c r="AN462" s="207"/>
      <c r="AO462" s="207"/>
      <c r="AP462" s="207"/>
      <c r="AQ462" s="207"/>
      <c r="AR462" s="207"/>
      <c r="AS462" s="207"/>
      <c r="AT462" s="207"/>
      <c r="AU462" s="207"/>
      <c r="AV462" s="207"/>
      <c r="AW462" s="207"/>
      <c r="AX462" s="207"/>
      <c r="AY462" s="207"/>
      <c r="AZ462" s="207"/>
      <c r="BA462" s="207"/>
    </row>
    <row r="463" ht="18.75" hidden="1" customHeight="1">
      <c r="A463" s="1"/>
      <c r="B463" s="207"/>
      <c r="C463" s="207"/>
      <c r="D463" s="207"/>
      <c r="E463" s="207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  <c r="AA463" s="207"/>
      <c r="AB463" s="207"/>
      <c r="AC463" s="207"/>
      <c r="AD463" s="207"/>
      <c r="AE463" s="207"/>
      <c r="AF463" s="207"/>
      <c r="AG463" s="207"/>
      <c r="AH463" s="207"/>
      <c r="AI463" s="207"/>
      <c r="AJ463" s="207"/>
      <c r="AK463" s="207"/>
      <c r="AL463" s="207"/>
      <c r="AM463" s="207"/>
      <c r="AN463" s="207"/>
      <c r="AO463" s="207"/>
      <c r="AP463" s="207"/>
      <c r="AQ463" s="207"/>
      <c r="AR463" s="207"/>
      <c r="AS463" s="207"/>
      <c r="AT463" s="207"/>
      <c r="AU463" s="207"/>
      <c r="AV463" s="207"/>
      <c r="AW463" s="207"/>
      <c r="AX463" s="207"/>
      <c r="AY463" s="207"/>
      <c r="AZ463" s="207"/>
      <c r="BA463" s="207"/>
    </row>
    <row r="464" ht="18.75" hidden="1" customHeight="1">
      <c r="A464" s="1"/>
      <c r="B464" s="207"/>
      <c r="C464" s="207"/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  <c r="AA464" s="207"/>
      <c r="AB464" s="207"/>
      <c r="AC464" s="207"/>
      <c r="AD464" s="207"/>
      <c r="AE464" s="207"/>
      <c r="AF464" s="207"/>
      <c r="AG464" s="207"/>
      <c r="AH464" s="207"/>
      <c r="AI464" s="207"/>
      <c r="AJ464" s="207"/>
      <c r="AK464" s="207"/>
      <c r="AL464" s="207"/>
      <c r="AM464" s="207"/>
      <c r="AN464" s="207"/>
      <c r="AO464" s="207"/>
      <c r="AP464" s="207"/>
      <c r="AQ464" s="207"/>
      <c r="AR464" s="207"/>
      <c r="AS464" s="207"/>
      <c r="AT464" s="207"/>
      <c r="AU464" s="207"/>
      <c r="AV464" s="207"/>
      <c r="AW464" s="207"/>
      <c r="AX464" s="207"/>
      <c r="AY464" s="207"/>
      <c r="AZ464" s="207"/>
      <c r="BA464" s="207"/>
    </row>
    <row r="465" ht="18.75" hidden="1" customHeight="1">
      <c r="A465" s="1"/>
      <c r="B465" s="207"/>
      <c r="C465" s="207"/>
      <c r="D465" s="207"/>
      <c r="E465" s="207"/>
      <c r="F465" s="207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  <c r="AA465" s="207"/>
      <c r="AB465" s="207"/>
      <c r="AC465" s="207"/>
      <c r="AD465" s="207"/>
      <c r="AE465" s="207"/>
      <c r="AF465" s="207"/>
      <c r="AG465" s="207"/>
      <c r="AH465" s="207"/>
      <c r="AI465" s="207"/>
      <c r="AJ465" s="207"/>
      <c r="AK465" s="207"/>
      <c r="AL465" s="207"/>
      <c r="AM465" s="207"/>
      <c r="AN465" s="207"/>
      <c r="AO465" s="207"/>
      <c r="AP465" s="207"/>
      <c r="AQ465" s="207"/>
      <c r="AR465" s="207"/>
      <c r="AS465" s="207"/>
      <c r="AT465" s="207"/>
      <c r="AU465" s="207"/>
      <c r="AV465" s="207"/>
      <c r="AW465" s="207"/>
      <c r="AX465" s="207"/>
      <c r="AY465" s="207"/>
      <c r="AZ465" s="207"/>
      <c r="BA465" s="207"/>
    </row>
    <row r="466" ht="18.75" hidden="1" customHeight="1">
      <c r="A466" s="1"/>
      <c r="B466" s="207"/>
      <c r="C466" s="207"/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  <c r="AA466" s="207"/>
      <c r="AB466" s="207"/>
      <c r="AC466" s="207"/>
      <c r="AD466" s="207"/>
      <c r="AE466" s="207"/>
      <c r="AF466" s="207"/>
      <c r="AG466" s="207"/>
      <c r="AH466" s="207"/>
      <c r="AI466" s="207"/>
      <c r="AJ466" s="207"/>
      <c r="AK466" s="207"/>
      <c r="AL466" s="207"/>
      <c r="AM466" s="207"/>
      <c r="AN466" s="207"/>
      <c r="AO466" s="207"/>
      <c r="AP466" s="207"/>
      <c r="AQ466" s="207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</row>
    <row r="467" ht="18.75" hidden="1" customHeight="1">
      <c r="A467" s="1"/>
      <c r="B467" s="207"/>
      <c r="C467" s="207"/>
      <c r="D467" s="207"/>
      <c r="E467" s="207"/>
      <c r="F467" s="207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  <c r="AA467" s="207"/>
      <c r="AB467" s="207"/>
      <c r="AC467" s="207"/>
      <c r="AD467" s="207"/>
      <c r="AE467" s="207"/>
      <c r="AF467" s="207"/>
      <c r="AG467" s="207"/>
      <c r="AH467" s="207"/>
      <c r="AI467" s="207"/>
      <c r="AJ467" s="207"/>
      <c r="AK467" s="207"/>
      <c r="AL467" s="207"/>
      <c r="AM467" s="207"/>
      <c r="AN467" s="207"/>
      <c r="AO467" s="207"/>
      <c r="AP467" s="207"/>
      <c r="AQ467" s="207"/>
      <c r="AR467" s="207"/>
      <c r="AS467" s="207"/>
      <c r="AT467" s="207"/>
      <c r="AU467" s="207"/>
      <c r="AV467" s="207"/>
      <c r="AW467" s="207"/>
      <c r="AX467" s="207"/>
      <c r="AY467" s="207"/>
      <c r="AZ467" s="207"/>
      <c r="BA467" s="207"/>
    </row>
    <row r="468" ht="18.75" hidden="1" customHeight="1">
      <c r="A468" s="1"/>
      <c r="B468" s="207"/>
      <c r="C468" s="207"/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  <c r="AA468" s="207"/>
      <c r="AB468" s="207"/>
      <c r="AC468" s="207"/>
      <c r="AD468" s="207"/>
      <c r="AE468" s="207"/>
      <c r="AF468" s="207"/>
      <c r="AG468" s="207"/>
      <c r="AH468" s="207"/>
      <c r="AI468" s="207"/>
      <c r="AJ468" s="207"/>
      <c r="AK468" s="207"/>
      <c r="AL468" s="207"/>
      <c r="AM468" s="207"/>
      <c r="AN468" s="207"/>
      <c r="AO468" s="207"/>
      <c r="AP468" s="207"/>
      <c r="AQ468" s="207"/>
      <c r="AR468" s="207"/>
      <c r="AS468" s="207"/>
      <c r="AT468" s="207"/>
      <c r="AU468" s="207"/>
      <c r="AV468" s="207"/>
      <c r="AW468" s="207"/>
      <c r="AX468" s="207"/>
      <c r="AY468" s="207"/>
      <c r="AZ468" s="207"/>
      <c r="BA468" s="207"/>
    </row>
    <row r="469" ht="18.75" hidden="1" customHeight="1">
      <c r="A469" s="1"/>
      <c r="B469" s="207"/>
      <c r="C469" s="207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  <c r="AB469" s="207"/>
      <c r="AC469" s="207"/>
      <c r="AD469" s="207"/>
      <c r="AE469" s="207"/>
      <c r="AF469" s="207"/>
      <c r="AG469" s="207"/>
      <c r="AH469" s="207"/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</row>
    <row r="470" ht="18.75" hidden="1" customHeight="1">
      <c r="A470" s="1"/>
      <c r="B470" s="207"/>
      <c r="C470" s="207"/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  <c r="AA470" s="207"/>
      <c r="AB470" s="207"/>
      <c r="AC470" s="207"/>
      <c r="AD470" s="207"/>
      <c r="AE470" s="207"/>
      <c r="AF470" s="207"/>
      <c r="AG470" s="207"/>
      <c r="AH470" s="207"/>
      <c r="AI470" s="207"/>
      <c r="AJ470" s="207"/>
      <c r="AK470" s="207"/>
      <c r="AL470" s="207"/>
      <c r="AM470" s="207"/>
      <c r="AN470" s="207"/>
      <c r="AO470" s="207"/>
      <c r="AP470" s="207"/>
      <c r="AQ470" s="207"/>
      <c r="AR470" s="207"/>
      <c r="AS470" s="207"/>
      <c r="AT470" s="207"/>
      <c r="AU470" s="207"/>
      <c r="AV470" s="207"/>
      <c r="AW470" s="207"/>
      <c r="AX470" s="207"/>
      <c r="AY470" s="207"/>
      <c r="AZ470" s="207"/>
      <c r="BA470" s="207"/>
    </row>
    <row r="471" ht="18.75" hidden="1" customHeight="1">
      <c r="A471" s="1"/>
      <c r="B471" s="207"/>
      <c r="C471" s="207"/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  <c r="AA471" s="207"/>
      <c r="AB471" s="207"/>
      <c r="AC471" s="207"/>
      <c r="AD471" s="207"/>
      <c r="AE471" s="207"/>
      <c r="AF471" s="207"/>
      <c r="AG471" s="207"/>
      <c r="AH471" s="207"/>
      <c r="AI471" s="207"/>
      <c r="AJ471" s="207"/>
      <c r="AK471" s="207"/>
      <c r="AL471" s="207"/>
      <c r="AM471" s="207"/>
      <c r="AN471" s="207"/>
      <c r="AO471" s="207"/>
      <c r="AP471" s="207"/>
      <c r="AQ471" s="207"/>
      <c r="AR471" s="207"/>
      <c r="AS471" s="207"/>
      <c r="AT471" s="207"/>
      <c r="AU471" s="207"/>
      <c r="AV471" s="207"/>
      <c r="AW471" s="207"/>
      <c r="AX471" s="207"/>
      <c r="AY471" s="207"/>
      <c r="AZ471" s="207"/>
      <c r="BA471" s="207"/>
    </row>
    <row r="472" ht="18.75" hidden="1" customHeight="1">
      <c r="A472" s="1"/>
      <c r="B472" s="207"/>
      <c r="C472" s="207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  <c r="AA472" s="207"/>
      <c r="AB472" s="207"/>
      <c r="AC472" s="207"/>
      <c r="AD472" s="207"/>
      <c r="AE472" s="207"/>
      <c r="AF472" s="207"/>
      <c r="AG472" s="207"/>
      <c r="AH472" s="207"/>
      <c r="AI472" s="207"/>
      <c r="AJ472" s="207"/>
      <c r="AK472" s="207"/>
      <c r="AL472" s="207"/>
      <c r="AM472" s="207"/>
      <c r="AN472" s="207"/>
      <c r="AO472" s="207"/>
      <c r="AP472" s="207"/>
      <c r="AQ472" s="207"/>
      <c r="AR472" s="207"/>
      <c r="AS472" s="207"/>
      <c r="AT472" s="207"/>
      <c r="AU472" s="207"/>
      <c r="AV472" s="207"/>
      <c r="AW472" s="207"/>
      <c r="AX472" s="207"/>
      <c r="AY472" s="207"/>
      <c r="AZ472" s="207"/>
      <c r="BA472" s="207"/>
    </row>
    <row r="473" ht="18.75" hidden="1" customHeight="1">
      <c r="A473" s="1"/>
      <c r="B473" s="207"/>
      <c r="C473" s="207"/>
      <c r="D473" s="207"/>
      <c r="E473" s="207"/>
      <c r="F473" s="207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  <c r="AA473" s="207"/>
      <c r="AB473" s="207"/>
      <c r="AC473" s="207"/>
      <c r="AD473" s="207"/>
      <c r="AE473" s="207"/>
      <c r="AF473" s="207"/>
      <c r="AG473" s="207"/>
      <c r="AH473" s="207"/>
      <c r="AI473" s="207"/>
      <c r="AJ473" s="207"/>
      <c r="AK473" s="207"/>
      <c r="AL473" s="207"/>
      <c r="AM473" s="207"/>
      <c r="AN473" s="207"/>
      <c r="AO473" s="207"/>
      <c r="AP473" s="207"/>
      <c r="AQ473" s="207"/>
      <c r="AR473" s="207"/>
      <c r="AS473" s="207"/>
      <c r="AT473" s="207"/>
      <c r="AU473" s="207"/>
      <c r="AV473" s="207"/>
      <c r="AW473" s="207"/>
      <c r="AX473" s="207"/>
      <c r="AY473" s="207"/>
      <c r="AZ473" s="207"/>
      <c r="BA473" s="207"/>
    </row>
    <row r="474" ht="18.75" hidden="1" customHeight="1">
      <c r="A474" s="1"/>
      <c r="B474" s="207"/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  <c r="AA474" s="207"/>
      <c r="AB474" s="207"/>
      <c r="AC474" s="207"/>
      <c r="AD474" s="207"/>
      <c r="AE474" s="207"/>
      <c r="AF474" s="207"/>
      <c r="AG474" s="207"/>
      <c r="AH474" s="207"/>
      <c r="AI474" s="207"/>
      <c r="AJ474" s="207"/>
      <c r="AK474" s="207"/>
      <c r="AL474" s="207"/>
      <c r="AM474" s="207"/>
      <c r="AN474" s="207"/>
      <c r="AO474" s="207"/>
      <c r="AP474" s="207"/>
      <c r="AQ474" s="207"/>
      <c r="AR474" s="207"/>
      <c r="AS474" s="207"/>
      <c r="AT474" s="207"/>
      <c r="AU474" s="207"/>
      <c r="AV474" s="207"/>
      <c r="AW474" s="207"/>
      <c r="AX474" s="207"/>
      <c r="AY474" s="207"/>
      <c r="AZ474" s="207"/>
      <c r="BA474" s="207"/>
    </row>
    <row r="475" ht="18.75" hidden="1" customHeight="1">
      <c r="A475" s="1"/>
      <c r="B475" s="207"/>
      <c r="C475" s="207"/>
      <c r="D475" s="207"/>
      <c r="E475" s="207"/>
      <c r="F475" s="207"/>
      <c r="G475" s="207"/>
      <c r="H475" s="207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  <c r="AA475" s="207"/>
      <c r="AB475" s="207"/>
      <c r="AC475" s="207"/>
      <c r="AD475" s="207"/>
      <c r="AE475" s="207"/>
      <c r="AF475" s="207"/>
      <c r="AG475" s="207"/>
      <c r="AH475" s="207"/>
      <c r="AI475" s="207"/>
      <c r="AJ475" s="207"/>
      <c r="AK475" s="207"/>
      <c r="AL475" s="207"/>
      <c r="AM475" s="207"/>
      <c r="AN475" s="207"/>
      <c r="AO475" s="207"/>
      <c r="AP475" s="207"/>
      <c r="AQ475" s="207"/>
      <c r="AR475" s="207"/>
      <c r="AS475" s="207"/>
      <c r="AT475" s="207"/>
      <c r="AU475" s="207"/>
      <c r="AV475" s="207"/>
      <c r="AW475" s="207"/>
      <c r="AX475" s="207"/>
      <c r="AY475" s="207"/>
      <c r="AZ475" s="207"/>
      <c r="BA475" s="207"/>
    </row>
    <row r="476" ht="18.75" hidden="1" customHeight="1">
      <c r="A476" s="1"/>
      <c r="B476" s="207"/>
      <c r="C476" s="207"/>
      <c r="D476" s="207"/>
      <c r="E476" s="207"/>
      <c r="F476" s="207"/>
      <c r="G476" s="207"/>
      <c r="H476" s="207"/>
      <c r="I476" s="207"/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  <c r="AA476" s="207"/>
      <c r="AB476" s="207"/>
      <c r="AC476" s="207"/>
      <c r="AD476" s="207"/>
      <c r="AE476" s="207"/>
      <c r="AF476" s="207"/>
      <c r="AG476" s="207"/>
      <c r="AH476" s="207"/>
      <c r="AI476" s="207"/>
      <c r="AJ476" s="207"/>
      <c r="AK476" s="207"/>
      <c r="AL476" s="207"/>
      <c r="AM476" s="207"/>
      <c r="AN476" s="207"/>
      <c r="AO476" s="207"/>
      <c r="AP476" s="207"/>
      <c r="AQ476" s="207"/>
      <c r="AR476" s="207"/>
      <c r="AS476" s="207"/>
      <c r="AT476" s="207"/>
      <c r="AU476" s="207"/>
      <c r="AV476" s="207"/>
      <c r="AW476" s="207"/>
      <c r="AX476" s="207"/>
      <c r="AY476" s="207"/>
      <c r="AZ476" s="207"/>
      <c r="BA476" s="207"/>
    </row>
    <row r="477" ht="18.75" hidden="1" customHeight="1">
      <c r="A477" s="1"/>
      <c r="B477" s="207"/>
      <c r="C477" s="207"/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  <c r="AA477" s="207"/>
      <c r="AB477" s="207"/>
      <c r="AC477" s="207"/>
      <c r="AD477" s="207"/>
      <c r="AE477" s="207"/>
      <c r="AF477" s="207"/>
      <c r="AG477" s="207"/>
      <c r="AH477" s="207"/>
      <c r="AI477" s="207"/>
      <c r="AJ477" s="207"/>
      <c r="AK477" s="207"/>
      <c r="AL477" s="207"/>
      <c r="AM477" s="207"/>
      <c r="AN477" s="207"/>
      <c r="AO477" s="207"/>
      <c r="AP477" s="207"/>
      <c r="AQ477" s="207"/>
      <c r="AR477" s="207"/>
      <c r="AS477" s="207"/>
      <c r="AT477" s="207"/>
      <c r="AU477" s="207"/>
      <c r="AV477" s="207"/>
      <c r="AW477" s="207"/>
      <c r="AX477" s="207"/>
      <c r="AY477" s="207"/>
      <c r="AZ477" s="207"/>
      <c r="BA477" s="207"/>
    </row>
    <row r="478" ht="18.75" hidden="1" customHeight="1">
      <c r="A478" s="1"/>
      <c r="B478" s="207"/>
      <c r="C478" s="207"/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  <c r="AA478" s="207"/>
      <c r="AB478" s="207"/>
      <c r="AC478" s="207"/>
      <c r="AD478" s="207"/>
      <c r="AE478" s="207"/>
      <c r="AF478" s="207"/>
      <c r="AG478" s="207"/>
      <c r="AH478" s="207"/>
      <c r="AI478" s="207"/>
      <c r="AJ478" s="207"/>
      <c r="AK478" s="207"/>
      <c r="AL478" s="207"/>
      <c r="AM478" s="207"/>
      <c r="AN478" s="207"/>
      <c r="AO478" s="207"/>
      <c r="AP478" s="207"/>
      <c r="AQ478" s="207"/>
      <c r="AR478" s="207"/>
      <c r="AS478" s="207"/>
      <c r="AT478" s="207"/>
      <c r="AU478" s="207"/>
      <c r="AV478" s="207"/>
      <c r="AW478" s="207"/>
      <c r="AX478" s="207"/>
      <c r="AY478" s="207"/>
      <c r="AZ478" s="207"/>
      <c r="BA478" s="207"/>
    </row>
    <row r="479" ht="18.75" hidden="1" customHeight="1">
      <c r="A479" s="1"/>
      <c r="B479" s="207"/>
      <c r="C479" s="207"/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  <c r="AA479" s="207"/>
      <c r="AB479" s="207"/>
      <c r="AC479" s="207"/>
      <c r="AD479" s="207"/>
      <c r="AE479" s="207"/>
      <c r="AF479" s="207"/>
      <c r="AG479" s="207"/>
      <c r="AH479" s="207"/>
      <c r="AI479" s="207"/>
      <c r="AJ479" s="207"/>
      <c r="AK479" s="207"/>
      <c r="AL479" s="207"/>
      <c r="AM479" s="207"/>
      <c r="AN479" s="207"/>
      <c r="AO479" s="207"/>
      <c r="AP479" s="207"/>
      <c r="AQ479" s="207"/>
      <c r="AR479" s="207"/>
      <c r="AS479" s="207"/>
      <c r="AT479" s="207"/>
      <c r="AU479" s="207"/>
      <c r="AV479" s="207"/>
      <c r="AW479" s="207"/>
      <c r="AX479" s="207"/>
      <c r="AY479" s="207"/>
      <c r="AZ479" s="207"/>
      <c r="BA479" s="207"/>
    </row>
    <row r="480" ht="18.75" hidden="1" customHeight="1">
      <c r="A480" s="1"/>
      <c r="B480" s="207"/>
      <c r="C480" s="207"/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  <c r="AA480" s="207"/>
      <c r="AB480" s="207"/>
      <c r="AC480" s="207"/>
      <c r="AD480" s="207"/>
      <c r="AE480" s="207"/>
      <c r="AF480" s="207"/>
      <c r="AG480" s="207"/>
      <c r="AH480" s="207"/>
      <c r="AI480" s="207"/>
      <c r="AJ480" s="207"/>
      <c r="AK480" s="207"/>
      <c r="AL480" s="207"/>
      <c r="AM480" s="207"/>
      <c r="AN480" s="207"/>
      <c r="AO480" s="207"/>
      <c r="AP480" s="207"/>
      <c r="AQ480" s="207"/>
      <c r="AR480" s="207"/>
      <c r="AS480" s="207"/>
      <c r="AT480" s="207"/>
      <c r="AU480" s="207"/>
      <c r="AV480" s="207"/>
      <c r="AW480" s="207"/>
      <c r="AX480" s="207"/>
      <c r="AY480" s="207"/>
      <c r="AZ480" s="207"/>
      <c r="BA480" s="207"/>
    </row>
    <row r="481" ht="18.75" hidden="1" customHeight="1">
      <c r="A481" s="1"/>
      <c r="B481" s="207"/>
      <c r="C481" s="207"/>
      <c r="D481" s="207"/>
      <c r="E481" s="207"/>
      <c r="F481" s="207"/>
      <c r="G481" s="207"/>
      <c r="H481" s="207"/>
      <c r="I481" s="207"/>
      <c r="J481" s="207"/>
      <c r="K481" s="207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  <c r="AA481" s="207"/>
      <c r="AB481" s="207"/>
      <c r="AC481" s="207"/>
      <c r="AD481" s="207"/>
      <c r="AE481" s="207"/>
      <c r="AF481" s="207"/>
      <c r="AG481" s="207"/>
      <c r="AH481" s="207"/>
      <c r="AI481" s="207"/>
      <c r="AJ481" s="207"/>
      <c r="AK481" s="207"/>
      <c r="AL481" s="207"/>
      <c r="AM481" s="207"/>
      <c r="AN481" s="207"/>
      <c r="AO481" s="207"/>
      <c r="AP481" s="207"/>
      <c r="AQ481" s="207"/>
      <c r="AR481" s="207"/>
      <c r="AS481" s="207"/>
      <c r="AT481" s="207"/>
      <c r="AU481" s="207"/>
      <c r="AV481" s="207"/>
      <c r="AW481" s="207"/>
      <c r="AX481" s="207"/>
      <c r="AY481" s="207"/>
      <c r="AZ481" s="207"/>
      <c r="BA481" s="207"/>
    </row>
    <row r="482" ht="18.75" hidden="1" customHeight="1">
      <c r="A482" s="1"/>
      <c r="B482" s="207"/>
      <c r="C482" s="207"/>
      <c r="D482" s="207"/>
      <c r="E482" s="207"/>
      <c r="F482" s="207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  <c r="AA482" s="207"/>
      <c r="AB482" s="207"/>
      <c r="AC482" s="207"/>
      <c r="AD482" s="207"/>
      <c r="AE482" s="207"/>
      <c r="AF482" s="207"/>
      <c r="AG482" s="207"/>
      <c r="AH482" s="207"/>
      <c r="AI482" s="207"/>
      <c r="AJ482" s="207"/>
      <c r="AK482" s="207"/>
      <c r="AL482" s="207"/>
      <c r="AM482" s="207"/>
      <c r="AN482" s="207"/>
      <c r="AO482" s="207"/>
      <c r="AP482" s="207"/>
      <c r="AQ482" s="207"/>
      <c r="AR482" s="207"/>
      <c r="AS482" s="207"/>
      <c r="AT482" s="207"/>
      <c r="AU482" s="207"/>
      <c r="AV482" s="207"/>
      <c r="AW482" s="207"/>
      <c r="AX482" s="207"/>
      <c r="AY482" s="207"/>
      <c r="AZ482" s="207"/>
      <c r="BA482" s="207"/>
    </row>
    <row r="483" ht="18.75" hidden="1" customHeight="1">
      <c r="A483" s="1"/>
      <c r="B483" s="207"/>
      <c r="C483" s="207"/>
      <c r="D483" s="207"/>
      <c r="E483" s="207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  <c r="AA483" s="207"/>
      <c r="AB483" s="207"/>
      <c r="AC483" s="207"/>
      <c r="AD483" s="207"/>
      <c r="AE483" s="207"/>
      <c r="AF483" s="207"/>
      <c r="AG483" s="207"/>
      <c r="AH483" s="207"/>
      <c r="AI483" s="207"/>
      <c r="AJ483" s="207"/>
      <c r="AK483" s="207"/>
      <c r="AL483" s="207"/>
      <c r="AM483" s="207"/>
      <c r="AN483" s="207"/>
      <c r="AO483" s="207"/>
      <c r="AP483" s="207"/>
      <c r="AQ483" s="207"/>
      <c r="AR483" s="207"/>
      <c r="AS483" s="207"/>
      <c r="AT483" s="207"/>
      <c r="AU483" s="207"/>
      <c r="AV483" s="207"/>
      <c r="AW483" s="207"/>
      <c r="AX483" s="207"/>
      <c r="AY483" s="207"/>
      <c r="AZ483" s="207"/>
      <c r="BA483" s="207"/>
    </row>
    <row r="484" ht="18.75" hidden="1" customHeight="1">
      <c r="A484" s="1"/>
      <c r="B484" s="207"/>
      <c r="C484" s="207"/>
      <c r="D484" s="207"/>
      <c r="E484" s="207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  <c r="AA484" s="207"/>
      <c r="AB484" s="207"/>
      <c r="AC484" s="207"/>
      <c r="AD484" s="207"/>
      <c r="AE484" s="207"/>
      <c r="AF484" s="207"/>
      <c r="AG484" s="207"/>
      <c r="AH484" s="207"/>
      <c r="AI484" s="207"/>
      <c r="AJ484" s="207"/>
      <c r="AK484" s="207"/>
      <c r="AL484" s="207"/>
      <c r="AM484" s="207"/>
      <c r="AN484" s="207"/>
      <c r="AO484" s="207"/>
      <c r="AP484" s="207"/>
      <c r="AQ484" s="207"/>
      <c r="AR484" s="207"/>
      <c r="AS484" s="207"/>
      <c r="AT484" s="207"/>
      <c r="AU484" s="207"/>
      <c r="AV484" s="207"/>
      <c r="AW484" s="207"/>
      <c r="AX484" s="207"/>
      <c r="AY484" s="207"/>
      <c r="AZ484" s="207"/>
      <c r="BA484" s="207"/>
    </row>
    <row r="485" ht="18.75" hidden="1" customHeight="1">
      <c r="A485" s="1"/>
      <c r="B485" s="207"/>
      <c r="C485" s="207"/>
      <c r="D485" s="207"/>
      <c r="E485" s="207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  <c r="AA485" s="207"/>
      <c r="AB485" s="207"/>
      <c r="AC485" s="207"/>
      <c r="AD485" s="207"/>
      <c r="AE485" s="207"/>
      <c r="AF485" s="207"/>
      <c r="AG485" s="207"/>
      <c r="AH485" s="207"/>
      <c r="AI485" s="207"/>
      <c r="AJ485" s="207"/>
      <c r="AK485" s="207"/>
      <c r="AL485" s="207"/>
      <c r="AM485" s="207"/>
      <c r="AN485" s="207"/>
      <c r="AO485" s="207"/>
      <c r="AP485" s="207"/>
      <c r="AQ485" s="207"/>
      <c r="AR485" s="207"/>
      <c r="AS485" s="207"/>
      <c r="AT485" s="207"/>
      <c r="AU485" s="207"/>
      <c r="AV485" s="207"/>
      <c r="AW485" s="207"/>
      <c r="AX485" s="207"/>
      <c r="AY485" s="207"/>
      <c r="AZ485" s="207"/>
      <c r="BA485" s="207"/>
    </row>
    <row r="486" ht="18.75" hidden="1" customHeight="1">
      <c r="A486" s="1"/>
      <c r="B486" s="207"/>
      <c r="C486" s="207"/>
      <c r="D486" s="207"/>
      <c r="E486" s="207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  <c r="AA486" s="207"/>
      <c r="AB486" s="207"/>
      <c r="AC486" s="207"/>
      <c r="AD486" s="207"/>
      <c r="AE486" s="207"/>
      <c r="AF486" s="207"/>
      <c r="AG486" s="207"/>
      <c r="AH486" s="207"/>
      <c r="AI486" s="207"/>
      <c r="AJ486" s="207"/>
      <c r="AK486" s="207"/>
      <c r="AL486" s="207"/>
      <c r="AM486" s="207"/>
      <c r="AN486" s="207"/>
      <c r="AO486" s="207"/>
      <c r="AP486" s="207"/>
      <c r="AQ486" s="207"/>
      <c r="AR486" s="207"/>
      <c r="AS486" s="207"/>
      <c r="AT486" s="207"/>
      <c r="AU486" s="207"/>
      <c r="AV486" s="207"/>
      <c r="AW486" s="207"/>
      <c r="AX486" s="207"/>
      <c r="AY486" s="207"/>
      <c r="AZ486" s="207"/>
      <c r="BA486" s="207"/>
    </row>
    <row r="487" ht="18.75" hidden="1" customHeight="1">
      <c r="A487" s="1"/>
      <c r="B487" s="207"/>
      <c r="C487" s="207"/>
      <c r="D487" s="207"/>
      <c r="E487" s="207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  <c r="AA487" s="207"/>
      <c r="AB487" s="207"/>
      <c r="AC487" s="207"/>
      <c r="AD487" s="207"/>
      <c r="AE487" s="207"/>
      <c r="AF487" s="207"/>
      <c r="AG487" s="207"/>
      <c r="AH487" s="207"/>
      <c r="AI487" s="207"/>
      <c r="AJ487" s="207"/>
      <c r="AK487" s="207"/>
      <c r="AL487" s="207"/>
      <c r="AM487" s="207"/>
      <c r="AN487" s="207"/>
      <c r="AO487" s="207"/>
      <c r="AP487" s="207"/>
      <c r="AQ487" s="207"/>
      <c r="AR487" s="207"/>
      <c r="AS487" s="207"/>
      <c r="AT487" s="207"/>
      <c r="AU487" s="207"/>
      <c r="AV487" s="207"/>
      <c r="AW487" s="207"/>
      <c r="AX487" s="207"/>
      <c r="AY487" s="207"/>
      <c r="AZ487" s="207"/>
      <c r="BA487" s="207"/>
    </row>
    <row r="488" ht="18.75" hidden="1" customHeight="1">
      <c r="A488" s="1"/>
      <c r="B488" s="207"/>
      <c r="C488" s="207"/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  <c r="AA488" s="207"/>
      <c r="AB488" s="207"/>
      <c r="AC488" s="207"/>
      <c r="AD488" s="207"/>
      <c r="AE488" s="207"/>
      <c r="AF488" s="207"/>
      <c r="AG488" s="207"/>
      <c r="AH488" s="207"/>
      <c r="AI488" s="207"/>
      <c r="AJ488" s="207"/>
      <c r="AK488" s="207"/>
      <c r="AL488" s="207"/>
      <c r="AM488" s="207"/>
      <c r="AN488" s="207"/>
      <c r="AO488" s="207"/>
      <c r="AP488" s="207"/>
      <c r="AQ488" s="207"/>
      <c r="AR488" s="207"/>
      <c r="AS488" s="207"/>
      <c r="AT488" s="207"/>
      <c r="AU488" s="207"/>
      <c r="AV488" s="207"/>
      <c r="AW488" s="207"/>
      <c r="AX488" s="207"/>
      <c r="AY488" s="207"/>
      <c r="AZ488" s="207"/>
      <c r="BA488" s="207"/>
    </row>
    <row r="489" ht="18.75" hidden="1" customHeight="1">
      <c r="A489" s="1"/>
      <c r="B489" s="207"/>
      <c r="C489" s="207"/>
      <c r="D489" s="207"/>
      <c r="E489" s="207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  <c r="AA489" s="207"/>
      <c r="AB489" s="207"/>
      <c r="AC489" s="207"/>
      <c r="AD489" s="207"/>
      <c r="AE489" s="207"/>
      <c r="AF489" s="207"/>
      <c r="AG489" s="207"/>
      <c r="AH489" s="207"/>
      <c r="AI489" s="207"/>
      <c r="AJ489" s="207"/>
      <c r="AK489" s="207"/>
      <c r="AL489" s="207"/>
      <c r="AM489" s="207"/>
      <c r="AN489" s="207"/>
      <c r="AO489" s="207"/>
      <c r="AP489" s="207"/>
      <c r="AQ489" s="207"/>
      <c r="AR489" s="207"/>
      <c r="AS489" s="207"/>
      <c r="AT489" s="207"/>
      <c r="AU489" s="207"/>
      <c r="AV489" s="207"/>
      <c r="AW489" s="207"/>
      <c r="AX489" s="207"/>
      <c r="AY489" s="207"/>
      <c r="AZ489" s="207"/>
      <c r="BA489" s="207"/>
    </row>
    <row r="490" ht="18.75" hidden="1" customHeight="1">
      <c r="A490" s="1"/>
      <c r="B490" s="207"/>
      <c r="C490" s="207"/>
      <c r="D490" s="207"/>
      <c r="E490" s="207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  <c r="AA490" s="207"/>
      <c r="AB490" s="207"/>
      <c r="AC490" s="207"/>
      <c r="AD490" s="207"/>
      <c r="AE490" s="207"/>
      <c r="AF490" s="207"/>
      <c r="AG490" s="207"/>
      <c r="AH490" s="207"/>
      <c r="AI490" s="207"/>
      <c r="AJ490" s="207"/>
      <c r="AK490" s="207"/>
      <c r="AL490" s="207"/>
      <c r="AM490" s="207"/>
      <c r="AN490" s="207"/>
      <c r="AO490" s="207"/>
      <c r="AP490" s="207"/>
      <c r="AQ490" s="207"/>
      <c r="AR490" s="207"/>
      <c r="AS490" s="207"/>
      <c r="AT490" s="207"/>
      <c r="AU490" s="207"/>
      <c r="AV490" s="207"/>
      <c r="AW490" s="207"/>
      <c r="AX490" s="207"/>
      <c r="AY490" s="207"/>
      <c r="AZ490" s="207"/>
      <c r="BA490" s="207"/>
    </row>
    <row r="491" ht="18.75" hidden="1" customHeight="1">
      <c r="A491" s="1"/>
      <c r="B491" s="207"/>
      <c r="C491" s="207"/>
      <c r="D491" s="207"/>
      <c r="E491" s="207"/>
      <c r="F491" s="207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  <c r="AA491" s="207"/>
      <c r="AB491" s="207"/>
      <c r="AC491" s="207"/>
      <c r="AD491" s="207"/>
      <c r="AE491" s="207"/>
      <c r="AF491" s="207"/>
      <c r="AG491" s="207"/>
      <c r="AH491" s="207"/>
      <c r="AI491" s="207"/>
      <c r="AJ491" s="207"/>
      <c r="AK491" s="207"/>
      <c r="AL491" s="207"/>
      <c r="AM491" s="207"/>
      <c r="AN491" s="207"/>
      <c r="AO491" s="207"/>
      <c r="AP491" s="207"/>
      <c r="AQ491" s="207"/>
      <c r="AR491" s="207"/>
      <c r="AS491" s="207"/>
      <c r="AT491" s="207"/>
      <c r="AU491" s="207"/>
      <c r="AV491" s="207"/>
      <c r="AW491" s="207"/>
      <c r="AX491" s="207"/>
      <c r="AY491" s="207"/>
      <c r="AZ491" s="207"/>
      <c r="BA491" s="207"/>
    </row>
    <row r="492" ht="18.75" hidden="1" customHeight="1">
      <c r="A492" s="1"/>
      <c r="B492" s="207"/>
      <c r="C492" s="207"/>
      <c r="D492" s="207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  <c r="AB492" s="207"/>
      <c r="AC492" s="207"/>
      <c r="AD492" s="207"/>
      <c r="AE492" s="207"/>
      <c r="AF492" s="207"/>
      <c r="AG492" s="207"/>
      <c r="AH492" s="207"/>
      <c r="AI492" s="207"/>
      <c r="AJ492" s="207"/>
      <c r="AK492" s="207"/>
      <c r="AL492" s="207"/>
      <c r="AM492" s="207"/>
      <c r="AN492" s="207"/>
      <c r="AO492" s="207"/>
      <c r="AP492" s="207"/>
      <c r="AQ492" s="207"/>
      <c r="AR492" s="207"/>
      <c r="AS492" s="207"/>
      <c r="AT492" s="207"/>
      <c r="AU492" s="207"/>
      <c r="AV492" s="207"/>
      <c r="AW492" s="207"/>
      <c r="AX492" s="207"/>
      <c r="AY492" s="207"/>
      <c r="AZ492" s="207"/>
      <c r="BA492" s="207"/>
    </row>
    <row r="493" ht="18.75" hidden="1" customHeight="1">
      <c r="A493" s="1"/>
      <c r="B493" s="207"/>
      <c r="C493" s="207"/>
      <c r="D493" s="207"/>
      <c r="E493" s="207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  <c r="AA493" s="207"/>
      <c r="AB493" s="207"/>
      <c r="AC493" s="207"/>
      <c r="AD493" s="207"/>
      <c r="AE493" s="207"/>
      <c r="AF493" s="207"/>
      <c r="AG493" s="207"/>
      <c r="AH493" s="207"/>
      <c r="AI493" s="207"/>
      <c r="AJ493" s="207"/>
      <c r="AK493" s="207"/>
      <c r="AL493" s="207"/>
      <c r="AM493" s="207"/>
      <c r="AN493" s="207"/>
      <c r="AO493" s="207"/>
      <c r="AP493" s="207"/>
      <c r="AQ493" s="207"/>
      <c r="AR493" s="207"/>
      <c r="AS493" s="207"/>
      <c r="AT493" s="207"/>
      <c r="AU493" s="207"/>
      <c r="AV493" s="207"/>
      <c r="AW493" s="207"/>
      <c r="AX493" s="207"/>
      <c r="AY493" s="207"/>
      <c r="AZ493" s="207"/>
      <c r="BA493" s="207"/>
    </row>
    <row r="494" ht="18.75" hidden="1" customHeight="1">
      <c r="A494" s="1"/>
      <c r="B494" s="207"/>
      <c r="C494" s="207"/>
      <c r="D494" s="207"/>
      <c r="E494" s="207"/>
      <c r="F494" s="207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  <c r="AA494" s="207"/>
      <c r="AB494" s="207"/>
      <c r="AC494" s="207"/>
      <c r="AD494" s="207"/>
      <c r="AE494" s="207"/>
      <c r="AF494" s="207"/>
      <c r="AG494" s="207"/>
      <c r="AH494" s="207"/>
      <c r="AI494" s="207"/>
      <c r="AJ494" s="207"/>
      <c r="AK494" s="207"/>
      <c r="AL494" s="207"/>
      <c r="AM494" s="207"/>
      <c r="AN494" s="207"/>
      <c r="AO494" s="207"/>
      <c r="AP494" s="207"/>
      <c r="AQ494" s="207"/>
      <c r="AR494" s="207"/>
      <c r="AS494" s="207"/>
      <c r="AT494" s="207"/>
      <c r="AU494" s="207"/>
      <c r="AV494" s="207"/>
      <c r="AW494" s="207"/>
      <c r="AX494" s="207"/>
      <c r="AY494" s="207"/>
      <c r="AZ494" s="207"/>
      <c r="BA494" s="207"/>
    </row>
    <row r="495" ht="18.75" hidden="1" customHeight="1">
      <c r="A495" s="1"/>
      <c r="B495" s="207"/>
      <c r="C495" s="207"/>
      <c r="D495" s="207"/>
      <c r="E495" s="207"/>
      <c r="F495" s="207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  <c r="AA495" s="207"/>
      <c r="AB495" s="207"/>
      <c r="AC495" s="207"/>
      <c r="AD495" s="207"/>
      <c r="AE495" s="207"/>
      <c r="AF495" s="207"/>
      <c r="AG495" s="207"/>
      <c r="AH495" s="207"/>
      <c r="AI495" s="207"/>
      <c r="AJ495" s="207"/>
      <c r="AK495" s="207"/>
      <c r="AL495" s="207"/>
      <c r="AM495" s="207"/>
      <c r="AN495" s="207"/>
      <c r="AO495" s="207"/>
      <c r="AP495" s="207"/>
      <c r="AQ495" s="207"/>
      <c r="AR495" s="207"/>
      <c r="AS495" s="207"/>
      <c r="AT495" s="207"/>
      <c r="AU495" s="207"/>
      <c r="AV495" s="207"/>
      <c r="AW495" s="207"/>
      <c r="AX495" s="207"/>
      <c r="AY495" s="207"/>
      <c r="AZ495" s="207"/>
      <c r="BA495" s="207"/>
    </row>
    <row r="496" ht="18.75" hidden="1" customHeight="1">
      <c r="A496" s="1"/>
      <c r="B496" s="207"/>
      <c r="C496" s="207"/>
      <c r="D496" s="207"/>
      <c r="E496" s="207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  <c r="AA496" s="207"/>
      <c r="AB496" s="207"/>
      <c r="AC496" s="207"/>
      <c r="AD496" s="207"/>
      <c r="AE496" s="207"/>
      <c r="AF496" s="207"/>
      <c r="AG496" s="207"/>
      <c r="AH496" s="207"/>
      <c r="AI496" s="207"/>
      <c r="AJ496" s="207"/>
      <c r="AK496" s="207"/>
      <c r="AL496" s="207"/>
      <c r="AM496" s="207"/>
      <c r="AN496" s="207"/>
      <c r="AO496" s="207"/>
      <c r="AP496" s="207"/>
      <c r="AQ496" s="207"/>
      <c r="AR496" s="207"/>
      <c r="AS496" s="207"/>
      <c r="AT496" s="207"/>
      <c r="AU496" s="207"/>
      <c r="AV496" s="207"/>
      <c r="AW496" s="207"/>
      <c r="AX496" s="207"/>
      <c r="AY496" s="207"/>
      <c r="AZ496" s="207"/>
      <c r="BA496" s="207"/>
    </row>
    <row r="497" ht="18.75" hidden="1" customHeight="1">
      <c r="A497" s="1"/>
      <c r="B497" s="207"/>
      <c r="C497" s="207"/>
      <c r="D497" s="207"/>
      <c r="E497" s="207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  <c r="AA497" s="207"/>
      <c r="AB497" s="207"/>
      <c r="AC497" s="207"/>
      <c r="AD497" s="207"/>
      <c r="AE497" s="207"/>
      <c r="AF497" s="207"/>
      <c r="AG497" s="207"/>
      <c r="AH497" s="207"/>
      <c r="AI497" s="207"/>
      <c r="AJ497" s="207"/>
      <c r="AK497" s="207"/>
      <c r="AL497" s="207"/>
      <c r="AM497" s="207"/>
      <c r="AN497" s="207"/>
      <c r="AO497" s="207"/>
      <c r="AP497" s="207"/>
      <c r="AQ497" s="207"/>
      <c r="AR497" s="207"/>
      <c r="AS497" s="207"/>
      <c r="AT497" s="207"/>
      <c r="AU497" s="207"/>
      <c r="AV497" s="207"/>
      <c r="AW497" s="207"/>
      <c r="AX497" s="207"/>
      <c r="AY497" s="207"/>
      <c r="AZ497" s="207"/>
      <c r="BA497" s="207"/>
    </row>
    <row r="498" ht="18.75" hidden="1" customHeight="1">
      <c r="A498" s="1"/>
      <c r="B498" s="207"/>
      <c r="C498" s="207"/>
      <c r="D498" s="207"/>
      <c r="E498" s="207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  <c r="AA498" s="207"/>
      <c r="AB498" s="207"/>
      <c r="AC498" s="207"/>
      <c r="AD498" s="207"/>
      <c r="AE498" s="207"/>
      <c r="AF498" s="207"/>
      <c r="AG498" s="207"/>
      <c r="AH498" s="207"/>
      <c r="AI498" s="207"/>
      <c r="AJ498" s="207"/>
      <c r="AK498" s="207"/>
      <c r="AL498" s="207"/>
      <c r="AM498" s="207"/>
      <c r="AN498" s="207"/>
      <c r="AO498" s="207"/>
      <c r="AP498" s="207"/>
      <c r="AQ498" s="207"/>
      <c r="AR498" s="207"/>
      <c r="AS498" s="207"/>
      <c r="AT498" s="207"/>
      <c r="AU498" s="207"/>
      <c r="AV498" s="207"/>
      <c r="AW498" s="207"/>
      <c r="AX498" s="207"/>
      <c r="AY498" s="207"/>
      <c r="AZ498" s="207"/>
      <c r="BA498" s="207"/>
    </row>
    <row r="499" ht="18.75" hidden="1" customHeight="1">
      <c r="A499" s="1"/>
      <c r="B499" s="207"/>
      <c r="C499" s="207"/>
      <c r="D499" s="207"/>
      <c r="E499" s="207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  <c r="AA499" s="207"/>
      <c r="AB499" s="207"/>
      <c r="AC499" s="207"/>
      <c r="AD499" s="207"/>
      <c r="AE499" s="207"/>
      <c r="AF499" s="207"/>
      <c r="AG499" s="207"/>
      <c r="AH499" s="207"/>
      <c r="AI499" s="207"/>
      <c r="AJ499" s="207"/>
      <c r="AK499" s="207"/>
      <c r="AL499" s="207"/>
      <c r="AM499" s="207"/>
      <c r="AN499" s="207"/>
      <c r="AO499" s="207"/>
      <c r="AP499" s="207"/>
      <c r="AQ499" s="207"/>
      <c r="AR499" s="207"/>
      <c r="AS499" s="207"/>
      <c r="AT499" s="207"/>
      <c r="AU499" s="207"/>
      <c r="AV499" s="207"/>
      <c r="AW499" s="207"/>
      <c r="AX499" s="207"/>
      <c r="AY499" s="207"/>
      <c r="AZ499" s="207"/>
      <c r="BA499" s="207"/>
    </row>
    <row r="500" ht="18.75" hidden="1" customHeight="1">
      <c r="A500" s="1"/>
      <c r="B500" s="207"/>
      <c r="C500" s="207"/>
      <c r="D500" s="207"/>
      <c r="E500" s="207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  <c r="AA500" s="207"/>
      <c r="AB500" s="207"/>
      <c r="AC500" s="207"/>
      <c r="AD500" s="207"/>
      <c r="AE500" s="207"/>
      <c r="AF500" s="207"/>
      <c r="AG500" s="207"/>
      <c r="AH500" s="207"/>
      <c r="AI500" s="207"/>
      <c r="AJ500" s="207"/>
      <c r="AK500" s="207"/>
      <c r="AL500" s="207"/>
      <c r="AM500" s="207"/>
      <c r="AN500" s="207"/>
      <c r="AO500" s="207"/>
      <c r="AP500" s="207"/>
      <c r="AQ500" s="207"/>
      <c r="AR500" s="207"/>
      <c r="AS500" s="207"/>
      <c r="AT500" s="207"/>
      <c r="AU500" s="207"/>
      <c r="AV500" s="207"/>
      <c r="AW500" s="207"/>
      <c r="AX500" s="207"/>
      <c r="AY500" s="207"/>
      <c r="AZ500" s="207"/>
      <c r="BA500" s="207"/>
    </row>
    <row r="501" ht="18.75" hidden="1" customHeight="1">
      <c r="A501" s="1"/>
      <c r="B501" s="207"/>
      <c r="C501" s="207"/>
      <c r="D501" s="207"/>
      <c r="E501" s="207"/>
      <c r="F501" s="207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  <c r="AA501" s="207"/>
      <c r="AB501" s="207"/>
      <c r="AC501" s="207"/>
      <c r="AD501" s="207"/>
      <c r="AE501" s="207"/>
      <c r="AF501" s="207"/>
      <c r="AG501" s="207"/>
      <c r="AH501" s="207"/>
      <c r="AI501" s="207"/>
      <c r="AJ501" s="207"/>
      <c r="AK501" s="207"/>
      <c r="AL501" s="207"/>
      <c r="AM501" s="207"/>
      <c r="AN501" s="207"/>
      <c r="AO501" s="207"/>
      <c r="AP501" s="207"/>
      <c r="AQ501" s="207"/>
      <c r="AR501" s="207"/>
      <c r="AS501" s="207"/>
      <c r="AT501" s="207"/>
      <c r="AU501" s="207"/>
      <c r="AV501" s="207"/>
      <c r="AW501" s="207"/>
      <c r="AX501" s="207"/>
      <c r="AY501" s="207"/>
      <c r="AZ501" s="207"/>
      <c r="BA501" s="207"/>
    </row>
    <row r="502" ht="18.75" hidden="1" customHeight="1">
      <c r="A502" s="1"/>
      <c r="B502" s="207"/>
      <c r="C502" s="207"/>
      <c r="D502" s="207"/>
      <c r="E502" s="207"/>
      <c r="F502" s="207"/>
      <c r="G502" s="207"/>
      <c r="H502" s="207"/>
      <c r="I502" s="207"/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  <c r="AA502" s="207"/>
      <c r="AB502" s="207"/>
      <c r="AC502" s="207"/>
      <c r="AD502" s="207"/>
      <c r="AE502" s="207"/>
      <c r="AF502" s="207"/>
      <c r="AG502" s="207"/>
      <c r="AH502" s="207"/>
      <c r="AI502" s="207"/>
      <c r="AJ502" s="207"/>
      <c r="AK502" s="207"/>
      <c r="AL502" s="207"/>
      <c r="AM502" s="207"/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</row>
    <row r="503" ht="18.75" hidden="1" customHeight="1">
      <c r="A503" s="1"/>
      <c r="B503" s="207"/>
      <c r="C503" s="207"/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  <c r="AA503" s="207"/>
      <c r="AB503" s="207"/>
      <c r="AC503" s="207"/>
      <c r="AD503" s="207"/>
      <c r="AE503" s="207"/>
      <c r="AF503" s="207"/>
      <c r="AG503" s="207"/>
      <c r="AH503" s="207"/>
      <c r="AI503" s="207"/>
      <c r="AJ503" s="207"/>
      <c r="AK503" s="207"/>
      <c r="AL503" s="207"/>
      <c r="AM503" s="207"/>
      <c r="AN503" s="207"/>
      <c r="AO503" s="207"/>
      <c r="AP503" s="207"/>
      <c r="AQ503" s="207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</row>
    <row r="504" ht="18.75" hidden="1" customHeight="1">
      <c r="A504" s="1"/>
      <c r="B504" s="207"/>
      <c r="C504" s="207"/>
      <c r="D504" s="207"/>
      <c r="E504" s="207"/>
      <c r="F504" s="207"/>
      <c r="G504" s="207"/>
      <c r="H504" s="207"/>
      <c r="I504" s="207"/>
      <c r="J504" s="207"/>
      <c r="K504" s="207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  <c r="AA504" s="207"/>
      <c r="AB504" s="207"/>
      <c r="AC504" s="207"/>
      <c r="AD504" s="207"/>
      <c r="AE504" s="207"/>
      <c r="AF504" s="207"/>
      <c r="AG504" s="207"/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</row>
    <row r="505" ht="18.75" hidden="1" customHeight="1">
      <c r="A505" s="1"/>
      <c r="B505" s="207"/>
      <c r="C505" s="207"/>
      <c r="D505" s="207"/>
      <c r="E505" s="207"/>
      <c r="F505" s="207"/>
      <c r="G505" s="207"/>
      <c r="H505" s="207"/>
      <c r="I505" s="207"/>
      <c r="J505" s="207"/>
      <c r="K505" s="207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  <c r="AA505" s="207"/>
      <c r="AB505" s="207"/>
      <c r="AC505" s="207"/>
      <c r="AD505" s="207"/>
      <c r="AE505" s="207"/>
      <c r="AF505" s="207"/>
      <c r="AG505" s="207"/>
      <c r="AH505" s="207"/>
      <c r="AI505" s="207"/>
      <c r="AJ505" s="207"/>
      <c r="AK505" s="207"/>
      <c r="AL505" s="207"/>
      <c r="AM505" s="207"/>
      <c r="AN505" s="207"/>
      <c r="AO505" s="207"/>
      <c r="AP505" s="207"/>
      <c r="AQ505" s="207"/>
      <c r="AR505" s="207"/>
      <c r="AS505" s="207"/>
      <c r="AT505" s="207"/>
      <c r="AU505" s="207"/>
      <c r="AV505" s="207"/>
      <c r="AW505" s="207"/>
      <c r="AX505" s="207"/>
      <c r="AY505" s="207"/>
      <c r="AZ505" s="207"/>
      <c r="BA505" s="207"/>
    </row>
    <row r="506" ht="18.75" hidden="1" customHeight="1">
      <c r="A506" s="1"/>
      <c r="B506" s="207"/>
      <c r="C506" s="207"/>
      <c r="D506" s="207"/>
      <c r="E506" s="207"/>
      <c r="F506" s="207"/>
      <c r="G506" s="207"/>
      <c r="H506" s="207"/>
      <c r="I506" s="207"/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  <c r="AA506" s="207"/>
      <c r="AB506" s="207"/>
      <c r="AC506" s="207"/>
      <c r="AD506" s="207"/>
      <c r="AE506" s="207"/>
      <c r="AF506" s="207"/>
      <c r="AG506" s="207"/>
      <c r="AH506" s="207"/>
      <c r="AI506" s="207"/>
      <c r="AJ506" s="207"/>
      <c r="AK506" s="207"/>
      <c r="AL506" s="207"/>
      <c r="AM506" s="207"/>
      <c r="AN506" s="207"/>
      <c r="AO506" s="207"/>
      <c r="AP506" s="207"/>
      <c r="AQ506" s="207"/>
      <c r="AR506" s="207"/>
      <c r="AS506" s="207"/>
      <c r="AT506" s="207"/>
      <c r="AU506" s="207"/>
      <c r="AV506" s="207"/>
      <c r="AW506" s="207"/>
      <c r="AX506" s="207"/>
      <c r="AY506" s="207"/>
      <c r="AZ506" s="207"/>
      <c r="BA506" s="207"/>
    </row>
    <row r="507" ht="18.75" hidden="1" customHeight="1">
      <c r="A507" s="1"/>
      <c r="B507" s="207"/>
      <c r="C507" s="207"/>
      <c r="D507" s="207"/>
      <c r="E507" s="207"/>
      <c r="F507" s="207"/>
      <c r="G507" s="207"/>
      <c r="H507" s="207"/>
      <c r="I507" s="207"/>
      <c r="J507" s="207"/>
      <c r="K507" s="207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  <c r="AA507" s="207"/>
      <c r="AB507" s="207"/>
      <c r="AC507" s="207"/>
      <c r="AD507" s="207"/>
      <c r="AE507" s="207"/>
      <c r="AF507" s="207"/>
      <c r="AG507" s="207"/>
      <c r="AH507" s="207"/>
      <c r="AI507" s="207"/>
      <c r="AJ507" s="207"/>
      <c r="AK507" s="207"/>
      <c r="AL507" s="207"/>
      <c r="AM507" s="207"/>
      <c r="AN507" s="207"/>
      <c r="AO507" s="207"/>
      <c r="AP507" s="207"/>
      <c r="AQ507" s="207"/>
      <c r="AR507" s="207"/>
      <c r="AS507" s="207"/>
      <c r="AT507" s="207"/>
      <c r="AU507" s="207"/>
      <c r="AV507" s="207"/>
      <c r="AW507" s="207"/>
      <c r="AX507" s="207"/>
      <c r="AY507" s="207"/>
      <c r="AZ507" s="207"/>
      <c r="BA507" s="207"/>
    </row>
    <row r="508" ht="18.75" hidden="1" customHeight="1">
      <c r="A508" s="1"/>
      <c r="B508" s="207"/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  <c r="AA508" s="207"/>
      <c r="AB508" s="207"/>
      <c r="AC508" s="207"/>
      <c r="AD508" s="207"/>
      <c r="AE508" s="207"/>
      <c r="AF508" s="207"/>
      <c r="AG508" s="207"/>
      <c r="AH508" s="207"/>
      <c r="AI508" s="207"/>
      <c r="AJ508" s="207"/>
      <c r="AK508" s="207"/>
      <c r="AL508" s="207"/>
      <c r="AM508" s="207"/>
      <c r="AN508" s="207"/>
      <c r="AO508" s="207"/>
      <c r="AP508" s="207"/>
      <c r="AQ508" s="207"/>
      <c r="AR508" s="207"/>
      <c r="AS508" s="207"/>
      <c r="AT508" s="207"/>
      <c r="AU508" s="207"/>
      <c r="AV508" s="207"/>
      <c r="AW508" s="207"/>
      <c r="AX508" s="207"/>
      <c r="AY508" s="207"/>
      <c r="AZ508" s="207"/>
      <c r="BA508" s="207"/>
    </row>
    <row r="509" ht="18.75" hidden="1" customHeight="1">
      <c r="A509" s="1"/>
      <c r="B509" s="207"/>
      <c r="C509" s="207"/>
      <c r="D509" s="207"/>
      <c r="E509" s="207"/>
      <c r="F509" s="207"/>
      <c r="G509" s="207"/>
      <c r="H509" s="207"/>
      <c r="I509" s="207"/>
      <c r="J509" s="207"/>
      <c r="K509" s="207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  <c r="AA509" s="207"/>
      <c r="AB509" s="207"/>
      <c r="AC509" s="207"/>
      <c r="AD509" s="207"/>
      <c r="AE509" s="207"/>
      <c r="AF509" s="207"/>
      <c r="AG509" s="207"/>
      <c r="AH509" s="207"/>
      <c r="AI509" s="207"/>
      <c r="AJ509" s="207"/>
      <c r="AK509" s="207"/>
      <c r="AL509" s="207"/>
      <c r="AM509" s="207"/>
      <c r="AN509" s="207"/>
      <c r="AO509" s="207"/>
      <c r="AP509" s="207"/>
      <c r="AQ509" s="207"/>
      <c r="AR509" s="207"/>
      <c r="AS509" s="207"/>
      <c r="AT509" s="207"/>
      <c r="AU509" s="207"/>
      <c r="AV509" s="207"/>
      <c r="AW509" s="207"/>
      <c r="AX509" s="207"/>
      <c r="AY509" s="207"/>
      <c r="AZ509" s="207"/>
      <c r="BA509" s="207"/>
    </row>
    <row r="510" ht="18.75" hidden="1" customHeight="1">
      <c r="A510" s="1"/>
      <c r="B510" s="207"/>
      <c r="C510" s="207"/>
      <c r="D510" s="207"/>
      <c r="E510" s="207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  <c r="AA510" s="207"/>
      <c r="AB510" s="207"/>
      <c r="AC510" s="207"/>
      <c r="AD510" s="207"/>
      <c r="AE510" s="207"/>
      <c r="AF510" s="207"/>
      <c r="AG510" s="207"/>
      <c r="AH510" s="207"/>
      <c r="AI510" s="207"/>
      <c r="AJ510" s="207"/>
      <c r="AK510" s="207"/>
      <c r="AL510" s="207"/>
      <c r="AM510" s="207"/>
      <c r="AN510" s="207"/>
      <c r="AO510" s="207"/>
      <c r="AP510" s="207"/>
      <c r="AQ510" s="207"/>
      <c r="AR510" s="207"/>
      <c r="AS510" s="207"/>
      <c r="AT510" s="207"/>
      <c r="AU510" s="207"/>
      <c r="AV510" s="207"/>
      <c r="AW510" s="207"/>
      <c r="AX510" s="207"/>
      <c r="AY510" s="207"/>
      <c r="AZ510" s="207"/>
      <c r="BA510" s="207"/>
    </row>
    <row r="511" ht="18.75" hidden="1" customHeight="1">
      <c r="A511" s="1"/>
      <c r="B511" s="207"/>
      <c r="C511" s="207"/>
      <c r="D511" s="207"/>
      <c r="E511" s="207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  <c r="AA511" s="207"/>
      <c r="AB511" s="207"/>
      <c r="AC511" s="207"/>
      <c r="AD511" s="207"/>
      <c r="AE511" s="207"/>
      <c r="AF511" s="207"/>
      <c r="AG511" s="207"/>
      <c r="AH511" s="207"/>
      <c r="AI511" s="207"/>
      <c r="AJ511" s="207"/>
      <c r="AK511" s="207"/>
      <c r="AL511" s="207"/>
      <c r="AM511" s="207"/>
      <c r="AN511" s="207"/>
      <c r="AO511" s="207"/>
      <c r="AP511" s="207"/>
      <c r="AQ511" s="207"/>
      <c r="AR511" s="207"/>
      <c r="AS511" s="207"/>
      <c r="AT511" s="207"/>
      <c r="AU511" s="207"/>
      <c r="AV511" s="207"/>
      <c r="AW511" s="207"/>
      <c r="AX511" s="207"/>
      <c r="AY511" s="207"/>
      <c r="AZ511" s="207"/>
      <c r="BA511" s="207"/>
    </row>
    <row r="512" ht="18.75" hidden="1" customHeight="1">
      <c r="A512" s="1"/>
      <c r="B512" s="207"/>
      <c r="C512" s="207"/>
      <c r="D512" s="207"/>
      <c r="E512" s="207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  <c r="AA512" s="207"/>
      <c r="AB512" s="207"/>
      <c r="AC512" s="207"/>
      <c r="AD512" s="207"/>
      <c r="AE512" s="207"/>
      <c r="AF512" s="207"/>
      <c r="AG512" s="207"/>
      <c r="AH512" s="207"/>
      <c r="AI512" s="207"/>
      <c r="AJ512" s="207"/>
      <c r="AK512" s="207"/>
      <c r="AL512" s="207"/>
      <c r="AM512" s="207"/>
      <c r="AN512" s="207"/>
      <c r="AO512" s="207"/>
      <c r="AP512" s="207"/>
      <c r="AQ512" s="207"/>
      <c r="AR512" s="207"/>
      <c r="AS512" s="207"/>
      <c r="AT512" s="207"/>
      <c r="AU512" s="207"/>
      <c r="AV512" s="207"/>
      <c r="AW512" s="207"/>
      <c r="AX512" s="207"/>
      <c r="AY512" s="207"/>
      <c r="AZ512" s="207"/>
      <c r="BA512" s="207"/>
    </row>
    <row r="513" ht="18.75" hidden="1" customHeight="1">
      <c r="A513" s="1"/>
      <c r="B513" s="207"/>
      <c r="C513" s="207"/>
      <c r="D513" s="207"/>
      <c r="E513" s="207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  <c r="AA513" s="207"/>
      <c r="AB513" s="207"/>
      <c r="AC513" s="207"/>
      <c r="AD513" s="207"/>
      <c r="AE513" s="207"/>
      <c r="AF513" s="207"/>
      <c r="AG513" s="207"/>
      <c r="AH513" s="207"/>
      <c r="AI513" s="207"/>
      <c r="AJ513" s="207"/>
      <c r="AK513" s="207"/>
      <c r="AL513" s="207"/>
      <c r="AM513" s="207"/>
      <c r="AN513" s="207"/>
      <c r="AO513" s="207"/>
      <c r="AP513" s="207"/>
      <c r="AQ513" s="207"/>
      <c r="AR513" s="207"/>
      <c r="AS513" s="207"/>
      <c r="AT513" s="207"/>
      <c r="AU513" s="207"/>
      <c r="AV513" s="207"/>
      <c r="AW513" s="207"/>
      <c r="AX513" s="207"/>
      <c r="AY513" s="207"/>
      <c r="AZ513" s="207"/>
      <c r="BA513" s="207"/>
    </row>
    <row r="514" ht="18.75" hidden="1" customHeight="1">
      <c r="A514" s="1"/>
      <c r="B514" s="207"/>
      <c r="C514" s="207"/>
      <c r="D514" s="207"/>
      <c r="E514" s="207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  <c r="AA514" s="207"/>
      <c r="AB514" s="207"/>
      <c r="AC514" s="207"/>
      <c r="AD514" s="207"/>
      <c r="AE514" s="207"/>
      <c r="AF514" s="207"/>
      <c r="AG514" s="207"/>
      <c r="AH514" s="207"/>
      <c r="AI514" s="207"/>
      <c r="AJ514" s="207"/>
      <c r="AK514" s="207"/>
      <c r="AL514" s="207"/>
      <c r="AM514" s="207"/>
      <c r="AN514" s="207"/>
      <c r="AO514" s="207"/>
      <c r="AP514" s="207"/>
      <c r="AQ514" s="207"/>
      <c r="AR514" s="207"/>
      <c r="AS514" s="207"/>
      <c r="AT514" s="207"/>
      <c r="AU514" s="207"/>
      <c r="AV514" s="207"/>
      <c r="AW514" s="207"/>
      <c r="AX514" s="207"/>
      <c r="AY514" s="207"/>
      <c r="AZ514" s="207"/>
      <c r="BA514" s="207"/>
    </row>
    <row r="515" ht="18.75" hidden="1" customHeight="1">
      <c r="A515" s="1"/>
      <c r="B515" s="207"/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  <c r="AA515" s="207"/>
      <c r="AB515" s="207"/>
      <c r="AC515" s="207"/>
      <c r="AD515" s="207"/>
      <c r="AE515" s="207"/>
      <c r="AF515" s="207"/>
      <c r="AG515" s="207"/>
      <c r="AH515" s="207"/>
      <c r="AI515" s="207"/>
      <c r="AJ515" s="207"/>
      <c r="AK515" s="207"/>
      <c r="AL515" s="207"/>
      <c r="AM515" s="207"/>
      <c r="AN515" s="207"/>
      <c r="AO515" s="207"/>
      <c r="AP515" s="207"/>
      <c r="AQ515" s="207"/>
      <c r="AR515" s="207"/>
      <c r="AS515" s="207"/>
      <c r="AT515" s="207"/>
      <c r="AU515" s="207"/>
      <c r="AV515" s="207"/>
      <c r="AW515" s="207"/>
      <c r="AX515" s="207"/>
      <c r="AY515" s="207"/>
      <c r="AZ515" s="207"/>
      <c r="BA515" s="207"/>
    </row>
    <row r="516" ht="18.75" hidden="1" customHeight="1">
      <c r="A516" s="1"/>
      <c r="B516" s="207"/>
      <c r="C516" s="207"/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  <c r="AA516" s="207"/>
      <c r="AB516" s="207"/>
      <c r="AC516" s="207"/>
      <c r="AD516" s="207"/>
      <c r="AE516" s="207"/>
      <c r="AF516" s="207"/>
      <c r="AG516" s="207"/>
      <c r="AH516" s="207"/>
      <c r="AI516" s="207"/>
      <c r="AJ516" s="207"/>
      <c r="AK516" s="207"/>
      <c r="AL516" s="207"/>
      <c r="AM516" s="207"/>
      <c r="AN516" s="207"/>
      <c r="AO516" s="207"/>
      <c r="AP516" s="207"/>
      <c r="AQ516" s="207"/>
      <c r="AR516" s="207"/>
      <c r="AS516" s="207"/>
      <c r="AT516" s="207"/>
      <c r="AU516" s="207"/>
      <c r="AV516" s="207"/>
      <c r="AW516" s="207"/>
      <c r="AX516" s="207"/>
      <c r="AY516" s="207"/>
      <c r="AZ516" s="207"/>
      <c r="BA516" s="207"/>
    </row>
    <row r="517" ht="18.75" hidden="1" customHeight="1">
      <c r="A517" s="1"/>
      <c r="B517" s="207"/>
      <c r="C517" s="207"/>
      <c r="D517" s="207"/>
      <c r="E517" s="207"/>
      <c r="F517" s="207"/>
      <c r="G517" s="207"/>
      <c r="H517" s="207"/>
      <c r="I517" s="207"/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  <c r="AA517" s="207"/>
      <c r="AB517" s="207"/>
      <c r="AC517" s="207"/>
      <c r="AD517" s="207"/>
      <c r="AE517" s="207"/>
      <c r="AF517" s="207"/>
      <c r="AG517" s="207"/>
      <c r="AH517" s="207"/>
      <c r="AI517" s="207"/>
      <c r="AJ517" s="207"/>
      <c r="AK517" s="207"/>
      <c r="AL517" s="207"/>
      <c r="AM517" s="207"/>
      <c r="AN517" s="207"/>
      <c r="AO517" s="207"/>
      <c r="AP517" s="207"/>
      <c r="AQ517" s="207"/>
      <c r="AR517" s="207"/>
      <c r="AS517" s="207"/>
      <c r="AT517" s="207"/>
      <c r="AU517" s="207"/>
      <c r="AV517" s="207"/>
      <c r="AW517" s="207"/>
      <c r="AX517" s="207"/>
      <c r="AY517" s="207"/>
      <c r="AZ517" s="207"/>
      <c r="BA517" s="207"/>
    </row>
    <row r="518" ht="18.75" hidden="1" customHeight="1">
      <c r="A518" s="1"/>
      <c r="B518" s="207"/>
      <c r="C518" s="207"/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  <c r="AA518" s="207"/>
      <c r="AB518" s="207"/>
      <c r="AC518" s="207"/>
      <c r="AD518" s="207"/>
      <c r="AE518" s="207"/>
      <c r="AF518" s="207"/>
      <c r="AG518" s="207"/>
      <c r="AH518" s="207"/>
      <c r="AI518" s="207"/>
      <c r="AJ518" s="207"/>
      <c r="AK518" s="207"/>
      <c r="AL518" s="207"/>
      <c r="AM518" s="207"/>
      <c r="AN518" s="207"/>
      <c r="AO518" s="207"/>
      <c r="AP518" s="207"/>
      <c r="AQ518" s="207"/>
      <c r="AR518" s="207"/>
      <c r="AS518" s="207"/>
      <c r="AT518" s="207"/>
      <c r="AU518" s="207"/>
      <c r="AV518" s="207"/>
      <c r="AW518" s="207"/>
      <c r="AX518" s="207"/>
      <c r="AY518" s="207"/>
      <c r="AZ518" s="207"/>
      <c r="BA518" s="207"/>
    </row>
    <row r="519" ht="18.75" hidden="1" customHeight="1">
      <c r="A519" s="1"/>
      <c r="B519" s="207"/>
      <c r="C519" s="207"/>
      <c r="D519" s="207"/>
      <c r="E519" s="207"/>
      <c r="F519" s="207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  <c r="AA519" s="207"/>
      <c r="AB519" s="207"/>
      <c r="AC519" s="207"/>
      <c r="AD519" s="207"/>
      <c r="AE519" s="207"/>
      <c r="AF519" s="207"/>
      <c r="AG519" s="207"/>
      <c r="AH519" s="207"/>
      <c r="AI519" s="207"/>
      <c r="AJ519" s="207"/>
      <c r="AK519" s="207"/>
      <c r="AL519" s="207"/>
      <c r="AM519" s="207"/>
      <c r="AN519" s="207"/>
      <c r="AO519" s="207"/>
      <c r="AP519" s="207"/>
      <c r="AQ519" s="207"/>
      <c r="AR519" s="207"/>
      <c r="AS519" s="207"/>
      <c r="AT519" s="207"/>
      <c r="AU519" s="207"/>
      <c r="AV519" s="207"/>
      <c r="AW519" s="207"/>
      <c r="AX519" s="207"/>
      <c r="AY519" s="207"/>
      <c r="AZ519" s="207"/>
      <c r="BA519" s="207"/>
    </row>
    <row r="520" ht="18.75" hidden="1" customHeight="1">
      <c r="A520" s="1"/>
      <c r="B520" s="207"/>
      <c r="C520" s="207"/>
      <c r="D520" s="207"/>
      <c r="E520" s="207"/>
      <c r="F520" s="207"/>
      <c r="G520" s="207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  <c r="AA520" s="207"/>
      <c r="AB520" s="207"/>
      <c r="AC520" s="207"/>
      <c r="AD520" s="207"/>
      <c r="AE520" s="207"/>
      <c r="AF520" s="207"/>
      <c r="AG520" s="207"/>
      <c r="AH520" s="207"/>
      <c r="AI520" s="207"/>
      <c r="AJ520" s="207"/>
      <c r="AK520" s="207"/>
      <c r="AL520" s="207"/>
      <c r="AM520" s="207"/>
      <c r="AN520" s="207"/>
      <c r="AO520" s="207"/>
      <c r="AP520" s="207"/>
      <c r="AQ520" s="207"/>
      <c r="AR520" s="207"/>
      <c r="AS520" s="207"/>
      <c r="AT520" s="207"/>
      <c r="AU520" s="207"/>
      <c r="AV520" s="207"/>
      <c r="AW520" s="207"/>
      <c r="AX520" s="207"/>
      <c r="AY520" s="207"/>
      <c r="AZ520" s="207"/>
      <c r="BA520" s="207"/>
    </row>
    <row r="521" ht="18.75" hidden="1" customHeight="1">
      <c r="A521" s="1"/>
      <c r="B521" s="207"/>
      <c r="C521" s="207"/>
      <c r="D521" s="207"/>
      <c r="E521" s="207"/>
      <c r="F521" s="207"/>
      <c r="G521" s="207"/>
      <c r="H521" s="207"/>
      <c r="I521" s="207"/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  <c r="AA521" s="207"/>
      <c r="AB521" s="207"/>
      <c r="AC521" s="207"/>
      <c r="AD521" s="207"/>
      <c r="AE521" s="207"/>
      <c r="AF521" s="207"/>
      <c r="AG521" s="207"/>
      <c r="AH521" s="207"/>
      <c r="AI521" s="207"/>
      <c r="AJ521" s="207"/>
      <c r="AK521" s="207"/>
      <c r="AL521" s="207"/>
      <c r="AM521" s="207"/>
      <c r="AN521" s="207"/>
      <c r="AO521" s="207"/>
      <c r="AP521" s="207"/>
      <c r="AQ521" s="207"/>
      <c r="AR521" s="207"/>
      <c r="AS521" s="207"/>
      <c r="AT521" s="207"/>
      <c r="AU521" s="207"/>
      <c r="AV521" s="207"/>
      <c r="AW521" s="207"/>
      <c r="AX521" s="207"/>
      <c r="AY521" s="207"/>
      <c r="AZ521" s="207"/>
      <c r="BA521" s="207"/>
    </row>
    <row r="522" ht="18.75" hidden="1" customHeight="1">
      <c r="A522" s="1"/>
      <c r="B522" s="207"/>
      <c r="C522" s="207"/>
      <c r="D522" s="207"/>
      <c r="E522" s="207"/>
      <c r="F522" s="207"/>
      <c r="G522" s="207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  <c r="AA522" s="207"/>
      <c r="AB522" s="207"/>
      <c r="AC522" s="207"/>
      <c r="AD522" s="207"/>
      <c r="AE522" s="207"/>
      <c r="AF522" s="207"/>
      <c r="AG522" s="207"/>
      <c r="AH522" s="207"/>
      <c r="AI522" s="207"/>
      <c r="AJ522" s="207"/>
      <c r="AK522" s="207"/>
      <c r="AL522" s="207"/>
      <c r="AM522" s="207"/>
      <c r="AN522" s="207"/>
      <c r="AO522" s="207"/>
      <c r="AP522" s="207"/>
      <c r="AQ522" s="207"/>
      <c r="AR522" s="207"/>
      <c r="AS522" s="207"/>
      <c r="AT522" s="207"/>
      <c r="AU522" s="207"/>
      <c r="AV522" s="207"/>
      <c r="AW522" s="207"/>
      <c r="AX522" s="207"/>
      <c r="AY522" s="207"/>
      <c r="AZ522" s="207"/>
      <c r="BA522" s="207"/>
    </row>
    <row r="523" ht="18.75" hidden="1" customHeight="1">
      <c r="A523" s="1"/>
      <c r="B523" s="207"/>
      <c r="C523" s="207"/>
      <c r="D523" s="207"/>
      <c r="E523" s="207"/>
      <c r="F523" s="207"/>
      <c r="G523" s="207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  <c r="AA523" s="207"/>
      <c r="AB523" s="207"/>
      <c r="AC523" s="207"/>
      <c r="AD523" s="207"/>
      <c r="AE523" s="207"/>
      <c r="AF523" s="207"/>
      <c r="AG523" s="207"/>
      <c r="AH523" s="207"/>
      <c r="AI523" s="207"/>
      <c r="AJ523" s="207"/>
      <c r="AK523" s="207"/>
      <c r="AL523" s="207"/>
      <c r="AM523" s="207"/>
      <c r="AN523" s="207"/>
      <c r="AO523" s="207"/>
      <c r="AP523" s="207"/>
      <c r="AQ523" s="207"/>
      <c r="AR523" s="207"/>
      <c r="AS523" s="207"/>
      <c r="AT523" s="207"/>
      <c r="AU523" s="207"/>
      <c r="AV523" s="207"/>
      <c r="AW523" s="207"/>
      <c r="AX523" s="207"/>
      <c r="AY523" s="207"/>
      <c r="AZ523" s="207"/>
      <c r="BA523" s="207"/>
    </row>
    <row r="524" ht="18.75" hidden="1" customHeight="1">
      <c r="A524" s="1"/>
      <c r="B524" s="207"/>
      <c r="C524" s="207"/>
      <c r="D524" s="207"/>
      <c r="E524" s="207"/>
      <c r="F524" s="207"/>
      <c r="G524" s="207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  <c r="AA524" s="207"/>
      <c r="AB524" s="207"/>
      <c r="AC524" s="207"/>
      <c r="AD524" s="207"/>
      <c r="AE524" s="207"/>
      <c r="AF524" s="207"/>
      <c r="AG524" s="207"/>
      <c r="AH524" s="207"/>
      <c r="AI524" s="207"/>
      <c r="AJ524" s="207"/>
      <c r="AK524" s="207"/>
      <c r="AL524" s="207"/>
      <c r="AM524" s="207"/>
      <c r="AN524" s="207"/>
      <c r="AO524" s="207"/>
      <c r="AP524" s="207"/>
      <c r="AQ524" s="207"/>
      <c r="AR524" s="207"/>
      <c r="AS524" s="207"/>
      <c r="AT524" s="207"/>
      <c r="AU524" s="207"/>
      <c r="AV524" s="207"/>
      <c r="AW524" s="207"/>
      <c r="AX524" s="207"/>
      <c r="AY524" s="207"/>
      <c r="AZ524" s="207"/>
      <c r="BA524" s="207"/>
    </row>
    <row r="525" ht="18.75" hidden="1" customHeight="1">
      <c r="A525" s="1"/>
      <c r="B525" s="207"/>
      <c r="C525" s="207"/>
      <c r="D525" s="207"/>
      <c r="E525" s="207"/>
      <c r="F525" s="207"/>
      <c r="G525" s="207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  <c r="AA525" s="207"/>
      <c r="AB525" s="207"/>
      <c r="AC525" s="207"/>
      <c r="AD525" s="207"/>
      <c r="AE525" s="207"/>
      <c r="AF525" s="207"/>
      <c r="AG525" s="207"/>
      <c r="AH525" s="207"/>
      <c r="AI525" s="207"/>
      <c r="AJ525" s="207"/>
      <c r="AK525" s="207"/>
      <c r="AL525" s="207"/>
      <c r="AM525" s="207"/>
      <c r="AN525" s="207"/>
      <c r="AO525" s="207"/>
      <c r="AP525" s="207"/>
      <c r="AQ525" s="207"/>
      <c r="AR525" s="207"/>
      <c r="AS525" s="207"/>
      <c r="AT525" s="207"/>
      <c r="AU525" s="207"/>
      <c r="AV525" s="207"/>
      <c r="AW525" s="207"/>
      <c r="AX525" s="207"/>
      <c r="AY525" s="207"/>
      <c r="AZ525" s="207"/>
      <c r="BA525" s="207"/>
    </row>
    <row r="526" ht="18.75" hidden="1" customHeight="1">
      <c r="A526" s="1"/>
      <c r="B526" s="207"/>
      <c r="C526" s="207"/>
      <c r="D526" s="207"/>
      <c r="E526" s="207"/>
      <c r="F526" s="207"/>
      <c r="G526" s="207"/>
      <c r="H526" s="207"/>
      <c r="I526" s="207"/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  <c r="AA526" s="207"/>
      <c r="AB526" s="207"/>
      <c r="AC526" s="207"/>
      <c r="AD526" s="207"/>
      <c r="AE526" s="207"/>
      <c r="AF526" s="207"/>
      <c r="AG526" s="207"/>
      <c r="AH526" s="207"/>
      <c r="AI526" s="207"/>
      <c r="AJ526" s="207"/>
      <c r="AK526" s="207"/>
      <c r="AL526" s="207"/>
      <c r="AM526" s="207"/>
      <c r="AN526" s="207"/>
      <c r="AO526" s="207"/>
      <c r="AP526" s="207"/>
      <c r="AQ526" s="207"/>
      <c r="AR526" s="207"/>
      <c r="AS526" s="207"/>
      <c r="AT526" s="207"/>
      <c r="AU526" s="207"/>
      <c r="AV526" s="207"/>
      <c r="AW526" s="207"/>
      <c r="AX526" s="207"/>
      <c r="AY526" s="207"/>
      <c r="AZ526" s="207"/>
      <c r="BA526" s="207"/>
    </row>
    <row r="527" ht="18.75" hidden="1" customHeight="1">
      <c r="A527" s="1"/>
      <c r="B527" s="207"/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  <c r="AA527" s="207"/>
      <c r="AB527" s="207"/>
      <c r="AC527" s="207"/>
      <c r="AD527" s="207"/>
      <c r="AE527" s="207"/>
      <c r="AF527" s="207"/>
      <c r="AG527" s="207"/>
      <c r="AH527" s="207"/>
      <c r="AI527" s="207"/>
      <c r="AJ527" s="207"/>
      <c r="AK527" s="207"/>
      <c r="AL527" s="207"/>
      <c r="AM527" s="207"/>
      <c r="AN527" s="207"/>
      <c r="AO527" s="207"/>
      <c r="AP527" s="207"/>
      <c r="AQ527" s="207"/>
      <c r="AR527" s="207"/>
      <c r="AS527" s="207"/>
      <c r="AT527" s="207"/>
      <c r="AU527" s="207"/>
      <c r="AV527" s="207"/>
      <c r="AW527" s="207"/>
      <c r="AX527" s="207"/>
      <c r="AY527" s="207"/>
      <c r="AZ527" s="207"/>
      <c r="BA527" s="207"/>
    </row>
    <row r="528" ht="18.75" hidden="1" customHeight="1">
      <c r="A528" s="1"/>
      <c r="B528" s="207"/>
      <c r="C528" s="207"/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  <c r="AA528" s="207"/>
      <c r="AB528" s="207"/>
      <c r="AC528" s="207"/>
      <c r="AD528" s="207"/>
      <c r="AE528" s="207"/>
      <c r="AF528" s="207"/>
      <c r="AG528" s="207"/>
      <c r="AH528" s="207"/>
      <c r="AI528" s="207"/>
      <c r="AJ528" s="207"/>
      <c r="AK528" s="207"/>
      <c r="AL528" s="207"/>
      <c r="AM528" s="207"/>
      <c r="AN528" s="207"/>
      <c r="AO528" s="207"/>
      <c r="AP528" s="207"/>
      <c r="AQ528" s="207"/>
      <c r="AR528" s="207"/>
      <c r="AS528" s="207"/>
      <c r="AT528" s="207"/>
      <c r="AU528" s="207"/>
      <c r="AV528" s="207"/>
      <c r="AW528" s="207"/>
      <c r="AX528" s="207"/>
      <c r="AY528" s="207"/>
      <c r="AZ528" s="207"/>
      <c r="BA528" s="207"/>
    </row>
    <row r="529" ht="18.75" hidden="1" customHeight="1">
      <c r="A529" s="1"/>
      <c r="B529" s="207"/>
      <c r="C529" s="207"/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  <c r="AA529" s="207"/>
      <c r="AB529" s="207"/>
      <c r="AC529" s="207"/>
      <c r="AD529" s="207"/>
      <c r="AE529" s="207"/>
      <c r="AF529" s="207"/>
      <c r="AG529" s="207"/>
      <c r="AH529" s="207"/>
      <c r="AI529" s="207"/>
      <c r="AJ529" s="207"/>
      <c r="AK529" s="207"/>
      <c r="AL529" s="207"/>
      <c r="AM529" s="207"/>
      <c r="AN529" s="207"/>
      <c r="AO529" s="207"/>
      <c r="AP529" s="207"/>
      <c r="AQ529" s="207"/>
      <c r="AR529" s="207"/>
      <c r="AS529" s="207"/>
      <c r="AT529" s="207"/>
      <c r="AU529" s="207"/>
      <c r="AV529" s="207"/>
      <c r="AW529" s="207"/>
      <c r="AX529" s="207"/>
      <c r="AY529" s="207"/>
      <c r="AZ529" s="207"/>
      <c r="BA529" s="207"/>
    </row>
    <row r="530" ht="18.75" hidden="1" customHeight="1">
      <c r="A530" s="1"/>
      <c r="B530" s="207"/>
      <c r="C530" s="207"/>
      <c r="D530" s="207"/>
      <c r="E530" s="207"/>
      <c r="F530" s="207"/>
      <c r="G530" s="207"/>
      <c r="H530" s="207"/>
      <c r="I530" s="207"/>
      <c r="J530" s="207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  <c r="AA530" s="207"/>
      <c r="AB530" s="207"/>
      <c r="AC530" s="207"/>
      <c r="AD530" s="207"/>
      <c r="AE530" s="207"/>
      <c r="AF530" s="207"/>
      <c r="AG530" s="207"/>
      <c r="AH530" s="207"/>
      <c r="AI530" s="207"/>
      <c r="AJ530" s="207"/>
      <c r="AK530" s="207"/>
      <c r="AL530" s="207"/>
      <c r="AM530" s="207"/>
      <c r="AN530" s="207"/>
      <c r="AO530" s="207"/>
      <c r="AP530" s="207"/>
      <c r="AQ530" s="207"/>
      <c r="AR530" s="207"/>
      <c r="AS530" s="207"/>
      <c r="AT530" s="207"/>
      <c r="AU530" s="207"/>
      <c r="AV530" s="207"/>
      <c r="AW530" s="207"/>
      <c r="AX530" s="207"/>
      <c r="AY530" s="207"/>
      <c r="AZ530" s="207"/>
      <c r="BA530" s="207"/>
    </row>
    <row r="531" ht="18.75" hidden="1" customHeight="1">
      <c r="A531" s="1"/>
      <c r="B531" s="207"/>
      <c r="C531" s="207"/>
      <c r="D531" s="207"/>
      <c r="E531" s="207"/>
      <c r="F531" s="207"/>
      <c r="G531" s="207"/>
      <c r="H531" s="207"/>
      <c r="I531" s="207"/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  <c r="AA531" s="207"/>
      <c r="AB531" s="207"/>
      <c r="AC531" s="207"/>
      <c r="AD531" s="207"/>
      <c r="AE531" s="207"/>
      <c r="AF531" s="207"/>
      <c r="AG531" s="207"/>
      <c r="AH531" s="207"/>
      <c r="AI531" s="207"/>
      <c r="AJ531" s="207"/>
      <c r="AK531" s="207"/>
      <c r="AL531" s="207"/>
      <c r="AM531" s="207"/>
      <c r="AN531" s="207"/>
      <c r="AO531" s="207"/>
      <c r="AP531" s="207"/>
      <c r="AQ531" s="207"/>
      <c r="AR531" s="207"/>
      <c r="AS531" s="207"/>
      <c r="AT531" s="207"/>
      <c r="AU531" s="207"/>
      <c r="AV531" s="207"/>
      <c r="AW531" s="207"/>
      <c r="AX531" s="207"/>
      <c r="AY531" s="207"/>
      <c r="AZ531" s="207"/>
      <c r="BA531" s="207"/>
    </row>
    <row r="532" ht="18.75" hidden="1" customHeight="1">
      <c r="A532" s="1"/>
      <c r="B532" s="207"/>
      <c r="C532" s="207"/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  <c r="AA532" s="207"/>
      <c r="AB532" s="207"/>
      <c r="AC532" s="207"/>
      <c r="AD532" s="207"/>
      <c r="AE532" s="207"/>
      <c r="AF532" s="207"/>
      <c r="AG532" s="207"/>
      <c r="AH532" s="207"/>
      <c r="AI532" s="207"/>
      <c r="AJ532" s="207"/>
      <c r="AK532" s="207"/>
      <c r="AL532" s="207"/>
      <c r="AM532" s="207"/>
      <c r="AN532" s="207"/>
      <c r="AO532" s="207"/>
      <c r="AP532" s="207"/>
      <c r="AQ532" s="207"/>
      <c r="AR532" s="207"/>
      <c r="AS532" s="207"/>
      <c r="AT532" s="207"/>
      <c r="AU532" s="207"/>
      <c r="AV532" s="207"/>
      <c r="AW532" s="207"/>
      <c r="AX532" s="207"/>
      <c r="AY532" s="207"/>
      <c r="AZ532" s="207"/>
      <c r="BA532" s="207"/>
    </row>
    <row r="533" ht="18.75" hidden="1" customHeight="1">
      <c r="A533" s="1"/>
      <c r="B533" s="207"/>
      <c r="C533" s="207"/>
      <c r="D533" s="207"/>
      <c r="E533" s="207"/>
      <c r="F533" s="207"/>
      <c r="G533" s="207"/>
      <c r="H533" s="207"/>
      <c r="I533" s="207"/>
      <c r="J533" s="207"/>
      <c r="K533" s="207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  <c r="AA533" s="207"/>
      <c r="AB533" s="207"/>
      <c r="AC533" s="207"/>
      <c r="AD533" s="207"/>
      <c r="AE533" s="207"/>
      <c r="AF533" s="207"/>
      <c r="AG533" s="207"/>
      <c r="AH533" s="207"/>
      <c r="AI533" s="207"/>
      <c r="AJ533" s="207"/>
      <c r="AK533" s="207"/>
      <c r="AL533" s="207"/>
      <c r="AM533" s="207"/>
      <c r="AN533" s="207"/>
      <c r="AO533" s="207"/>
      <c r="AP533" s="207"/>
      <c r="AQ533" s="207"/>
      <c r="AR533" s="207"/>
      <c r="AS533" s="207"/>
      <c r="AT533" s="207"/>
      <c r="AU533" s="207"/>
      <c r="AV533" s="207"/>
      <c r="AW533" s="207"/>
      <c r="AX533" s="207"/>
      <c r="AY533" s="207"/>
      <c r="AZ533" s="207"/>
      <c r="BA533" s="207"/>
    </row>
    <row r="534" ht="18.75" hidden="1" customHeight="1">
      <c r="A534" s="1"/>
      <c r="B534" s="207"/>
      <c r="C534" s="207"/>
      <c r="D534" s="207"/>
      <c r="E534" s="207"/>
      <c r="F534" s="207"/>
      <c r="G534" s="207"/>
      <c r="H534" s="207"/>
      <c r="I534" s="207"/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  <c r="AA534" s="207"/>
      <c r="AB534" s="207"/>
      <c r="AC534" s="207"/>
      <c r="AD534" s="207"/>
      <c r="AE534" s="207"/>
      <c r="AF534" s="207"/>
      <c r="AG534" s="207"/>
      <c r="AH534" s="207"/>
      <c r="AI534" s="207"/>
      <c r="AJ534" s="207"/>
      <c r="AK534" s="207"/>
      <c r="AL534" s="207"/>
      <c r="AM534" s="207"/>
      <c r="AN534" s="207"/>
      <c r="AO534" s="207"/>
      <c r="AP534" s="207"/>
      <c r="AQ534" s="207"/>
      <c r="AR534" s="207"/>
      <c r="AS534" s="207"/>
      <c r="AT534" s="207"/>
      <c r="AU534" s="207"/>
      <c r="AV534" s="207"/>
      <c r="AW534" s="207"/>
      <c r="AX534" s="207"/>
      <c r="AY534" s="207"/>
      <c r="AZ534" s="207"/>
      <c r="BA534" s="207"/>
    </row>
    <row r="535" ht="18.75" hidden="1" customHeight="1">
      <c r="A535" s="1"/>
      <c r="B535" s="207"/>
      <c r="C535" s="207"/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  <c r="AA535" s="207"/>
      <c r="AB535" s="207"/>
      <c r="AC535" s="207"/>
      <c r="AD535" s="207"/>
      <c r="AE535" s="207"/>
      <c r="AF535" s="207"/>
      <c r="AG535" s="207"/>
      <c r="AH535" s="207"/>
      <c r="AI535" s="207"/>
      <c r="AJ535" s="207"/>
      <c r="AK535" s="207"/>
      <c r="AL535" s="207"/>
      <c r="AM535" s="207"/>
      <c r="AN535" s="207"/>
      <c r="AO535" s="207"/>
      <c r="AP535" s="207"/>
      <c r="AQ535" s="207"/>
      <c r="AR535" s="207"/>
      <c r="AS535" s="207"/>
      <c r="AT535" s="207"/>
      <c r="AU535" s="207"/>
      <c r="AV535" s="207"/>
      <c r="AW535" s="207"/>
      <c r="AX535" s="207"/>
      <c r="AY535" s="207"/>
      <c r="AZ535" s="207"/>
      <c r="BA535" s="207"/>
    </row>
    <row r="536" ht="18.75" hidden="1" customHeight="1">
      <c r="A536" s="1"/>
      <c r="B536" s="207"/>
      <c r="C536" s="207"/>
      <c r="D536" s="207"/>
      <c r="E536" s="207"/>
      <c r="F536" s="207"/>
      <c r="G536" s="207"/>
      <c r="H536" s="207"/>
      <c r="I536" s="207"/>
      <c r="J536" s="207"/>
      <c r="K536" s="207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  <c r="AA536" s="207"/>
      <c r="AB536" s="207"/>
      <c r="AC536" s="207"/>
      <c r="AD536" s="207"/>
      <c r="AE536" s="207"/>
      <c r="AF536" s="207"/>
      <c r="AG536" s="207"/>
      <c r="AH536" s="207"/>
      <c r="AI536" s="207"/>
      <c r="AJ536" s="207"/>
      <c r="AK536" s="207"/>
      <c r="AL536" s="207"/>
      <c r="AM536" s="207"/>
      <c r="AN536" s="207"/>
      <c r="AO536" s="207"/>
      <c r="AP536" s="207"/>
      <c r="AQ536" s="207"/>
      <c r="AR536" s="207"/>
      <c r="AS536" s="207"/>
      <c r="AT536" s="207"/>
      <c r="AU536" s="207"/>
      <c r="AV536" s="207"/>
      <c r="AW536" s="207"/>
      <c r="AX536" s="207"/>
      <c r="AY536" s="207"/>
      <c r="AZ536" s="207"/>
      <c r="BA536" s="207"/>
    </row>
    <row r="537" ht="18.75" hidden="1" customHeight="1">
      <c r="A537" s="1"/>
      <c r="B537" s="207"/>
      <c r="C537" s="207"/>
      <c r="D537" s="207"/>
      <c r="E537" s="207"/>
      <c r="F537" s="207"/>
      <c r="G537" s="207"/>
      <c r="H537" s="207"/>
      <c r="I537" s="207"/>
      <c r="J537" s="207"/>
      <c r="K537" s="207"/>
      <c r="L537" s="207"/>
      <c r="M537" s="207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  <c r="AA537" s="207"/>
      <c r="AB537" s="207"/>
      <c r="AC537" s="207"/>
      <c r="AD537" s="207"/>
      <c r="AE537" s="207"/>
      <c r="AF537" s="207"/>
      <c r="AG537" s="207"/>
      <c r="AH537" s="207"/>
      <c r="AI537" s="207"/>
      <c r="AJ537" s="207"/>
      <c r="AK537" s="207"/>
      <c r="AL537" s="207"/>
      <c r="AM537" s="207"/>
      <c r="AN537" s="207"/>
      <c r="AO537" s="207"/>
      <c r="AP537" s="207"/>
      <c r="AQ537" s="207"/>
      <c r="AR537" s="207"/>
      <c r="AS537" s="207"/>
      <c r="AT537" s="207"/>
      <c r="AU537" s="207"/>
      <c r="AV537" s="207"/>
      <c r="AW537" s="207"/>
      <c r="AX537" s="207"/>
      <c r="AY537" s="207"/>
      <c r="AZ537" s="207"/>
      <c r="BA537" s="207"/>
    </row>
    <row r="538" ht="18.75" hidden="1" customHeight="1">
      <c r="A538" s="1"/>
      <c r="B538" s="207"/>
      <c r="C538" s="207"/>
      <c r="D538" s="207"/>
      <c r="E538" s="207"/>
      <c r="F538" s="207"/>
      <c r="G538" s="207"/>
      <c r="H538" s="207"/>
      <c r="I538" s="207"/>
      <c r="J538" s="207"/>
      <c r="K538" s="207"/>
      <c r="L538" s="207"/>
      <c r="M538" s="207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  <c r="AA538" s="207"/>
      <c r="AB538" s="207"/>
      <c r="AC538" s="207"/>
      <c r="AD538" s="207"/>
      <c r="AE538" s="207"/>
      <c r="AF538" s="207"/>
      <c r="AG538" s="207"/>
      <c r="AH538" s="207"/>
      <c r="AI538" s="207"/>
      <c r="AJ538" s="207"/>
      <c r="AK538" s="207"/>
      <c r="AL538" s="207"/>
      <c r="AM538" s="207"/>
      <c r="AN538" s="207"/>
      <c r="AO538" s="207"/>
      <c r="AP538" s="207"/>
      <c r="AQ538" s="207"/>
      <c r="AR538" s="207"/>
      <c r="AS538" s="207"/>
      <c r="AT538" s="207"/>
      <c r="AU538" s="207"/>
      <c r="AV538" s="207"/>
      <c r="AW538" s="207"/>
      <c r="AX538" s="207"/>
      <c r="AY538" s="207"/>
      <c r="AZ538" s="207"/>
      <c r="BA538" s="207"/>
    </row>
    <row r="539" ht="18.75" hidden="1" customHeight="1">
      <c r="A539" s="1"/>
      <c r="B539" s="207"/>
      <c r="C539" s="207"/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  <c r="AA539" s="207"/>
      <c r="AB539" s="207"/>
      <c r="AC539" s="207"/>
      <c r="AD539" s="207"/>
      <c r="AE539" s="207"/>
      <c r="AF539" s="207"/>
      <c r="AG539" s="207"/>
      <c r="AH539" s="207"/>
      <c r="AI539" s="207"/>
      <c r="AJ539" s="207"/>
      <c r="AK539" s="207"/>
      <c r="AL539" s="207"/>
      <c r="AM539" s="207"/>
      <c r="AN539" s="207"/>
      <c r="AO539" s="207"/>
      <c r="AP539" s="207"/>
      <c r="AQ539" s="207"/>
      <c r="AR539" s="207"/>
      <c r="AS539" s="207"/>
      <c r="AT539" s="207"/>
      <c r="AU539" s="207"/>
      <c r="AV539" s="207"/>
      <c r="AW539" s="207"/>
      <c r="AX539" s="207"/>
      <c r="AY539" s="207"/>
      <c r="AZ539" s="207"/>
      <c r="BA539" s="207"/>
    </row>
    <row r="540" ht="18.75" hidden="1" customHeight="1">
      <c r="A540" s="1"/>
      <c r="B540" s="207"/>
      <c r="C540" s="207"/>
      <c r="D540" s="207"/>
      <c r="E540" s="207"/>
      <c r="F540" s="207"/>
      <c r="G540" s="207"/>
      <c r="H540" s="207"/>
      <c r="I540" s="207"/>
      <c r="J540" s="207"/>
      <c r="K540" s="207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  <c r="AA540" s="207"/>
      <c r="AB540" s="207"/>
      <c r="AC540" s="207"/>
      <c r="AD540" s="207"/>
      <c r="AE540" s="207"/>
      <c r="AF540" s="207"/>
      <c r="AG540" s="207"/>
      <c r="AH540" s="207"/>
      <c r="AI540" s="207"/>
      <c r="AJ540" s="207"/>
      <c r="AK540" s="207"/>
      <c r="AL540" s="207"/>
      <c r="AM540" s="207"/>
      <c r="AN540" s="207"/>
      <c r="AO540" s="207"/>
      <c r="AP540" s="207"/>
      <c r="AQ540" s="207"/>
      <c r="AR540" s="207"/>
      <c r="AS540" s="207"/>
      <c r="AT540" s="207"/>
      <c r="AU540" s="207"/>
      <c r="AV540" s="207"/>
      <c r="AW540" s="207"/>
      <c r="AX540" s="207"/>
      <c r="AY540" s="207"/>
      <c r="AZ540" s="207"/>
      <c r="BA540" s="207"/>
    </row>
    <row r="541" ht="18.75" hidden="1" customHeight="1">
      <c r="A541" s="1"/>
      <c r="B541" s="207"/>
      <c r="C541" s="207"/>
      <c r="D541" s="207"/>
      <c r="E541" s="207"/>
      <c r="F541" s="207"/>
      <c r="G541" s="207"/>
      <c r="H541" s="207"/>
      <c r="I541" s="207"/>
      <c r="J541" s="207"/>
      <c r="K541" s="207"/>
      <c r="L541" s="207"/>
      <c r="M541" s="207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  <c r="AA541" s="207"/>
      <c r="AB541" s="207"/>
      <c r="AC541" s="207"/>
      <c r="AD541" s="207"/>
      <c r="AE541" s="207"/>
      <c r="AF541" s="207"/>
      <c r="AG541" s="207"/>
      <c r="AH541" s="207"/>
      <c r="AI541" s="207"/>
      <c r="AJ541" s="207"/>
      <c r="AK541" s="207"/>
      <c r="AL541" s="207"/>
      <c r="AM541" s="207"/>
      <c r="AN541" s="207"/>
      <c r="AO541" s="207"/>
      <c r="AP541" s="207"/>
      <c r="AQ541" s="207"/>
      <c r="AR541" s="207"/>
      <c r="AS541" s="207"/>
      <c r="AT541" s="207"/>
      <c r="AU541" s="207"/>
      <c r="AV541" s="207"/>
      <c r="AW541" s="207"/>
      <c r="AX541" s="207"/>
      <c r="AY541" s="207"/>
      <c r="AZ541" s="207"/>
      <c r="BA541" s="207"/>
    </row>
    <row r="542" ht="18.75" hidden="1" customHeight="1">
      <c r="A542" s="1"/>
      <c r="B542" s="207"/>
      <c r="C542" s="207"/>
      <c r="D542" s="207"/>
      <c r="E542" s="207"/>
      <c r="F542" s="207"/>
      <c r="G542" s="207"/>
      <c r="H542" s="207"/>
      <c r="I542" s="207"/>
      <c r="J542" s="207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  <c r="AA542" s="207"/>
      <c r="AB542" s="207"/>
      <c r="AC542" s="207"/>
      <c r="AD542" s="207"/>
      <c r="AE542" s="207"/>
      <c r="AF542" s="207"/>
      <c r="AG542" s="207"/>
      <c r="AH542" s="207"/>
      <c r="AI542" s="207"/>
      <c r="AJ542" s="207"/>
      <c r="AK542" s="207"/>
      <c r="AL542" s="207"/>
      <c r="AM542" s="207"/>
      <c r="AN542" s="207"/>
      <c r="AO542" s="207"/>
      <c r="AP542" s="207"/>
      <c r="AQ542" s="207"/>
      <c r="AR542" s="207"/>
      <c r="AS542" s="207"/>
      <c r="AT542" s="207"/>
      <c r="AU542" s="207"/>
      <c r="AV542" s="207"/>
      <c r="AW542" s="207"/>
      <c r="AX542" s="207"/>
      <c r="AY542" s="207"/>
      <c r="AZ542" s="207"/>
      <c r="BA542" s="207"/>
    </row>
    <row r="543" ht="18.75" hidden="1" customHeight="1">
      <c r="A543" s="1"/>
      <c r="B543" s="207"/>
      <c r="C543" s="207"/>
      <c r="D543" s="207"/>
      <c r="E543" s="207"/>
      <c r="F543" s="207"/>
      <c r="G543" s="207"/>
      <c r="H543" s="207"/>
      <c r="I543" s="207"/>
      <c r="J543" s="207"/>
      <c r="K543" s="207"/>
      <c r="L543" s="207"/>
      <c r="M543" s="207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  <c r="AA543" s="207"/>
      <c r="AB543" s="207"/>
      <c r="AC543" s="207"/>
      <c r="AD543" s="207"/>
      <c r="AE543" s="207"/>
      <c r="AF543" s="207"/>
      <c r="AG543" s="207"/>
      <c r="AH543" s="207"/>
      <c r="AI543" s="207"/>
      <c r="AJ543" s="207"/>
      <c r="AK543" s="207"/>
      <c r="AL543" s="207"/>
      <c r="AM543" s="207"/>
      <c r="AN543" s="207"/>
      <c r="AO543" s="207"/>
      <c r="AP543" s="207"/>
      <c r="AQ543" s="207"/>
      <c r="AR543" s="207"/>
      <c r="AS543" s="207"/>
      <c r="AT543" s="207"/>
      <c r="AU543" s="207"/>
      <c r="AV543" s="207"/>
      <c r="AW543" s="207"/>
      <c r="AX543" s="207"/>
      <c r="AY543" s="207"/>
      <c r="AZ543" s="207"/>
      <c r="BA543" s="207"/>
    </row>
    <row r="544" ht="18.75" hidden="1" customHeight="1">
      <c r="A544" s="1"/>
      <c r="B544" s="207"/>
      <c r="C544" s="207"/>
      <c r="D544" s="207"/>
      <c r="E544" s="207"/>
      <c r="F544" s="207"/>
      <c r="G544" s="207"/>
      <c r="H544" s="207"/>
      <c r="I544" s="207"/>
      <c r="J544" s="207"/>
      <c r="K544" s="207"/>
      <c r="L544" s="207"/>
      <c r="M544" s="207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  <c r="AA544" s="207"/>
      <c r="AB544" s="207"/>
      <c r="AC544" s="207"/>
      <c r="AD544" s="207"/>
      <c r="AE544" s="207"/>
      <c r="AF544" s="207"/>
      <c r="AG544" s="207"/>
      <c r="AH544" s="207"/>
      <c r="AI544" s="207"/>
      <c r="AJ544" s="207"/>
      <c r="AK544" s="207"/>
      <c r="AL544" s="207"/>
      <c r="AM544" s="207"/>
      <c r="AN544" s="207"/>
      <c r="AO544" s="207"/>
      <c r="AP544" s="207"/>
      <c r="AQ544" s="207"/>
      <c r="AR544" s="207"/>
      <c r="AS544" s="207"/>
      <c r="AT544" s="207"/>
      <c r="AU544" s="207"/>
      <c r="AV544" s="207"/>
      <c r="AW544" s="207"/>
      <c r="AX544" s="207"/>
      <c r="AY544" s="207"/>
      <c r="AZ544" s="207"/>
      <c r="BA544" s="207"/>
    </row>
    <row r="545" ht="18.75" hidden="1" customHeight="1">
      <c r="A545" s="1"/>
      <c r="B545" s="207"/>
      <c r="C545" s="207"/>
      <c r="D545" s="207"/>
      <c r="E545" s="207"/>
      <c r="F545" s="207"/>
      <c r="G545" s="207"/>
      <c r="H545" s="207"/>
      <c r="I545" s="207"/>
      <c r="J545" s="207"/>
      <c r="K545" s="207"/>
      <c r="L545" s="207"/>
      <c r="M545" s="207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  <c r="AA545" s="207"/>
      <c r="AB545" s="207"/>
      <c r="AC545" s="207"/>
      <c r="AD545" s="207"/>
      <c r="AE545" s="207"/>
      <c r="AF545" s="207"/>
      <c r="AG545" s="207"/>
      <c r="AH545" s="207"/>
      <c r="AI545" s="207"/>
      <c r="AJ545" s="207"/>
      <c r="AK545" s="207"/>
      <c r="AL545" s="207"/>
      <c r="AM545" s="207"/>
      <c r="AN545" s="207"/>
      <c r="AO545" s="207"/>
      <c r="AP545" s="207"/>
      <c r="AQ545" s="207"/>
      <c r="AR545" s="207"/>
      <c r="AS545" s="207"/>
      <c r="AT545" s="207"/>
      <c r="AU545" s="207"/>
      <c r="AV545" s="207"/>
      <c r="AW545" s="207"/>
      <c r="AX545" s="207"/>
      <c r="AY545" s="207"/>
      <c r="AZ545" s="207"/>
      <c r="BA545" s="207"/>
    </row>
    <row r="546" ht="18.75" hidden="1" customHeight="1">
      <c r="A546" s="1"/>
      <c r="B546" s="207"/>
      <c r="C546" s="207"/>
      <c r="D546" s="207"/>
      <c r="E546" s="207"/>
      <c r="F546" s="207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  <c r="AA546" s="207"/>
      <c r="AB546" s="207"/>
      <c r="AC546" s="207"/>
      <c r="AD546" s="207"/>
      <c r="AE546" s="207"/>
      <c r="AF546" s="207"/>
      <c r="AG546" s="207"/>
      <c r="AH546" s="207"/>
      <c r="AI546" s="207"/>
      <c r="AJ546" s="207"/>
      <c r="AK546" s="207"/>
      <c r="AL546" s="207"/>
      <c r="AM546" s="207"/>
      <c r="AN546" s="207"/>
      <c r="AO546" s="207"/>
      <c r="AP546" s="207"/>
      <c r="AQ546" s="207"/>
      <c r="AR546" s="207"/>
      <c r="AS546" s="207"/>
      <c r="AT546" s="207"/>
      <c r="AU546" s="207"/>
      <c r="AV546" s="207"/>
      <c r="AW546" s="207"/>
      <c r="AX546" s="207"/>
      <c r="AY546" s="207"/>
      <c r="AZ546" s="207"/>
      <c r="BA546" s="207"/>
    </row>
    <row r="547" ht="18.75" hidden="1" customHeight="1">
      <c r="A547" s="1"/>
      <c r="B547" s="207"/>
      <c r="C547" s="207"/>
      <c r="D547" s="207"/>
      <c r="E547" s="207"/>
      <c r="F547" s="207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  <c r="AA547" s="207"/>
      <c r="AB547" s="207"/>
      <c r="AC547" s="207"/>
      <c r="AD547" s="207"/>
      <c r="AE547" s="207"/>
      <c r="AF547" s="207"/>
      <c r="AG547" s="207"/>
      <c r="AH547" s="207"/>
      <c r="AI547" s="207"/>
      <c r="AJ547" s="207"/>
      <c r="AK547" s="207"/>
      <c r="AL547" s="207"/>
      <c r="AM547" s="207"/>
      <c r="AN547" s="207"/>
      <c r="AO547" s="207"/>
      <c r="AP547" s="207"/>
      <c r="AQ547" s="207"/>
      <c r="AR547" s="207"/>
      <c r="AS547" s="207"/>
      <c r="AT547" s="207"/>
      <c r="AU547" s="207"/>
      <c r="AV547" s="207"/>
      <c r="AW547" s="207"/>
      <c r="AX547" s="207"/>
      <c r="AY547" s="207"/>
      <c r="AZ547" s="207"/>
      <c r="BA547" s="207"/>
    </row>
    <row r="548" ht="18.75" hidden="1" customHeight="1">
      <c r="A548" s="1"/>
      <c r="B548" s="207"/>
      <c r="C548" s="207"/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  <c r="AA548" s="207"/>
      <c r="AB548" s="207"/>
      <c r="AC548" s="207"/>
      <c r="AD548" s="207"/>
      <c r="AE548" s="207"/>
      <c r="AF548" s="207"/>
      <c r="AG548" s="207"/>
      <c r="AH548" s="207"/>
      <c r="AI548" s="207"/>
      <c r="AJ548" s="207"/>
      <c r="AK548" s="207"/>
      <c r="AL548" s="207"/>
      <c r="AM548" s="207"/>
      <c r="AN548" s="207"/>
      <c r="AO548" s="207"/>
      <c r="AP548" s="207"/>
      <c r="AQ548" s="207"/>
      <c r="AR548" s="207"/>
      <c r="AS548" s="207"/>
      <c r="AT548" s="207"/>
      <c r="AU548" s="207"/>
      <c r="AV548" s="207"/>
      <c r="AW548" s="207"/>
      <c r="AX548" s="207"/>
      <c r="AY548" s="207"/>
      <c r="AZ548" s="207"/>
      <c r="BA548" s="207"/>
    </row>
    <row r="549" ht="18.75" hidden="1" customHeight="1">
      <c r="A549" s="1"/>
      <c r="B549" s="207"/>
      <c r="C549" s="207"/>
      <c r="D549" s="207"/>
      <c r="E549" s="207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  <c r="AA549" s="207"/>
      <c r="AB549" s="207"/>
      <c r="AC549" s="207"/>
      <c r="AD549" s="207"/>
      <c r="AE549" s="207"/>
      <c r="AF549" s="207"/>
      <c r="AG549" s="207"/>
      <c r="AH549" s="207"/>
      <c r="AI549" s="207"/>
      <c r="AJ549" s="207"/>
      <c r="AK549" s="207"/>
      <c r="AL549" s="207"/>
      <c r="AM549" s="207"/>
      <c r="AN549" s="207"/>
      <c r="AO549" s="207"/>
      <c r="AP549" s="207"/>
      <c r="AQ549" s="207"/>
      <c r="AR549" s="207"/>
      <c r="AS549" s="207"/>
      <c r="AT549" s="207"/>
      <c r="AU549" s="207"/>
      <c r="AV549" s="207"/>
      <c r="AW549" s="207"/>
      <c r="AX549" s="207"/>
      <c r="AY549" s="207"/>
      <c r="AZ549" s="207"/>
      <c r="BA549" s="207"/>
    </row>
    <row r="550" ht="18.75" hidden="1" customHeight="1">
      <c r="A550" s="1"/>
      <c r="B550" s="207"/>
      <c r="C550" s="207"/>
      <c r="D550" s="207"/>
      <c r="E550" s="207"/>
      <c r="F550" s="207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  <c r="AA550" s="207"/>
      <c r="AB550" s="207"/>
      <c r="AC550" s="207"/>
      <c r="AD550" s="207"/>
      <c r="AE550" s="207"/>
      <c r="AF550" s="207"/>
      <c r="AG550" s="207"/>
      <c r="AH550" s="207"/>
      <c r="AI550" s="207"/>
      <c r="AJ550" s="207"/>
      <c r="AK550" s="207"/>
      <c r="AL550" s="207"/>
      <c r="AM550" s="207"/>
      <c r="AN550" s="207"/>
      <c r="AO550" s="207"/>
      <c r="AP550" s="207"/>
      <c r="AQ550" s="207"/>
      <c r="AR550" s="207"/>
      <c r="AS550" s="207"/>
      <c r="AT550" s="207"/>
      <c r="AU550" s="207"/>
      <c r="AV550" s="207"/>
      <c r="AW550" s="207"/>
      <c r="AX550" s="207"/>
      <c r="AY550" s="207"/>
      <c r="AZ550" s="207"/>
      <c r="BA550" s="207"/>
    </row>
    <row r="551" ht="18.75" hidden="1" customHeight="1">
      <c r="A551" s="1"/>
      <c r="B551" s="207"/>
      <c r="C551" s="207"/>
      <c r="D551" s="207"/>
      <c r="E551" s="207"/>
      <c r="F551" s="207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  <c r="AA551" s="207"/>
      <c r="AB551" s="207"/>
      <c r="AC551" s="207"/>
      <c r="AD551" s="207"/>
      <c r="AE551" s="207"/>
      <c r="AF551" s="207"/>
      <c r="AG551" s="207"/>
      <c r="AH551" s="207"/>
      <c r="AI551" s="207"/>
      <c r="AJ551" s="207"/>
      <c r="AK551" s="207"/>
      <c r="AL551" s="207"/>
      <c r="AM551" s="207"/>
      <c r="AN551" s="207"/>
      <c r="AO551" s="207"/>
      <c r="AP551" s="207"/>
      <c r="AQ551" s="207"/>
      <c r="AR551" s="207"/>
      <c r="AS551" s="207"/>
      <c r="AT551" s="207"/>
      <c r="AU551" s="207"/>
      <c r="AV551" s="207"/>
      <c r="AW551" s="207"/>
      <c r="AX551" s="207"/>
      <c r="AY551" s="207"/>
      <c r="AZ551" s="207"/>
      <c r="BA551" s="207"/>
    </row>
    <row r="552" ht="18.75" hidden="1" customHeight="1">
      <c r="A552" s="1"/>
      <c r="B552" s="207"/>
      <c r="C552" s="207"/>
      <c r="D552" s="207"/>
      <c r="E552" s="207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  <c r="AA552" s="207"/>
      <c r="AB552" s="207"/>
      <c r="AC552" s="207"/>
      <c r="AD552" s="207"/>
      <c r="AE552" s="207"/>
      <c r="AF552" s="207"/>
      <c r="AG552" s="207"/>
      <c r="AH552" s="207"/>
      <c r="AI552" s="207"/>
      <c r="AJ552" s="207"/>
      <c r="AK552" s="207"/>
      <c r="AL552" s="207"/>
      <c r="AM552" s="207"/>
      <c r="AN552" s="207"/>
      <c r="AO552" s="207"/>
      <c r="AP552" s="207"/>
      <c r="AQ552" s="207"/>
      <c r="AR552" s="207"/>
      <c r="AS552" s="207"/>
      <c r="AT552" s="207"/>
      <c r="AU552" s="207"/>
      <c r="AV552" s="207"/>
      <c r="AW552" s="207"/>
      <c r="AX552" s="207"/>
      <c r="AY552" s="207"/>
      <c r="AZ552" s="207"/>
      <c r="BA552" s="207"/>
    </row>
    <row r="553" ht="18.75" hidden="1" customHeight="1">
      <c r="A553" s="1"/>
      <c r="B553" s="207"/>
      <c r="C553" s="207"/>
      <c r="D553" s="207"/>
      <c r="E553" s="207"/>
      <c r="F553" s="207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  <c r="AA553" s="207"/>
      <c r="AB553" s="207"/>
      <c r="AC553" s="207"/>
      <c r="AD553" s="207"/>
      <c r="AE553" s="207"/>
      <c r="AF553" s="207"/>
      <c r="AG553" s="207"/>
      <c r="AH553" s="207"/>
      <c r="AI553" s="207"/>
      <c r="AJ553" s="207"/>
      <c r="AK553" s="207"/>
      <c r="AL553" s="207"/>
      <c r="AM553" s="207"/>
      <c r="AN553" s="207"/>
      <c r="AO553" s="207"/>
      <c r="AP553" s="207"/>
      <c r="AQ553" s="207"/>
      <c r="AR553" s="207"/>
      <c r="AS553" s="207"/>
      <c r="AT553" s="207"/>
      <c r="AU553" s="207"/>
      <c r="AV553" s="207"/>
      <c r="AW553" s="207"/>
      <c r="AX553" s="207"/>
      <c r="AY553" s="207"/>
      <c r="AZ553" s="207"/>
      <c r="BA553" s="207"/>
    </row>
    <row r="554" ht="18.75" hidden="1" customHeight="1">
      <c r="A554" s="1"/>
      <c r="B554" s="207"/>
      <c r="C554" s="207"/>
      <c r="D554" s="207"/>
      <c r="E554" s="207"/>
      <c r="F554" s="207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  <c r="AA554" s="207"/>
      <c r="AB554" s="207"/>
      <c r="AC554" s="207"/>
      <c r="AD554" s="207"/>
      <c r="AE554" s="207"/>
      <c r="AF554" s="207"/>
      <c r="AG554" s="207"/>
      <c r="AH554" s="207"/>
      <c r="AI554" s="207"/>
      <c r="AJ554" s="207"/>
      <c r="AK554" s="207"/>
      <c r="AL554" s="207"/>
      <c r="AM554" s="207"/>
      <c r="AN554" s="207"/>
      <c r="AO554" s="207"/>
      <c r="AP554" s="207"/>
      <c r="AQ554" s="207"/>
      <c r="AR554" s="207"/>
      <c r="AS554" s="207"/>
      <c r="AT554" s="207"/>
      <c r="AU554" s="207"/>
      <c r="AV554" s="207"/>
      <c r="AW554" s="207"/>
      <c r="AX554" s="207"/>
      <c r="AY554" s="207"/>
      <c r="AZ554" s="207"/>
      <c r="BA554" s="207"/>
    </row>
    <row r="555" ht="18.75" hidden="1" customHeight="1">
      <c r="A555" s="1"/>
      <c r="B555" s="207"/>
      <c r="C555" s="207"/>
      <c r="D555" s="207"/>
      <c r="E555" s="207"/>
      <c r="F555" s="207"/>
      <c r="G555" s="207"/>
      <c r="H555" s="207"/>
      <c r="I555" s="207"/>
      <c r="J555" s="207"/>
      <c r="K555" s="207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  <c r="AA555" s="207"/>
      <c r="AB555" s="207"/>
      <c r="AC555" s="207"/>
      <c r="AD555" s="207"/>
      <c r="AE555" s="207"/>
      <c r="AF555" s="207"/>
      <c r="AG555" s="207"/>
      <c r="AH555" s="207"/>
      <c r="AI555" s="207"/>
      <c r="AJ555" s="207"/>
      <c r="AK555" s="207"/>
      <c r="AL555" s="207"/>
      <c r="AM555" s="207"/>
      <c r="AN555" s="207"/>
      <c r="AO555" s="207"/>
      <c r="AP555" s="207"/>
      <c r="AQ555" s="207"/>
      <c r="AR555" s="207"/>
      <c r="AS555" s="207"/>
      <c r="AT555" s="207"/>
      <c r="AU555" s="207"/>
      <c r="AV555" s="207"/>
      <c r="AW555" s="207"/>
      <c r="AX555" s="207"/>
      <c r="AY555" s="207"/>
      <c r="AZ555" s="207"/>
      <c r="BA555" s="207"/>
    </row>
    <row r="556" ht="18.75" hidden="1" customHeight="1">
      <c r="A556" s="1"/>
      <c r="B556" s="207"/>
      <c r="C556" s="207"/>
      <c r="D556" s="207"/>
      <c r="E556" s="207"/>
      <c r="F556" s="207"/>
      <c r="G556" s="207"/>
      <c r="H556" s="207"/>
      <c r="I556" s="207"/>
      <c r="J556" s="207"/>
      <c r="K556" s="207"/>
      <c r="L556" s="207"/>
      <c r="M556" s="207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  <c r="AA556" s="207"/>
      <c r="AB556" s="207"/>
      <c r="AC556" s="207"/>
      <c r="AD556" s="207"/>
      <c r="AE556" s="207"/>
      <c r="AF556" s="207"/>
      <c r="AG556" s="207"/>
      <c r="AH556" s="207"/>
      <c r="AI556" s="207"/>
      <c r="AJ556" s="207"/>
      <c r="AK556" s="207"/>
      <c r="AL556" s="207"/>
      <c r="AM556" s="207"/>
      <c r="AN556" s="207"/>
      <c r="AO556" s="207"/>
      <c r="AP556" s="207"/>
      <c r="AQ556" s="207"/>
      <c r="AR556" s="207"/>
      <c r="AS556" s="207"/>
      <c r="AT556" s="207"/>
      <c r="AU556" s="207"/>
      <c r="AV556" s="207"/>
      <c r="AW556" s="207"/>
      <c r="AX556" s="207"/>
      <c r="AY556" s="207"/>
      <c r="AZ556" s="207"/>
      <c r="BA556" s="207"/>
    </row>
    <row r="557" ht="18.75" hidden="1" customHeight="1">
      <c r="A557" s="1"/>
      <c r="B557" s="207"/>
      <c r="C557" s="207"/>
      <c r="D557" s="207"/>
      <c r="E557" s="207"/>
      <c r="F557" s="207"/>
      <c r="G557" s="207"/>
      <c r="H557" s="207"/>
      <c r="I557" s="207"/>
      <c r="J557" s="207"/>
      <c r="K557" s="207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  <c r="AA557" s="207"/>
      <c r="AB557" s="207"/>
      <c r="AC557" s="207"/>
      <c r="AD557" s="207"/>
      <c r="AE557" s="207"/>
      <c r="AF557" s="207"/>
      <c r="AG557" s="207"/>
      <c r="AH557" s="207"/>
      <c r="AI557" s="207"/>
      <c r="AJ557" s="207"/>
      <c r="AK557" s="207"/>
      <c r="AL557" s="207"/>
      <c r="AM557" s="207"/>
      <c r="AN557" s="207"/>
      <c r="AO557" s="207"/>
      <c r="AP557" s="207"/>
      <c r="AQ557" s="207"/>
      <c r="AR557" s="207"/>
      <c r="AS557" s="207"/>
      <c r="AT557" s="207"/>
      <c r="AU557" s="207"/>
      <c r="AV557" s="207"/>
      <c r="AW557" s="207"/>
      <c r="AX557" s="207"/>
      <c r="AY557" s="207"/>
      <c r="AZ557" s="207"/>
      <c r="BA557" s="207"/>
    </row>
    <row r="558" ht="18.75" hidden="1" customHeight="1">
      <c r="A558" s="1"/>
      <c r="B558" s="207"/>
      <c r="C558" s="207"/>
      <c r="D558" s="207"/>
      <c r="E558" s="207"/>
      <c r="F558" s="207"/>
      <c r="G558" s="207"/>
      <c r="H558" s="207"/>
      <c r="I558" s="207"/>
      <c r="J558" s="207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  <c r="AA558" s="207"/>
      <c r="AB558" s="207"/>
      <c r="AC558" s="207"/>
      <c r="AD558" s="207"/>
      <c r="AE558" s="207"/>
      <c r="AF558" s="207"/>
      <c r="AG558" s="207"/>
      <c r="AH558" s="207"/>
      <c r="AI558" s="207"/>
      <c r="AJ558" s="207"/>
      <c r="AK558" s="207"/>
      <c r="AL558" s="207"/>
      <c r="AM558" s="207"/>
      <c r="AN558" s="207"/>
      <c r="AO558" s="207"/>
      <c r="AP558" s="207"/>
      <c r="AQ558" s="207"/>
      <c r="AR558" s="207"/>
      <c r="AS558" s="207"/>
      <c r="AT558" s="207"/>
      <c r="AU558" s="207"/>
      <c r="AV558" s="207"/>
      <c r="AW558" s="207"/>
      <c r="AX558" s="207"/>
      <c r="AY558" s="207"/>
      <c r="AZ558" s="207"/>
      <c r="BA558" s="207"/>
    </row>
    <row r="559" ht="18.75" hidden="1" customHeight="1">
      <c r="A559" s="1"/>
      <c r="B559" s="207"/>
      <c r="C559" s="207"/>
      <c r="D559" s="207"/>
      <c r="E559" s="207"/>
      <c r="F559" s="207"/>
      <c r="G559" s="207"/>
      <c r="H559" s="207"/>
      <c r="I559" s="207"/>
      <c r="J559" s="207"/>
      <c r="K559" s="207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  <c r="AA559" s="207"/>
      <c r="AB559" s="207"/>
      <c r="AC559" s="207"/>
      <c r="AD559" s="207"/>
      <c r="AE559" s="207"/>
      <c r="AF559" s="207"/>
      <c r="AG559" s="207"/>
      <c r="AH559" s="207"/>
      <c r="AI559" s="207"/>
      <c r="AJ559" s="207"/>
      <c r="AK559" s="207"/>
      <c r="AL559" s="207"/>
      <c r="AM559" s="207"/>
      <c r="AN559" s="207"/>
      <c r="AO559" s="207"/>
      <c r="AP559" s="207"/>
      <c r="AQ559" s="207"/>
      <c r="AR559" s="207"/>
      <c r="AS559" s="207"/>
      <c r="AT559" s="207"/>
      <c r="AU559" s="207"/>
      <c r="AV559" s="207"/>
      <c r="AW559" s="207"/>
      <c r="AX559" s="207"/>
      <c r="AY559" s="207"/>
      <c r="AZ559" s="207"/>
      <c r="BA559" s="207"/>
    </row>
    <row r="560" ht="18.75" hidden="1" customHeight="1">
      <c r="A560" s="1"/>
      <c r="B560" s="207"/>
      <c r="C560" s="207"/>
      <c r="D560" s="207"/>
      <c r="E560" s="207"/>
      <c r="F560" s="207"/>
      <c r="G560" s="207"/>
      <c r="H560" s="207"/>
      <c r="I560" s="207"/>
      <c r="J560" s="207"/>
      <c r="K560" s="207"/>
      <c r="L560" s="207"/>
      <c r="M560" s="207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  <c r="AA560" s="207"/>
      <c r="AB560" s="207"/>
      <c r="AC560" s="207"/>
      <c r="AD560" s="207"/>
      <c r="AE560" s="207"/>
      <c r="AF560" s="207"/>
      <c r="AG560" s="207"/>
      <c r="AH560" s="207"/>
      <c r="AI560" s="207"/>
      <c r="AJ560" s="207"/>
      <c r="AK560" s="207"/>
      <c r="AL560" s="207"/>
      <c r="AM560" s="207"/>
      <c r="AN560" s="207"/>
      <c r="AO560" s="207"/>
      <c r="AP560" s="207"/>
      <c r="AQ560" s="207"/>
      <c r="AR560" s="207"/>
      <c r="AS560" s="207"/>
      <c r="AT560" s="207"/>
      <c r="AU560" s="207"/>
      <c r="AV560" s="207"/>
      <c r="AW560" s="207"/>
      <c r="AX560" s="207"/>
      <c r="AY560" s="207"/>
      <c r="AZ560" s="207"/>
      <c r="BA560" s="207"/>
    </row>
    <row r="561" ht="18.75" hidden="1" customHeight="1">
      <c r="A561" s="1"/>
      <c r="B561" s="207"/>
      <c r="C561" s="207"/>
      <c r="D561" s="207"/>
      <c r="E561" s="207"/>
      <c r="F561" s="207"/>
      <c r="G561" s="207"/>
      <c r="H561" s="207"/>
      <c r="I561" s="207"/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  <c r="AA561" s="207"/>
      <c r="AB561" s="207"/>
      <c r="AC561" s="207"/>
      <c r="AD561" s="207"/>
      <c r="AE561" s="207"/>
      <c r="AF561" s="207"/>
      <c r="AG561" s="207"/>
      <c r="AH561" s="207"/>
      <c r="AI561" s="207"/>
      <c r="AJ561" s="207"/>
      <c r="AK561" s="207"/>
      <c r="AL561" s="207"/>
      <c r="AM561" s="207"/>
      <c r="AN561" s="207"/>
      <c r="AO561" s="207"/>
      <c r="AP561" s="207"/>
      <c r="AQ561" s="207"/>
      <c r="AR561" s="207"/>
      <c r="AS561" s="207"/>
      <c r="AT561" s="207"/>
      <c r="AU561" s="207"/>
      <c r="AV561" s="207"/>
      <c r="AW561" s="207"/>
      <c r="AX561" s="207"/>
      <c r="AY561" s="207"/>
      <c r="AZ561" s="207"/>
      <c r="BA561" s="207"/>
    </row>
    <row r="562" ht="18.75" hidden="1" customHeight="1">
      <c r="A562" s="1"/>
      <c r="B562" s="207"/>
      <c r="C562" s="207"/>
      <c r="D562" s="207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  <c r="AA562" s="207"/>
      <c r="AB562" s="207"/>
      <c r="AC562" s="207"/>
      <c r="AD562" s="207"/>
      <c r="AE562" s="207"/>
      <c r="AF562" s="207"/>
      <c r="AG562" s="207"/>
      <c r="AH562" s="207"/>
      <c r="AI562" s="207"/>
      <c r="AJ562" s="207"/>
      <c r="AK562" s="207"/>
      <c r="AL562" s="207"/>
      <c r="AM562" s="207"/>
      <c r="AN562" s="207"/>
      <c r="AO562" s="207"/>
      <c r="AP562" s="207"/>
      <c r="AQ562" s="207"/>
      <c r="AR562" s="207"/>
      <c r="AS562" s="207"/>
      <c r="AT562" s="207"/>
      <c r="AU562" s="207"/>
      <c r="AV562" s="207"/>
      <c r="AW562" s="207"/>
      <c r="AX562" s="207"/>
      <c r="AY562" s="207"/>
      <c r="AZ562" s="207"/>
      <c r="BA562" s="207"/>
    </row>
    <row r="563" ht="18.75" hidden="1" customHeight="1">
      <c r="A563" s="1"/>
      <c r="B563" s="207"/>
      <c r="C563" s="207"/>
      <c r="D563" s="207"/>
      <c r="E563" s="207"/>
      <c r="F563" s="207"/>
      <c r="G563" s="207"/>
      <c r="H563" s="207"/>
      <c r="I563" s="207"/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  <c r="AA563" s="207"/>
      <c r="AB563" s="207"/>
      <c r="AC563" s="207"/>
      <c r="AD563" s="207"/>
      <c r="AE563" s="207"/>
      <c r="AF563" s="207"/>
      <c r="AG563" s="207"/>
      <c r="AH563" s="207"/>
      <c r="AI563" s="207"/>
      <c r="AJ563" s="207"/>
      <c r="AK563" s="207"/>
      <c r="AL563" s="207"/>
      <c r="AM563" s="207"/>
      <c r="AN563" s="207"/>
      <c r="AO563" s="207"/>
      <c r="AP563" s="207"/>
      <c r="AQ563" s="207"/>
      <c r="AR563" s="207"/>
      <c r="AS563" s="207"/>
      <c r="AT563" s="207"/>
      <c r="AU563" s="207"/>
      <c r="AV563" s="207"/>
      <c r="AW563" s="207"/>
      <c r="AX563" s="207"/>
      <c r="AY563" s="207"/>
      <c r="AZ563" s="207"/>
      <c r="BA563" s="207"/>
    </row>
    <row r="564" ht="18.75" hidden="1" customHeight="1">
      <c r="A564" s="1"/>
      <c r="B564" s="207"/>
      <c r="C564" s="207"/>
      <c r="D564" s="207"/>
      <c r="E564" s="207"/>
      <c r="F564" s="207"/>
      <c r="G564" s="207"/>
      <c r="H564" s="207"/>
      <c r="I564" s="207"/>
      <c r="J564" s="207"/>
      <c r="K564" s="207"/>
      <c r="L564" s="207"/>
      <c r="M564" s="207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  <c r="AA564" s="207"/>
      <c r="AB564" s="207"/>
      <c r="AC564" s="207"/>
      <c r="AD564" s="207"/>
      <c r="AE564" s="207"/>
      <c r="AF564" s="207"/>
      <c r="AG564" s="207"/>
      <c r="AH564" s="207"/>
      <c r="AI564" s="207"/>
      <c r="AJ564" s="207"/>
      <c r="AK564" s="207"/>
      <c r="AL564" s="207"/>
      <c r="AM564" s="207"/>
      <c r="AN564" s="207"/>
      <c r="AO564" s="207"/>
      <c r="AP564" s="207"/>
      <c r="AQ564" s="207"/>
      <c r="AR564" s="207"/>
      <c r="AS564" s="207"/>
      <c r="AT564" s="207"/>
      <c r="AU564" s="207"/>
      <c r="AV564" s="207"/>
      <c r="AW564" s="207"/>
      <c r="AX564" s="207"/>
      <c r="AY564" s="207"/>
      <c r="AZ564" s="207"/>
      <c r="BA564" s="207"/>
    </row>
    <row r="565" ht="18.75" hidden="1" customHeight="1">
      <c r="A565" s="1"/>
      <c r="B565" s="207"/>
      <c r="C565" s="207"/>
      <c r="D565" s="207"/>
      <c r="E565" s="207"/>
      <c r="F565" s="207"/>
      <c r="G565" s="207"/>
      <c r="H565" s="207"/>
      <c r="I565" s="207"/>
      <c r="J565" s="207"/>
      <c r="K565" s="207"/>
      <c r="L565" s="207"/>
      <c r="M565" s="207"/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  <c r="AA565" s="207"/>
      <c r="AB565" s="207"/>
      <c r="AC565" s="207"/>
      <c r="AD565" s="207"/>
      <c r="AE565" s="207"/>
      <c r="AF565" s="207"/>
      <c r="AG565" s="207"/>
      <c r="AH565" s="207"/>
      <c r="AI565" s="207"/>
      <c r="AJ565" s="207"/>
      <c r="AK565" s="207"/>
      <c r="AL565" s="207"/>
      <c r="AM565" s="207"/>
      <c r="AN565" s="207"/>
      <c r="AO565" s="207"/>
      <c r="AP565" s="207"/>
      <c r="AQ565" s="207"/>
      <c r="AR565" s="207"/>
      <c r="AS565" s="207"/>
      <c r="AT565" s="207"/>
      <c r="AU565" s="207"/>
      <c r="AV565" s="207"/>
      <c r="AW565" s="207"/>
      <c r="AX565" s="207"/>
      <c r="AY565" s="207"/>
      <c r="AZ565" s="207"/>
      <c r="BA565" s="207"/>
    </row>
    <row r="566" ht="18.75" hidden="1" customHeight="1">
      <c r="A566" s="1"/>
      <c r="B566" s="207"/>
      <c r="C566" s="207"/>
      <c r="D566" s="207"/>
      <c r="E566" s="207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  <c r="AA566" s="207"/>
      <c r="AB566" s="207"/>
      <c r="AC566" s="207"/>
      <c r="AD566" s="207"/>
      <c r="AE566" s="207"/>
      <c r="AF566" s="207"/>
      <c r="AG566" s="207"/>
      <c r="AH566" s="207"/>
      <c r="AI566" s="207"/>
      <c r="AJ566" s="207"/>
      <c r="AK566" s="207"/>
      <c r="AL566" s="207"/>
      <c r="AM566" s="207"/>
      <c r="AN566" s="207"/>
      <c r="AO566" s="207"/>
      <c r="AP566" s="207"/>
      <c r="AQ566" s="207"/>
      <c r="AR566" s="207"/>
      <c r="AS566" s="207"/>
      <c r="AT566" s="207"/>
      <c r="AU566" s="207"/>
      <c r="AV566" s="207"/>
      <c r="AW566" s="207"/>
      <c r="AX566" s="207"/>
      <c r="AY566" s="207"/>
      <c r="AZ566" s="207"/>
      <c r="BA566" s="207"/>
    </row>
    <row r="567" ht="18.75" hidden="1" customHeight="1">
      <c r="A567" s="1"/>
      <c r="B567" s="207"/>
      <c r="C567" s="207"/>
      <c r="D567" s="207"/>
      <c r="E567" s="207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  <c r="AA567" s="207"/>
      <c r="AB567" s="207"/>
      <c r="AC567" s="207"/>
      <c r="AD567" s="207"/>
      <c r="AE567" s="207"/>
      <c r="AF567" s="207"/>
      <c r="AG567" s="207"/>
      <c r="AH567" s="207"/>
      <c r="AI567" s="207"/>
      <c r="AJ567" s="207"/>
      <c r="AK567" s="207"/>
      <c r="AL567" s="207"/>
      <c r="AM567" s="207"/>
      <c r="AN567" s="207"/>
      <c r="AO567" s="207"/>
      <c r="AP567" s="207"/>
      <c r="AQ567" s="207"/>
      <c r="AR567" s="207"/>
      <c r="AS567" s="207"/>
      <c r="AT567" s="207"/>
      <c r="AU567" s="207"/>
      <c r="AV567" s="207"/>
      <c r="AW567" s="207"/>
      <c r="AX567" s="207"/>
      <c r="AY567" s="207"/>
      <c r="AZ567" s="207"/>
      <c r="BA567" s="207"/>
    </row>
    <row r="568" ht="18.75" hidden="1" customHeight="1">
      <c r="A568" s="1"/>
      <c r="B568" s="207"/>
      <c r="C568" s="207"/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  <c r="AA568" s="207"/>
      <c r="AB568" s="207"/>
      <c r="AC568" s="207"/>
      <c r="AD568" s="207"/>
      <c r="AE568" s="207"/>
      <c r="AF568" s="207"/>
      <c r="AG568" s="207"/>
      <c r="AH568" s="207"/>
      <c r="AI568" s="207"/>
      <c r="AJ568" s="207"/>
      <c r="AK568" s="207"/>
      <c r="AL568" s="207"/>
      <c r="AM568" s="207"/>
      <c r="AN568" s="207"/>
      <c r="AO568" s="207"/>
      <c r="AP568" s="207"/>
      <c r="AQ568" s="207"/>
      <c r="AR568" s="207"/>
      <c r="AS568" s="207"/>
      <c r="AT568" s="207"/>
      <c r="AU568" s="207"/>
      <c r="AV568" s="207"/>
      <c r="AW568" s="207"/>
      <c r="AX568" s="207"/>
      <c r="AY568" s="207"/>
      <c r="AZ568" s="207"/>
      <c r="BA568" s="207"/>
    </row>
    <row r="569" ht="18.75" hidden="1" customHeight="1">
      <c r="A569" s="1"/>
      <c r="B569" s="207"/>
      <c r="C569" s="207"/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  <c r="AA569" s="207"/>
      <c r="AB569" s="207"/>
      <c r="AC569" s="207"/>
      <c r="AD569" s="207"/>
      <c r="AE569" s="207"/>
      <c r="AF569" s="207"/>
      <c r="AG569" s="207"/>
      <c r="AH569" s="207"/>
      <c r="AI569" s="207"/>
      <c r="AJ569" s="207"/>
      <c r="AK569" s="207"/>
      <c r="AL569" s="207"/>
      <c r="AM569" s="207"/>
      <c r="AN569" s="207"/>
      <c r="AO569" s="207"/>
      <c r="AP569" s="207"/>
      <c r="AQ569" s="207"/>
      <c r="AR569" s="207"/>
      <c r="AS569" s="207"/>
      <c r="AT569" s="207"/>
      <c r="AU569" s="207"/>
      <c r="AV569" s="207"/>
      <c r="AW569" s="207"/>
      <c r="AX569" s="207"/>
      <c r="AY569" s="207"/>
      <c r="AZ569" s="207"/>
      <c r="BA569" s="207"/>
    </row>
    <row r="570" ht="18.75" hidden="1" customHeight="1">
      <c r="A570" s="1"/>
      <c r="B570" s="207"/>
      <c r="C570" s="207"/>
      <c r="D570" s="207"/>
      <c r="E570" s="207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  <c r="AA570" s="207"/>
      <c r="AB570" s="207"/>
      <c r="AC570" s="207"/>
      <c r="AD570" s="207"/>
      <c r="AE570" s="207"/>
      <c r="AF570" s="207"/>
      <c r="AG570" s="207"/>
      <c r="AH570" s="207"/>
      <c r="AI570" s="207"/>
      <c r="AJ570" s="207"/>
      <c r="AK570" s="207"/>
      <c r="AL570" s="207"/>
      <c r="AM570" s="207"/>
      <c r="AN570" s="207"/>
      <c r="AO570" s="207"/>
      <c r="AP570" s="207"/>
      <c r="AQ570" s="207"/>
      <c r="AR570" s="207"/>
      <c r="AS570" s="207"/>
      <c r="AT570" s="207"/>
      <c r="AU570" s="207"/>
      <c r="AV570" s="207"/>
      <c r="AW570" s="207"/>
      <c r="AX570" s="207"/>
      <c r="AY570" s="207"/>
      <c r="AZ570" s="207"/>
      <c r="BA570" s="207"/>
    </row>
    <row r="571" ht="18.75" hidden="1" customHeight="1">
      <c r="A571" s="1"/>
      <c r="B571" s="207"/>
      <c r="C571" s="207"/>
      <c r="D571" s="207"/>
      <c r="E571" s="207"/>
      <c r="F571" s="207"/>
      <c r="G571" s="207"/>
      <c r="H571" s="207"/>
      <c r="I571" s="207"/>
      <c r="J571" s="207"/>
      <c r="K571" s="207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  <c r="AA571" s="207"/>
      <c r="AB571" s="207"/>
      <c r="AC571" s="207"/>
      <c r="AD571" s="207"/>
      <c r="AE571" s="207"/>
      <c r="AF571" s="207"/>
      <c r="AG571" s="207"/>
      <c r="AH571" s="207"/>
      <c r="AI571" s="207"/>
      <c r="AJ571" s="207"/>
      <c r="AK571" s="207"/>
      <c r="AL571" s="207"/>
      <c r="AM571" s="207"/>
      <c r="AN571" s="207"/>
      <c r="AO571" s="207"/>
      <c r="AP571" s="207"/>
      <c r="AQ571" s="207"/>
      <c r="AR571" s="207"/>
      <c r="AS571" s="207"/>
      <c r="AT571" s="207"/>
      <c r="AU571" s="207"/>
      <c r="AV571" s="207"/>
      <c r="AW571" s="207"/>
      <c r="AX571" s="207"/>
      <c r="AY571" s="207"/>
      <c r="AZ571" s="207"/>
      <c r="BA571" s="207"/>
    </row>
    <row r="572" ht="18.75" hidden="1" customHeight="1">
      <c r="A572" s="1"/>
      <c r="B572" s="207"/>
      <c r="C572" s="207"/>
      <c r="D572" s="207"/>
      <c r="E572" s="207"/>
      <c r="F572" s="207"/>
      <c r="G572" s="207"/>
      <c r="H572" s="207"/>
      <c r="I572" s="207"/>
      <c r="J572" s="207"/>
      <c r="K572" s="207"/>
      <c r="L572" s="207"/>
      <c r="M572" s="207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  <c r="AA572" s="207"/>
      <c r="AB572" s="207"/>
      <c r="AC572" s="207"/>
      <c r="AD572" s="207"/>
      <c r="AE572" s="207"/>
      <c r="AF572" s="207"/>
      <c r="AG572" s="207"/>
      <c r="AH572" s="207"/>
      <c r="AI572" s="207"/>
      <c r="AJ572" s="207"/>
      <c r="AK572" s="207"/>
      <c r="AL572" s="207"/>
      <c r="AM572" s="207"/>
      <c r="AN572" s="207"/>
      <c r="AO572" s="207"/>
      <c r="AP572" s="207"/>
      <c r="AQ572" s="207"/>
      <c r="AR572" s="207"/>
      <c r="AS572" s="207"/>
      <c r="AT572" s="207"/>
      <c r="AU572" s="207"/>
      <c r="AV572" s="207"/>
      <c r="AW572" s="207"/>
      <c r="AX572" s="207"/>
      <c r="AY572" s="207"/>
      <c r="AZ572" s="207"/>
      <c r="BA572" s="207"/>
    </row>
    <row r="573" ht="18.75" hidden="1" customHeight="1">
      <c r="A573" s="1"/>
      <c r="B573" s="207"/>
      <c r="C573" s="207"/>
      <c r="D573" s="207"/>
      <c r="E573" s="207"/>
      <c r="F573" s="207"/>
      <c r="G573" s="207"/>
      <c r="H573" s="207"/>
      <c r="I573" s="207"/>
      <c r="J573" s="207"/>
      <c r="K573" s="207"/>
      <c r="L573" s="207"/>
      <c r="M573" s="207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  <c r="AA573" s="207"/>
      <c r="AB573" s="207"/>
      <c r="AC573" s="207"/>
      <c r="AD573" s="207"/>
      <c r="AE573" s="207"/>
      <c r="AF573" s="207"/>
      <c r="AG573" s="207"/>
      <c r="AH573" s="207"/>
      <c r="AI573" s="207"/>
      <c r="AJ573" s="207"/>
      <c r="AK573" s="207"/>
      <c r="AL573" s="207"/>
      <c r="AM573" s="207"/>
      <c r="AN573" s="207"/>
      <c r="AO573" s="207"/>
      <c r="AP573" s="207"/>
      <c r="AQ573" s="207"/>
      <c r="AR573" s="207"/>
      <c r="AS573" s="207"/>
      <c r="AT573" s="207"/>
      <c r="AU573" s="207"/>
      <c r="AV573" s="207"/>
      <c r="AW573" s="207"/>
      <c r="AX573" s="207"/>
      <c r="AY573" s="207"/>
      <c r="AZ573" s="207"/>
      <c r="BA573" s="207"/>
    </row>
    <row r="574" ht="18.75" hidden="1" customHeight="1">
      <c r="A574" s="1"/>
      <c r="B574" s="207"/>
      <c r="C574" s="207"/>
      <c r="D574" s="207"/>
      <c r="E574" s="207"/>
      <c r="F574" s="207"/>
      <c r="G574" s="207"/>
      <c r="H574" s="207"/>
      <c r="I574" s="207"/>
      <c r="J574" s="207"/>
      <c r="K574" s="207"/>
      <c r="L574" s="207"/>
      <c r="M574" s="207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  <c r="AA574" s="207"/>
      <c r="AB574" s="207"/>
      <c r="AC574" s="207"/>
      <c r="AD574" s="207"/>
      <c r="AE574" s="207"/>
      <c r="AF574" s="207"/>
      <c r="AG574" s="207"/>
      <c r="AH574" s="207"/>
      <c r="AI574" s="207"/>
      <c r="AJ574" s="207"/>
      <c r="AK574" s="207"/>
      <c r="AL574" s="207"/>
      <c r="AM574" s="207"/>
      <c r="AN574" s="207"/>
      <c r="AO574" s="207"/>
      <c r="AP574" s="207"/>
      <c r="AQ574" s="207"/>
      <c r="AR574" s="207"/>
      <c r="AS574" s="207"/>
      <c r="AT574" s="207"/>
      <c r="AU574" s="207"/>
      <c r="AV574" s="207"/>
      <c r="AW574" s="207"/>
      <c r="AX574" s="207"/>
      <c r="AY574" s="207"/>
      <c r="AZ574" s="207"/>
      <c r="BA574" s="207"/>
    </row>
    <row r="575" ht="18.75" hidden="1" customHeight="1">
      <c r="A575" s="1"/>
      <c r="B575" s="207"/>
      <c r="C575" s="207"/>
      <c r="D575" s="207"/>
      <c r="E575" s="207"/>
      <c r="F575" s="207"/>
      <c r="G575" s="207"/>
      <c r="H575" s="207"/>
      <c r="I575" s="207"/>
      <c r="J575" s="207"/>
      <c r="K575" s="207"/>
      <c r="L575" s="207"/>
      <c r="M575" s="207"/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  <c r="AA575" s="207"/>
      <c r="AB575" s="207"/>
      <c r="AC575" s="207"/>
      <c r="AD575" s="207"/>
      <c r="AE575" s="207"/>
      <c r="AF575" s="207"/>
      <c r="AG575" s="207"/>
      <c r="AH575" s="207"/>
      <c r="AI575" s="207"/>
      <c r="AJ575" s="207"/>
      <c r="AK575" s="207"/>
      <c r="AL575" s="207"/>
      <c r="AM575" s="207"/>
      <c r="AN575" s="207"/>
      <c r="AO575" s="207"/>
      <c r="AP575" s="207"/>
      <c r="AQ575" s="207"/>
      <c r="AR575" s="207"/>
      <c r="AS575" s="207"/>
      <c r="AT575" s="207"/>
      <c r="AU575" s="207"/>
      <c r="AV575" s="207"/>
      <c r="AW575" s="207"/>
      <c r="AX575" s="207"/>
      <c r="AY575" s="207"/>
      <c r="AZ575" s="207"/>
      <c r="BA575" s="207"/>
    </row>
    <row r="576" ht="18.75" hidden="1" customHeight="1">
      <c r="A576" s="1"/>
      <c r="B576" s="207"/>
      <c r="C576" s="207"/>
      <c r="D576" s="207"/>
      <c r="E576" s="207"/>
      <c r="F576" s="207"/>
      <c r="G576" s="207"/>
      <c r="H576" s="207"/>
      <c r="I576" s="207"/>
      <c r="J576" s="207"/>
      <c r="K576" s="207"/>
      <c r="L576" s="207"/>
      <c r="M576" s="207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  <c r="AA576" s="207"/>
      <c r="AB576" s="207"/>
      <c r="AC576" s="207"/>
      <c r="AD576" s="207"/>
      <c r="AE576" s="207"/>
      <c r="AF576" s="207"/>
      <c r="AG576" s="207"/>
      <c r="AH576" s="207"/>
      <c r="AI576" s="207"/>
      <c r="AJ576" s="207"/>
      <c r="AK576" s="207"/>
      <c r="AL576" s="207"/>
      <c r="AM576" s="207"/>
      <c r="AN576" s="207"/>
      <c r="AO576" s="207"/>
      <c r="AP576" s="207"/>
      <c r="AQ576" s="207"/>
      <c r="AR576" s="207"/>
      <c r="AS576" s="207"/>
      <c r="AT576" s="207"/>
      <c r="AU576" s="207"/>
      <c r="AV576" s="207"/>
      <c r="AW576" s="207"/>
      <c r="AX576" s="207"/>
      <c r="AY576" s="207"/>
      <c r="AZ576" s="207"/>
      <c r="BA576" s="207"/>
    </row>
    <row r="577" ht="18.75" hidden="1" customHeight="1">
      <c r="A577" s="1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  <c r="AA577" s="207"/>
      <c r="AB577" s="207"/>
      <c r="AC577" s="207"/>
      <c r="AD577" s="207"/>
      <c r="AE577" s="207"/>
      <c r="AF577" s="207"/>
      <c r="AG577" s="207"/>
      <c r="AH577" s="207"/>
      <c r="AI577" s="207"/>
      <c r="AJ577" s="207"/>
      <c r="AK577" s="207"/>
      <c r="AL577" s="207"/>
      <c r="AM577" s="207"/>
      <c r="AN577" s="207"/>
      <c r="AO577" s="207"/>
      <c r="AP577" s="207"/>
      <c r="AQ577" s="207"/>
      <c r="AR577" s="207"/>
      <c r="AS577" s="207"/>
      <c r="AT577" s="207"/>
      <c r="AU577" s="207"/>
      <c r="AV577" s="207"/>
      <c r="AW577" s="207"/>
      <c r="AX577" s="207"/>
      <c r="AY577" s="207"/>
      <c r="AZ577" s="207"/>
      <c r="BA577" s="207"/>
    </row>
    <row r="578" ht="18.75" hidden="1" customHeight="1">
      <c r="A578" s="1"/>
      <c r="B578" s="207"/>
      <c r="C578" s="207"/>
      <c r="D578" s="207"/>
      <c r="E578" s="207"/>
      <c r="F578" s="207"/>
      <c r="G578" s="207"/>
      <c r="H578" s="207"/>
      <c r="I578" s="207"/>
      <c r="J578" s="207"/>
      <c r="K578" s="207"/>
      <c r="L578" s="207"/>
      <c r="M578" s="207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  <c r="AA578" s="207"/>
      <c r="AB578" s="207"/>
      <c r="AC578" s="207"/>
      <c r="AD578" s="207"/>
      <c r="AE578" s="207"/>
      <c r="AF578" s="207"/>
      <c r="AG578" s="207"/>
      <c r="AH578" s="207"/>
      <c r="AI578" s="207"/>
      <c r="AJ578" s="207"/>
      <c r="AK578" s="207"/>
      <c r="AL578" s="207"/>
      <c r="AM578" s="207"/>
      <c r="AN578" s="207"/>
      <c r="AO578" s="207"/>
      <c r="AP578" s="207"/>
      <c r="AQ578" s="207"/>
      <c r="AR578" s="207"/>
      <c r="AS578" s="207"/>
      <c r="AT578" s="207"/>
      <c r="AU578" s="207"/>
      <c r="AV578" s="207"/>
      <c r="AW578" s="207"/>
      <c r="AX578" s="207"/>
      <c r="AY578" s="207"/>
      <c r="AZ578" s="207"/>
      <c r="BA578" s="207"/>
    </row>
    <row r="579" ht="18.75" hidden="1" customHeight="1">
      <c r="A579" s="1"/>
      <c r="B579" s="207"/>
      <c r="C579" s="207"/>
      <c r="D579" s="207"/>
      <c r="E579" s="207"/>
      <c r="F579" s="207"/>
      <c r="G579" s="207"/>
      <c r="H579" s="207"/>
      <c r="I579" s="207"/>
      <c r="J579" s="207"/>
      <c r="K579" s="207"/>
      <c r="L579" s="207"/>
      <c r="M579" s="207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  <c r="AA579" s="207"/>
      <c r="AB579" s="207"/>
      <c r="AC579" s="207"/>
      <c r="AD579" s="207"/>
      <c r="AE579" s="207"/>
      <c r="AF579" s="207"/>
      <c r="AG579" s="207"/>
      <c r="AH579" s="207"/>
      <c r="AI579" s="207"/>
      <c r="AJ579" s="207"/>
      <c r="AK579" s="207"/>
      <c r="AL579" s="207"/>
      <c r="AM579" s="207"/>
      <c r="AN579" s="207"/>
      <c r="AO579" s="207"/>
      <c r="AP579" s="207"/>
      <c r="AQ579" s="207"/>
      <c r="AR579" s="207"/>
      <c r="AS579" s="207"/>
      <c r="AT579" s="207"/>
      <c r="AU579" s="207"/>
      <c r="AV579" s="207"/>
      <c r="AW579" s="207"/>
      <c r="AX579" s="207"/>
      <c r="AY579" s="207"/>
      <c r="AZ579" s="207"/>
      <c r="BA579" s="207"/>
    </row>
    <row r="580" ht="18.75" hidden="1" customHeight="1">
      <c r="A580" s="1"/>
      <c r="B580" s="207"/>
      <c r="C580" s="207"/>
      <c r="D580" s="207"/>
      <c r="E580" s="207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  <c r="AA580" s="207"/>
      <c r="AB580" s="207"/>
      <c r="AC580" s="207"/>
      <c r="AD580" s="207"/>
      <c r="AE580" s="207"/>
      <c r="AF580" s="207"/>
      <c r="AG580" s="207"/>
      <c r="AH580" s="207"/>
      <c r="AI580" s="207"/>
      <c r="AJ580" s="207"/>
      <c r="AK580" s="207"/>
      <c r="AL580" s="207"/>
      <c r="AM580" s="207"/>
      <c r="AN580" s="207"/>
      <c r="AO580" s="207"/>
      <c r="AP580" s="207"/>
      <c r="AQ580" s="207"/>
      <c r="AR580" s="207"/>
      <c r="AS580" s="207"/>
      <c r="AT580" s="207"/>
      <c r="AU580" s="207"/>
      <c r="AV580" s="207"/>
      <c r="AW580" s="207"/>
      <c r="AX580" s="207"/>
      <c r="AY580" s="207"/>
      <c r="AZ580" s="207"/>
      <c r="BA580" s="207"/>
    </row>
    <row r="581" ht="18.75" hidden="1" customHeight="1">
      <c r="A581" s="1"/>
      <c r="B581" s="207"/>
      <c r="C581" s="207"/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  <c r="AA581" s="207"/>
      <c r="AB581" s="207"/>
      <c r="AC581" s="207"/>
      <c r="AD581" s="207"/>
      <c r="AE581" s="207"/>
      <c r="AF581" s="207"/>
      <c r="AG581" s="207"/>
      <c r="AH581" s="207"/>
      <c r="AI581" s="207"/>
      <c r="AJ581" s="207"/>
      <c r="AK581" s="207"/>
      <c r="AL581" s="207"/>
      <c r="AM581" s="207"/>
      <c r="AN581" s="207"/>
      <c r="AO581" s="207"/>
      <c r="AP581" s="207"/>
      <c r="AQ581" s="207"/>
      <c r="AR581" s="207"/>
      <c r="AS581" s="207"/>
      <c r="AT581" s="207"/>
      <c r="AU581" s="207"/>
      <c r="AV581" s="207"/>
      <c r="AW581" s="207"/>
      <c r="AX581" s="207"/>
      <c r="AY581" s="207"/>
      <c r="AZ581" s="207"/>
      <c r="BA581" s="207"/>
    </row>
    <row r="582" ht="18.75" hidden="1" customHeight="1">
      <c r="A582" s="1"/>
      <c r="B582" s="207"/>
      <c r="C582" s="207"/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  <c r="AA582" s="207"/>
      <c r="AB582" s="207"/>
      <c r="AC582" s="207"/>
      <c r="AD582" s="207"/>
      <c r="AE582" s="207"/>
      <c r="AF582" s="207"/>
      <c r="AG582" s="207"/>
      <c r="AH582" s="207"/>
      <c r="AI582" s="207"/>
      <c r="AJ582" s="207"/>
      <c r="AK582" s="207"/>
      <c r="AL582" s="207"/>
      <c r="AM582" s="207"/>
      <c r="AN582" s="207"/>
      <c r="AO582" s="207"/>
      <c r="AP582" s="207"/>
      <c r="AQ582" s="207"/>
      <c r="AR582" s="207"/>
      <c r="AS582" s="207"/>
      <c r="AT582" s="207"/>
      <c r="AU582" s="207"/>
      <c r="AV582" s="207"/>
      <c r="AW582" s="207"/>
      <c r="AX582" s="207"/>
      <c r="AY582" s="207"/>
      <c r="AZ582" s="207"/>
      <c r="BA582" s="207"/>
    </row>
    <row r="583" ht="18.75" hidden="1" customHeight="1">
      <c r="A583" s="1"/>
      <c r="B583" s="207"/>
      <c r="C583" s="207"/>
      <c r="D583" s="207"/>
      <c r="E583" s="207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  <c r="AA583" s="207"/>
      <c r="AB583" s="207"/>
      <c r="AC583" s="207"/>
      <c r="AD583" s="207"/>
      <c r="AE583" s="207"/>
      <c r="AF583" s="207"/>
      <c r="AG583" s="207"/>
      <c r="AH583" s="207"/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7"/>
    </row>
    <row r="584" ht="18.75" hidden="1" customHeight="1">
      <c r="A584" s="1"/>
      <c r="B584" s="207"/>
      <c r="C584" s="207"/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  <c r="AB584" s="207"/>
      <c r="AC584" s="207"/>
      <c r="AD584" s="207"/>
      <c r="AE584" s="207"/>
      <c r="AF584" s="207"/>
      <c r="AG584" s="207"/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</row>
    <row r="585" ht="18.75" hidden="1" customHeight="1">
      <c r="A585" s="1"/>
      <c r="B585" s="207"/>
      <c r="C585" s="207"/>
      <c r="D585" s="207"/>
      <c r="E585" s="207"/>
      <c r="F585" s="207"/>
      <c r="G585" s="207"/>
      <c r="H585" s="207"/>
      <c r="I585" s="207"/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  <c r="AA585" s="207"/>
      <c r="AB585" s="207"/>
      <c r="AC585" s="207"/>
      <c r="AD585" s="207"/>
      <c r="AE585" s="207"/>
      <c r="AF585" s="207"/>
      <c r="AG585" s="207"/>
      <c r="AH585" s="207"/>
      <c r="AI585" s="207"/>
      <c r="AJ585" s="207"/>
      <c r="AK585" s="207"/>
      <c r="AL585" s="207"/>
      <c r="AM585" s="207"/>
      <c r="AN585" s="207"/>
      <c r="AO585" s="207"/>
      <c r="AP585" s="207"/>
      <c r="AQ585" s="207"/>
      <c r="AR585" s="207"/>
      <c r="AS585" s="207"/>
      <c r="AT585" s="207"/>
      <c r="AU585" s="207"/>
      <c r="AV585" s="207"/>
      <c r="AW585" s="207"/>
      <c r="AX585" s="207"/>
      <c r="AY585" s="207"/>
      <c r="AZ585" s="207"/>
      <c r="BA585" s="207"/>
    </row>
    <row r="586" ht="18.75" hidden="1" customHeight="1">
      <c r="A586" s="1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  <c r="AA586" s="207"/>
      <c r="AB586" s="207"/>
      <c r="AC586" s="207"/>
      <c r="AD586" s="207"/>
      <c r="AE586" s="207"/>
      <c r="AF586" s="207"/>
      <c r="AG586" s="207"/>
      <c r="AH586" s="207"/>
      <c r="AI586" s="207"/>
      <c r="AJ586" s="207"/>
      <c r="AK586" s="207"/>
      <c r="AL586" s="207"/>
      <c r="AM586" s="207"/>
      <c r="AN586" s="207"/>
      <c r="AO586" s="207"/>
      <c r="AP586" s="207"/>
      <c r="AQ586" s="207"/>
      <c r="AR586" s="207"/>
      <c r="AS586" s="207"/>
      <c r="AT586" s="207"/>
      <c r="AU586" s="207"/>
      <c r="AV586" s="207"/>
      <c r="AW586" s="207"/>
      <c r="AX586" s="207"/>
      <c r="AY586" s="207"/>
      <c r="AZ586" s="207"/>
      <c r="BA586" s="207"/>
    </row>
    <row r="587" ht="18.75" hidden="1" customHeight="1">
      <c r="A587" s="1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  <c r="AA587" s="207"/>
      <c r="AB587" s="207"/>
      <c r="AC587" s="207"/>
      <c r="AD587" s="207"/>
      <c r="AE587" s="207"/>
      <c r="AF587" s="207"/>
      <c r="AG587" s="207"/>
      <c r="AH587" s="207"/>
      <c r="AI587" s="207"/>
      <c r="AJ587" s="207"/>
      <c r="AK587" s="207"/>
      <c r="AL587" s="207"/>
      <c r="AM587" s="207"/>
      <c r="AN587" s="207"/>
      <c r="AO587" s="207"/>
      <c r="AP587" s="207"/>
      <c r="AQ587" s="207"/>
      <c r="AR587" s="207"/>
      <c r="AS587" s="207"/>
      <c r="AT587" s="207"/>
      <c r="AU587" s="207"/>
      <c r="AV587" s="207"/>
      <c r="AW587" s="207"/>
      <c r="AX587" s="207"/>
      <c r="AY587" s="207"/>
      <c r="AZ587" s="207"/>
      <c r="BA587" s="207"/>
    </row>
    <row r="588" ht="18.75" hidden="1" customHeight="1">
      <c r="A588" s="1"/>
      <c r="B588" s="207"/>
      <c r="C588" s="20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  <c r="AA588" s="207"/>
      <c r="AB588" s="207"/>
      <c r="AC588" s="207"/>
      <c r="AD588" s="207"/>
      <c r="AE588" s="207"/>
      <c r="AF588" s="207"/>
      <c r="AG588" s="207"/>
      <c r="AH588" s="207"/>
      <c r="AI588" s="207"/>
      <c r="AJ588" s="207"/>
      <c r="AK588" s="207"/>
      <c r="AL588" s="207"/>
      <c r="AM588" s="207"/>
      <c r="AN588" s="207"/>
      <c r="AO588" s="207"/>
      <c r="AP588" s="207"/>
      <c r="AQ588" s="207"/>
      <c r="AR588" s="207"/>
      <c r="AS588" s="207"/>
      <c r="AT588" s="207"/>
      <c r="AU588" s="207"/>
      <c r="AV588" s="207"/>
      <c r="AW588" s="207"/>
      <c r="AX588" s="207"/>
      <c r="AY588" s="207"/>
      <c r="AZ588" s="207"/>
      <c r="BA588" s="207"/>
    </row>
    <row r="589" ht="18.75" hidden="1" customHeight="1">
      <c r="A589" s="1"/>
      <c r="B589" s="207"/>
      <c r="C589" s="207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  <c r="AA589" s="207"/>
      <c r="AB589" s="207"/>
      <c r="AC589" s="207"/>
      <c r="AD589" s="207"/>
      <c r="AE589" s="207"/>
      <c r="AF589" s="207"/>
      <c r="AG589" s="207"/>
      <c r="AH589" s="207"/>
      <c r="AI589" s="207"/>
      <c r="AJ589" s="207"/>
      <c r="AK589" s="207"/>
      <c r="AL589" s="207"/>
      <c r="AM589" s="207"/>
      <c r="AN589" s="207"/>
      <c r="AO589" s="207"/>
      <c r="AP589" s="207"/>
      <c r="AQ589" s="207"/>
      <c r="AR589" s="207"/>
      <c r="AS589" s="207"/>
      <c r="AT589" s="207"/>
      <c r="AU589" s="207"/>
      <c r="AV589" s="207"/>
      <c r="AW589" s="207"/>
      <c r="AX589" s="207"/>
      <c r="AY589" s="207"/>
      <c r="AZ589" s="207"/>
      <c r="BA589" s="207"/>
    </row>
    <row r="590" ht="18.75" hidden="1" customHeight="1">
      <c r="A590" s="1"/>
      <c r="B590" s="207"/>
      <c r="C590" s="207"/>
      <c r="D590" s="207"/>
      <c r="E590" s="207"/>
      <c r="F590" s="207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  <c r="AA590" s="207"/>
      <c r="AB590" s="207"/>
      <c r="AC590" s="207"/>
      <c r="AD590" s="207"/>
      <c r="AE590" s="207"/>
      <c r="AF590" s="207"/>
      <c r="AG590" s="207"/>
      <c r="AH590" s="207"/>
      <c r="AI590" s="207"/>
      <c r="AJ590" s="207"/>
      <c r="AK590" s="207"/>
      <c r="AL590" s="207"/>
      <c r="AM590" s="207"/>
      <c r="AN590" s="207"/>
      <c r="AO590" s="207"/>
      <c r="AP590" s="207"/>
      <c r="AQ590" s="207"/>
      <c r="AR590" s="207"/>
      <c r="AS590" s="207"/>
      <c r="AT590" s="207"/>
      <c r="AU590" s="207"/>
      <c r="AV590" s="207"/>
      <c r="AW590" s="207"/>
      <c r="AX590" s="207"/>
      <c r="AY590" s="207"/>
      <c r="AZ590" s="207"/>
      <c r="BA590" s="207"/>
    </row>
    <row r="591" ht="18.75" hidden="1" customHeight="1">
      <c r="A591" s="1"/>
      <c r="B591" s="207"/>
      <c r="C591" s="207"/>
      <c r="D591" s="207"/>
      <c r="E591" s="207"/>
      <c r="F591" s="207"/>
      <c r="G591" s="207"/>
      <c r="H591" s="207"/>
      <c r="I591" s="207"/>
      <c r="J591" s="207"/>
      <c r="K591" s="207"/>
      <c r="L591" s="207"/>
      <c r="M591" s="207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  <c r="AA591" s="207"/>
      <c r="AB591" s="207"/>
      <c r="AC591" s="207"/>
      <c r="AD591" s="207"/>
      <c r="AE591" s="207"/>
      <c r="AF591" s="207"/>
      <c r="AG591" s="207"/>
      <c r="AH591" s="207"/>
      <c r="AI591" s="207"/>
      <c r="AJ591" s="207"/>
      <c r="AK591" s="207"/>
      <c r="AL591" s="207"/>
      <c r="AM591" s="207"/>
      <c r="AN591" s="207"/>
      <c r="AO591" s="207"/>
      <c r="AP591" s="207"/>
      <c r="AQ591" s="207"/>
      <c r="AR591" s="207"/>
      <c r="AS591" s="207"/>
      <c r="AT591" s="207"/>
      <c r="AU591" s="207"/>
      <c r="AV591" s="207"/>
      <c r="AW591" s="207"/>
      <c r="AX591" s="207"/>
      <c r="AY591" s="207"/>
      <c r="AZ591" s="207"/>
      <c r="BA591" s="207"/>
    </row>
    <row r="592" ht="18.75" hidden="1" customHeight="1">
      <c r="A592" s="1"/>
      <c r="B592" s="207"/>
      <c r="C592" s="207"/>
      <c r="D592" s="207"/>
      <c r="E592" s="207"/>
      <c r="F592" s="207"/>
      <c r="G592" s="207"/>
      <c r="H592" s="207"/>
      <c r="I592" s="207"/>
      <c r="J592" s="207"/>
      <c r="K592" s="207"/>
      <c r="L592" s="207"/>
      <c r="M592" s="207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  <c r="AA592" s="207"/>
      <c r="AB592" s="207"/>
      <c r="AC592" s="207"/>
      <c r="AD592" s="207"/>
      <c r="AE592" s="207"/>
      <c r="AF592" s="207"/>
      <c r="AG592" s="207"/>
      <c r="AH592" s="207"/>
      <c r="AI592" s="207"/>
      <c r="AJ592" s="207"/>
      <c r="AK592" s="207"/>
      <c r="AL592" s="207"/>
      <c r="AM592" s="207"/>
      <c r="AN592" s="207"/>
      <c r="AO592" s="207"/>
      <c r="AP592" s="207"/>
      <c r="AQ592" s="207"/>
      <c r="AR592" s="207"/>
      <c r="AS592" s="207"/>
      <c r="AT592" s="207"/>
      <c r="AU592" s="207"/>
      <c r="AV592" s="207"/>
      <c r="AW592" s="207"/>
      <c r="AX592" s="207"/>
      <c r="AY592" s="207"/>
      <c r="AZ592" s="207"/>
      <c r="BA592" s="207"/>
    </row>
    <row r="593" ht="18.75" hidden="1" customHeight="1">
      <c r="A593" s="1"/>
      <c r="B593" s="207"/>
      <c r="C593" s="207"/>
      <c r="D593" s="207"/>
      <c r="E593" s="207"/>
      <c r="F593" s="207"/>
      <c r="G593" s="207"/>
      <c r="H593" s="207"/>
      <c r="I593" s="207"/>
      <c r="J593" s="207"/>
      <c r="K593" s="207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  <c r="AA593" s="207"/>
      <c r="AB593" s="207"/>
      <c r="AC593" s="207"/>
      <c r="AD593" s="207"/>
      <c r="AE593" s="207"/>
      <c r="AF593" s="207"/>
      <c r="AG593" s="207"/>
      <c r="AH593" s="207"/>
      <c r="AI593" s="207"/>
      <c r="AJ593" s="207"/>
      <c r="AK593" s="207"/>
      <c r="AL593" s="207"/>
      <c r="AM593" s="207"/>
      <c r="AN593" s="207"/>
      <c r="AO593" s="207"/>
      <c r="AP593" s="207"/>
      <c r="AQ593" s="207"/>
      <c r="AR593" s="207"/>
      <c r="AS593" s="207"/>
      <c r="AT593" s="207"/>
      <c r="AU593" s="207"/>
      <c r="AV593" s="207"/>
      <c r="AW593" s="207"/>
      <c r="AX593" s="207"/>
      <c r="AY593" s="207"/>
      <c r="AZ593" s="207"/>
      <c r="BA593" s="207"/>
    </row>
    <row r="594" ht="18.75" hidden="1" customHeight="1">
      <c r="A594" s="1"/>
      <c r="B594" s="207"/>
      <c r="C594" s="207"/>
      <c r="D594" s="207"/>
      <c r="E594" s="207"/>
      <c r="F594" s="207"/>
      <c r="G594" s="207"/>
      <c r="H594" s="207"/>
      <c r="I594" s="207"/>
      <c r="J594" s="207"/>
      <c r="K594" s="207"/>
      <c r="L594" s="207"/>
      <c r="M594" s="207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  <c r="AA594" s="207"/>
      <c r="AB594" s="207"/>
      <c r="AC594" s="207"/>
      <c r="AD594" s="207"/>
      <c r="AE594" s="207"/>
      <c r="AF594" s="207"/>
      <c r="AG594" s="207"/>
      <c r="AH594" s="207"/>
      <c r="AI594" s="207"/>
      <c r="AJ594" s="207"/>
      <c r="AK594" s="207"/>
      <c r="AL594" s="207"/>
      <c r="AM594" s="207"/>
      <c r="AN594" s="207"/>
      <c r="AO594" s="207"/>
      <c r="AP594" s="207"/>
      <c r="AQ594" s="207"/>
      <c r="AR594" s="207"/>
      <c r="AS594" s="207"/>
      <c r="AT594" s="207"/>
      <c r="AU594" s="207"/>
      <c r="AV594" s="207"/>
      <c r="AW594" s="207"/>
      <c r="AX594" s="207"/>
      <c r="AY594" s="207"/>
      <c r="AZ594" s="207"/>
      <c r="BA594" s="207"/>
    </row>
    <row r="595" ht="18.75" hidden="1" customHeight="1">
      <c r="A595" s="1"/>
      <c r="B595" s="207"/>
      <c r="C595" s="207"/>
      <c r="D595" s="207"/>
      <c r="E595" s="207"/>
      <c r="F595" s="207"/>
      <c r="G595" s="207"/>
      <c r="H595" s="207"/>
      <c r="I595" s="207"/>
      <c r="J595" s="207"/>
      <c r="K595" s="207"/>
      <c r="L595" s="207"/>
      <c r="M595" s="207"/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  <c r="AA595" s="207"/>
      <c r="AB595" s="207"/>
      <c r="AC595" s="207"/>
      <c r="AD595" s="207"/>
      <c r="AE595" s="207"/>
      <c r="AF595" s="207"/>
      <c r="AG595" s="207"/>
      <c r="AH595" s="207"/>
      <c r="AI595" s="207"/>
      <c r="AJ595" s="207"/>
      <c r="AK595" s="207"/>
      <c r="AL595" s="207"/>
      <c r="AM595" s="207"/>
      <c r="AN595" s="207"/>
      <c r="AO595" s="207"/>
      <c r="AP595" s="207"/>
      <c r="AQ595" s="207"/>
      <c r="AR595" s="207"/>
      <c r="AS595" s="207"/>
      <c r="AT595" s="207"/>
      <c r="AU595" s="207"/>
      <c r="AV595" s="207"/>
      <c r="AW595" s="207"/>
      <c r="AX595" s="207"/>
      <c r="AY595" s="207"/>
      <c r="AZ595" s="207"/>
      <c r="BA595" s="207"/>
    </row>
    <row r="596" ht="18.75" hidden="1" customHeight="1">
      <c r="A596" s="1"/>
      <c r="B596" s="207"/>
      <c r="C596" s="207"/>
      <c r="D596" s="207"/>
      <c r="E596" s="207"/>
      <c r="F596" s="207"/>
      <c r="G596" s="207"/>
      <c r="H596" s="207"/>
      <c r="I596" s="207"/>
      <c r="J596" s="207"/>
      <c r="K596" s="207"/>
      <c r="L596" s="207"/>
      <c r="M596" s="207"/>
      <c r="N596" s="207"/>
      <c r="O596" s="207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  <c r="AA596" s="207"/>
      <c r="AB596" s="207"/>
      <c r="AC596" s="207"/>
      <c r="AD596" s="207"/>
      <c r="AE596" s="207"/>
      <c r="AF596" s="207"/>
      <c r="AG596" s="207"/>
      <c r="AH596" s="207"/>
      <c r="AI596" s="207"/>
      <c r="AJ596" s="207"/>
      <c r="AK596" s="207"/>
      <c r="AL596" s="207"/>
      <c r="AM596" s="207"/>
      <c r="AN596" s="207"/>
      <c r="AO596" s="207"/>
      <c r="AP596" s="207"/>
      <c r="AQ596" s="207"/>
      <c r="AR596" s="207"/>
      <c r="AS596" s="207"/>
      <c r="AT596" s="207"/>
      <c r="AU596" s="207"/>
      <c r="AV596" s="207"/>
      <c r="AW596" s="207"/>
      <c r="AX596" s="207"/>
      <c r="AY596" s="207"/>
      <c r="AZ596" s="207"/>
      <c r="BA596" s="207"/>
    </row>
    <row r="597" ht="18.75" hidden="1" customHeight="1">
      <c r="A597" s="1"/>
      <c r="B597" s="207"/>
      <c r="C597" s="207"/>
      <c r="D597" s="207"/>
      <c r="E597" s="207"/>
      <c r="F597" s="207"/>
      <c r="G597" s="207"/>
      <c r="H597" s="207"/>
      <c r="I597" s="207"/>
      <c r="J597" s="207"/>
      <c r="K597" s="207"/>
      <c r="L597" s="207"/>
      <c r="M597" s="207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  <c r="AA597" s="207"/>
      <c r="AB597" s="207"/>
      <c r="AC597" s="207"/>
      <c r="AD597" s="207"/>
      <c r="AE597" s="207"/>
      <c r="AF597" s="207"/>
      <c r="AG597" s="207"/>
      <c r="AH597" s="207"/>
      <c r="AI597" s="207"/>
      <c r="AJ597" s="207"/>
      <c r="AK597" s="207"/>
      <c r="AL597" s="207"/>
      <c r="AM597" s="207"/>
      <c r="AN597" s="207"/>
      <c r="AO597" s="207"/>
      <c r="AP597" s="207"/>
      <c r="AQ597" s="207"/>
      <c r="AR597" s="207"/>
      <c r="AS597" s="207"/>
      <c r="AT597" s="207"/>
      <c r="AU597" s="207"/>
      <c r="AV597" s="207"/>
      <c r="AW597" s="207"/>
      <c r="AX597" s="207"/>
      <c r="AY597" s="207"/>
      <c r="AZ597" s="207"/>
      <c r="BA597" s="207"/>
    </row>
    <row r="598" ht="18.75" hidden="1" customHeight="1">
      <c r="A598" s="1"/>
      <c r="B598" s="207"/>
      <c r="C598" s="207"/>
      <c r="D598" s="207"/>
      <c r="E598" s="207"/>
      <c r="F598" s="207"/>
      <c r="G598" s="207"/>
      <c r="H598" s="207"/>
      <c r="I598" s="207"/>
      <c r="J598" s="207"/>
      <c r="K598" s="207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  <c r="AA598" s="207"/>
      <c r="AB598" s="207"/>
      <c r="AC598" s="207"/>
      <c r="AD598" s="207"/>
      <c r="AE598" s="207"/>
      <c r="AF598" s="207"/>
      <c r="AG598" s="207"/>
      <c r="AH598" s="207"/>
      <c r="AI598" s="207"/>
      <c r="AJ598" s="207"/>
      <c r="AK598" s="207"/>
      <c r="AL598" s="207"/>
      <c r="AM598" s="207"/>
      <c r="AN598" s="207"/>
      <c r="AO598" s="207"/>
      <c r="AP598" s="207"/>
      <c r="AQ598" s="207"/>
      <c r="AR598" s="207"/>
      <c r="AS598" s="207"/>
      <c r="AT598" s="207"/>
      <c r="AU598" s="207"/>
      <c r="AV598" s="207"/>
      <c r="AW598" s="207"/>
      <c r="AX598" s="207"/>
      <c r="AY598" s="207"/>
      <c r="AZ598" s="207"/>
      <c r="BA598" s="207"/>
    </row>
    <row r="599" ht="18.75" hidden="1" customHeight="1">
      <c r="A599" s="1"/>
      <c r="B599" s="207"/>
      <c r="C599" s="207"/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  <c r="AA599" s="207"/>
      <c r="AB599" s="207"/>
      <c r="AC599" s="207"/>
      <c r="AD599" s="207"/>
      <c r="AE599" s="207"/>
      <c r="AF599" s="207"/>
      <c r="AG599" s="207"/>
      <c r="AH599" s="207"/>
      <c r="AI599" s="207"/>
      <c r="AJ599" s="207"/>
      <c r="AK599" s="207"/>
      <c r="AL599" s="207"/>
      <c r="AM599" s="207"/>
      <c r="AN599" s="207"/>
      <c r="AO599" s="207"/>
      <c r="AP599" s="207"/>
      <c r="AQ599" s="207"/>
      <c r="AR599" s="207"/>
      <c r="AS599" s="207"/>
      <c r="AT599" s="207"/>
      <c r="AU599" s="207"/>
      <c r="AV599" s="207"/>
      <c r="AW599" s="207"/>
      <c r="AX599" s="207"/>
      <c r="AY599" s="207"/>
      <c r="AZ599" s="207"/>
      <c r="BA599" s="207"/>
    </row>
    <row r="600" ht="18.75" hidden="1" customHeight="1">
      <c r="A600" s="1"/>
      <c r="B600" s="207"/>
      <c r="C600" s="207"/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  <c r="AA600" s="207"/>
      <c r="AB600" s="207"/>
      <c r="AC600" s="207"/>
      <c r="AD600" s="207"/>
      <c r="AE600" s="207"/>
      <c r="AF600" s="207"/>
      <c r="AG600" s="207"/>
      <c r="AH600" s="207"/>
      <c r="AI600" s="207"/>
      <c r="AJ600" s="207"/>
      <c r="AK600" s="207"/>
      <c r="AL600" s="207"/>
      <c r="AM600" s="207"/>
      <c r="AN600" s="207"/>
      <c r="AO600" s="207"/>
      <c r="AP600" s="207"/>
      <c r="AQ600" s="207"/>
      <c r="AR600" s="207"/>
      <c r="AS600" s="207"/>
      <c r="AT600" s="207"/>
      <c r="AU600" s="207"/>
      <c r="AV600" s="207"/>
      <c r="AW600" s="207"/>
      <c r="AX600" s="207"/>
      <c r="AY600" s="207"/>
      <c r="AZ600" s="207"/>
      <c r="BA600" s="207"/>
    </row>
    <row r="601" ht="18.75" hidden="1" customHeight="1">
      <c r="A601" s="1"/>
      <c r="B601" s="207"/>
      <c r="C601" s="207"/>
      <c r="D601" s="207"/>
      <c r="E601" s="207"/>
      <c r="F601" s="207"/>
      <c r="G601" s="207"/>
      <c r="H601" s="207"/>
      <c r="I601" s="207"/>
      <c r="J601" s="207"/>
      <c r="K601" s="207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  <c r="AA601" s="207"/>
      <c r="AB601" s="207"/>
      <c r="AC601" s="207"/>
      <c r="AD601" s="207"/>
      <c r="AE601" s="207"/>
      <c r="AF601" s="207"/>
      <c r="AG601" s="207"/>
      <c r="AH601" s="207"/>
      <c r="AI601" s="207"/>
      <c r="AJ601" s="207"/>
      <c r="AK601" s="207"/>
      <c r="AL601" s="207"/>
      <c r="AM601" s="207"/>
      <c r="AN601" s="207"/>
      <c r="AO601" s="207"/>
      <c r="AP601" s="207"/>
      <c r="AQ601" s="207"/>
      <c r="AR601" s="207"/>
      <c r="AS601" s="207"/>
      <c r="AT601" s="207"/>
      <c r="AU601" s="207"/>
      <c r="AV601" s="207"/>
      <c r="AW601" s="207"/>
      <c r="AX601" s="207"/>
      <c r="AY601" s="207"/>
      <c r="AZ601" s="207"/>
      <c r="BA601" s="207"/>
    </row>
    <row r="602" ht="18.75" hidden="1" customHeight="1">
      <c r="A602" s="1"/>
      <c r="B602" s="207"/>
      <c r="C602" s="207"/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  <c r="AA602" s="207"/>
      <c r="AB602" s="207"/>
      <c r="AC602" s="207"/>
      <c r="AD602" s="207"/>
      <c r="AE602" s="207"/>
      <c r="AF602" s="207"/>
      <c r="AG602" s="207"/>
      <c r="AH602" s="207"/>
      <c r="AI602" s="207"/>
      <c r="AJ602" s="207"/>
      <c r="AK602" s="207"/>
      <c r="AL602" s="207"/>
      <c r="AM602" s="207"/>
      <c r="AN602" s="207"/>
      <c r="AO602" s="207"/>
      <c r="AP602" s="207"/>
      <c r="AQ602" s="207"/>
      <c r="AR602" s="207"/>
      <c r="AS602" s="207"/>
      <c r="AT602" s="207"/>
      <c r="AU602" s="207"/>
      <c r="AV602" s="207"/>
      <c r="AW602" s="207"/>
      <c r="AX602" s="207"/>
      <c r="AY602" s="207"/>
      <c r="AZ602" s="207"/>
      <c r="BA602" s="207"/>
    </row>
    <row r="603" ht="18.75" hidden="1" customHeight="1">
      <c r="A603" s="1"/>
      <c r="B603" s="207"/>
      <c r="C603" s="207"/>
      <c r="D603" s="207"/>
      <c r="E603" s="207"/>
      <c r="F603" s="207"/>
      <c r="G603" s="207"/>
      <c r="H603" s="207"/>
      <c r="I603" s="207"/>
      <c r="J603" s="207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  <c r="AA603" s="207"/>
      <c r="AB603" s="207"/>
      <c r="AC603" s="207"/>
      <c r="AD603" s="207"/>
      <c r="AE603" s="207"/>
      <c r="AF603" s="207"/>
      <c r="AG603" s="207"/>
      <c r="AH603" s="207"/>
      <c r="AI603" s="207"/>
      <c r="AJ603" s="207"/>
      <c r="AK603" s="207"/>
      <c r="AL603" s="207"/>
      <c r="AM603" s="207"/>
      <c r="AN603" s="207"/>
      <c r="AO603" s="207"/>
      <c r="AP603" s="207"/>
      <c r="AQ603" s="207"/>
      <c r="AR603" s="207"/>
      <c r="AS603" s="207"/>
      <c r="AT603" s="207"/>
      <c r="AU603" s="207"/>
      <c r="AV603" s="207"/>
      <c r="AW603" s="207"/>
      <c r="AX603" s="207"/>
      <c r="AY603" s="207"/>
      <c r="AZ603" s="207"/>
      <c r="BA603" s="207"/>
    </row>
    <row r="604" ht="18.75" hidden="1" customHeight="1">
      <c r="A604" s="1"/>
      <c r="B604" s="207"/>
      <c r="C604" s="207"/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  <c r="AA604" s="207"/>
      <c r="AB604" s="207"/>
      <c r="AC604" s="207"/>
      <c r="AD604" s="207"/>
      <c r="AE604" s="207"/>
      <c r="AF604" s="207"/>
      <c r="AG604" s="207"/>
      <c r="AH604" s="207"/>
      <c r="AI604" s="207"/>
      <c r="AJ604" s="207"/>
      <c r="AK604" s="207"/>
      <c r="AL604" s="207"/>
      <c r="AM604" s="207"/>
      <c r="AN604" s="207"/>
      <c r="AO604" s="207"/>
      <c r="AP604" s="207"/>
      <c r="AQ604" s="207"/>
      <c r="AR604" s="207"/>
      <c r="AS604" s="207"/>
      <c r="AT604" s="207"/>
      <c r="AU604" s="207"/>
      <c r="AV604" s="207"/>
      <c r="AW604" s="207"/>
      <c r="AX604" s="207"/>
      <c r="AY604" s="207"/>
      <c r="AZ604" s="207"/>
      <c r="BA604" s="207"/>
    </row>
    <row r="605" ht="18.75" hidden="1" customHeight="1">
      <c r="A605" s="1"/>
      <c r="B605" s="207"/>
      <c r="C605" s="207"/>
      <c r="D605" s="207"/>
      <c r="E605" s="207"/>
      <c r="F605" s="207"/>
      <c r="G605" s="207"/>
      <c r="H605" s="207"/>
      <c r="I605" s="207"/>
      <c r="J605" s="207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  <c r="AA605" s="207"/>
      <c r="AB605" s="207"/>
      <c r="AC605" s="207"/>
      <c r="AD605" s="207"/>
      <c r="AE605" s="207"/>
      <c r="AF605" s="207"/>
      <c r="AG605" s="207"/>
      <c r="AH605" s="207"/>
      <c r="AI605" s="207"/>
      <c r="AJ605" s="207"/>
      <c r="AK605" s="207"/>
      <c r="AL605" s="207"/>
      <c r="AM605" s="207"/>
      <c r="AN605" s="207"/>
      <c r="AO605" s="207"/>
      <c r="AP605" s="207"/>
      <c r="AQ605" s="207"/>
      <c r="AR605" s="207"/>
      <c r="AS605" s="207"/>
      <c r="AT605" s="207"/>
      <c r="AU605" s="207"/>
      <c r="AV605" s="207"/>
      <c r="AW605" s="207"/>
      <c r="AX605" s="207"/>
      <c r="AY605" s="207"/>
      <c r="AZ605" s="207"/>
      <c r="BA605" s="207"/>
    </row>
    <row r="606" ht="18.75" hidden="1" customHeight="1">
      <c r="A606" s="1"/>
      <c r="B606" s="207"/>
      <c r="C606" s="207"/>
      <c r="D606" s="207"/>
      <c r="E606" s="207"/>
      <c r="F606" s="207"/>
      <c r="G606" s="207"/>
      <c r="H606" s="207"/>
      <c r="I606" s="207"/>
      <c r="J606" s="207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  <c r="AA606" s="207"/>
      <c r="AB606" s="207"/>
      <c r="AC606" s="207"/>
      <c r="AD606" s="207"/>
      <c r="AE606" s="207"/>
      <c r="AF606" s="207"/>
      <c r="AG606" s="207"/>
      <c r="AH606" s="207"/>
      <c r="AI606" s="207"/>
      <c r="AJ606" s="207"/>
      <c r="AK606" s="207"/>
      <c r="AL606" s="207"/>
      <c r="AM606" s="207"/>
      <c r="AN606" s="207"/>
      <c r="AO606" s="207"/>
      <c r="AP606" s="207"/>
      <c r="AQ606" s="207"/>
      <c r="AR606" s="207"/>
      <c r="AS606" s="207"/>
      <c r="AT606" s="207"/>
      <c r="AU606" s="207"/>
      <c r="AV606" s="207"/>
      <c r="AW606" s="207"/>
      <c r="AX606" s="207"/>
      <c r="AY606" s="207"/>
      <c r="AZ606" s="207"/>
      <c r="BA606" s="207"/>
    </row>
    <row r="607" ht="18.75" hidden="1" customHeight="1">
      <c r="A607" s="1"/>
      <c r="B607" s="207"/>
      <c r="C607" s="207"/>
      <c r="D607" s="207"/>
      <c r="E607" s="207"/>
      <c r="F607" s="207"/>
      <c r="G607" s="207"/>
      <c r="H607" s="207"/>
      <c r="I607" s="207"/>
      <c r="J607" s="207"/>
      <c r="K607" s="207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  <c r="AA607" s="207"/>
      <c r="AB607" s="207"/>
      <c r="AC607" s="207"/>
      <c r="AD607" s="207"/>
      <c r="AE607" s="207"/>
      <c r="AF607" s="207"/>
      <c r="AG607" s="207"/>
      <c r="AH607" s="207"/>
      <c r="AI607" s="207"/>
      <c r="AJ607" s="207"/>
      <c r="AK607" s="207"/>
      <c r="AL607" s="207"/>
      <c r="AM607" s="207"/>
      <c r="AN607" s="207"/>
      <c r="AO607" s="207"/>
      <c r="AP607" s="207"/>
      <c r="AQ607" s="207"/>
      <c r="AR607" s="207"/>
      <c r="AS607" s="207"/>
      <c r="AT607" s="207"/>
      <c r="AU607" s="207"/>
      <c r="AV607" s="207"/>
      <c r="AW607" s="207"/>
      <c r="AX607" s="207"/>
      <c r="AY607" s="207"/>
      <c r="AZ607" s="207"/>
      <c r="BA607" s="207"/>
    </row>
    <row r="608" ht="18.75" hidden="1" customHeight="1">
      <c r="A608" s="1"/>
      <c r="B608" s="207"/>
      <c r="C608" s="207"/>
      <c r="D608" s="207"/>
      <c r="E608" s="207"/>
      <c r="F608" s="207"/>
      <c r="G608" s="207"/>
      <c r="H608" s="207"/>
      <c r="I608" s="207"/>
      <c r="J608" s="207"/>
      <c r="K608" s="207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  <c r="AA608" s="207"/>
      <c r="AB608" s="207"/>
      <c r="AC608" s="207"/>
      <c r="AD608" s="207"/>
      <c r="AE608" s="207"/>
      <c r="AF608" s="207"/>
      <c r="AG608" s="207"/>
      <c r="AH608" s="207"/>
      <c r="AI608" s="207"/>
      <c r="AJ608" s="207"/>
      <c r="AK608" s="207"/>
      <c r="AL608" s="207"/>
      <c r="AM608" s="207"/>
      <c r="AN608" s="207"/>
      <c r="AO608" s="207"/>
      <c r="AP608" s="207"/>
      <c r="AQ608" s="207"/>
      <c r="AR608" s="207"/>
      <c r="AS608" s="207"/>
      <c r="AT608" s="207"/>
      <c r="AU608" s="207"/>
      <c r="AV608" s="207"/>
      <c r="AW608" s="207"/>
      <c r="AX608" s="207"/>
      <c r="AY608" s="207"/>
      <c r="AZ608" s="207"/>
      <c r="BA608" s="207"/>
    </row>
    <row r="609" ht="18.75" hidden="1" customHeight="1">
      <c r="A609" s="1"/>
      <c r="B609" s="207"/>
      <c r="C609" s="207"/>
      <c r="D609" s="207"/>
      <c r="E609" s="207"/>
      <c r="F609" s="207"/>
      <c r="G609" s="207"/>
      <c r="H609" s="207"/>
      <c r="I609" s="207"/>
      <c r="J609" s="207"/>
      <c r="K609" s="207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  <c r="AA609" s="207"/>
      <c r="AB609" s="207"/>
      <c r="AC609" s="207"/>
      <c r="AD609" s="207"/>
      <c r="AE609" s="207"/>
      <c r="AF609" s="207"/>
      <c r="AG609" s="207"/>
      <c r="AH609" s="207"/>
      <c r="AI609" s="207"/>
      <c r="AJ609" s="207"/>
      <c r="AK609" s="207"/>
      <c r="AL609" s="207"/>
      <c r="AM609" s="207"/>
      <c r="AN609" s="207"/>
      <c r="AO609" s="207"/>
      <c r="AP609" s="207"/>
      <c r="AQ609" s="207"/>
      <c r="AR609" s="207"/>
      <c r="AS609" s="207"/>
      <c r="AT609" s="207"/>
      <c r="AU609" s="207"/>
      <c r="AV609" s="207"/>
      <c r="AW609" s="207"/>
      <c r="AX609" s="207"/>
      <c r="AY609" s="207"/>
      <c r="AZ609" s="207"/>
      <c r="BA609" s="207"/>
    </row>
    <row r="610" ht="18.75" hidden="1" customHeight="1">
      <c r="A610" s="1"/>
      <c r="B610" s="207"/>
      <c r="C610" s="207"/>
      <c r="D610" s="207"/>
      <c r="E610" s="207"/>
      <c r="F610" s="207"/>
      <c r="G610" s="207"/>
      <c r="H610" s="207"/>
      <c r="I610" s="207"/>
      <c r="J610" s="207"/>
      <c r="K610" s="207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  <c r="AA610" s="207"/>
      <c r="AB610" s="207"/>
      <c r="AC610" s="207"/>
      <c r="AD610" s="207"/>
      <c r="AE610" s="207"/>
      <c r="AF610" s="207"/>
      <c r="AG610" s="207"/>
      <c r="AH610" s="207"/>
      <c r="AI610" s="207"/>
      <c r="AJ610" s="207"/>
      <c r="AK610" s="207"/>
      <c r="AL610" s="207"/>
      <c r="AM610" s="207"/>
      <c r="AN610" s="207"/>
      <c r="AO610" s="207"/>
      <c r="AP610" s="207"/>
      <c r="AQ610" s="207"/>
      <c r="AR610" s="207"/>
      <c r="AS610" s="207"/>
      <c r="AT610" s="207"/>
      <c r="AU610" s="207"/>
      <c r="AV610" s="207"/>
      <c r="AW610" s="207"/>
      <c r="AX610" s="207"/>
      <c r="AY610" s="207"/>
      <c r="AZ610" s="207"/>
      <c r="BA610" s="207"/>
    </row>
    <row r="611" ht="18.75" hidden="1" customHeight="1">
      <c r="A611" s="1"/>
      <c r="B611" s="207"/>
      <c r="C611" s="207"/>
      <c r="D611" s="207"/>
      <c r="E611" s="207"/>
      <c r="F611" s="207"/>
      <c r="G611" s="207"/>
      <c r="H611" s="207"/>
      <c r="I611" s="207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  <c r="AA611" s="207"/>
      <c r="AB611" s="207"/>
      <c r="AC611" s="207"/>
      <c r="AD611" s="207"/>
      <c r="AE611" s="207"/>
      <c r="AF611" s="207"/>
      <c r="AG611" s="207"/>
      <c r="AH611" s="207"/>
      <c r="AI611" s="207"/>
      <c r="AJ611" s="207"/>
      <c r="AK611" s="207"/>
      <c r="AL611" s="207"/>
      <c r="AM611" s="207"/>
      <c r="AN611" s="207"/>
      <c r="AO611" s="207"/>
      <c r="AP611" s="207"/>
      <c r="AQ611" s="207"/>
      <c r="AR611" s="207"/>
      <c r="AS611" s="207"/>
      <c r="AT611" s="207"/>
      <c r="AU611" s="207"/>
      <c r="AV611" s="207"/>
      <c r="AW611" s="207"/>
      <c r="AX611" s="207"/>
      <c r="AY611" s="207"/>
      <c r="AZ611" s="207"/>
      <c r="BA611" s="207"/>
    </row>
    <row r="612" ht="18.75" hidden="1" customHeight="1">
      <c r="A612" s="1"/>
      <c r="B612" s="207"/>
      <c r="C612" s="207"/>
      <c r="D612" s="207"/>
      <c r="E612" s="207"/>
      <c r="F612" s="207"/>
      <c r="G612" s="207"/>
      <c r="H612" s="207"/>
      <c r="I612" s="207"/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  <c r="AA612" s="207"/>
      <c r="AB612" s="207"/>
      <c r="AC612" s="207"/>
      <c r="AD612" s="207"/>
      <c r="AE612" s="207"/>
      <c r="AF612" s="207"/>
      <c r="AG612" s="207"/>
      <c r="AH612" s="207"/>
      <c r="AI612" s="207"/>
      <c r="AJ612" s="207"/>
      <c r="AK612" s="207"/>
      <c r="AL612" s="207"/>
      <c r="AM612" s="207"/>
      <c r="AN612" s="207"/>
      <c r="AO612" s="207"/>
      <c r="AP612" s="207"/>
      <c r="AQ612" s="207"/>
      <c r="AR612" s="207"/>
      <c r="AS612" s="207"/>
      <c r="AT612" s="207"/>
      <c r="AU612" s="207"/>
      <c r="AV612" s="207"/>
      <c r="AW612" s="207"/>
      <c r="AX612" s="207"/>
      <c r="AY612" s="207"/>
      <c r="AZ612" s="207"/>
      <c r="BA612" s="207"/>
    </row>
    <row r="613" ht="18.75" hidden="1" customHeight="1">
      <c r="A613" s="1"/>
      <c r="B613" s="207"/>
      <c r="C613" s="207"/>
      <c r="D613" s="207"/>
      <c r="E613" s="207"/>
      <c r="F613" s="207"/>
      <c r="G613" s="207"/>
      <c r="H613" s="207"/>
      <c r="I613" s="207"/>
      <c r="J613" s="207"/>
      <c r="K613" s="207"/>
      <c r="L613" s="207"/>
      <c r="M613" s="207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  <c r="AA613" s="207"/>
      <c r="AB613" s="207"/>
      <c r="AC613" s="207"/>
      <c r="AD613" s="207"/>
      <c r="AE613" s="207"/>
      <c r="AF613" s="207"/>
      <c r="AG613" s="207"/>
      <c r="AH613" s="207"/>
      <c r="AI613" s="207"/>
      <c r="AJ613" s="207"/>
      <c r="AK613" s="207"/>
      <c r="AL613" s="207"/>
      <c r="AM613" s="207"/>
      <c r="AN613" s="207"/>
      <c r="AO613" s="207"/>
      <c r="AP613" s="207"/>
      <c r="AQ613" s="207"/>
      <c r="AR613" s="207"/>
      <c r="AS613" s="207"/>
      <c r="AT613" s="207"/>
      <c r="AU613" s="207"/>
      <c r="AV613" s="207"/>
      <c r="AW613" s="207"/>
      <c r="AX613" s="207"/>
      <c r="AY613" s="207"/>
      <c r="AZ613" s="207"/>
      <c r="BA613" s="207"/>
    </row>
    <row r="614" ht="18.75" hidden="1" customHeight="1">
      <c r="A614" s="1"/>
      <c r="B614" s="207"/>
      <c r="C614" s="207"/>
      <c r="D614" s="207"/>
      <c r="E614" s="207"/>
      <c r="F614" s="207"/>
      <c r="G614" s="207"/>
      <c r="H614" s="207"/>
      <c r="I614" s="207"/>
      <c r="J614" s="207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  <c r="Z614" s="207"/>
      <c r="AA614" s="207"/>
      <c r="AB614" s="207"/>
      <c r="AC614" s="207"/>
      <c r="AD614" s="207"/>
      <c r="AE614" s="207"/>
      <c r="AF614" s="207"/>
      <c r="AG614" s="207"/>
      <c r="AH614" s="207"/>
      <c r="AI614" s="207"/>
      <c r="AJ614" s="207"/>
      <c r="AK614" s="207"/>
      <c r="AL614" s="207"/>
      <c r="AM614" s="207"/>
      <c r="AN614" s="207"/>
      <c r="AO614" s="207"/>
      <c r="AP614" s="207"/>
      <c r="AQ614" s="207"/>
      <c r="AR614" s="207"/>
      <c r="AS614" s="207"/>
      <c r="AT614" s="207"/>
      <c r="AU614" s="207"/>
      <c r="AV614" s="207"/>
      <c r="AW614" s="207"/>
      <c r="AX614" s="207"/>
      <c r="AY614" s="207"/>
      <c r="AZ614" s="207"/>
      <c r="BA614" s="207"/>
    </row>
    <row r="615" ht="18.75" hidden="1" customHeight="1">
      <c r="A615" s="1"/>
      <c r="B615" s="207"/>
      <c r="C615" s="207"/>
      <c r="D615" s="207"/>
      <c r="E615" s="207"/>
      <c r="F615" s="207"/>
      <c r="G615" s="207"/>
      <c r="H615" s="207"/>
      <c r="I615" s="207"/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  <c r="AA615" s="207"/>
      <c r="AB615" s="207"/>
      <c r="AC615" s="207"/>
      <c r="AD615" s="207"/>
      <c r="AE615" s="207"/>
      <c r="AF615" s="207"/>
      <c r="AG615" s="207"/>
      <c r="AH615" s="207"/>
      <c r="AI615" s="207"/>
      <c r="AJ615" s="207"/>
      <c r="AK615" s="207"/>
      <c r="AL615" s="207"/>
      <c r="AM615" s="207"/>
      <c r="AN615" s="207"/>
      <c r="AO615" s="207"/>
      <c r="AP615" s="207"/>
      <c r="AQ615" s="207"/>
      <c r="AR615" s="207"/>
      <c r="AS615" s="207"/>
      <c r="AT615" s="207"/>
      <c r="AU615" s="207"/>
      <c r="AV615" s="207"/>
      <c r="AW615" s="207"/>
      <c r="AX615" s="207"/>
      <c r="AY615" s="207"/>
      <c r="AZ615" s="207"/>
      <c r="BA615" s="207"/>
    </row>
    <row r="616" ht="18.75" hidden="1" customHeight="1">
      <c r="A616" s="1"/>
      <c r="B616" s="207"/>
      <c r="C616" s="207"/>
      <c r="D616" s="207"/>
      <c r="E616" s="207"/>
      <c r="F616" s="207"/>
      <c r="G616" s="207"/>
      <c r="H616" s="207"/>
      <c r="I616" s="207"/>
      <c r="J616" s="207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  <c r="AA616" s="207"/>
      <c r="AB616" s="207"/>
      <c r="AC616" s="207"/>
      <c r="AD616" s="207"/>
      <c r="AE616" s="207"/>
      <c r="AF616" s="207"/>
      <c r="AG616" s="207"/>
      <c r="AH616" s="207"/>
      <c r="AI616" s="207"/>
      <c r="AJ616" s="207"/>
      <c r="AK616" s="207"/>
      <c r="AL616" s="207"/>
      <c r="AM616" s="207"/>
      <c r="AN616" s="207"/>
      <c r="AO616" s="207"/>
      <c r="AP616" s="207"/>
      <c r="AQ616" s="207"/>
      <c r="AR616" s="207"/>
      <c r="AS616" s="207"/>
      <c r="AT616" s="207"/>
      <c r="AU616" s="207"/>
      <c r="AV616" s="207"/>
      <c r="AW616" s="207"/>
      <c r="AX616" s="207"/>
      <c r="AY616" s="207"/>
      <c r="AZ616" s="207"/>
      <c r="BA616" s="207"/>
    </row>
    <row r="617" ht="18.75" hidden="1" customHeight="1">
      <c r="A617" s="1"/>
      <c r="B617" s="207"/>
      <c r="C617" s="207"/>
      <c r="D617" s="207"/>
      <c r="E617" s="207"/>
      <c r="F617" s="207"/>
      <c r="G617" s="207"/>
      <c r="H617" s="207"/>
      <c r="I617" s="207"/>
      <c r="J617" s="207"/>
      <c r="K617" s="207"/>
      <c r="L617" s="207"/>
      <c r="M617" s="207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  <c r="AA617" s="207"/>
      <c r="AB617" s="207"/>
      <c r="AC617" s="207"/>
      <c r="AD617" s="207"/>
      <c r="AE617" s="207"/>
      <c r="AF617" s="207"/>
      <c r="AG617" s="207"/>
      <c r="AH617" s="207"/>
      <c r="AI617" s="207"/>
      <c r="AJ617" s="207"/>
      <c r="AK617" s="207"/>
      <c r="AL617" s="207"/>
      <c r="AM617" s="207"/>
      <c r="AN617" s="207"/>
      <c r="AO617" s="207"/>
      <c r="AP617" s="207"/>
      <c r="AQ617" s="207"/>
      <c r="AR617" s="207"/>
      <c r="AS617" s="207"/>
      <c r="AT617" s="207"/>
      <c r="AU617" s="207"/>
      <c r="AV617" s="207"/>
      <c r="AW617" s="207"/>
      <c r="AX617" s="207"/>
      <c r="AY617" s="207"/>
      <c r="AZ617" s="207"/>
      <c r="BA617" s="207"/>
    </row>
    <row r="618" ht="18.75" hidden="1" customHeight="1">
      <c r="A618" s="1"/>
      <c r="B618" s="207"/>
      <c r="C618" s="207"/>
      <c r="D618" s="207"/>
      <c r="E618" s="207"/>
      <c r="F618" s="207"/>
      <c r="G618" s="207"/>
      <c r="H618" s="207"/>
      <c r="I618" s="207"/>
      <c r="J618" s="207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  <c r="AA618" s="207"/>
      <c r="AB618" s="207"/>
      <c r="AC618" s="207"/>
      <c r="AD618" s="207"/>
      <c r="AE618" s="207"/>
      <c r="AF618" s="207"/>
      <c r="AG618" s="207"/>
      <c r="AH618" s="207"/>
      <c r="AI618" s="207"/>
      <c r="AJ618" s="207"/>
      <c r="AK618" s="207"/>
      <c r="AL618" s="207"/>
      <c r="AM618" s="207"/>
      <c r="AN618" s="207"/>
      <c r="AO618" s="207"/>
      <c r="AP618" s="207"/>
      <c r="AQ618" s="207"/>
      <c r="AR618" s="207"/>
      <c r="AS618" s="207"/>
      <c r="AT618" s="207"/>
      <c r="AU618" s="207"/>
      <c r="AV618" s="207"/>
      <c r="AW618" s="207"/>
      <c r="AX618" s="207"/>
      <c r="AY618" s="207"/>
      <c r="AZ618" s="207"/>
      <c r="BA618" s="207"/>
    </row>
    <row r="619" ht="18.75" hidden="1" customHeight="1">
      <c r="A619" s="1"/>
      <c r="B619" s="207"/>
      <c r="C619" s="207"/>
      <c r="D619" s="207"/>
      <c r="E619" s="207"/>
      <c r="F619" s="207"/>
      <c r="G619" s="207"/>
      <c r="H619" s="207"/>
      <c r="I619" s="207"/>
      <c r="J619" s="207"/>
      <c r="K619" s="207"/>
      <c r="L619" s="207"/>
      <c r="M619" s="207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  <c r="AA619" s="207"/>
      <c r="AB619" s="207"/>
      <c r="AC619" s="207"/>
      <c r="AD619" s="207"/>
      <c r="AE619" s="207"/>
      <c r="AF619" s="207"/>
      <c r="AG619" s="207"/>
      <c r="AH619" s="207"/>
      <c r="AI619" s="207"/>
      <c r="AJ619" s="207"/>
      <c r="AK619" s="207"/>
      <c r="AL619" s="207"/>
      <c r="AM619" s="207"/>
      <c r="AN619" s="207"/>
      <c r="AO619" s="207"/>
      <c r="AP619" s="207"/>
      <c r="AQ619" s="207"/>
      <c r="AR619" s="207"/>
      <c r="AS619" s="207"/>
      <c r="AT619" s="207"/>
      <c r="AU619" s="207"/>
      <c r="AV619" s="207"/>
      <c r="AW619" s="207"/>
      <c r="AX619" s="207"/>
      <c r="AY619" s="207"/>
      <c r="AZ619" s="207"/>
      <c r="BA619" s="207"/>
    </row>
    <row r="620" ht="18.75" hidden="1" customHeight="1">
      <c r="A620" s="1"/>
      <c r="B620" s="207"/>
      <c r="C620" s="207"/>
      <c r="D620" s="207"/>
      <c r="E620" s="207"/>
      <c r="F620" s="207"/>
      <c r="G620" s="207"/>
      <c r="H620" s="207"/>
      <c r="I620" s="207"/>
      <c r="J620" s="207"/>
      <c r="K620" s="207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  <c r="AA620" s="207"/>
      <c r="AB620" s="207"/>
      <c r="AC620" s="207"/>
      <c r="AD620" s="207"/>
      <c r="AE620" s="207"/>
      <c r="AF620" s="207"/>
      <c r="AG620" s="207"/>
      <c r="AH620" s="207"/>
      <c r="AI620" s="207"/>
      <c r="AJ620" s="207"/>
      <c r="AK620" s="207"/>
      <c r="AL620" s="207"/>
      <c r="AM620" s="207"/>
      <c r="AN620" s="207"/>
      <c r="AO620" s="207"/>
      <c r="AP620" s="207"/>
      <c r="AQ620" s="207"/>
      <c r="AR620" s="207"/>
      <c r="AS620" s="207"/>
      <c r="AT620" s="207"/>
      <c r="AU620" s="207"/>
      <c r="AV620" s="207"/>
      <c r="AW620" s="207"/>
      <c r="AX620" s="207"/>
      <c r="AY620" s="207"/>
      <c r="AZ620" s="207"/>
      <c r="BA620" s="207"/>
    </row>
    <row r="621" ht="18.75" hidden="1" customHeight="1">
      <c r="A621" s="1"/>
      <c r="B621" s="207"/>
      <c r="C621" s="207"/>
      <c r="D621" s="207"/>
      <c r="E621" s="207"/>
      <c r="F621" s="207"/>
      <c r="G621" s="207"/>
      <c r="H621" s="207"/>
      <c r="I621" s="207"/>
      <c r="J621" s="207"/>
      <c r="K621" s="207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  <c r="AA621" s="207"/>
      <c r="AB621" s="207"/>
      <c r="AC621" s="207"/>
      <c r="AD621" s="207"/>
      <c r="AE621" s="207"/>
      <c r="AF621" s="207"/>
      <c r="AG621" s="207"/>
      <c r="AH621" s="207"/>
      <c r="AI621" s="207"/>
      <c r="AJ621" s="207"/>
      <c r="AK621" s="207"/>
      <c r="AL621" s="207"/>
      <c r="AM621" s="207"/>
      <c r="AN621" s="207"/>
      <c r="AO621" s="207"/>
      <c r="AP621" s="207"/>
      <c r="AQ621" s="207"/>
      <c r="AR621" s="207"/>
      <c r="AS621" s="207"/>
      <c r="AT621" s="207"/>
      <c r="AU621" s="207"/>
      <c r="AV621" s="207"/>
      <c r="AW621" s="207"/>
      <c r="AX621" s="207"/>
      <c r="AY621" s="207"/>
      <c r="AZ621" s="207"/>
      <c r="BA621" s="207"/>
    </row>
    <row r="622" ht="18.75" hidden="1" customHeight="1">
      <c r="A622" s="1"/>
      <c r="B622" s="207"/>
      <c r="C622" s="207"/>
      <c r="D622" s="207"/>
      <c r="E622" s="207"/>
      <c r="F622" s="207"/>
      <c r="G622" s="207"/>
      <c r="H622" s="207"/>
      <c r="I622" s="207"/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  <c r="AA622" s="207"/>
      <c r="AB622" s="207"/>
      <c r="AC622" s="207"/>
      <c r="AD622" s="207"/>
      <c r="AE622" s="207"/>
      <c r="AF622" s="207"/>
      <c r="AG622" s="207"/>
      <c r="AH622" s="207"/>
      <c r="AI622" s="207"/>
      <c r="AJ622" s="207"/>
      <c r="AK622" s="207"/>
      <c r="AL622" s="207"/>
      <c r="AM622" s="207"/>
      <c r="AN622" s="207"/>
      <c r="AO622" s="207"/>
      <c r="AP622" s="207"/>
      <c r="AQ622" s="207"/>
      <c r="AR622" s="207"/>
      <c r="AS622" s="207"/>
      <c r="AT622" s="207"/>
      <c r="AU622" s="207"/>
      <c r="AV622" s="207"/>
      <c r="AW622" s="207"/>
      <c r="AX622" s="207"/>
      <c r="AY622" s="207"/>
      <c r="AZ622" s="207"/>
      <c r="BA622" s="207"/>
    </row>
    <row r="623" ht="18.75" hidden="1" customHeight="1">
      <c r="A623" s="1"/>
      <c r="B623" s="207"/>
      <c r="C623" s="207"/>
      <c r="D623" s="207"/>
      <c r="E623" s="207"/>
      <c r="F623" s="207"/>
      <c r="G623" s="207"/>
      <c r="H623" s="207"/>
      <c r="I623" s="207"/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  <c r="AA623" s="207"/>
      <c r="AB623" s="207"/>
      <c r="AC623" s="207"/>
      <c r="AD623" s="207"/>
      <c r="AE623" s="207"/>
      <c r="AF623" s="207"/>
      <c r="AG623" s="207"/>
      <c r="AH623" s="207"/>
      <c r="AI623" s="207"/>
      <c r="AJ623" s="207"/>
      <c r="AK623" s="207"/>
      <c r="AL623" s="207"/>
      <c r="AM623" s="207"/>
      <c r="AN623" s="207"/>
      <c r="AO623" s="207"/>
      <c r="AP623" s="207"/>
      <c r="AQ623" s="207"/>
      <c r="AR623" s="207"/>
      <c r="AS623" s="207"/>
      <c r="AT623" s="207"/>
      <c r="AU623" s="207"/>
      <c r="AV623" s="207"/>
      <c r="AW623" s="207"/>
      <c r="AX623" s="207"/>
      <c r="AY623" s="207"/>
      <c r="AZ623" s="207"/>
      <c r="BA623" s="207"/>
    </row>
    <row r="624" ht="18.75" hidden="1" customHeight="1">
      <c r="A624" s="1"/>
      <c r="B624" s="207"/>
      <c r="C624" s="207"/>
      <c r="D624" s="207"/>
      <c r="E624" s="207"/>
      <c r="F624" s="207"/>
      <c r="G624" s="207"/>
      <c r="H624" s="207"/>
      <c r="I624" s="207"/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  <c r="AA624" s="207"/>
      <c r="AB624" s="207"/>
      <c r="AC624" s="207"/>
      <c r="AD624" s="207"/>
      <c r="AE624" s="207"/>
      <c r="AF624" s="207"/>
      <c r="AG624" s="207"/>
      <c r="AH624" s="207"/>
      <c r="AI624" s="207"/>
      <c r="AJ624" s="207"/>
      <c r="AK624" s="207"/>
      <c r="AL624" s="207"/>
      <c r="AM624" s="207"/>
      <c r="AN624" s="207"/>
      <c r="AO624" s="207"/>
      <c r="AP624" s="207"/>
      <c r="AQ624" s="207"/>
      <c r="AR624" s="207"/>
      <c r="AS624" s="207"/>
      <c r="AT624" s="207"/>
      <c r="AU624" s="207"/>
      <c r="AV624" s="207"/>
      <c r="AW624" s="207"/>
      <c r="AX624" s="207"/>
      <c r="AY624" s="207"/>
      <c r="AZ624" s="207"/>
      <c r="BA624" s="207"/>
    </row>
    <row r="625" ht="18.75" hidden="1" customHeight="1">
      <c r="A625" s="1"/>
      <c r="B625" s="207"/>
      <c r="C625" s="207"/>
      <c r="D625" s="207"/>
      <c r="E625" s="207"/>
      <c r="F625" s="207"/>
      <c r="G625" s="207"/>
      <c r="H625" s="207"/>
      <c r="I625" s="207"/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  <c r="AA625" s="207"/>
      <c r="AB625" s="207"/>
      <c r="AC625" s="207"/>
      <c r="AD625" s="207"/>
      <c r="AE625" s="207"/>
      <c r="AF625" s="207"/>
      <c r="AG625" s="207"/>
      <c r="AH625" s="207"/>
      <c r="AI625" s="207"/>
      <c r="AJ625" s="207"/>
      <c r="AK625" s="207"/>
      <c r="AL625" s="207"/>
      <c r="AM625" s="207"/>
      <c r="AN625" s="207"/>
      <c r="AO625" s="207"/>
      <c r="AP625" s="207"/>
      <c r="AQ625" s="207"/>
      <c r="AR625" s="207"/>
      <c r="AS625" s="207"/>
      <c r="AT625" s="207"/>
      <c r="AU625" s="207"/>
      <c r="AV625" s="207"/>
      <c r="AW625" s="207"/>
      <c r="AX625" s="207"/>
      <c r="AY625" s="207"/>
      <c r="AZ625" s="207"/>
      <c r="BA625" s="207"/>
    </row>
    <row r="626" ht="18.75" hidden="1" customHeight="1">
      <c r="A626" s="1"/>
      <c r="B626" s="207"/>
      <c r="C626" s="207"/>
      <c r="D626" s="207"/>
      <c r="E626" s="207"/>
      <c r="F626" s="207"/>
      <c r="G626" s="207"/>
      <c r="H626" s="207"/>
      <c r="I626" s="207"/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  <c r="AA626" s="207"/>
      <c r="AB626" s="207"/>
      <c r="AC626" s="207"/>
      <c r="AD626" s="207"/>
      <c r="AE626" s="207"/>
      <c r="AF626" s="207"/>
      <c r="AG626" s="207"/>
      <c r="AH626" s="207"/>
      <c r="AI626" s="207"/>
      <c r="AJ626" s="207"/>
      <c r="AK626" s="207"/>
      <c r="AL626" s="207"/>
      <c r="AM626" s="207"/>
      <c r="AN626" s="207"/>
      <c r="AO626" s="207"/>
      <c r="AP626" s="207"/>
      <c r="AQ626" s="207"/>
      <c r="AR626" s="207"/>
      <c r="AS626" s="207"/>
      <c r="AT626" s="207"/>
      <c r="AU626" s="207"/>
      <c r="AV626" s="207"/>
      <c r="AW626" s="207"/>
      <c r="AX626" s="207"/>
      <c r="AY626" s="207"/>
      <c r="AZ626" s="207"/>
      <c r="BA626" s="207"/>
    </row>
    <row r="627" ht="18.75" hidden="1" customHeight="1">
      <c r="A627" s="1"/>
      <c r="B627" s="207"/>
      <c r="C627" s="207"/>
      <c r="D627" s="207"/>
      <c r="E627" s="207"/>
      <c r="F627" s="207"/>
      <c r="G627" s="207"/>
      <c r="H627" s="207"/>
      <c r="I627" s="207"/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  <c r="AA627" s="207"/>
      <c r="AB627" s="207"/>
      <c r="AC627" s="207"/>
      <c r="AD627" s="207"/>
      <c r="AE627" s="207"/>
      <c r="AF627" s="207"/>
      <c r="AG627" s="207"/>
      <c r="AH627" s="207"/>
      <c r="AI627" s="207"/>
      <c r="AJ627" s="207"/>
      <c r="AK627" s="207"/>
      <c r="AL627" s="207"/>
      <c r="AM627" s="207"/>
      <c r="AN627" s="207"/>
      <c r="AO627" s="207"/>
      <c r="AP627" s="207"/>
      <c r="AQ627" s="207"/>
      <c r="AR627" s="207"/>
      <c r="AS627" s="207"/>
      <c r="AT627" s="207"/>
      <c r="AU627" s="207"/>
      <c r="AV627" s="207"/>
      <c r="AW627" s="207"/>
      <c r="AX627" s="207"/>
      <c r="AY627" s="207"/>
      <c r="AZ627" s="207"/>
      <c r="BA627" s="207"/>
    </row>
    <row r="628" ht="18.75" hidden="1" customHeight="1">
      <c r="A628" s="1"/>
      <c r="B628" s="207"/>
      <c r="C628" s="207"/>
      <c r="D628" s="207"/>
      <c r="E628" s="207"/>
      <c r="F628" s="207"/>
      <c r="G628" s="207"/>
      <c r="H628" s="207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  <c r="AA628" s="207"/>
      <c r="AB628" s="207"/>
      <c r="AC628" s="207"/>
      <c r="AD628" s="207"/>
      <c r="AE628" s="207"/>
      <c r="AF628" s="207"/>
      <c r="AG628" s="207"/>
      <c r="AH628" s="207"/>
      <c r="AI628" s="207"/>
      <c r="AJ628" s="207"/>
      <c r="AK628" s="207"/>
      <c r="AL628" s="207"/>
      <c r="AM628" s="207"/>
      <c r="AN628" s="207"/>
      <c r="AO628" s="207"/>
      <c r="AP628" s="207"/>
      <c r="AQ628" s="207"/>
      <c r="AR628" s="207"/>
      <c r="AS628" s="207"/>
      <c r="AT628" s="207"/>
      <c r="AU628" s="207"/>
      <c r="AV628" s="207"/>
      <c r="AW628" s="207"/>
      <c r="AX628" s="207"/>
      <c r="AY628" s="207"/>
      <c r="AZ628" s="207"/>
      <c r="BA628" s="207"/>
    </row>
    <row r="629" ht="18.75" hidden="1" customHeight="1">
      <c r="A629" s="1"/>
      <c r="B629" s="207"/>
      <c r="C629" s="207"/>
      <c r="D629" s="207"/>
      <c r="E629" s="207"/>
      <c r="F629" s="207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  <c r="AA629" s="207"/>
      <c r="AB629" s="207"/>
      <c r="AC629" s="207"/>
      <c r="AD629" s="207"/>
      <c r="AE629" s="207"/>
      <c r="AF629" s="207"/>
      <c r="AG629" s="207"/>
      <c r="AH629" s="207"/>
      <c r="AI629" s="207"/>
      <c r="AJ629" s="207"/>
      <c r="AK629" s="207"/>
      <c r="AL629" s="207"/>
      <c r="AM629" s="207"/>
      <c r="AN629" s="207"/>
      <c r="AO629" s="207"/>
      <c r="AP629" s="207"/>
      <c r="AQ629" s="207"/>
      <c r="AR629" s="207"/>
      <c r="AS629" s="207"/>
      <c r="AT629" s="207"/>
      <c r="AU629" s="207"/>
      <c r="AV629" s="207"/>
      <c r="AW629" s="207"/>
      <c r="AX629" s="207"/>
      <c r="AY629" s="207"/>
      <c r="AZ629" s="207"/>
      <c r="BA629" s="207"/>
    </row>
    <row r="630" ht="18.75" hidden="1" customHeight="1">
      <c r="A630" s="1"/>
      <c r="B630" s="207"/>
      <c r="C630" s="207"/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  <c r="AA630" s="207"/>
      <c r="AB630" s="207"/>
      <c r="AC630" s="207"/>
      <c r="AD630" s="207"/>
      <c r="AE630" s="207"/>
      <c r="AF630" s="207"/>
      <c r="AG630" s="207"/>
      <c r="AH630" s="207"/>
      <c r="AI630" s="207"/>
      <c r="AJ630" s="207"/>
      <c r="AK630" s="207"/>
      <c r="AL630" s="207"/>
      <c r="AM630" s="207"/>
      <c r="AN630" s="207"/>
      <c r="AO630" s="207"/>
      <c r="AP630" s="207"/>
      <c r="AQ630" s="207"/>
      <c r="AR630" s="207"/>
      <c r="AS630" s="207"/>
      <c r="AT630" s="207"/>
      <c r="AU630" s="207"/>
      <c r="AV630" s="207"/>
      <c r="AW630" s="207"/>
      <c r="AX630" s="207"/>
      <c r="AY630" s="207"/>
      <c r="AZ630" s="207"/>
      <c r="BA630" s="207"/>
    </row>
    <row r="631" ht="18.75" hidden="1" customHeight="1">
      <c r="A631" s="1"/>
      <c r="B631" s="207"/>
      <c r="C631" s="207"/>
      <c r="D631" s="207"/>
      <c r="E631" s="207"/>
      <c r="F631" s="207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  <c r="AA631" s="207"/>
      <c r="AB631" s="207"/>
      <c r="AC631" s="207"/>
      <c r="AD631" s="207"/>
      <c r="AE631" s="207"/>
      <c r="AF631" s="207"/>
      <c r="AG631" s="207"/>
      <c r="AH631" s="207"/>
      <c r="AI631" s="207"/>
      <c r="AJ631" s="207"/>
      <c r="AK631" s="207"/>
      <c r="AL631" s="207"/>
      <c r="AM631" s="207"/>
      <c r="AN631" s="207"/>
      <c r="AO631" s="207"/>
      <c r="AP631" s="207"/>
      <c r="AQ631" s="207"/>
      <c r="AR631" s="207"/>
      <c r="AS631" s="207"/>
      <c r="AT631" s="207"/>
      <c r="AU631" s="207"/>
      <c r="AV631" s="207"/>
      <c r="AW631" s="207"/>
      <c r="AX631" s="207"/>
      <c r="AY631" s="207"/>
      <c r="AZ631" s="207"/>
      <c r="BA631" s="207"/>
    </row>
    <row r="632" ht="18.75" hidden="1" customHeight="1">
      <c r="A632" s="1"/>
      <c r="B632" s="207"/>
      <c r="C632" s="207"/>
      <c r="D632" s="207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  <c r="AA632" s="207"/>
      <c r="AB632" s="207"/>
      <c r="AC632" s="207"/>
      <c r="AD632" s="207"/>
      <c r="AE632" s="207"/>
      <c r="AF632" s="207"/>
      <c r="AG632" s="207"/>
      <c r="AH632" s="207"/>
      <c r="AI632" s="207"/>
      <c r="AJ632" s="207"/>
      <c r="AK632" s="207"/>
      <c r="AL632" s="207"/>
      <c r="AM632" s="207"/>
      <c r="AN632" s="207"/>
      <c r="AO632" s="207"/>
      <c r="AP632" s="207"/>
      <c r="AQ632" s="207"/>
      <c r="AR632" s="207"/>
      <c r="AS632" s="207"/>
      <c r="AT632" s="207"/>
      <c r="AU632" s="207"/>
      <c r="AV632" s="207"/>
      <c r="AW632" s="207"/>
      <c r="AX632" s="207"/>
      <c r="AY632" s="207"/>
      <c r="AZ632" s="207"/>
      <c r="BA632" s="207"/>
    </row>
    <row r="633" ht="18.75" hidden="1" customHeight="1">
      <c r="A633" s="1"/>
      <c r="B633" s="207"/>
      <c r="C633" s="207"/>
      <c r="D633" s="207"/>
      <c r="E633" s="207"/>
      <c r="F633" s="207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  <c r="AA633" s="207"/>
      <c r="AB633" s="207"/>
      <c r="AC633" s="207"/>
      <c r="AD633" s="207"/>
      <c r="AE633" s="207"/>
      <c r="AF633" s="207"/>
      <c r="AG633" s="207"/>
      <c r="AH633" s="207"/>
      <c r="AI633" s="207"/>
      <c r="AJ633" s="207"/>
      <c r="AK633" s="207"/>
      <c r="AL633" s="207"/>
      <c r="AM633" s="207"/>
      <c r="AN633" s="207"/>
      <c r="AO633" s="207"/>
      <c r="AP633" s="207"/>
      <c r="AQ633" s="207"/>
      <c r="AR633" s="207"/>
      <c r="AS633" s="207"/>
      <c r="AT633" s="207"/>
      <c r="AU633" s="207"/>
      <c r="AV633" s="207"/>
      <c r="AW633" s="207"/>
      <c r="AX633" s="207"/>
      <c r="AY633" s="207"/>
      <c r="AZ633" s="207"/>
      <c r="BA633" s="207"/>
    </row>
    <row r="634" ht="18.75" hidden="1" customHeight="1">
      <c r="A634" s="1"/>
      <c r="B634" s="207"/>
      <c r="C634" s="207"/>
      <c r="D634" s="207"/>
      <c r="E634" s="207"/>
      <c r="F634" s="207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  <c r="AA634" s="207"/>
      <c r="AB634" s="207"/>
      <c r="AC634" s="207"/>
      <c r="AD634" s="207"/>
      <c r="AE634" s="207"/>
      <c r="AF634" s="207"/>
      <c r="AG634" s="207"/>
      <c r="AH634" s="207"/>
      <c r="AI634" s="207"/>
      <c r="AJ634" s="207"/>
      <c r="AK634" s="207"/>
      <c r="AL634" s="207"/>
      <c r="AM634" s="207"/>
      <c r="AN634" s="207"/>
      <c r="AO634" s="207"/>
      <c r="AP634" s="207"/>
      <c r="AQ634" s="207"/>
      <c r="AR634" s="207"/>
      <c r="AS634" s="207"/>
      <c r="AT634" s="207"/>
      <c r="AU634" s="207"/>
      <c r="AV634" s="207"/>
      <c r="AW634" s="207"/>
      <c r="AX634" s="207"/>
      <c r="AY634" s="207"/>
      <c r="AZ634" s="207"/>
      <c r="BA634" s="207"/>
    </row>
    <row r="635" ht="18.75" hidden="1" customHeight="1">
      <c r="A635" s="1"/>
      <c r="B635" s="207"/>
      <c r="C635" s="207"/>
      <c r="D635" s="207"/>
      <c r="E635" s="207"/>
      <c r="F635" s="207"/>
      <c r="G635" s="207"/>
      <c r="H635" s="207"/>
      <c r="I635" s="207"/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  <c r="AA635" s="207"/>
      <c r="AB635" s="207"/>
      <c r="AC635" s="207"/>
      <c r="AD635" s="207"/>
      <c r="AE635" s="207"/>
      <c r="AF635" s="207"/>
      <c r="AG635" s="207"/>
      <c r="AH635" s="207"/>
      <c r="AI635" s="207"/>
      <c r="AJ635" s="207"/>
      <c r="AK635" s="207"/>
      <c r="AL635" s="207"/>
      <c r="AM635" s="207"/>
      <c r="AN635" s="207"/>
      <c r="AO635" s="207"/>
      <c r="AP635" s="207"/>
      <c r="AQ635" s="207"/>
      <c r="AR635" s="207"/>
      <c r="AS635" s="207"/>
      <c r="AT635" s="207"/>
      <c r="AU635" s="207"/>
      <c r="AV635" s="207"/>
      <c r="AW635" s="207"/>
      <c r="AX635" s="207"/>
      <c r="AY635" s="207"/>
      <c r="AZ635" s="207"/>
      <c r="BA635" s="207"/>
    </row>
    <row r="636" ht="18.75" hidden="1" customHeight="1">
      <c r="A636" s="1"/>
      <c r="B636" s="207"/>
      <c r="C636" s="207"/>
      <c r="D636" s="207"/>
      <c r="E636" s="207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  <c r="AA636" s="207"/>
      <c r="AB636" s="207"/>
      <c r="AC636" s="207"/>
      <c r="AD636" s="207"/>
      <c r="AE636" s="207"/>
      <c r="AF636" s="207"/>
      <c r="AG636" s="207"/>
      <c r="AH636" s="207"/>
      <c r="AI636" s="207"/>
      <c r="AJ636" s="207"/>
      <c r="AK636" s="207"/>
      <c r="AL636" s="207"/>
      <c r="AM636" s="207"/>
      <c r="AN636" s="207"/>
      <c r="AO636" s="207"/>
      <c r="AP636" s="207"/>
      <c r="AQ636" s="207"/>
      <c r="AR636" s="207"/>
      <c r="AS636" s="207"/>
      <c r="AT636" s="207"/>
      <c r="AU636" s="207"/>
      <c r="AV636" s="207"/>
      <c r="AW636" s="207"/>
      <c r="AX636" s="207"/>
      <c r="AY636" s="207"/>
      <c r="AZ636" s="207"/>
      <c r="BA636" s="207"/>
    </row>
    <row r="637" ht="18.75" hidden="1" customHeight="1">
      <c r="A637" s="1"/>
      <c r="B637" s="207"/>
      <c r="C637" s="207"/>
      <c r="D637" s="207"/>
      <c r="E637" s="207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  <c r="AA637" s="207"/>
      <c r="AB637" s="207"/>
      <c r="AC637" s="207"/>
      <c r="AD637" s="207"/>
      <c r="AE637" s="207"/>
      <c r="AF637" s="207"/>
      <c r="AG637" s="207"/>
      <c r="AH637" s="207"/>
      <c r="AI637" s="207"/>
      <c r="AJ637" s="207"/>
      <c r="AK637" s="207"/>
      <c r="AL637" s="207"/>
      <c r="AM637" s="207"/>
      <c r="AN637" s="207"/>
      <c r="AO637" s="207"/>
      <c r="AP637" s="207"/>
      <c r="AQ637" s="207"/>
      <c r="AR637" s="207"/>
      <c r="AS637" s="207"/>
      <c r="AT637" s="207"/>
      <c r="AU637" s="207"/>
      <c r="AV637" s="207"/>
      <c r="AW637" s="207"/>
      <c r="AX637" s="207"/>
      <c r="AY637" s="207"/>
      <c r="AZ637" s="207"/>
      <c r="BA637" s="207"/>
    </row>
    <row r="638" ht="18.75" hidden="1" customHeight="1">
      <c r="A638" s="1"/>
      <c r="B638" s="207"/>
      <c r="C638" s="207"/>
      <c r="D638" s="207"/>
      <c r="E638" s="207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  <c r="AA638" s="207"/>
      <c r="AB638" s="207"/>
      <c r="AC638" s="207"/>
      <c r="AD638" s="207"/>
      <c r="AE638" s="207"/>
      <c r="AF638" s="207"/>
      <c r="AG638" s="207"/>
      <c r="AH638" s="207"/>
      <c r="AI638" s="207"/>
      <c r="AJ638" s="207"/>
      <c r="AK638" s="207"/>
      <c r="AL638" s="207"/>
      <c r="AM638" s="207"/>
      <c r="AN638" s="207"/>
      <c r="AO638" s="207"/>
      <c r="AP638" s="207"/>
      <c r="AQ638" s="207"/>
      <c r="AR638" s="207"/>
      <c r="AS638" s="207"/>
      <c r="AT638" s="207"/>
      <c r="AU638" s="207"/>
      <c r="AV638" s="207"/>
      <c r="AW638" s="207"/>
      <c r="AX638" s="207"/>
      <c r="AY638" s="207"/>
      <c r="AZ638" s="207"/>
      <c r="BA638" s="207"/>
    </row>
    <row r="639" ht="18.75" hidden="1" customHeight="1">
      <c r="A639" s="1"/>
      <c r="B639" s="207"/>
      <c r="C639" s="207"/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  <c r="AA639" s="207"/>
      <c r="AB639" s="207"/>
      <c r="AC639" s="207"/>
      <c r="AD639" s="207"/>
      <c r="AE639" s="207"/>
      <c r="AF639" s="207"/>
      <c r="AG639" s="207"/>
      <c r="AH639" s="207"/>
      <c r="AI639" s="207"/>
      <c r="AJ639" s="207"/>
      <c r="AK639" s="207"/>
      <c r="AL639" s="207"/>
      <c r="AM639" s="207"/>
      <c r="AN639" s="207"/>
      <c r="AO639" s="207"/>
      <c r="AP639" s="207"/>
      <c r="AQ639" s="207"/>
      <c r="AR639" s="207"/>
      <c r="AS639" s="207"/>
      <c r="AT639" s="207"/>
      <c r="AU639" s="207"/>
      <c r="AV639" s="207"/>
      <c r="AW639" s="207"/>
      <c r="AX639" s="207"/>
      <c r="AY639" s="207"/>
      <c r="AZ639" s="207"/>
      <c r="BA639" s="207"/>
    </row>
    <row r="640" ht="18.75" hidden="1" customHeight="1">
      <c r="A640" s="1"/>
      <c r="B640" s="207"/>
      <c r="C640" s="207"/>
      <c r="D640" s="207"/>
      <c r="E640" s="207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  <c r="AA640" s="207"/>
      <c r="AB640" s="207"/>
      <c r="AC640" s="207"/>
      <c r="AD640" s="207"/>
      <c r="AE640" s="207"/>
      <c r="AF640" s="207"/>
      <c r="AG640" s="207"/>
      <c r="AH640" s="207"/>
      <c r="AI640" s="207"/>
      <c r="AJ640" s="207"/>
      <c r="AK640" s="207"/>
      <c r="AL640" s="207"/>
      <c r="AM640" s="207"/>
      <c r="AN640" s="207"/>
      <c r="AO640" s="207"/>
      <c r="AP640" s="207"/>
      <c r="AQ640" s="207"/>
      <c r="AR640" s="207"/>
      <c r="AS640" s="207"/>
      <c r="AT640" s="207"/>
      <c r="AU640" s="207"/>
      <c r="AV640" s="207"/>
      <c r="AW640" s="207"/>
      <c r="AX640" s="207"/>
      <c r="AY640" s="207"/>
      <c r="AZ640" s="207"/>
      <c r="BA640" s="207"/>
    </row>
    <row r="641" ht="18.75" hidden="1" customHeight="1">
      <c r="A641" s="1"/>
      <c r="B641" s="207"/>
      <c r="C641" s="207"/>
      <c r="D641" s="207"/>
      <c r="E641" s="207"/>
      <c r="F641" s="207"/>
      <c r="G641" s="207"/>
      <c r="H641" s="207"/>
      <c r="I641" s="207"/>
      <c r="J641" s="207"/>
      <c r="K641" s="207"/>
      <c r="L641" s="207"/>
      <c r="M641" s="207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  <c r="AA641" s="207"/>
      <c r="AB641" s="207"/>
      <c r="AC641" s="207"/>
      <c r="AD641" s="207"/>
      <c r="AE641" s="207"/>
      <c r="AF641" s="207"/>
      <c r="AG641" s="207"/>
      <c r="AH641" s="207"/>
      <c r="AI641" s="207"/>
      <c r="AJ641" s="207"/>
      <c r="AK641" s="207"/>
      <c r="AL641" s="207"/>
      <c r="AM641" s="207"/>
      <c r="AN641" s="207"/>
      <c r="AO641" s="207"/>
      <c r="AP641" s="207"/>
      <c r="AQ641" s="207"/>
      <c r="AR641" s="207"/>
      <c r="AS641" s="207"/>
      <c r="AT641" s="207"/>
      <c r="AU641" s="207"/>
      <c r="AV641" s="207"/>
      <c r="AW641" s="207"/>
      <c r="AX641" s="207"/>
      <c r="AY641" s="207"/>
      <c r="AZ641" s="207"/>
      <c r="BA641" s="207"/>
    </row>
    <row r="642" ht="18.75" hidden="1" customHeight="1">
      <c r="A642" s="1"/>
      <c r="B642" s="207"/>
      <c r="C642" s="207"/>
      <c r="D642" s="207"/>
      <c r="E642" s="207"/>
      <c r="F642" s="207"/>
      <c r="G642" s="207"/>
      <c r="H642" s="207"/>
      <c r="I642" s="207"/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  <c r="AA642" s="207"/>
      <c r="AB642" s="207"/>
      <c r="AC642" s="207"/>
      <c r="AD642" s="207"/>
      <c r="AE642" s="207"/>
      <c r="AF642" s="207"/>
      <c r="AG642" s="207"/>
      <c r="AH642" s="207"/>
      <c r="AI642" s="207"/>
      <c r="AJ642" s="207"/>
      <c r="AK642" s="207"/>
      <c r="AL642" s="207"/>
      <c r="AM642" s="207"/>
      <c r="AN642" s="207"/>
      <c r="AO642" s="207"/>
      <c r="AP642" s="207"/>
      <c r="AQ642" s="207"/>
      <c r="AR642" s="207"/>
      <c r="AS642" s="207"/>
      <c r="AT642" s="207"/>
      <c r="AU642" s="207"/>
      <c r="AV642" s="207"/>
      <c r="AW642" s="207"/>
      <c r="AX642" s="207"/>
      <c r="AY642" s="207"/>
      <c r="AZ642" s="207"/>
      <c r="BA642" s="207"/>
    </row>
    <row r="643" ht="18.75" hidden="1" customHeight="1">
      <c r="A643" s="1"/>
      <c r="B643" s="207"/>
      <c r="C643" s="207"/>
      <c r="D643" s="207"/>
      <c r="E643" s="207"/>
      <c r="F643" s="207"/>
      <c r="G643" s="207"/>
      <c r="H643" s="207"/>
      <c r="I643" s="207"/>
      <c r="J643" s="207"/>
      <c r="K643" s="207"/>
      <c r="L643" s="207"/>
      <c r="M643" s="207"/>
      <c r="N643" s="207"/>
      <c r="O643" s="207"/>
      <c r="P643" s="207"/>
      <c r="Q643" s="207"/>
      <c r="R643" s="207"/>
      <c r="S643" s="207"/>
      <c r="T643" s="207"/>
      <c r="U643" s="207"/>
      <c r="V643" s="207"/>
      <c r="W643" s="207"/>
      <c r="X643" s="207"/>
      <c r="Y643" s="207"/>
      <c r="Z643" s="207"/>
      <c r="AA643" s="207"/>
      <c r="AB643" s="207"/>
      <c r="AC643" s="207"/>
      <c r="AD643" s="207"/>
      <c r="AE643" s="207"/>
      <c r="AF643" s="207"/>
      <c r="AG643" s="207"/>
      <c r="AH643" s="207"/>
      <c r="AI643" s="207"/>
      <c r="AJ643" s="207"/>
      <c r="AK643" s="207"/>
      <c r="AL643" s="207"/>
      <c r="AM643" s="207"/>
      <c r="AN643" s="207"/>
      <c r="AO643" s="207"/>
      <c r="AP643" s="207"/>
      <c r="AQ643" s="207"/>
      <c r="AR643" s="207"/>
      <c r="AS643" s="207"/>
      <c r="AT643" s="207"/>
      <c r="AU643" s="207"/>
      <c r="AV643" s="207"/>
      <c r="AW643" s="207"/>
      <c r="AX643" s="207"/>
      <c r="AY643" s="207"/>
      <c r="AZ643" s="207"/>
      <c r="BA643" s="207"/>
    </row>
    <row r="644" ht="18.75" hidden="1" customHeight="1">
      <c r="A644" s="1"/>
      <c r="B644" s="207"/>
      <c r="C644" s="207"/>
      <c r="D644" s="207"/>
      <c r="E644" s="207"/>
      <c r="F644" s="207"/>
      <c r="G644" s="207"/>
      <c r="H644" s="207"/>
      <c r="I644" s="207"/>
      <c r="J644" s="207"/>
      <c r="K644" s="207"/>
      <c r="L644" s="207"/>
      <c r="M644" s="207"/>
      <c r="N644" s="207"/>
      <c r="O644" s="207"/>
      <c r="P644" s="207"/>
      <c r="Q644" s="207"/>
      <c r="R644" s="207"/>
      <c r="S644" s="207"/>
      <c r="T644" s="207"/>
      <c r="U644" s="207"/>
      <c r="V644" s="207"/>
      <c r="W644" s="207"/>
      <c r="X644" s="207"/>
      <c r="Y644" s="207"/>
      <c r="Z644" s="207"/>
      <c r="AA644" s="207"/>
      <c r="AB644" s="207"/>
      <c r="AC644" s="207"/>
      <c r="AD644" s="207"/>
      <c r="AE644" s="207"/>
      <c r="AF644" s="207"/>
      <c r="AG644" s="207"/>
      <c r="AH644" s="207"/>
      <c r="AI644" s="207"/>
      <c r="AJ644" s="207"/>
      <c r="AK644" s="207"/>
      <c r="AL644" s="207"/>
      <c r="AM644" s="207"/>
      <c r="AN644" s="207"/>
      <c r="AO644" s="207"/>
      <c r="AP644" s="207"/>
      <c r="AQ644" s="207"/>
      <c r="AR644" s="207"/>
      <c r="AS644" s="207"/>
      <c r="AT644" s="207"/>
      <c r="AU644" s="207"/>
      <c r="AV644" s="207"/>
      <c r="AW644" s="207"/>
      <c r="AX644" s="207"/>
      <c r="AY644" s="207"/>
      <c r="AZ644" s="207"/>
      <c r="BA644" s="207"/>
    </row>
    <row r="645" ht="18.75" hidden="1" customHeight="1">
      <c r="A645" s="1"/>
      <c r="B645" s="207"/>
      <c r="C645" s="207"/>
      <c r="D645" s="207"/>
      <c r="E645" s="207"/>
      <c r="F645" s="207"/>
      <c r="G645" s="207"/>
      <c r="H645" s="207"/>
      <c r="I645" s="207"/>
      <c r="J645" s="207"/>
      <c r="K645" s="207"/>
      <c r="L645" s="207"/>
      <c r="M645" s="207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  <c r="AA645" s="207"/>
      <c r="AB645" s="207"/>
      <c r="AC645" s="207"/>
      <c r="AD645" s="207"/>
      <c r="AE645" s="207"/>
      <c r="AF645" s="207"/>
      <c r="AG645" s="207"/>
      <c r="AH645" s="207"/>
      <c r="AI645" s="207"/>
      <c r="AJ645" s="207"/>
      <c r="AK645" s="207"/>
      <c r="AL645" s="207"/>
      <c r="AM645" s="207"/>
      <c r="AN645" s="207"/>
      <c r="AO645" s="207"/>
      <c r="AP645" s="207"/>
      <c r="AQ645" s="207"/>
      <c r="AR645" s="207"/>
      <c r="AS645" s="207"/>
      <c r="AT645" s="207"/>
      <c r="AU645" s="207"/>
      <c r="AV645" s="207"/>
      <c r="AW645" s="207"/>
      <c r="AX645" s="207"/>
      <c r="AY645" s="207"/>
      <c r="AZ645" s="207"/>
      <c r="BA645" s="207"/>
    </row>
    <row r="646" ht="18.75" hidden="1" customHeight="1">
      <c r="A646" s="1"/>
      <c r="B646" s="207"/>
      <c r="C646" s="207"/>
      <c r="D646" s="207"/>
      <c r="E646" s="207"/>
      <c r="F646" s="207"/>
      <c r="G646" s="207"/>
      <c r="H646" s="207"/>
      <c r="I646" s="207"/>
      <c r="J646" s="207"/>
      <c r="K646" s="207"/>
      <c r="L646" s="207"/>
      <c r="M646" s="207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  <c r="AA646" s="207"/>
      <c r="AB646" s="207"/>
      <c r="AC646" s="207"/>
      <c r="AD646" s="207"/>
      <c r="AE646" s="207"/>
      <c r="AF646" s="207"/>
      <c r="AG646" s="207"/>
      <c r="AH646" s="207"/>
      <c r="AI646" s="207"/>
      <c r="AJ646" s="207"/>
      <c r="AK646" s="207"/>
      <c r="AL646" s="207"/>
      <c r="AM646" s="207"/>
      <c r="AN646" s="207"/>
      <c r="AO646" s="207"/>
      <c r="AP646" s="207"/>
      <c r="AQ646" s="207"/>
      <c r="AR646" s="207"/>
      <c r="AS646" s="207"/>
      <c r="AT646" s="207"/>
      <c r="AU646" s="207"/>
      <c r="AV646" s="207"/>
      <c r="AW646" s="207"/>
      <c r="AX646" s="207"/>
      <c r="AY646" s="207"/>
      <c r="AZ646" s="207"/>
      <c r="BA646" s="207"/>
    </row>
    <row r="647" ht="18.75" hidden="1" customHeight="1">
      <c r="A647" s="1"/>
      <c r="B647" s="207"/>
      <c r="C647" s="207"/>
      <c r="D647" s="207"/>
      <c r="E647" s="207"/>
      <c r="F647" s="207"/>
      <c r="G647" s="207"/>
      <c r="H647" s="207"/>
      <c r="I647" s="207"/>
      <c r="J647" s="207"/>
      <c r="K647" s="207"/>
      <c r="L647" s="207"/>
      <c r="M647" s="207"/>
      <c r="N647" s="207"/>
      <c r="O647" s="207"/>
      <c r="P647" s="207"/>
      <c r="Q647" s="207"/>
      <c r="R647" s="207"/>
      <c r="S647" s="207"/>
      <c r="T647" s="207"/>
      <c r="U647" s="207"/>
      <c r="V647" s="207"/>
      <c r="W647" s="207"/>
      <c r="X647" s="207"/>
      <c r="Y647" s="207"/>
      <c r="Z647" s="207"/>
      <c r="AA647" s="207"/>
      <c r="AB647" s="207"/>
      <c r="AC647" s="207"/>
      <c r="AD647" s="207"/>
      <c r="AE647" s="207"/>
      <c r="AF647" s="207"/>
      <c r="AG647" s="207"/>
      <c r="AH647" s="207"/>
      <c r="AI647" s="207"/>
      <c r="AJ647" s="207"/>
      <c r="AK647" s="207"/>
      <c r="AL647" s="207"/>
      <c r="AM647" s="207"/>
      <c r="AN647" s="207"/>
      <c r="AO647" s="207"/>
      <c r="AP647" s="207"/>
      <c r="AQ647" s="207"/>
      <c r="AR647" s="207"/>
      <c r="AS647" s="207"/>
      <c r="AT647" s="207"/>
      <c r="AU647" s="207"/>
      <c r="AV647" s="207"/>
      <c r="AW647" s="207"/>
      <c r="AX647" s="207"/>
      <c r="AY647" s="207"/>
      <c r="AZ647" s="207"/>
      <c r="BA647" s="207"/>
    </row>
    <row r="648" ht="18.75" hidden="1" customHeight="1">
      <c r="A648" s="1"/>
      <c r="B648" s="207"/>
      <c r="C648" s="207"/>
      <c r="D648" s="207"/>
      <c r="E648" s="207"/>
      <c r="F648" s="207"/>
      <c r="G648" s="207"/>
      <c r="H648" s="207"/>
      <c r="I648" s="207"/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207"/>
      <c r="Y648" s="207"/>
      <c r="Z648" s="207"/>
      <c r="AA648" s="207"/>
      <c r="AB648" s="207"/>
      <c r="AC648" s="207"/>
      <c r="AD648" s="207"/>
      <c r="AE648" s="207"/>
      <c r="AF648" s="207"/>
      <c r="AG648" s="207"/>
      <c r="AH648" s="207"/>
      <c r="AI648" s="207"/>
      <c r="AJ648" s="207"/>
      <c r="AK648" s="207"/>
      <c r="AL648" s="207"/>
      <c r="AM648" s="207"/>
      <c r="AN648" s="207"/>
      <c r="AO648" s="207"/>
      <c r="AP648" s="207"/>
      <c r="AQ648" s="207"/>
      <c r="AR648" s="207"/>
      <c r="AS648" s="207"/>
      <c r="AT648" s="207"/>
      <c r="AU648" s="207"/>
      <c r="AV648" s="207"/>
      <c r="AW648" s="207"/>
      <c r="AX648" s="207"/>
      <c r="AY648" s="207"/>
      <c r="AZ648" s="207"/>
      <c r="BA648" s="207"/>
    </row>
    <row r="649" ht="18.75" hidden="1" customHeight="1">
      <c r="A649" s="1"/>
      <c r="B649" s="207"/>
      <c r="C649" s="207"/>
      <c r="D649" s="207"/>
      <c r="E649" s="207"/>
      <c r="F649" s="207"/>
      <c r="G649" s="207"/>
      <c r="H649" s="207"/>
      <c r="I649" s="207"/>
      <c r="J649" s="207"/>
      <c r="K649" s="207"/>
      <c r="L649" s="207"/>
      <c r="M649" s="207"/>
      <c r="N649" s="207"/>
      <c r="O649" s="207"/>
      <c r="P649" s="207"/>
      <c r="Q649" s="207"/>
      <c r="R649" s="207"/>
      <c r="S649" s="207"/>
      <c r="T649" s="207"/>
      <c r="U649" s="207"/>
      <c r="V649" s="207"/>
      <c r="W649" s="207"/>
      <c r="X649" s="207"/>
      <c r="Y649" s="207"/>
      <c r="Z649" s="207"/>
      <c r="AA649" s="207"/>
      <c r="AB649" s="207"/>
      <c r="AC649" s="207"/>
      <c r="AD649" s="207"/>
      <c r="AE649" s="207"/>
      <c r="AF649" s="207"/>
      <c r="AG649" s="207"/>
      <c r="AH649" s="207"/>
      <c r="AI649" s="207"/>
      <c r="AJ649" s="207"/>
      <c r="AK649" s="207"/>
      <c r="AL649" s="207"/>
      <c r="AM649" s="207"/>
      <c r="AN649" s="207"/>
      <c r="AO649" s="207"/>
      <c r="AP649" s="207"/>
      <c r="AQ649" s="207"/>
      <c r="AR649" s="207"/>
      <c r="AS649" s="207"/>
      <c r="AT649" s="207"/>
      <c r="AU649" s="207"/>
      <c r="AV649" s="207"/>
      <c r="AW649" s="207"/>
      <c r="AX649" s="207"/>
      <c r="AY649" s="207"/>
      <c r="AZ649" s="207"/>
      <c r="BA649" s="207"/>
    </row>
    <row r="650" ht="18.75" hidden="1" customHeight="1">
      <c r="A650" s="1"/>
      <c r="B650" s="207"/>
      <c r="C650" s="207"/>
      <c r="D650" s="207"/>
      <c r="E650" s="207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  <c r="AA650" s="207"/>
      <c r="AB650" s="207"/>
      <c r="AC650" s="207"/>
      <c r="AD650" s="207"/>
      <c r="AE650" s="207"/>
      <c r="AF650" s="207"/>
      <c r="AG650" s="207"/>
      <c r="AH650" s="207"/>
      <c r="AI650" s="207"/>
      <c r="AJ650" s="207"/>
      <c r="AK650" s="207"/>
      <c r="AL650" s="207"/>
      <c r="AM650" s="207"/>
      <c r="AN650" s="207"/>
      <c r="AO650" s="207"/>
      <c r="AP650" s="207"/>
      <c r="AQ650" s="207"/>
      <c r="AR650" s="207"/>
      <c r="AS650" s="207"/>
      <c r="AT650" s="207"/>
      <c r="AU650" s="207"/>
      <c r="AV650" s="207"/>
      <c r="AW650" s="207"/>
      <c r="AX650" s="207"/>
      <c r="AY650" s="207"/>
      <c r="AZ650" s="207"/>
      <c r="BA650" s="207"/>
    </row>
    <row r="651" ht="18.75" hidden="1" customHeight="1">
      <c r="A651" s="1"/>
      <c r="B651" s="207"/>
      <c r="C651" s="207"/>
      <c r="D651" s="207"/>
      <c r="E651" s="207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  <c r="AA651" s="207"/>
      <c r="AB651" s="207"/>
      <c r="AC651" s="207"/>
      <c r="AD651" s="207"/>
      <c r="AE651" s="207"/>
      <c r="AF651" s="207"/>
      <c r="AG651" s="207"/>
      <c r="AH651" s="207"/>
      <c r="AI651" s="207"/>
      <c r="AJ651" s="207"/>
      <c r="AK651" s="207"/>
      <c r="AL651" s="207"/>
      <c r="AM651" s="207"/>
      <c r="AN651" s="207"/>
      <c r="AO651" s="207"/>
      <c r="AP651" s="207"/>
      <c r="AQ651" s="207"/>
      <c r="AR651" s="207"/>
      <c r="AS651" s="207"/>
      <c r="AT651" s="207"/>
      <c r="AU651" s="207"/>
      <c r="AV651" s="207"/>
      <c r="AW651" s="207"/>
      <c r="AX651" s="207"/>
      <c r="AY651" s="207"/>
      <c r="AZ651" s="207"/>
      <c r="BA651" s="207"/>
    </row>
    <row r="652" ht="18.75" hidden="1" customHeight="1">
      <c r="A652" s="1"/>
      <c r="B652" s="207"/>
      <c r="C652" s="207"/>
      <c r="D652" s="207"/>
      <c r="E652" s="207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  <c r="AA652" s="207"/>
      <c r="AB652" s="207"/>
      <c r="AC652" s="207"/>
      <c r="AD652" s="207"/>
      <c r="AE652" s="207"/>
      <c r="AF652" s="207"/>
      <c r="AG652" s="207"/>
      <c r="AH652" s="207"/>
      <c r="AI652" s="207"/>
      <c r="AJ652" s="207"/>
      <c r="AK652" s="207"/>
      <c r="AL652" s="207"/>
      <c r="AM652" s="207"/>
      <c r="AN652" s="207"/>
      <c r="AO652" s="207"/>
      <c r="AP652" s="207"/>
      <c r="AQ652" s="207"/>
      <c r="AR652" s="207"/>
      <c r="AS652" s="207"/>
      <c r="AT652" s="207"/>
      <c r="AU652" s="207"/>
      <c r="AV652" s="207"/>
      <c r="AW652" s="207"/>
      <c r="AX652" s="207"/>
      <c r="AY652" s="207"/>
      <c r="AZ652" s="207"/>
      <c r="BA652" s="207"/>
    </row>
    <row r="653" ht="18.75" hidden="1" customHeight="1">
      <c r="A653" s="1"/>
      <c r="B653" s="207"/>
      <c r="C653" s="207"/>
      <c r="D653" s="207"/>
      <c r="E653" s="207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  <c r="AA653" s="207"/>
      <c r="AB653" s="207"/>
      <c r="AC653" s="207"/>
      <c r="AD653" s="207"/>
      <c r="AE653" s="207"/>
      <c r="AF653" s="207"/>
      <c r="AG653" s="207"/>
      <c r="AH653" s="207"/>
      <c r="AI653" s="207"/>
      <c r="AJ653" s="207"/>
      <c r="AK653" s="207"/>
      <c r="AL653" s="207"/>
      <c r="AM653" s="207"/>
      <c r="AN653" s="207"/>
      <c r="AO653" s="207"/>
      <c r="AP653" s="207"/>
      <c r="AQ653" s="207"/>
      <c r="AR653" s="207"/>
      <c r="AS653" s="207"/>
      <c r="AT653" s="207"/>
      <c r="AU653" s="207"/>
      <c r="AV653" s="207"/>
      <c r="AW653" s="207"/>
      <c r="AX653" s="207"/>
      <c r="AY653" s="207"/>
      <c r="AZ653" s="207"/>
      <c r="BA653" s="207"/>
    </row>
    <row r="654" ht="18.75" hidden="1" customHeight="1">
      <c r="A654" s="1"/>
      <c r="B654" s="207"/>
      <c r="C654" s="207"/>
      <c r="D654" s="207"/>
      <c r="E654" s="207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  <c r="AA654" s="207"/>
      <c r="AB654" s="207"/>
      <c r="AC654" s="207"/>
      <c r="AD654" s="207"/>
      <c r="AE654" s="207"/>
      <c r="AF654" s="207"/>
      <c r="AG654" s="207"/>
      <c r="AH654" s="207"/>
      <c r="AI654" s="207"/>
      <c r="AJ654" s="207"/>
      <c r="AK654" s="207"/>
      <c r="AL654" s="207"/>
      <c r="AM654" s="207"/>
      <c r="AN654" s="207"/>
      <c r="AO654" s="207"/>
      <c r="AP654" s="207"/>
      <c r="AQ654" s="207"/>
      <c r="AR654" s="207"/>
      <c r="AS654" s="207"/>
      <c r="AT654" s="207"/>
      <c r="AU654" s="207"/>
      <c r="AV654" s="207"/>
      <c r="AW654" s="207"/>
      <c r="AX654" s="207"/>
      <c r="AY654" s="207"/>
      <c r="AZ654" s="207"/>
      <c r="BA654" s="207"/>
    </row>
    <row r="655" ht="18.75" hidden="1" customHeight="1">
      <c r="A655" s="1"/>
      <c r="B655" s="207"/>
      <c r="C655" s="207"/>
      <c r="D655" s="207"/>
      <c r="E655" s="207"/>
      <c r="F655" s="207"/>
      <c r="G655" s="207"/>
      <c r="H655" s="207"/>
      <c r="I655" s="207"/>
      <c r="J655" s="207"/>
      <c r="K655" s="207"/>
      <c r="L655" s="207"/>
      <c r="M655" s="207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  <c r="AA655" s="207"/>
      <c r="AB655" s="207"/>
      <c r="AC655" s="207"/>
      <c r="AD655" s="207"/>
      <c r="AE655" s="207"/>
      <c r="AF655" s="207"/>
      <c r="AG655" s="207"/>
      <c r="AH655" s="207"/>
      <c r="AI655" s="207"/>
      <c r="AJ655" s="207"/>
      <c r="AK655" s="207"/>
      <c r="AL655" s="207"/>
      <c r="AM655" s="207"/>
      <c r="AN655" s="207"/>
      <c r="AO655" s="207"/>
      <c r="AP655" s="207"/>
      <c r="AQ655" s="207"/>
      <c r="AR655" s="207"/>
      <c r="AS655" s="207"/>
      <c r="AT655" s="207"/>
      <c r="AU655" s="207"/>
      <c r="AV655" s="207"/>
      <c r="AW655" s="207"/>
      <c r="AX655" s="207"/>
      <c r="AY655" s="207"/>
      <c r="AZ655" s="207"/>
      <c r="BA655" s="207"/>
    </row>
    <row r="656" ht="18.75" hidden="1" customHeight="1">
      <c r="A656" s="1"/>
      <c r="B656" s="207"/>
      <c r="C656" s="207"/>
      <c r="D656" s="207"/>
      <c r="E656" s="207"/>
      <c r="F656" s="207"/>
      <c r="G656" s="207"/>
      <c r="H656" s="207"/>
      <c r="I656" s="207"/>
      <c r="J656" s="207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  <c r="AA656" s="207"/>
      <c r="AB656" s="207"/>
      <c r="AC656" s="207"/>
      <c r="AD656" s="207"/>
      <c r="AE656" s="207"/>
      <c r="AF656" s="207"/>
      <c r="AG656" s="207"/>
      <c r="AH656" s="207"/>
      <c r="AI656" s="207"/>
      <c r="AJ656" s="207"/>
      <c r="AK656" s="207"/>
      <c r="AL656" s="207"/>
      <c r="AM656" s="207"/>
      <c r="AN656" s="207"/>
      <c r="AO656" s="207"/>
      <c r="AP656" s="207"/>
      <c r="AQ656" s="207"/>
      <c r="AR656" s="207"/>
      <c r="AS656" s="207"/>
      <c r="AT656" s="207"/>
      <c r="AU656" s="207"/>
      <c r="AV656" s="207"/>
      <c r="AW656" s="207"/>
      <c r="AX656" s="207"/>
      <c r="AY656" s="207"/>
      <c r="AZ656" s="207"/>
      <c r="BA656" s="207"/>
    </row>
    <row r="657" ht="18.75" hidden="1" customHeight="1">
      <c r="A657" s="1"/>
      <c r="B657" s="207"/>
      <c r="C657" s="207"/>
      <c r="D657" s="207"/>
      <c r="E657" s="207"/>
      <c r="F657" s="207"/>
      <c r="G657" s="207"/>
      <c r="H657" s="207"/>
      <c r="I657" s="207"/>
      <c r="J657" s="207"/>
      <c r="K657" s="207"/>
      <c r="L657" s="207"/>
      <c r="M657" s="207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207"/>
      <c r="Z657" s="207"/>
      <c r="AA657" s="207"/>
      <c r="AB657" s="207"/>
      <c r="AC657" s="207"/>
      <c r="AD657" s="207"/>
      <c r="AE657" s="207"/>
      <c r="AF657" s="207"/>
      <c r="AG657" s="207"/>
      <c r="AH657" s="207"/>
      <c r="AI657" s="207"/>
      <c r="AJ657" s="207"/>
      <c r="AK657" s="207"/>
      <c r="AL657" s="207"/>
      <c r="AM657" s="207"/>
      <c r="AN657" s="207"/>
      <c r="AO657" s="207"/>
      <c r="AP657" s="207"/>
      <c r="AQ657" s="207"/>
      <c r="AR657" s="207"/>
      <c r="AS657" s="207"/>
      <c r="AT657" s="207"/>
      <c r="AU657" s="207"/>
      <c r="AV657" s="207"/>
      <c r="AW657" s="207"/>
      <c r="AX657" s="207"/>
      <c r="AY657" s="207"/>
      <c r="AZ657" s="207"/>
      <c r="BA657" s="207"/>
    </row>
    <row r="658" ht="18.75" hidden="1" customHeight="1">
      <c r="A658" s="1"/>
      <c r="B658" s="207"/>
      <c r="C658" s="207"/>
      <c r="D658" s="207"/>
      <c r="E658" s="207"/>
      <c r="F658" s="207"/>
      <c r="G658" s="207"/>
      <c r="H658" s="207"/>
      <c r="I658" s="207"/>
      <c r="J658" s="207"/>
      <c r="K658" s="207"/>
      <c r="L658" s="207"/>
      <c r="M658" s="207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207"/>
      <c r="Z658" s="207"/>
      <c r="AA658" s="207"/>
      <c r="AB658" s="207"/>
      <c r="AC658" s="207"/>
      <c r="AD658" s="207"/>
      <c r="AE658" s="207"/>
      <c r="AF658" s="207"/>
      <c r="AG658" s="207"/>
      <c r="AH658" s="207"/>
      <c r="AI658" s="207"/>
      <c r="AJ658" s="207"/>
      <c r="AK658" s="207"/>
      <c r="AL658" s="207"/>
      <c r="AM658" s="207"/>
      <c r="AN658" s="207"/>
      <c r="AO658" s="207"/>
      <c r="AP658" s="207"/>
      <c r="AQ658" s="207"/>
      <c r="AR658" s="207"/>
      <c r="AS658" s="207"/>
      <c r="AT658" s="207"/>
      <c r="AU658" s="207"/>
      <c r="AV658" s="207"/>
      <c r="AW658" s="207"/>
      <c r="AX658" s="207"/>
      <c r="AY658" s="207"/>
      <c r="AZ658" s="207"/>
      <c r="BA658" s="207"/>
    </row>
    <row r="659" ht="18.75" hidden="1" customHeight="1">
      <c r="A659" s="1"/>
      <c r="B659" s="207"/>
      <c r="C659" s="207"/>
      <c r="D659" s="207"/>
      <c r="E659" s="207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  <c r="AA659" s="207"/>
      <c r="AB659" s="207"/>
      <c r="AC659" s="207"/>
      <c r="AD659" s="207"/>
      <c r="AE659" s="207"/>
      <c r="AF659" s="207"/>
      <c r="AG659" s="207"/>
      <c r="AH659" s="207"/>
      <c r="AI659" s="207"/>
      <c r="AJ659" s="207"/>
      <c r="AK659" s="207"/>
      <c r="AL659" s="207"/>
      <c r="AM659" s="207"/>
      <c r="AN659" s="207"/>
      <c r="AO659" s="207"/>
      <c r="AP659" s="207"/>
      <c r="AQ659" s="207"/>
      <c r="AR659" s="207"/>
      <c r="AS659" s="207"/>
      <c r="AT659" s="207"/>
      <c r="AU659" s="207"/>
      <c r="AV659" s="207"/>
      <c r="AW659" s="207"/>
      <c r="AX659" s="207"/>
      <c r="AY659" s="207"/>
      <c r="AZ659" s="207"/>
      <c r="BA659" s="207"/>
    </row>
    <row r="660" ht="18.75" hidden="1" customHeight="1">
      <c r="A660" s="1"/>
      <c r="B660" s="207"/>
      <c r="C660" s="207"/>
      <c r="D660" s="207"/>
      <c r="E660" s="207"/>
      <c r="F660" s="207"/>
      <c r="G660" s="207"/>
      <c r="H660" s="207"/>
      <c r="I660" s="207"/>
      <c r="J660" s="207"/>
      <c r="K660" s="207"/>
      <c r="L660" s="207"/>
      <c r="M660" s="207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  <c r="AA660" s="207"/>
      <c r="AB660" s="207"/>
      <c r="AC660" s="207"/>
      <c r="AD660" s="207"/>
      <c r="AE660" s="207"/>
      <c r="AF660" s="207"/>
      <c r="AG660" s="207"/>
      <c r="AH660" s="207"/>
      <c r="AI660" s="207"/>
      <c r="AJ660" s="207"/>
      <c r="AK660" s="207"/>
      <c r="AL660" s="207"/>
      <c r="AM660" s="207"/>
      <c r="AN660" s="207"/>
      <c r="AO660" s="207"/>
      <c r="AP660" s="207"/>
      <c r="AQ660" s="207"/>
      <c r="AR660" s="207"/>
      <c r="AS660" s="207"/>
      <c r="AT660" s="207"/>
      <c r="AU660" s="207"/>
      <c r="AV660" s="207"/>
      <c r="AW660" s="207"/>
      <c r="AX660" s="207"/>
      <c r="AY660" s="207"/>
      <c r="AZ660" s="207"/>
      <c r="BA660" s="207"/>
    </row>
    <row r="661" ht="18.75" hidden="1" customHeight="1">
      <c r="A661" s="1"/>
      <c r="B661" s="207"/>
      <c r="C661" s="207"/>
      <c r="D661" s="207"/>
      <c r="E661" s="207"/>
      <c r="F661" s="207"/>
      <c r="G661" s="207"/>
      <c r="H661" s="207"/>
      <c r="I661" s="207"/>
      <c r="J661" s="207"/>
      <c r="K661" s="207"/>
      <c r="L661" s="207"/>
      <c r="M661" s="207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/>
      <c r="Y661" s="207"/>
      <c r="Z661" s="207"/>
      <c r="AA661" s="207"/>
      <c r="AB661" s="207"/>
      <c r="AC661" s="207"/>
      <c r="AD661" s="207"/>
      <c r="AE661" s="207"/>
      <c r="AF661" s="207"/>
      <c r="AG661" s="207"/>
      <c r="AH661" s="207"/>
      <c r="AI661" s="207"/>
      <c r="AJ661" s="207"/>
      <c r="AK661" s="207"/>
      <c r="AL661" s="207"/>
      <c r="AM661" s="207"/>
      <c r="AN661" s="207"/>
      <c r="AO661" s="207"/>
      <c r="AP661" s="207"/>
      <c r="AQ661" s="207"/>
      <c r="AR661" s="207"/>
      <c r="AS661" s="207"/>
      <c r="AT661" s="207"/>
      <c r="AU661" s="207"/>
      <c r="AV661" s="207"/>
      <c r="AW661" s="207"/>
      <c r="AX661" s="207"/>
      <c r="AY661" s="207"/>
      <c r="AZ661" s="207"/>
      <c r="BA661" s="207"/>
    </row>
    <row r="662" ht="18.75" hidden="1" customHeight="1">
      <c r="A662" s="1"/>
      <c r="B662" s="207"/>
      <c r="C662" s="207"/>
      <c r="D662" s="207"/>
      <c r="E662" s="207"/>
      <c r="F662" s="207"/>
      <c r="G662" s="207"/>
      <c r="H662" s="207"/>
      <c r="I662" s="207"/>
      <c r="J662" s="207"/>
      <c r="K662" s="207"/>
      <c r="L662" s="207"/>
      <c r="M662" s="207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/>
      <c r="Y662" s="207"/>
      <c r="Z662" s="207"/>
      <c r="AA662" s="207"/>
      <c r="AB662" s="207"/>
      <c r="AC662" s="207"/>
      <c r="AD662" s="207"/>
      <c r="AE662" s="207"/>
      <c r="AF662" s="207"/>
      <c r="AG662" s="207"/>
      <c r="AH662" s="207"/>
      <c r="AI662" s="207"/>
      <c r="AJ662" s="207"/>
      <c r="AK662" s="207"/>
      <c r="AL662" s="207"/>
      <c r="AM662" s="207"/>
      <c r="AN662" s="207"/>
      <c r="AO662" s="207"/>
      <c r="AP662" s="207"/>
      <c r="AQ662" s="207"/>
      <c r="AR662" s="207"/>
      <c r="AS662" s="207"/>
      <c r="AT662" s="207"/>
      <c r="AU662" s="207"/>
      <c r="AV662" s="207"/>
      <c r="AW662" s="207"/>
      <c r="AX662" s="207"/>
      <c r="AY662" s="207"/>
      <c r="AZ662" s="207"/>
      <c r="BA662" s="207"/>
    </row>
    <row r="663" ht="18.75" hidden="1" customHeight="1">
      <c r="A663" s="1"/>
      <c r="B663" s="207"/>
      <c r="C663" s="207"/>
      <c r="D663" s="207"/>
      <c r="E663" s="207"/>
      <c r="F663" s="207"/>
      <c r="G663" s="207"/>
      <c r="H663" s="207"/>
      <c r="I663" s="207"/>
      <c r="J663" s="207"/>
      <c r="K663" s="207"/>
      <c r="L663" s="207"/>
      <c r="M663" s="207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  <c r="AA663" s="207"/>
      <c r="AB663" s="207"/>
      <c r="AC663" s="207"/>
      <c r="AD663" s="207"/>
      <c r="AE663" s="207"/>
      <c r="AF663" s="207"/>
      <c r="AG663" s="207"/>
      <c r="AH663" s="207"/>
      <c r="AI663" s="207"/>
      <c r="AJ663" s="207"/>
      <c r="AK663" s="207"/>
      <c r="AL663" s="207"/>
      <c r="AM663" s="207"/>
      <c r="AN663" s="207"/>
      <c r="AO663" s="207"/>
      <c r="AP663" s="207"/>
      <c r="AQ663" s="207"/>
      <c r="AR663" s="207"/>
      <c r="AS663" s="207"/>
      <c r="AT663" s="207"/>
      <c r="AU663" s="207"/>
      <c r="AV663" s="207"/>
      <c r="AW663" s="207"/>
      <c r="AX663" s="207"/>
      <c r="AY663" s="207"/>
      <c r="AZ663" s="207"/>
      <c r="BA663" s="207"/>
    </row>
    <row r="664" ht="18.75" hidden="1" customHeight="1">
      <c r="A664" s="1"/>
      <c r="B664" s="207"/>
      <c r="C664" s="207"/>
      <c r="D664" s="207"/>
      <c r="E664" s="207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  <c r="AA664" s="207"/>
      <c r="AB664" s="207"/>
      <c r="AC664" s="207"/>
      <c r="AD664" s="207"/>
      <c r="AE664" s="207"/>
      <c r="AF664" s="207"/>
      <c r="AG664" s="207"/>
      <c r="AH664" s="207"/>
      <c r="AI664" s="207"/>
      <c r="AJ664" s="207"/>
      <c r="AK664" s="207"/>
      <c r="AL664" s="207"/>
      <c r="AM664" s="207"/>
      <c r="AN664" s="207"/>
      <c r="AO664" s="207"/>
      <c r="AP664" s="207"/>
      <c r="AQ664" s="207"/>
      <c r="AR664" s="207"/>
      <c r="AS664" s="207"/>
      <c r="AT664" s="207"/>
      <c r="AU664" s="207"/>
      <c r="AV664" s="207"/>
      <c r="AW664" s="207"/>
      <c r="AX664" s="207"/>
      <c r="AY664" s="207"/>
      <c r="AZ664" s="207"/>
      <c r="BA664" s="207"/>
    </row>
    <row r="665" ht="18.75" hidden="1" customHeight="1">
      <c r="A665" s="1"/>
      <c r="B665" s="207"/>
      <c r="C665" s="207"/>
      <c r="D665" s="207"/>
      <c r="E665" s="207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  <c r="AA665" s="207"/>
      <c r="AB665" s="207"/>
      <c r="AC665" s="207"/>
      <c r="AD665" s="207"/>
      <c r="AE665" s="207"/>
      <c r="AF665" s="207"/>
      <c r="AG665" s="207"/>
      <c r="AH665" s="207"/>
      <c r="AI665" s="207"/>
      <c r="AJ665" s="207"/>
      <c r="AK665" s="207"/>
      <c r="AL665" s="207"/>
      <c r="AM665" s="207"/>
      <c r="AN665" s="207"/>
      <c r="AO665" s="207"/>
      <c r="AP665" s="207"/>
      <c r="AQ665" s="207"/>
      <c r="AR665" s="207"/>
      <c r="AS665" s="207"/>
      <c r="AT665" s="207"/>
      <c r="AU665" s="207"/>
      <c r="AV665" s="207"/>
      <c r="AW665" s="207"/>
      <c r="AX665" s="207"/>
      <c r="AY665" s="207"/>
      <c r="AZ665" s="207"/>
      <c r="BA665" s="207"/>
    </row>
    <row r="666" ht="18.75" hidden="1" customHeight="1">
      <c r="A666" s="1"/>
      <c r="B666" s="207"/>
      <c r="C666" s="207"/>
      <c r="D666" s="207"/>
      <c r="E666" s="207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  <c r="AA666" s="207"/>
      <c r="AB666" s="207"/>
      <c r="AC666" s="207"/>
      <c r="AD666" s="207"/>
      <c r="AE666" s="207"/>
      <c r="AF666" s="207"/>
      <c r="AG666" s="207"/>
      <c r="AH666" s="207"/>
      <c r="AI666" s="207"/>
      <c r="AJ666" s="207"/>
      <c r="AK666" s="207"/>
      <c r="AL666" s="207"/>
      <c r="AM666" s="207"/>
      <c r="AN666" s="207"/>
      <c r="AO666" s="207"/>
      <c r="AP666" s="207"/>
      <c r="AQ666" s="207"/>
      <c r="AR666" s="207"/>
      <c r="AS666" s="207"/>
      <c r="AT666" s="207"/>
      <c r="AU666" s="207"/>
      <c r="AV666" s="207"/>
      <c r="AW666" s="207"/>
      <c r="AX666" s="207"/>
      <c r="AY666" s="207"/>
      <c r="AZ666" s="207"/>
      <c r="BA666" s="207"/>
    </row>
    <row r="667" ht="18.75" hidden="1" customHeight="1">
      <c r="A667" s="1"/>
      <c r="B667" s="207"/>
      <c r="C667" s="207"/>
      <c r="D667" s="207"/>
      <c r="E667" s="207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  <c r="AA667" s="207"/>
      <c r="AB667" s="207"/>
      <c r="AC667" s="207"/>
      <c r="AD667" s="207"/>
      <c r="AE667" s="207"/>
      <c r="AF667" s="207"/>
      <c r="AG667" s="207"/>
      <c r="AH667" s="207"/>
      <c r="AI667" s="207"/>
      <c r="AJ667" s="207"/>
      <c r="AK667" s="207"/>
      <c r="AL667" s="207"/>
      <c r="AM667" s="207"/>
      <c r="AN667" s="207"/>
      <c r="AO667" s="207"/>
      <c r="AP667" s="207"/>
      <c r="AQ667" s="207"/>
      <c r="AR667" s="207"/>
      <c r="AS667" s="207"/>
      <c r="AT667" s="207"/>
      <c r="AU667" s="207"/>
      <c r="AV667" s="207"/>
      <c r="AW667" s="207"/>
      <c r="AX667" s="207"/>
      <c r="AY667" s="207"/>
      <c r="AZ667" s="207"/>
      <c r="BA667" s="207"/>
    </row>
    <row r="668" ht="18.75" hidden="1" customHeight="1">
      <c r="A668" s="1"/>
      <c r="B668" s="207"/>
      <c r="C668" s="207"/>
      <c r="D668" s="207"/>
      <c r="E668" s="207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  <c r="AA668" s="207"/>
      <c r="AB668" s="207"/>
      <c r="AC668" s="207"/>
      <c r="AD668" s="207"/>
      <c r="AE668" s="207"/>
      <c r="AF668" s="207"/>
      <c r="AG668" s="207"/>
      <c r="AH668" s="207"/>
      <c r="AI668" s="207"/>
      <c r="AJ668" s="207"/>
      <c r="AK668" s="207"/>
      <c r="AL668" s="207"/>
      <c r="AM668" s="207"/>
      <c r="AN668" s="207"/>
      <c r="AO668" s="207"/>
      <c r="AP668" s="207"/>
      <c r="AQ668" s="207"/>
      <c r="AR668" s="207"/>
      <c r="AS668" s="207"/>
      <c r="AT668" s="207"/>
      <c r="AU668" s="207"/>
      <c r="AV668" s="207"/>
      <c r="AW668" s="207"/>
      <c r="AX668" s="207"/>
      <c r="AY668" s="207"/>
      <c r="AZ668" s="207"/>
      <c r="BA668" s="207"/>
    </row>
    <row r="669" ht="18.75" hidden="1" customHeight="1">
      <c r="A669" s="1"/>
      <c r="B669" s="207"/>
      <c r="C669" s="207"/>
      <c r="D669" s="207"/>
      <c r="E669" s="207"/>
      <c r="F669" s="207"/>
      <c r="G669" s="207"/>
      <c r="H669" s="207"/>
      <c r="I669" s="207"/>
      <c r="J669" s="207"/>
      <c r="K669" s="207"/>
      <c r="L669" s="207"/>
      <c r="M669" s="207"/>
      <c r="N669" s="207"/>
      <c r="O669" s="207"/>
      <c r="P669" s="207"/>
      <c r="Q669" s="207"/>
      <c r="R669" s="207"/>
      <c r="S669" s="207"/>
      <c r="T669" s="207"/>
      <c r="U669" s="207"/>
      <c r="V669" s="207"/>
      <c r="W669" s="207"/>
      <c r="X669" s="207"/>
      <c r="Y669" s="207"/>
      <c r="Z669" s="207"/>
      <c r="AA669" s="207"/>
      <c r="AB669" s="207"/>
      <c r="AC669" s="207"/>
      <c r="AD669" s="207"/>
      <c r="AE669" s="207"/>
      <c r="AF669" s="207"/>
      <c r="AG669" s="207"/>
      <c r="AH669" s="207"/>
      <c r="AI669" s="207"/>
      <c r="AJ669" s="207"/>
      <c r="AK669" s="207"/>
      <c r="AL669" s="207"/>
      <c r="AM669" s="207"/>
      <c r="AN669" s="207"/>
      <c r="AO669" s="207"/>
      <c r="AP669" s="207"/>
      <c r="AQ669" s="207"/>
      <c r="AR669" s="207"/>
      <c r="AS669" s="207"/>
      <c r="AT669" s="207"/>
      <c r="AU669" s="207"/>
      <c r="AV669" s="207"/>
      <c r="AW669" s="207"/>
      <c r="AX669" s="207"/>
      <c r="AY669" s="207"/>
      <c r="AZ669" s="207"/>
      <c r="BA669" s="207"/>
    </row>
    <row r="670" ht="18.75" hidden="1" customHeight="1">
      <c r="A670" s="1"/>
      <c r="B670" s="207"/>
      <c r="C670" s="207"/>
      <c r="D670" s="207"/>
      <c r="E670" s="207"/>
      <c r="F670" s="207"/>
      <c r="G670" s="207"/>
      <c r="H670" s="207"/>
      <c r="I670" s="207"/>
      <c r="J670" s="207"/>
      <c r="K670" s="207"/>
      <c r="L670" s="207"/>
      <c r="M670" s="207"/>
      <c r="N670" s="207"/>
      <c r="O670" s="207"/>
      <c r="P670" s="207"/>
      <c r="Q670" s="207"/>
      <c r="R670" s="207"/>
      <c r="S670" s="207"/>
      <c r="T670" s="207"/>
      <c r="U670" s="207"/>
      <c r="V670" s="207"/>
      <c r="W670" s="207"/>
      <c r="X670" s="207"/>
      <c r="Y670" s="207"/>
      <c r="Z670" s="207"/>
      <c r="AA670" s="207"/>
      <c r="AB670" s="207"/>
      <c r="AC670" s="207"/>
      <c r="AD670" s="207"/>
      <c r="AE670" s="207"/>
      <c r="AF670" s="207"/>
      <c r="AG670" s="207"/>
      <c r="AH670" s="207"/>
      <c r="AI670" s="207"/>
      <c r="AJ670" s="207"/>
      <c r="AK670" s="207"/>
      <c r="AL670" s="207"/>
      <c r="AM670" s="207"/>
      <c r="AN670" s="207"/>
      <c r="AO670" s="207"/>
      <c r="AP670" s="207"/>
      <c r="AQ670" s="207"/>
      <c r="AR670" s="207"/>
      <c r="AS670" s="207"/>
      <c r="AT670" s="207"/>
      <c r="AU670" s="207"/>
      <c r="AV670" s="207"/>
      <c r="AW670" s="207"/>
      <c r="AX670" s="207"/>
      <c r="AY670" s="207"/>
      <c r="AZ670" s="207"/>
      <c r="BA670" s="207"/>
    </row>
    <row r="671" ht="18.75" hidden="1" customHeight="1">
      <c r="A671" s="1"/>
      <c r="B671" s="207"/>
      <c r="C671" s="207"/>
      <c r="D671" s="207"/>
      <c r="E671" s="207"/>
      <c r="F671" s="207"/>
      <c r="G671" s="207"/>
      <c r="H671" s="207"/>
      <c r="I671" s="207"/>
      <c r="J671" s="207"/>
      <c r="K671" s="207"/>
      <c r="L671" s="207"/>
      <c r="M671" s="207"/>
      <c r="N671" s="207"/>
      <c r="O671" s="207"/>
      <c r="P671" s="207"/>
      <c r="Q671" s="207"/>
      <c r="R671" s="207"/>
      <c r="S671" s="207"/>
      <c r="T671" s="207"/>
      <c r="U671" s="207"/>
      <c r="V671" s="207"/>
      <c r="W671" s="207"/>
      <c r="X671" s="207"/>
      <c r="Y671" s="207"/>
      <c r="Z671" s="207"/>
      <c r="AA671" s="207"/>
      <c r="AB671" s="207"/>
      <c r="AC671" s="207"/>
      <c r="AD671" s="207"/>
      <c r="AE671" s="207"/>
      <c r="AF671" s="207"/>
      <c r="AG671" s="207"/>
      <c r="AH671" s="207"/>
      <c r="AI671" s="207"/>
      <c r="AJ671" s="207"/>
      <c r="AK671" s="207"/>
      <c r="AL671" s="207"/>
      <c r="AM671" s="207"/>
      <c r="AN671" s="207"/>
      <c r="AO671" s="207"/>
      <c r="AP671" s="207"/>
      <c r="AQ671" s="207"/>
      <c r="AR671" s="207"/>
      <c r="AS671" s="207"/>
      <c r="AT671" s="207"/>
      <c r="AU671" s="207"/>
      <c r="AV671" s="207"/>
      <c r="AW671" s="207"/>
      <c r="AX671" s="207"/>
      <c r="AY671" s="207"/>
      <c r="AZ671" s="207"/>
      <c r="BA671" s="207"/>
    </row>
    <row r="672" ht="18.75" hidden="1" customHeight="1">
      <c r="A672" s="1"/>
      <c r="B672" s="207"/>
      <c r="C672" s="207"/>
      <c r="D672" s="207"/>
      <c r="E672" s="207"/>
      <c r="F672" s="207"/>
      <c r="G672" s="207"/>
      <c r="H672" s="207"/>
      <c r="I672" s="207"/>
      <c r="J672" s="207"/>
      <c r="K672" s="207"/>
      <c r="L672" s="207"/>
      <c r="M672" s="207"/>
      <c r="N672" s="207"/>
      <c r="O672" s="207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  <c r="AA672" s="207"/>
      <c r="AB672" s="207"/>
      <c r="AC672" s="207"/>
      <c r="AD672" s="207"/>
      <c r="AE672" s="207"/>
      <c r="AF672" s="207"/>
      <c r="AG672" s="207"/>
      <c r="AH672" s="207"/>
      <c r="AI672" s="207"/>
      <c r="AJ672" s="207"/>
      <c r="AK672" s="207"/>
      <c r="AL672" s="207"/>
      <c r="AM672" s="207"/>
      <c r="AN672" s="207"/>
      <c r="AO672" s="207"/>
      <c r="AP672" s="207"/>
      <c r="AQ672" s="207"/>
      <c r="AR672" s="207"/>
      <c r="AS672" s="207"/>
      <c r="AT672" s="207"/>
      <c r="AU672" s="207"/>
      <c r="AV672" s="207"/>
      <c r="AW672" s="207"/>
      <c r="AX672" s="207"/>
      <c r="AY672" s="207"/>
      <c r="AZ672" s="207"/>
      <c r="BA672" s="207"/>
    </row>
    <row r="673" ht="18.75" hidden="1" customHeight="1">
      <c r="A673" s="1"/>
      <c r="B673" s="207"/>
      <c r="C673" s="207"/>
      <c r="D673" s="207"/>
      <c r="E673" s="207"/>
      <c r="F673" s="207"/>
      <c r="G673" s="207"/>
      <c r="H673" s="207"/>
      <c r="I673" s="207"/>
      <c r="J673" s="207"/>
      <c r="K673" s="207"/>
      <c r="L673" s="207"/>
      <c r="M673" s="207"/>
      <c r="N673" s="207"/>
      <c r="O673" s="207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  <c r="AA673" s="207"/>
      <c r="AB673" s="207"/>
      <c r="AC673" s="207"/>
      <c r="AD673" s="207"/>
      <c r="AE673" s="207"/>
      <c r="AF673" s="207"/>
      <c r="AG673" s="207"/>
      <c r="AH673" s="207"/>
      <c r="AI673" s="207"/>
      <c r="AJ673" s="207"/>
      <c r="AK673" s="207"/>
      <c r="AL673" s="207"/>
      <c r="AM673" s="207"/>
      <c r="AN673" s="207"/>
      <c r="AO673" s="207"/>
      <c r="AP673" s="207"/>
      <c r="AQ673" s="207"/>
      <c r="AR673" s="207"/>
      <c r="AS673" s="207"/>
      <c r="AT673" s="207"/>
      <c r="AU673" s="207"/>
      <c r="AV673" s="207"/>
      <c r="AW673" s="207"/>
      <c r="AX673" s="207"/>
      <c r="AY673" s="207"/>
      <c r="AZ673" s="207"/>
      <c r="BA673" s="207"/>
    </row>
    <row r="674" ht="18.75" hidden="1" customHeight="1">
      <c r="A674" s="1"/>
      <c r="B674" s="207"/>
      <c r="C674" s="207"/>
      <c r="D674" s="207"/>
      <c r="E674" s="207"/>
      <c r="F674" s="207"/>
      <c r="G674" s="207"/>
      <c r="H674" s="207"/>
      <c r="I674" s="207"/>
      <c r="J674" s="207"/>
      <c r="K674" s="207"/>
      <c r="L674" s="207"/>
      <c r="M674" s="207"/>
      <c r="N674" s="207"/>
      <c r="O674" s="207"/>
      <c r="P674" s="207"/>
      <c r="Q674" s="207"/>
      <c r="R674" s="207"/>
      <c r="S674" s="207"/>
      <c r="T674" s="207"/>
      <c r="U674" s="207"/>
      <c r="V674" s="207"/>
      <c r="W674" s="207"/>
      <c r="X674" s="207"/>
      <c r="Y674" s="207"/>
      <c r="Z674" s="207"/>
      <c r="AA674" s="207"/>
      <c r="AB674" s="207"/>
      <c r="AC674" s="207"/>
      <c r="AD674" s="207"/>
      <c r="AE674" s="207"/>
      <c r="AF674" s="207"/>
      <c r="AG674" s="207"/>
      <c r="AH674" s="207"/>
      <c r="AI674" s="207"/>
      <c r="AJ674" s="207"/>
      <c r="AK674" s="207"/>
      <c r="AL674" s="207"/>
      <c r="AM674" s="207"/>
      <c r="AN674" s="207"/>
      <c r="AO674" s="207"/>
      <c r="AP674" s="207"/>
      <c r="AQ674" s="207"/>
      <c r="AR674" s="207"/>
      <c r="AS674" s="207"/>
      <c r="AT674" s="207"/>
      <c r="AU674" s="207"/>
      <c r="AV674" s="207"/>
      <c r="AW674" s="207"/>
      <c r="AX674" s="207"/>
      <c r="AY674" s="207"/>
      <c r="AZ674" s="207"/>
      <c r="BA674" s="207"/>
    </row>
    <row r="675" ht="18.75" hidden="1" customHeight="1">
      <c r="A675" s="1"/>
      <c r="B675" s="207"/>
      <c r="C675" s="207"/>
      <c r="D675" s="207"/>
      <c r="E675" s="207"/>
      <c r="F675" s="207"/>
      <c r="G675" s="207"/>
      <c r="H675" s="207"/>
      <c r="I675" s="207"/>
      <c r="J675" s="207"/>
      <c r="K675" s="207"/>
      <c r="L675" s="207"/>
      <c r="M675" s="207"/>
      <c r="N675" s="207"/>
      <c r="O675" s="207"/>
      <c r="P675" s="207"/>
      <c r="Q675" s="207"/>
      <c r="R675" s="207"/>
      <c r="S675" s="207"/>
      <c r="T675" s="207"/>
      <c r="U675" s="207"/>
      <c r="V675" s="207"/>
      <c r="W675" s="207"/>
      <c r="X675" s="207"/>
      <c r="Y675" s="207"/>
      <c r="Z675" s="207"/>
      <c r="AA675" s="207"/>
      <c r="AB675" s="207"/>
      <c r="AC675" s="207"/>
      <c r="AD675" s="207"/>
      <c r="AE675" s="207"/>
      <c r="AF675" s="207"/>
      <c r="AG675" s="207"/>
      <c r="AH675" s="207"/>
      <c r="AI675" s="207"/>
      <c r="AJ675" s="207"/>
      <c r="AK675" s="207"/>
      <c r="AL675" s="207"/>
      <c r="AM675" s="207"/>
      <c r="AN675" s="207"/>
      <c r="AO675" s="207"/>
      <c r="AP675" s="207"/>
      <c r="AQ675" s="207"/>
      <c r="AR675" s="207"/>
      <c r="AS675" s="207"/>
      <c r="AT675" s="207"/>
      <c r="AU675" s="207"/>
      <c r="AV675" s="207"/>
      <c r="AW675" s="207"/>
      <c r="AX675" s="207"/>
      <c r="AY675" s="207"/>
      <c r="AZ675" s="207"/>
      <c r="BA675" s="207"/>
    </row>
    <row r="676" ht="18.75" hidden="1" customHeight="1">
      <c r="A676" s="1"/>
      <c r="B676" s="207"/>
      <c r="C676" s="207"/>
      <c r="D676" s="207"/>
      <c r="E676" s="207"/>
      <c r="F676" s="207"/>
      <c r="G676" s="207"/>
      <c r="H676" s="207"/>
      <c r="I676" s="207"/>
      <c r="J676" s="207"/>
      <c r="K676" s="207"/>
      <c r="L676" s="207"/>
      <c r="M676" s="207"/>
      <c r="N676" s="207"/>
      <c r="O676" s="207"/>
      <c r="P676" s="207"/>
      <c r="Q676" s="207"/>
      <c r="R676" s="207"/>
      <c r="S676" s="207"/>
      <c r="T676" s="207"/>
      <c r="U676" s="207"/>
      <c r="V676" s="207"/>
      <c r="W676" s="207"/>
      <c r="X676" s="207"/>
      <c r="Y676" s="207"/>
      <c r="Z676" s="207"/>
      <c r="AA676" s="207"/>
      <c r="AB676" s="207"/>
      <c r="AC676" s="207"/>
      <c r="AD676" s="207"/>
      <c r="AE676" s="207"/>
      <c r="AF676" s="207"/>
      <c r="AG676" s="207"/>
      <c r="AH676" s="207"/>
      <c r="AI676" s="207"/>
      <c r="AJ676" s="207"/>
      <c r="AK676" s="207"/>
      <c r="AL676" s="207"/>
      <c r="AM676" s="207"/>
      <c r="AN676" s="207"/>
      <c r="AO676" s="207"/>
      <c r="AP676" s="207"/>
      <c r="AQ676" s="207"/>
      <c r="AR676" s="207"/>
      <c r="AS676" s="207"/>
      <c r="AT676" s="207"/>
      <c r="AU676" s="207"/>
      <c r="AV676" s="207"/>
      <c r="AW676" s="207"/>
      <c r="AX676" s="207"/>
      <c r="AY676" s="207"/>
      <c r="AZ676" s="207"/>
      <c r="BA676" s="207"/>
    </row>
    <row r="677" ht="18.75" hidden="1" customHeight="1">
      <c r="A677" s="1"/>
      <c r="B677" s="207"/>
      <c r="C677" s="207"/>
      <c r="D677" s="207"/>
      <c r="E677" s="207"/>
      <c r="F677" s="207"/>
      <c r="G677" s="207"/>
      <c r="H677" s="207"/>
      <c r="I677" s="207"/>
      <c r="J677" s="207"/>
      <c r="K677" s="207"/>
      <c r="L677" s="207"/>
      <c r="M677" s="207"/>
      <c r="N677" s="207"/>
      <c r="O677" s="207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  <c r="AA677" s="207"/>
      <c r="AB677" s="207"/>
      <c r="AC677" s="207"/>
      <c r="AD677" s="207"/>
      <c r="AE677" s="207"/>
      <c r="AF677" s="207"/>
      <c r="AG677" s="207"/>
      <c r="AH677" s="207"/>
      <c r="AI677" s="207"/>
      <c r="AJ677" s="207"/>
      <c r="AK677" s="207"/>
      <c r="AL677" s="207"/>
      <c r="AM677" s="207"/>
      <c r="AN677" s="207"/>
      <c r="AO677" s="207"/>
      <c r="AP677" s="207"/>
      <c r="AQ677" s="207"/>
      <c r="AR677" s="207"/>
      <c r="AS677" s="207"/>
      <c r="AT677" s="207"/>
      <c r="AU677" s="207"/>
      <c r="AV677" s="207"/>
      <c r="AW677" s="207"/>
      <c r="AX677" s="207"/>
      <c r="AY677" s="207"/>
      <c r="AZ677" s="207"/>
      <c r="BA677" s="207"/>
    </row>
    <row r="678" ht="18.75" hidden="1" customHeight="1">
      <c r="A678" s="1"/>
      <c r="B678" s="207"/>
      <c r="C678" s="207"/>
      <c r="D678" s="207"/>
      <c r="E678" s="207"/>
      <c r="F678" s="207"/>
      <c r="G678" s="207"/>
      <c r="H678" s="207"/>
      <c r="I678" s="207"/>
      <c r="J678" s="207"/>
      <c r="K678" s="207"/>
      <c r="L678" s="207"/>
      <c r="M678" s="207"/>
      <c r="N678" s="207"/>
      <c r="O678" s="207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  <c r="AA678" s="207"/>
      <c r="AB678" s="207"/>
      <c r="AC678" s="207"/>
      <c r="AD678" s="207"/>
      <c r="AE678" s="207"/>
      <c r="AF678" s="207"/>
      <c r="AG678" s="207"/>
      <c r="AH678" s="207"/>
      <c r="AI678" s="207"/>
      <c r="AJ678" s="207"/>
      <c r="AK678" s="207"/>
      <c r="AL678" s="207"/>
      <c r="AM678" s="207"/>
      <c r="AN678" s="207"/>
      <c r="AO678" s="207"/>
      <c r="AP678" s="207"/>
      <c r="AQ678" s="207"/>
      <c r="AR678" s="207"/>
      <c r="AS678" s="207"/>
      <c r="AT678" s="207"/>
      <c r="AU678" s="207"/>
      <c r="AV678" s="207"/>
      <c r="AW678" s="207"/>
      <c r="AX678" s="207"/>
      <c r="AY678" s="207"/>
      <c r="AZ678" s="207"/>
      <c r="BA678" s="207"/>
    </row>
    <row r="679" ht="18.75" hidden="1" customHeight="1">
      <c r="A679" s="1"/>
      <c r="B679" s="207"/>
      <c r="C679" s="207"/>
      <c r="D679" s="207"/>
      <c r="E679" s="207"/>
      <c r="F679" s="207"/>
      <c r="G679" s="207"/>
      <c r="H679" s="207"/>
      <c r="I679" s="207"/>
      <c r="J679" s="207"/>
      <c r="K679" s="207"/>
      <c r="L679" s="207"/>
      <c r="M679" s="207"/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  <c r="AA679" s="207"/>
      <c r="AB679" s="207"/>
      <c r="AC679" s="207"/>
      <c r="AD679" s="207"/>
      <c r="AE679" s="207"/>
      <c r="AF679" s="207"/>
      <c r="AG679" s="207"/>
      <c r="AH679" s="207"/>
      <c r="AI679" s="207"/>
      <c r="AJ679" s="207"/>
      <c r="AK679" s="207"/>
      <c r="AL679" s="207"/>
      <c r="AM679" s="207"/>
      <c r="AN679" s="207"/>
      <c r="AO679" s="207"/>
      <c r="AP679" s="207"/>
      <c r="AQ679" s="207"/>
      <c r="AR679" s="207"/>
      <c r="AS679" s="207"/>
      <c r="AT679" s="207"/>
      <c r="AU679" s="207"/>
      <c r="AV679" s="207"/>
      <c r="AW679" s="207"/>
      <c r="AX679" s="207"/>
      <c r="AY679" s="207"/>
      <c r="AZ679" s="207"/>
      <c r="BA679" s="207"/>
    </row>
    <row r="680" ht="18.75" hidden="1" customHeight="1">
      <c r="A680" s="1"/>
      <c r="B680" s="207"/>
      <c r="C680" s="207"/>
      <c r="D680" s="207"/>
      <c r="E680" s="207"/>
      <c r="F680" s="207"/>
      <c r="G680" s="207"/>
      <c r="H680" s="207"/>
      <c r="I680" s="207"/>
      <c r="J680" s="207"/>
      <c r="K680" s="207"/>
      <c r="L680" s="207"/>
      <c r="M680" s="207"/>
      <c r="N680" s="207"/>
      <c r="O680" s="20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  <c r="AA680" s="207"/>
      <c r="AB680" s="207"/>
      <c r="AC680" s="207"/>
      <c r="AD680" s="207"/>
      <c r="AE680" s="207"/>
      <c r="AF680" s="207"/>
      <c r="AG680" s="207"/>
      <c r="AH680" s="207"/>
      <c r="AI680" s="207"/>
      <c r="AJ680" s="207"/>
      <c r="AK680" s="207"/>
      <c r="AL680" s="207"/>
      <c r="AM680" s="207"/>
      <c r="AN680" s="207"/>
      <c r="AO680" s="207"/>
      <c r="AP680" s="207"/>
      <c r="AQ680" s="207"/>
      <c r="AR680" s="207"/>
      <c r="AS680" s="207"/>
      <c r="AT680" s="207"/>
      <c r="AU680" s="207"/>
      <c r="AV680" s="207"/>
      <c r="AW680" s="207"/>
      <c r="AX680" s="207"/>
      <c r="AY680" s="207"/>
      <c r="AZ680" s="207"/>
      <c r="BA680" s="207"/>
    </row>
    <row r="681" ht="18.75" hidden="1" customHeight="1">
      <c r="A681" s="1"/>
      <c r="B681" s="207"/>
      <c r="C681" s="207"/>
      <c r="D681" s="207"/>
      <c r="E681" s="207"/>
      <c r="F681" s="207"/>
      <c r="G681" s="207"/>
      <c r="H681" s="207"/>
      <c r="I681" s="207"/>
      <c r="J681" s="207"/>
      <c r="K681" s="207"/>
      <c r="L681" s="207"/>
      <c r="M681" s="207"/>
      <c r="N681" s="207"/>
      <c r="O681" s="207"/>
      <c r="P681" s="207"/>
      <c r="Q681" s="207"/>
      <c r="R681" s="207"/>
      <c r="S681" s="207"/>
      <c r="T681" s="207"/>
      <c r="U681" s="207"/>
      <c r="V681" s="207"/>
      <c r="W681" s="207"/>
      <c r="X681" s="207"/>
      <c r="Y681" s="207"/>
      <c r="Z681" s="207"/>
      <c r="AA681" s="207"/>
      <c r="AB681" s="207"/>
      <c r="AC681" s="207"/>
      <c r="AD681" s="207"/>
      <c r="AE681" s="207"/>
      <c r="AF681" s="207"/>
      <c r="AG681" s="207"/>
      <c r="AH681" s="207"/>
      <c r="AI681" s="207"/>
      <c r="AJ681" s="207"/>
      <c r="AK681" s="207"/>
      <c r="AL681" s="207"/>
      <c r="AM681" s="207"/>
      <c r="AN681" s="207"/>
      <c r="AO681" s="207"/>
      <c r="AP681" s="207"/>
      <c r="AQ681" s="207"/>
      <c r="AR681" s="207"/>
      <c r="AS681" s="207"/>
      <c r="AT681" s="207"/>
      <c r="AU681" s="207"/>
      <c r="AV681" s="207"/>
      <c r="AW681" s="207"/>
      <c r="AX681" s="207"/>
      <c r="AY681" s="207"/>
      <c r="AZ681" s="207"/>
      <c r="BA681" s="207"/>
    </row>
    <row r="682" ht="18.75" hidden="1" customHeight="1">
      <c r="A682" s="1"/>
      <c r="B682" s="207"/>
      <c r="C682" s="207"/>
      <c r="D682" s="207"/>
      <c r="E682" s="207"/>
      <c r="F682" s="207"/>
      <c r="G682" s="207"/>
      <c r="H682" s="207"/>
      <c r="I682" s="207"/>
      <c r="J682" s="207"/>
      <c r="K682" s="207"/>
      <c r="L682" s="207"/>
      <c r="M682" s="207"/>
      <c r="N682" s="207"/>
      <c r="O682" s="207"/>
      <c r="P682" s="207"/>
      <c r="Q682" s="207"/>
      <c r="R682" s="207"/>
      <c r="S682" s="207"/>
      <c r="T682" s="207"/>
      <c r="U682" s="207"/>
      <c r="V682" s="207"/>
      <c r="W682" s="207"/>
      <c r="X682" s="207"/>
      <c r="Y682" s="207"/>
      <c r="Z682" s="207"/>
      <c r="AA682" s="207"/>
      <c r="AB682" s="207"/>
      <c r="AC682" s="207"/>
      <c r="AD682" s="207"/>
      <c r="AE682" s="207"/>
      <c r="AF682" s="207"/>
      <c r="AG682" s="207"/>
      <c r="AH682" s="207"/>
      <c r="AI682" s="207"/>
      <c r="AJ682" s="207"/>
      <c r="AK682" s="207"/>
      <c r="AL682" s="207"/>
      <c r="AM682" s="207"/>
      <c r="AN682" s="207"/>
      <c r="AO682" s="207"/>
      <c r="AP682" s="207"/>
      <c r="AQ682" s="207"/>
      <c r="AR682" s="207"/>
      <c r="AS682" s="207"/>
      <c r="AT682" s="207"/>
      <c r="AU682" s="207"/>
      <c r="AV682" s="207"/>
      <c r="AW682" s="207"/>
      <c r="AX682" s="207"/>
      <c r="AY682" s="207"/>
      <c r="AZ682" s="207"/>
      <c r="BA682" s="207"/>
    </row>
    <row r="683" ht="18.75" hidden="1" customHeight="1">
      <c r="A683" s="1"/>
      <c r="B683" s="207"/>
      <c r="C683" s="207"/>
      <c r="D683" s="207"/>
      <c r="E683" s="207"/>
      <c r="F683" s="207"/>
      <c r="G683" s="207"/>
      <c r="H683" s="207"/>
      <c r="I683" s="207"/>
      <c r="J683" s="207"/>
      <c r="K683" s="207"/>
      <c r="L683" s="207"/>
      <c r="M683" s="207"/>
      <c r="N683" s="207"/>
      <c r="O683" s="207"/>
      <c r="P683" s="207"/>
      <c r="Q683" s="207"/>
      <c r="R683" s="207"/>
      <c r="S683" s="207"/>
      <c r="T683" s="207"/>
      <c r="U683" s="207"/>
      <c r="V683" s="207"/>
      <c r="W683" s="207"/>
      <c r="X683" s="207"/>
      <c r="Y683" s="207"/>
      <c r="Z683" s="207"/>
      <c r="AA683" s="207"/>
      <c r="AB683" s="207"/>
      <c r="AC683" s="207"/>
      <c r="AD683" s="207"/>
      <c r="AE683" s="207"/>
      <c r="AF683" s="207"/>
      <c r="AG683" s="207"/>
      <c r="AH683" s="207"/>
      <c r="AI683" s="207"/>
      <c r="AJ683" s="207"/>
      <c r="AK683" s="207"/>
      <c r="AL683" s="207"/>
      <c r="AM683" s="207"/>
      <c r="AN683" s="207"/>
      <c r="AO683" s="207"/>
      <c r="AP683" s="207"/>
      <c r="AQ683" s="207"/>
      <c r="AR683" s="207"/>
      <c r="AS683" s="207"/>
      <c r="AT683" s="207"/>
      <c r="AU683" s="207"/>
      <c r="AV683" s="207"/>
      <c r="AW683" s="207"/>
      <c r="AX683" s="207"/>
      <c r="AY683" s="207"/>
      <c r="AZ683" s="207"/>
      <c r="BA683" s="207"/>
    </row>
    <row r="684" ht="18.75" hidden="1" customHeight="1">
      <c r="A684" s="1"/>
      <c r="B684" s="207"/>
      <c r="C684" s="207"/>
      <c r="D684" s="207"/>
      <c r="E684" s="207"/>
      <c r="F684" s="207"/>
      <c r="G684" s="207"/>
      <c r="H684" s="207"/>
      <c r="I684" s="207"/>
      <c r="J684" s="207"/>
      <c r="K684" s="207"/>
      <c r="L684" s="207"/>
      <c r="M684" s="207"/>
      <c r="N684" s="207"/>
      <c r="O684" s="207"/>
      <c r="P684" s="207"/>
      <c r="Q684" s="207"/>
      <c r="R684" s="207"/>
      <c r="S684" s="207"/>
      <c r="T684" s="207"/>
      <c r="U684" s="207"/>
      <c r="V684" s="207"/>
      <c r="W684" s="207"/>
      <c r="X684" s="207"/>
      <c r="Y684" s="207"/>
      <c r="Z684" s="207"/>
      <c r="AA684" s="207"/>
      <c r="AB684" s="207"/>
      <c r="AC684" s="207"/>
      <c r="AD684" s="207"/>
      <c r="AE684" s="207"/>
      <c r="AF684" s="207"/>
      <c r="AG684" s="207"/>
      <c r="AH684" s="207"/>
      <c r="AI684" s="207"/>
      <c r="AJ684" s="207"/>
      <c r="AK684" s="207"/>
      <c r="AL684" s="207"/>
      <c r="AM684" s="207"/>
      <c r="AN684" s="207"/>
      <c r="AO684" s="207"/>
      <c r="AP684" s="207"/>
      <c r="AQ684" s="207"/>
      <c r="AR684" s="207"/>
      <c r="AS684" s="207"/>
      <c r="AT684" s="207"/>
      <c r="AU684" s="207"/>
      <c r="AV684" s="207"/>
      <c r="AW684" s="207"/>
      <c r="AX684" s="207"/>
      <c r="AY684" s="207"/>
      <c r="AZ684" s="207"/>
      <c r="BA684" s="207"/>
    </row>
    <row r="685" ht="18.75" hidden="1" customHeight="1">
      <c r="A685" s="1"/>
      <c r="B685" s="207"/>
      <c r="C685" s="207"/>
      <c r="D685" s="207"/>
      <c r="E685" s="207"/>
      <c r="F685" s="207"/>
      <c r="G685" s="207"/>
      <c r="H685" s="207"/>
      <c r="I685" s="207"/>
      <c r="J685" s="207"/>
      <c r="K685" s="207"/>
      <c r="L685" s="207"/>
      <c r="M685" s="207"/>
      <c r="N685" s="207"/>
      <c r="O685" s="207"/>
      <c r="P685" s="207"/>
      <c r="Q685" s="207"/>
      <c r="R685" s="207"/>
      <c r="S685" s="207"/>
      <c r="T685" s="207"/>
      <c r="U685" s="207"/>
      <c r="V685" s="207"/>
      <c r="W685" s="207"/>
      <c r="X685" s="207"/>
      <c r="Y685" s="207"/>
      <c r="Z685" s="207"/>
      <c r="AA685" s="207"/>
      <c r="AB685" s="207"/>
      <c r="AC685" s="207"/>
      <c r="AD685" s="207"/>
      <c r="AE685" s="207"/>
      <c r="AF685" s="207"/>
      <c r="AG685" s="207"/>
      <c r="AH685" s="207"/>
      <c r="AI685" s="207"/>
      <c r="AJ685" s="207"/>
      <c r="AK685" s="207"/>
      <c r="AL685" s="207"/>
      <c r="AM685" s="207"/>
      <c r="AN685" s="207"/>
      <c r="AO685" s="207"/>
      <c r="AP685" s="207"/>
      <c r="AQ685" s="207"/>
      <c r="AR685" s="207"/>
      <c r="AS685" s="207"/>
      <c r="AT685" s="207"/>
      <c r="AU685" s="207"/>
      <c r="AV685" s="207"/>
      <c r="AW685" s="207"/>
      <c r="AX685" s="207"/>
      <c r="AY685" s="207"/>
      <c r="AZ685" s="207"/>
      <c r="BA685" s="207"/>
    </row>
    <row r="686" ht="18.75" hidden="1" customHeight="1">
      <c r="A686" s="1"/>
      <c r="B686" s="207"/>
      <c r="C686" s="207"/>
      <c r="D686" s="207"/>
      <c r="E686" s="207"/>
      <c r="F686" s="207"/>
      <c r="G686" s="207"/>
      <c r="H686" s="207"/>
      <c r="I686" s="207"/>
      <c r="J686" s="207"/>
      <c r="K686" s="207"/>
      <c r="L686" s="207"/>
      <c r="M686" s="207"/>
      <c r="N686" s="207"/>
      <c r="O686" s="207"/>
      <c r="P686" s="207"/>
      <c r="Q686" s="207"/>
      <c r="R686" s="207"/>
      <c r="S686" s="207"/>
      <c r="T686" s="207"/>
      <c r="U686" s="207"/>
      <c r="V686" s="207"/>
      <c r="W686" s="207"/>
      <c r="X686" s="207"/>
      <c r="Y686" s="207"/>
      <c r="Z686" s="207"/>
      <c r="AA686" s="207"/>
      <c r="AB686" s="207"/>
      <c r="AC686" s="207"/>
      <c r="AD686" s="207"/>
      <c r="AE686" s="207"/>
      <c r="AF686" s="207"/>
      <c r="AG686" s="207"/>
      <c r="AH686" s="207"/>
      <c r="AI686" s="207"/>
      <c r="AJ686" s="207"/>
      <c r="AK686" s="207"/>
      <c r="AL686" s="207"/>
      <c r="AM686" s="207"/>
      <c r="AN686" s="207"/>
      <c r="AO686" s="207"/>
      <c r="AP686" s="207"/>
      <c r="AQ686" s="207"/>
      <c r="AR686" s="207"/>
      <c r="AS686" s="207"/>
      <c r="AT686" s="207"/>
      <c r="AU686" s="207"/>
      <c r="AV686" s="207"/>
      <c r="AW686" s="207"/>
      <c r="AX686" s="207"/>
      <c r="AY686" s="207"/>
      <c r="AZ686" s="207"/>
      <c r="BA686" s="207"/>
    </row>
    <row r="687" ht="18.75" hidden="1" customHeight="1">
      <c r="A687" s="1"/>
      <c r="B687" s="207"/>
      <c r="C687" s="207"/>
      <c r="D687" s="207"/>
      <c r="E687" s="207"/>
      <c r="F687" s="207"/>
      <c r="G687" s="207"/>
      <c r="H687" s="207"/>
      <c r="I687" s="207"/>
      <c r="J687" s="207"/>
      <c r="K687" s="207"/>
      <c r="L687" s="207"/>
      <c r="M687" s="207"/>
      <c r="N687" s="207"/>
      <c r="O687" s="207"/>
      <c r="P687" s="207"/>
      <c r="Q687" s="207"/>
      <c r="R687" s="207"/>
      <c r="S687" s="207"/>
      <c r="T687" s="207"/>
      <c r="U687" s="207"/>
      <c r="V687" s="207"/>
      <c r="W687" s="207"/>
      <c r="X687" s="207"/>
      <c r="Y687" s="207"/>
      <c r="Z687" s="207"/>
      <c r="AA687" s="207"/>
      <c r="AB687" s="207"/>
      <c r="AC687" s="207"/>
      <c r="AD687" s="207"/>
      <c r="AE687" s="207"/>
      <c r="AF687" s="207"/>
      <c r="AG687" s="207"/>
      <c r="AH687" s="207"/>
      <c r="AI687" s="207"/>
      <c r="AJ687" s="207"/>
      <c r="AK687" s="207"/>
      <c r="AL687" s="207"/>
      <c r="AM687" s="207"/>
      <c r="AN687" s="207"/>
      <c r="AO687" s="207"/>
      <c r="AP687" s="207"/>
      <c r="AQ687" s="207"/>
      <c r="AR687" s="207"/>
      <c r="AS687" s="207"/>
      <c r="AT687" s="207"/>
      <c r="AU687" s="207"/>
      <c r="AV687" s="207"/>
      <c r="AW687" s="207"/>
      <c r="AX687" s="207"/>
      <c r="AY687" s="207"/>
      <c r="AZ687" s="207"/>
      <c r="BA687" s="207"/>
    </row>
    <row r="688" ht="18.75" hidden="1" customHeight="1">
      <c r="A688" s="1"/>
      <c r="B688" s="207"/>
      <c r="C688" s="207"/>
      <c r="D688" s="207"/>
      <c r="E688" s="207"/>
      <c r="F688" s="207"/>
      <c r="G688" s="207"/>
      <c r="H688" s="207"/>
      <c r="I688" s="207"/>
      <c r="J688" s="207"/>
      <c r="K688" s="207"/>
      <c r="L688" s="207"/>
      <c r="M688" s="207"/>
      <c r="N688" s="207"/>
      <c r="O688" s="207"/>
      <c r="P688" s="207"/>
      <c r="Q688" s="207"/>
      <c r="R688" s="207"/>
      <c r="S688" s="207"/>
      <c r="T688" s="207"/>
      <c r="U688" s="207"/>
      <c r="V688" s="207"/>
      <c r="W688" s="207"/>
      <c r="X688" s="207"/>
      <c r="Y688" s="207"/>
      <c r="Z688" s="207"/>
      <c r="AA688" s="207"/>
      <c r="AB688" s="207"/>
      <c r="AC688" s="207"/>
      <c r="AD688" s="207"/>
      <c r="AE688" s="207"/>
      <c r="AF688" s="207"/>
      <c r="AG688" s="207"/>
      <c r="AH688" s="207"/>
      <c r="AI688" s="207"/>
      <c r="AJ688" s="207"/>
      <c r="AK688" s="207"/>
      <c r="AL688" s="207"/>
      <c r="AM688" s="207"/>
      <c r="AN688" s="207"/>
      <c r="AO688" s="207"/>
      <c r="AP688" s="207"/>
      <c r="AQ688" s="207"/>
      <c r="AR688" s="207"/>
      <c r="AS688" s="207"/>
      <c r="AT688" s="207"/>
      <c r="AU688" s="207"/>
      <c r="AV688" s="207"/>
      <c r="AW688" s="207"/>
      <c r="AX688" s="207"/>
      <c r="AY688" s="207"/>
      <c r="AZ688" s="207"/>
      <c r="BA688" s="207"/>
    </row>
    <row r="689" ht="18.75" hidden="1" customHeight="1">
      <c r="A689" s="1"/>
      <c r="B689" s="207"/>
      <c r="C689" s="207"/>
      <c r="D689" s="207"/>
      <c r="E689" s="207"/>
      <c r="F689" s="207"/>
      <c r="G689" s="207"/>
      <c r="H689" s="207"/>
      <c r="I689" s="207"/>
      <c r="J689" s="207"/>
      <c r="K689" s="207"/>
      <c r="L689" s="207"/>
      <c r="M689" s="207"/>
      <c r="N689" s="207"/>
      <c r="O689" s="207"/>
      <c r="P689" s="207"/>
      <c r="Q689" s="207"/>
      <c r="R689" s="207"/>
      <c r="S689" s="207"/>
      <c r="T689" s="207"/>
      <c r="U689" s="207"/>
      <c r="V689" s="207"/>
      <c r="W689" s="207"/>
      <c r="X689" s="207"/>
      <c r="Y689" s="207"/>
      <c r="Z689" s="207"/>
      <c r="AA689" s="207"/>
      <c r="AB689" s="207"/>
      <c r="AC689" s="207"/>
      <c r="AD689" s="207"/>
      <c r="AE689" s="207"/>
      <c r="AF689" s="207"/>
      <c r="AG689" s="207"/>
      <c r="AH689" s="207"/>
      <c r="AI689" s="207"/>
      <c r="AJ689" s="207"/>
      <c r="AK689" s="207"/>
      <c r="AL689" s="207"/>
      <c r="AM689" s="207"/>
      <c r="AN689" s="207"/>
      <c r="AO689" s="207"/>
      <c r="AP689" s="207"/>
      <c r="AQ689" s="207"/>
      <c r="AR689" s="207"/>
      <c r="AS689" s="207"/>
      <c r="AT689" s="207"/>
      <c r="AU689" s="207"/>
      <c r="AV689" s="207"/>
      <c r="AW689" s="207"/>
      <c r="AX689" s="207"/>
      <c r="AY689" s="207"/>
      <c r="AZ689" s="207"/>
      <c r="BA689" s="207"/>
    </row>
    <row r="690" ht="18.75" hidden="1" customHeight="1">
      <c r="A690" s="1"/>
      <c r="B690" s="207"/>
      <c r="C690" s="207"/>
      <c r="D690" s="207"/>
      <c r="E690" s="207"/>
      <c r="F690" s="207"/>
      <c r="G690" s="207"/>
      <c r="H690" s="207"/>
      <c r="I690" s="207"/>
      <c r="J690" s="207"/>
      <c r="K690" s="207"/>
      <c r="L690" s="207"/>
      <c r="M690" s="207"/>
      <c r="N690" s="207"/>
      <c r="O690" s="207"/>
      <c r="P690" s="207"/>
      <c r="Q690" s="207"/>
      <c r="R690" s="207"/>
      <c r="S690" s="207"/>
      <c r="T690" s="207"/>
      <c r="U690" s="207"/>
      <c r="V690" s="207"/>
      <c r="W690" s="207"/>
      <c r="X690" s="207"/>
      <c r="Y690" s="207"/>
      <c r="Z690" s="207"/>
      <c r="AA690" s="207"/>
      <c r="AB690" s="207"/>
      <c r="AC690" s="207"/>
      <c r="AD690" s="207"/>
      <c r="AE690" s="207"/>
      <c r="AF690" s="207"/>
      <c r="AG690" s="207"/>
      <c r="AH690" s="207"/>
      <c r="AI690" s="207"/>
      <c r="AJ690" s="207"/>
      <c r="AK690" s="207"/>
      <c r="AL690" s="207"/>
      <c r="AM690" s="207"/>
      <c r="AN690" s="207"/>
      <c r="AO690" s="207"/>
      <c r="AP690" s="207"/>
      <c r="AQ690" s="207"/>
      <c r="AR690" s="207"/>
      <c r="AS690" s="207"/>
      <c r="AT690" s="207"/>
      <c r="AU690" s="207"/>
      <c r="AV690" s="207"/>
      <c r="AW690" s="207"/>
      <c r="AX690" s="207"/>
      <c r="AY690" s="207"/>
      <c r="AZ690" s="207"/>
      <c r="BA690" s="207"/>
    </row>
    <row r="691" ht="18.75" hidden="1" customHeight="1">
      <c r="A691" s="1"/>
      <c r="B691" s="207"/>
      <c r="C691" s="207"/>
      <c r="D691" s="207"/>
      <c r="E691" s="207"/>
      <c r="F691" s="207"/>
      <c r="G691" s="207"/>
      <c r="H691" s="207"/>
      <c r="I691" s="207"/>
      <c r="J691" s="207"/>
      <c r="K691" s="207"/>
      <c r="L691" s="207"/>
      <c r="M691" s="207"/>
      <c r="N691" s="207"/>
      <c r="O691" s="207"/>
      <c r="P691" s="207"/>
      <c r="Q691" s="207"/>
      <c r="R691" s="207"/>
      <c r="S691" s="207"/>
      <c r="T691" s="207"/>
      <c r="U691" s="207"/>
      <c r="V691" s="207"/>
      <c r="W691" s="207"/>
      <c r="X691" s="207"/>
      <c r="Y691" s="207"/>
      <c r="Z691" s="207"/>
      <c r="AA691" s="207"/>
      <c r="AB691" s="207"/>
      <c r="AC691" s="207"/>
      <c r="AD691" s="207"/>
      <c r="AE691" s="207"/>
      <c r="AF691" s="207"/>
      <c r="AG691" s="207"/>
      <c r="AH691" s="207"/>
      <c r="AI691" s="207"/>
      <c r="AJ691" s="207"/>
      <c r="AK691" s="207"/>
      <c r="AL691" s="207"/>
      <c r="AM691" s="207"/>
      <c r="AN691" s="207"/>
      <c r="AO691" s="207"/>
      <c r="AP691" s="207"/>
      <c r="AQ691" s="207"/>
      <c r="AR691" s="207"/>
      <c r="AS691" s="207"/>
      <c r="AT691" s="207"/>
      <c r="AU691" s="207"/>
      <c r="AV691" s="207"/>
      <c r="AW691" s="207"/>
      <c r="AX691" s="207"/>
      <c r="AY691" s="207"/>
      <c r="AZ691" s="207"/>
      <c r="BA691" s="207"/>
    </row>
    <row r="692" ht="18.75" hidden="1" customHeight="1">
      <c r="A692" s="1"/>
      <c r="B692" s="207"/>
      <c r="C692" s="207"/>
      <c r="D692" s="207"/>
      <c r="E692" s="207"/>
      <c r="F692" s="207"/>
      <c r="G692" s="207"/>
      <c r="H692" s="207"/>
      <c r="I692" s="207"/>
      <c r="J692" s="207"/>
      <c r="K692" s="207"/>
      <c r="L692" s="207"/>
      <c r="M692" s="207"/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  <c r="AA692" s="207"/>
      <c r="AB692" s="207"/>
      <c r="AC692" s="207"/>
      <c r="AD692" s="207"/>
      <c r="AE692" s="207"/>
      <c r="AF692" s="207"/>
      <c r="AG692" s="207"/>
      <c r="AH692" s="207"/>
      <c r="AI692" s="207"/>
      <c r="AJ692" s="207"/>
      <c r="AK692" s="207"/>
      <c r="AL692" s="207"/>
      <c r="AM692" s="207"/>
      <c r="AN692" s="207"/>
      <c r="AO692" s="207"/>
      <c r="AP692" s="207"/>
      <c r="AQ692" s="207"/>
      <c r="AR692" s="207"/>
      <c r="AS692" s="207"/>
      <c r="AT692" s="207"/>
      <c r="AU692" s="207"/>
      <c r="AV692" s="207"/>
      <c r="AW692" s="207"/>
      <c r="AX692" s="207"/>
      <c r="AY692" s="207"/>
      <c r="AZ692" s="207"/>
      <c r="BA692" s="207"/>
    </row>
    <row r="693" ht="18.75" hidden="1" customHeight="1">
      <c r="A693" s="1"/>
      <c r="B693" s="207"/>
      <c r="C693" s="207"/>
      <c r="D693" s="207"/>
      <c r="E693" s="207"/>
      <c r="F693" s="207"/>
      <c r="G693" s="207"/>
      <c r="H693" s="207"/>
      <c r="I693" s="207"/>
      <c r="J693" s="207"/>
      <c r="K693" s="207"/>
      <c r="L693" s="207"/>
      <c r="M693" s="207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  <c r="AA693" s="207"/>
      <c r="AB693" s="207"/>
      <c r="AC693" s="207"/>
      <c r="AD693" s="207"/>
      <c r="AE693" s="207"/>
      <c r="AF693" s="207"/>
      <c r="AG693" s="207"/>
      <c r="AH693" s="207"/>
      <c r="AI693" s="207"/>
      <c r="AJ693" s="207"/>
      <c r="AK693" s="207"/>
      <c r="AL693" s="207"/>
      <c r="AM693" s="207"/>
      <c r="AN693" s="207"/>
      <c r="AO693" s="207"/>
      <c r="AP693" s="207"/>
      <c r="AQ693" s="207"/>
      <c r="AR693" s="207"/>
      <c r="AS693" s="207"/>
      <c r="AT693" s="207"/>
      <c r="AU693" s="207"/>
      <c r="AV693" s="207"/>
      <c r="AW693" s="207"/>
      <c r="AX693" s="207"/>
      <c r="AY693" s="207"/>
      <c r="AZ693" s="207"/>
      <c r="BA693" s="207"/>
    </row>
    <row r="694" ht="18.75" hidden="1" customHeight="1">
      <c r="A694" s="1"/>
      <c r="B694" s="207"/>
      <c r="C694" s="207"/>
      <c r="D694" s="207"/>
      <c r="E694" s="207"/>
      <c r="F694" s="207"/>
      <c r="G694" s="207"/>
      <c r="H694" s="207"/>
      <c r="I694" s="207"/>
      <c r="J694" s="207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  <c r="AA694" s="207"/>
      <c r="AB694" s="207"/>
      <c r="AC694" s="207"/>
      <c r="AD694" s="207"/>
      <c r="AE694" s="207"/>
      <c r="AF694" s="207"/>
      <c r="AG694" s="207"/>
      <c r="AH694" s="207"/>
      <c r="AI694" s="207"/>
      <c r="AJ694" s="207"/>
      <c r="AK694" s="207"/>
      <c r="AL694" s="207"/>
      <c r="AM694" s="207"/>
      <c r="AN694" s="207"/>
      <c r="AO694" s="207"/>
      <c r="AP694" s="207"/>
      <c r="AQ694" s="207"/>
      <c r="AR694" s="207"/>
      <c r="AS694" s="207"/>
      <c r="AT694" s="207"/>
      <c r="AU694" s="207"/>
      <c r="AV694" s="207"/>
      <c r="AW694" s="207"/>
      <c r="AX694" s="207"/>
      <c r="AY694" s="207"/>
      <c r="AZ694" s="207"/>
      <c r="BA694" s="207"/>
    </row>
    <row r="695" ht="18.75" hidden="1" customHeight="1">
      <c r="A695" s="1"/>
      <c r="B695" s="207"/>
      <c r="C695" s="207"/>
      <c r="D695" s="207"/>
      <c r="E695" s="207"/>
      <c r="F695" s="207"/>
      <c r="G695" s="207"/>
      <c r="H695" s="207"/>
      <c r="I695" s="207"/>
      <c r="J695" s="207"/>
      <c r="K695" s="207"/>
      <c r="L695" s="207"/>
      <c r="M695" s="207"/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  <c r="AA695" s="207"/>
      <c r="AB695" s="207"/>
      <c r="AC695" s="207"/>
      <c r="AD695" s="207"/>
      <c r="AE695" s="207"/>
      <c r="AF695" s="207"/>
      <c r="AG695" s="207"/>
      <c r="AH695" s="207"/>
      <c r="AI695" s="207"/>
      <c r="AJ695" s="207"/>
      <c r="AK695" s="207"/>
      <c r="AL695" s="207"/>
      <c r="AM695" s="207"/>
      <c r="AN695" s="207"/>
      <c r="AO695" s="207"/>
      <c r="AP695" s="207"/>
      <c r="AQ695" s="207"/>
      <c r="AR695" s="207"/>
      <c r="AS695" s="207"/>
      <c r="AT695" s="207"/>
      <c r="AU695" s="207"/>
      <c r="AV695" s="207"/>
      <c r="AW695" s="207"/>
      <c r="AX695" s="207"/>
      <c r="AY695" s="207"/>
      <c r="AZ695" s="207"/>
      <c r="BA695" s="207"/>
    </row>
    <row r="696" ht="18.75" hidden="1" customHeight="1">
      <c r="A696" s="1"/>
      <c r="B696" s="207"/>
      <c r="C696" s="207"/>
      <c r="D696" s="207"/>
      <c r="E696" s="207"/>
      <c r="F696" s="207"/>
      <c r="G696" s="207"/>
      <c r="H696" s="207"/>
      <c r="I696" s="207"/>
      <c r="J696" s="207"/>
      <c r="K696" s="207"/>
      <c r="L696" s="207"/>
      <c r="M696" s="207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  <c r="AA696" s="207"/>
      <c r="AB696" s="207"/>
      <c r="AC696" s="207"/>
      <c r="AD696" s="207"/>
      <c r="AE696" s="207"/>
      <c r="AF696" s="207"/>
      <c r="AG696" s="207"/>
      <c r="AH696" s="207"/>
      <c r="AI696" s="207"/>
      <c r="AJ696" s="207"/>
      <c r="AK696" s="207"/>
      <c r="AL696" s="207"/>
      <c r="AM696" s="207"/>
      <c r="AN696" s="207"/>
      <c r="AO696" s="207"/>
      <c r="AP696" s="207"/>
      <c r="AQ696" s="207"/>
      <c r="AR696" s="207"/>
      <c r="AS696" s="207"/>
      <c r="AT696" s="207"/>
      <c r="AU696" s="207"/>
      <c r="AV696" s="207"/>
      <c r="AW696" s="207"/>
      <c r="AX696" s="207"/>
      <c r="AY696" s="207"/>
      <c r="AZ696" s="207"/>
      <c r="BA696" s="207"/>
    </row>
    <row r="697" ht="18.75" hidden="1" customHeight="1">
      <c r="A697" s="1"/>
      <c r="B697" s="207"/>
      <c r="C697" s="207"/>
      <c r="D697" s="207"/>
      <c r="E697" s="207"/>
      <c r="F697" s="207"/>
      <c r="G697" s="207"/>
      <c r="H697" s="207"/>
      <c r="I697" s="207"/>
      <c r="J697" s="207"/>
      <c r="K697" s="207"/>
      <c r="L697" s="207"/>
      <c r="M697" s="207"/>
      <c r="N697" s="207"/>
      <c r="O697" s="207"/>
      <c r="P697" s="207"/>
      <c r="Q697" s="207"/>
      <c r="R697" s="207"/>
      <c r="S697" s="207"/>
      <c r="T697" s="207"/>
      <c r="U697" s="207"/>
      <c r="V697" s="207"/>
      <c r="W697" s="207"/>
      <c r="X697" s="207"/>
      <c r="Y697" s="207"/>
      <c r="Z697" s="207"/>
      <c r="AA697" s="207"/>
      <c r="AB697" s="207"/>
      <c r="AC697" s="207"/>
      <c r="AD697" s="207"/>
      <c r="AE697" s="207"/>
      <c r="AF697" s="207"/>
      <c r="AG697" s="207"/>
      <c r="AH697" s="207"/>
      <c r="AI697" s="207"/>
      <c r="AJ697" s="207"/>
      <c r="AK697" s="207"/>
      <c r="AL697" s="207"/>
      <c r="AM697" s="207"/>
      <c r="AN697" s="207"/>
      <c r="AO697" s="207"/>
      <c r="AP697" s="207"/>
      <c r="AQ697" s="207"/>
      <c r="AR697" s="207"/>
      <c r="AS697" s="207"/>
      <c r="AT697" s="207"/>
      <c r="AU697" s="207"/>
      <c r="AV697" s="207"/>
      <c r="AW697" s="207"/>
      <c r="AX697" s="207"/>
      <c r="AY697" s="207"/>
      <c r="AZ697" s="207"/>
      <c r="BA697" s="207"/>
    </row>
    <row r="698" ht="18.75" hidden="1" customHeight="1">
      <c r="A698" s="1"/>
      <c r="B698" s="207"/>
      <c r="C698" s="207"/>
      <c r="D698" s="207"/>
      <c r="E698" s="207"/>
      <c r="F698" s="207"/>
      <c r="G698" s="207"/>
      <c r="H698" s="207"/>
      <c r="I698" s="207"/>
      <c r="J698" s="207"/>
      <c r="K698" s="207"/>
      <c r="L698" s="207"/>
      <c r="M698" s="207"/>
      <c r="N698" s="207"/>
      <c r="O698" s="207"/>
      <c r="P698" s="207"/>
      <c r="Q698" s="207"/>
      <c r="R698" s="207"/>
      <c r="S698" s="207"/>
      <c r="T698" s="207"/>
      <c r="U698" s="207"/>
      <c r="V698" s="207"/>
      <c r="W698" s="207"/>
      <c r="X698" s="207"/>
      <c r="Y698" s="207"/>
      <c r="Z698" s="207"/>
      <c r="AA698" s="207"/>
      <c r="AB698" s="207"/>
      <c r="AC698" s="207"/>
      <c r="AD698" s="207"/>
      <c r="AE698" s="207"/>
      <c r="AF698" s="207"/>
      <c r="AG698" s="207"/>
      <c r="AH698" s="207"/>
      <c r="AI698" s="207"/>
      <c r="AJ698" s="207"/>
      <c r="AK698" s="207"/>
      <c r="AL698" s="207"/>
      <c r="AM698" s="207"/>
      <c r="AN698" s="207"/>
      <c r="AO698" s="207"/>
      <c r="AP698" s="207"/>
      <c r="AQ698" s="207"/>
      <c r="AR698" s="207"/>
      <c r="AS698" s="207"/>
      <c r="AT698" s="207"/>
      <c r="AU698" s="207"/>
      <c r="AV698" s="207"/>
      <c r="AW698" s="207"/>
      <c r="AX698" s="207"/>
      <c r="AY698" s="207"/>
      <c r="AZ698" s="207"/>
      <c r="BA698" s="207"/>
    </row>
    <row r="699" ht="18.75" hidden="1" customHeight="1">
      <c r="A699" s="1"/>
      <c r="B699" s="207"/>
      <c r="C699" s="207"/>
      <c r="D699" s="207"/>
      <c r="E699" s="207"/>
      <c r="F699" s="207"/>
      <c r="G699" s="207"/>
      <c r="H699" s="207"/>
      <c r="I699" s="207"/>
      <c r="J699" s="207"/>
      <c r="K699" s="207"/>
      <c r="L699" s="207"/>
      <c r="M699" s="207"/>
      <c r="N699" s="207"/>
      <c r="O699" s="207"/>
      <c r="P699" s="207"/>
      <c r="Q699" s="207"/>
      <c r="R699" s="207"/>
      <c r="S699" s="207"/>
      <c r="T699" s="207"/>
      <c r="U699" s="207"/>
      <c r="V699" s="207"/>
      <c r="W699" s="207"/>
      <c r="X699" s="207"/>
      <c r="Y699" s="207"/>
      <c r="Z699" s="207"/>
      <c r="AA699" s="207"/>
      <c r="AB699" s="207"/>
      <c r="AC699" s="207"/>
      <c r="AD699" s="207"/>
      <c r="AE699" s="207"/>
      <c r="AF699" s="207"/>
      <c r="AG699" s="207"/>
      <c r="AH699" s="207"/>
      <c r="AI699" s="207"/>
      <c r="AJ699" s="207"/>
      <c r="AK699" s="207"/>
      <c r="AL699" s="207"/>
      <c r="AM699" s="207"/>
      <c r="AN699" s="207"/>
      <c r="AO699" s="207"/>
      <c r="AP699" s="207"/>
      <c r="AQ699" s="207"/>
      <c r="AR699" s="207"/>
      <c r="AS699" s="207"/>
      <c r="AT699" s="207"/>
      <c r="AU699" s="207"/>
      <c r="AV699" s="207"/>
      <c r="AW699" s="207"/>
      <c r="AX699" s="207"/>
      <c r="AY699" s="207"/>
      <c r="AZ699" s="207"/>
      <c r="BA699" s="207"/>
    </row>
    <row r="700" ht="18.75" hidden="1" customHeight="1">
      <c r="A700" s="1"/>
      <c r="B700" s="207"/>
      <c r="C700" s="207"/>
      <c r="D700" s="207"/>
      <c r="E700" s="207"/>
      <c r="F700" s="207"/>
      <c r="G700" s="207"/>
      <c r="H700" s="207"/>
      <c r="I700" s="207"/>
      <c r="J700" s="207"/>
      <c r="K700" s="207"/>
      <c r="L700" s="207"/>
      <c r="M700" s="207"/>
      <c r="N700" s="207"/>
      <c r="O700" s="207"/>
      <c r="P700" s="207"/>
      <c r="Q700" s="207"/>
      <c r="R700" s="207"/>
      <c r="S700" s="207"/>
      <c r="T700" s="207"/>
      <c r="U700" s="207"/>
      <c r="V700" s="207"/>
      <c r="W700" s="207"/>
      <c r="X700" s="207"/>
      <c r="Y700" s="207"/>
      <c r="Z700" s="207"/>
      <c r="AA700" s="207"/>
      <c r="AB700" s="207"/>
      <c r="AC700" s="207"/>
      <c r="AD700" s="207"/>
      <c r="AE700" s="207"/>
      <c r="AF700" s="207"/>
      <c r="AG700" s="207"/>
      <c r="AH700" s="207"/>
      <c r="AI700" s="207"/>
      <c r="AJ700" s="207"/>
      <c r="AK700" s="207"/>
      <c r="AL700" s="207"/>
      <c r="AM700" s="207"/>
      <c r="AN700" s="207"/>
      <c r="AO700" s="207"/>
      <c r="AP700" s="207"/>
      <c r="AQ700" s="207"/>
      <c r="AR700" s="207"/>
      <c r="AS700" s="207"/>
      <c r="AT700" s="207"/>
      <c r="AU700" s="207"/>
      <c r="AV700" s="207"/>
      <c r="AW700" s="207"/>
      <c r="AX700" s="207"/>
      <c r="AY700" s="207"/>
      <c r="AZ700" s="207"/>
      <c r="BA700" s="207"/>
    </row>
    <row r="701" ht="18.75" hidden="1" customHeight="1">
      <c r="A701" s="1"/>
      <c r="B701" s="207"/>
      <c r="C701" s="207"/>
      <c r="D701" s="207"/>
      <c r="E701" s="207"/>
      <c r="F701" s="207"/>
      <c r="G701" s="207"/>
      <c r="H701" s="207"/>
      <c r="I701" s="207"/>
      <c r="J701" s="207"/>
      <c r="K701" s="207"/>
      <c r="L701" s="207"/>
      <c r="M701" s="207"/>
      <c r="N701" s="207"/>
      <c r="O701" s="207"/>
      <c r="P701" s="207"/>
      <c r="Q701" s="207"/>
      <c r="R701" s="207"/>
      <c r="S701" s="207"/>
      <c r="T701" s="207"/>
      <c r="U701" s="207"/>
      <c r="V701" s="207"/>
      <c r="W701" s="207"/>
      <c r="X701" s="207"/>
      <c r="Y701" s="207"/>
      <c r="Z701" s="207"/>
      <c r="AA701" s="207"/>
      <c r="AB701" s="207"/>
      <c r="AC701" s="207"/>
      <c r="AD701" s="207"/>
      <c r="AE701" s="207"/>
      <c r="AF701" s="207"/>
      <c r="AG701" s="207"/>
      <c r="AH701" s="207"/>
      <c r="AI701" s="207"/>
      <c r="AJ701" s="207"/>
      <c r="AK701" s="207"/>
      <c r="AL701" s="207"/>
      <c r="AM701" s="207"/>
      <c r="AN701" s="207"/>
      <c r="AO701" s="207"/>
      <c r="AP701" s="207"/>
      <c r="AQ701" s="207"/>
      <c r="AR701" s="207"/>
      <c r="AS701" s="207"/>
      <c r="AT701" s="207"/>
      <c r="AU701" s="207"/>
      <c r="AV701" s="207"/>
      <c r="AW701" s="207"/>
      <c r="AX701" s="207"/>
      <c r="AY701" s="207"/>
      <c r="AZ701" s="207"/>
      <c r="BA701" s="207"/>
    </row>
    <row r="702" ht="18.75" hidden="1" customHeight="1">
      <c r="A702" s="1"/>
      <c r="B702" s="207"/>
      <c r="C702" s="207"/>
      <c r="D702" s="207"/>
      <c r="E702" s="207"/>
      <c r="F702" s="207"/>
      <c r="G702" s="207"/>
      <c r="H702" s="207"/>
      <c r="I702" s="207"/>
      <c r="J702" s="207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  <c r="AA702" s="207"/>
      <c r="AB702" s="207"/>
      <c r="AC702" s="207"/>
      <c r="AD702" s="207"/>
      <c r="AE702" s="207"/>
      <c r="AF702" s="207"/>
      <c r="AG702" s="207"/>
      <c r="AH702" s="207"/>
      <c r="AI702" s="207"/>
      <c r="AJ702" s="207"/>
      <c r="AK702" s="207"/>
      <c r="AL702" s="207"/>
      <c r="AM702" s="207"/>
      <c r="AN702" s="207"/>
      <c r="AO702" s="207"/>
      <c r="AP702" s="207"/>
      <c r="AQ702" s="207"/>
      <c r="AR702" s="207"/>
      <c r="AS702" s="207"/>
      <c r="AT702" s="207"/>
      <c r="AU702" s="207"/>
      <c r="AV702" s="207"/>
      <c r="AW702" s="207"/>
      <c r="AX702" s="207"/>
      <c r="AY702" s="207"/>
      <c r="AZ702" s="207"/>
      <c r="BA702" s="207"/>
    </row>
    <row r="703" ht="18.75" hidden="1" customHeight="1">
      <c r="A703" s="1"/>
      <c r="B703" s="207"/>
      <c r="C703" s="207"/>
      <c r="D703" s="207"/>
      <c r="E703" s="207"/>
      <c r="F703" s="207"/>
      <c r="G703" s="207"/>
      <c r="H703" s="207"/>
      <c r="I703" s="207"/>
      <c r="J703" s="207"/>
      <c r="K703" s="207"/>
      <c r="L703" s="207"/>
      <c r="M703" s="207"/>
      <c r="N703" s="207"/>
      <c r="O703" s="207"/>
      <c r="P703" s="207"/>
      <c r="Q703" s="207"/>
      <c r="R703" s="207"/>
      <c r="S703" s="207"/>
      <c r="T703" s="207"/>
      <c r="U703" s="207"/>
      <c r="V703" s="207"/>
      <c r="W703" s="207"/>
      <c r="X703" s="207"/>
      <c r="Y703" s="207"/>
      <c r="Z703" s="207"/>
      <c r="AA703" s="207"/>
      <c r="AB703" s="207"/>
      <c r="AC703" s="207"/>
      <c r="AD703" s="207"/>
      <c r="AE703" s="207"/>
      <c r="AF703" s="207"/>
      <c r="AG703" s="207"/>
      <c r="AH703" s="207"/>
      <c r="AI703" s="207"/>
      <c r="AJ703" s="207"/>
      <c r="AK703" s="207"/>
      <c r="AL703" s="207"/>
      <c r="AM703" s="207"/>
      <c r="AN703" s="207"/>
      <c r="AO703" s="207"/>
      <c r="AP703" s="207"/>
      <c r="AQ703" s="207"/>
      <c r="AR703" s="207"/>
      <c r="AS703" s="207"/>
      <c r="AT703" s="207"/>
      <c r="AU703" s="207"/>
      <c r="AV703" s="207"/>
      <c r="AW703" s="207"/>
      <c r="AX703" s="207"/>
      <c r="AY703" s="207"/>
      <c r="AZ703" s="207"/>
      <c r="BA703" s="207"/>
    </row>
    <row r="704" ht="18.75" hidden="1" customHeight="1">
      <c r="A704" s="1"/>
      <c r="B704" s="207"/>
      <c r="C704" s="207"/>
      <c r="D704" s="207"/>
      <c r="E704" s="207"/>
      <c r="F704" s="207"/>
      <c r="G704" s="207"/>
      <c r="H704" s="207"/>
      <c r="I704" s="207"/>
      <c r="J704" s="207"/>
      <c r="K704" s="207"/>
      <c r="L704" s="207"/>
      <c r="M704" s="207"/>
      <c r="N704" s="207"/>
      <c r="O704" s="207"/>
      <c r="P704" s="207"/>
      <c r="Q704" s="207"/>
      <c r="R704" s="207"/>
      <c r="S704" s="207"/>
      <c r="T704" s="207"/>
      <c r="U704" s="207"/>
      <c r="V704" s="207"/>
      <c r="W704" s="207"/>
      <c r="X704" s="207"/>
      <c r="Y704" s="207"/>
      <c r="Z704" s="207"/>
      <c r="AA704" s="207"/>
      <c r="AB704" s="207"/>
      <c r="AC704" s="207"/>
      <c r="AD704" s="207"/>
      <c r="AE704" s="207"/>
      <c r="AF704" s="207"/>
      <c r="AG704" s="207"/>
      <c r="AH704" s="207"/>
      <c r="AI704" s="207"/>
      <c r="AJ704" s="207"/>
      <c r="AK704" s="207"/>
      <c r="AL704" s="207"/>
      <c r="AM704" s="207"/>
      <c r="AN704" s="207"/>
      <c r="AO704" s="207"/>
      <c r="AP704" s="207"/>
      <c r="AQ704" s="207"/>
      <c r="AR704" s="207"/>
      <c r="AS704" s="207"/>
      <c r="AT704" s="207"/>
      <c r="AU704" s="207"/>
      <c r="AV704" s="207"/>
      <c r="AW704" s="207"/>
      <c r="AX704" s="207"/>
      <c r="AY704" s="207"/>
      <c r="AZ704" s="207"/>
      <c r="BA704" s="207"/>
    </row>
    <row r="705" ht="18.75" hidden="1" customHeight="1">
      <c r="A705" s="1"/>
      <c r="B705" s="207"/>
      <c r="C705" s="207"/>
      <c r="D705" s="207"/>
      <c r="E705" s="207"/>
      <c r="F705" s="207"/>
      <c r="G705" s="207"/>
      <c r="H705" s="207"/>
      <c r="I705" s="207"/>
      <c r="J705" s="207"/>
      <c r="K705" s="207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  <c r="AA705" s="207"/>
      <c r="AB705" s="207"/>
      <c r="AC705" s="207"/>
      <c r="AD705" s="207"/>
      <c r="AE705" s="207"/>
      <c r="AF705" s="207"/>
      <c r="AG705" s="207"/>
      <c r="AH705" s="207"/>
      <c r="AI705" s="207"/>
      <c r="AJ705" s="207"/>
      <c r="AK705" s="207"/>
      <c r="AL705" s="207"/>
      <c r="AM705" s="207"/>
      <c r="AN705" s="207"/>
      <c r="AO705" s="207"/>
      <c r="AP705" s="207"/>
      <c r="AQ705" s="207"/>
      <c r="AR705" s="207"/>
      <c r="AS705" s="207"/>
      <c r="AT705" s="207"/>
      <c r="AU705" s="207"/>
      <c r="AV705" s="207"/>
      <c r="AW705" s="207"/>
      <c r="AX705" s="207"/>
      <c r="AY705" s="207"/>
      <c r="AZ705" s="207"/>
      <c r="BA705" s="207"/>
    </row>
    <row r="706" ht="18.75" hidden="1" customHeight="1">
      <c r="A706" s="1"/>
      <c r="B706" s="207"/>
      <c r="C706" s="207"/>
      <c r="D706" s="207"/>
      <c r="E706" s="207"/>
      <c r="F706" s="207"/>
      <c r="G706" s="207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  <c r="AA706" s="207"/>
      <c r="AB706" s="207"/>
      <c r="AC706" s="207"/>
      <c r="AD706" s="207"/>
      <c r="AE706" s="207"/>
      <c r="AF706" s="207"/>
      <c r="AG706" s="207"/>
      <c r="AH706" s="207"/>
      <c r="AI706" s="207"/>
      <c r="AJ706" s="207"/>
      <c r="AK706" s="207"/>
      <c r="AL706" s="207"/>
      <c r="AM706" s="207"/>
      <c r="AN706" s="207"/>
      <c r="AO706" s="207"/>
      <c r="AP706" s="207"/>
      <c r="AQ706" s="207"/>
      <c r="AR706" s="207"/>
      <c r="AS706" s="207"/>
      <c r="AT706" s="207"/>
      <c r="AU706" s="207"/>
      <c r="AV706" s="207"/>
      <c r="AW706" s="207"/>
      <c r="AX706" s="207"/>
      <c r="AY706" s="207"/>
      <c r="AZ706" s="207"/>
      <c r="BA706" s="207"/>
    </row>
    <row r="707" ht="18.75" hidden="1" customHeight="1">
      <c r="A707" s="1"/>
      <c r="B707" s="207"/>
      <c r="C707" s="207"/>
      <c r="D707" s="207"/>
      <c r="E707" s="207"/>
      <c r="F707" s="207"/>
      <c r="G707" s="207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  <c r="AA707" s="207"/>
      <c r="AB707" s="207"/>
      <c r="AC707" s="207"/>
      <c r="AD707" s="207"/>
      <c r="AE707" s="207"/>
      <c r="AF707" s="207"/>
      <c r="AG707" s="207"/>
      <c r="AH707" s="207"/>
      <c r="AI707" s="207"/>
      <c r="AJ707" s="207"/>
      <c r="AK707" s="207"/>
      <c r="AL707" s="207"/>
      <c r="AM707" s="207"/>
      <c r="AN707" s="207"/>
      <c r="AO707" s="207"/>
      <c r="AP707" s="207"/>
      <c r="AQ707" s="207"/>
      <c r="AR707" s="207"/>
      <c r="AS707" s="207"/>
      <c r="AT707" s="207"/>
      <c r="AU707" s="207"/>
      <c r="AV707" s="207"/>
      <c r="AW707" s="207"/>
      <c r="AX707" s="207"/>
      <c r="AY707" s="207"/>
      <c r="AZ707" s="207"/>
      <c r="BA707" s="207"/>
    </row>
    <row r="708" ht="18.75" hidden="1" customHeight="1">
      <c r="A708" s="1"/>
      <c r="B708" s="207"/>
      <c r="C708" s="207"/>
      <c r="D708" s="207"/>
      <c r="E708" s="207"/>
      <c r="F708" s="207"/>
      <c r="G708" s="207"/>
      <c r="H708" s="207"/>
      <c r="I708" s="207"/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  <c r="AA708" s="207"/>
      <c r="AB708" s="207"/>
      <c r="AC708" s="207"/>
      <c r="AD708" s="207"/>
      <c r="AE708" s="207"/>
      <c r="AF708" s="207"/>
      <c r="AG708" s="207"/>
      <c r="AH708" s="207"/>
      <c r="AI708" s="207"/>
      <c r="AJ708" s="207"/>
      <c r="AK708" s="207"/>
      <c r="AL708" s="207"/>
      <c r="AM708" s="207"/>
      <c r="AN708" s="207"/>
      <c r="AO708" s="207"/>
      <c r="AP708" s="207"/>
      <c r="AQ708" s="207"/>
      <c r="AR708" s="207"/>
      <c r="AS708" s="207"/>
      <c r="AT708" s="207"/>
      <c r="AU708" s="207"/>
      <c r="AV708" s="207"/>
      <c r="AW708" s="207"/>
      <c r="AX708" s="207"/>
      <c r="AY708" s="207"/>
      <c r="AZ708" s="207"/>
      <c r="BA708" s="207"/>
    </row>
    <row r="709" ht="18.75" hidden="1" customHeight="1">
      <c r="A709" s="1"/>
      <c r="B709" s="207"/>
      <c r="C709" s="207"/>
      <c r="D709" s="207"/>
      <c r="E709" s="207"/>
      <c r="F709" s="207"/>
      <c r="G709" s="207"/>
      <c r="H709" s="207"/>
      <c r="I709" s="207"/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  <c r="AA709" s="207"/>
      <c r="AB709" s="207"/>
      <c r="AC709" s="207"/>
      <c r="AD709" s="207"/>
      <c r="AE709" s="207"/>
      <c r="AF709" s="207"/>
      <c r="AG709" s="207"/>
      <c r="AH709" s="207"/>
      <c r="AI709" s="207"/>
      <c r="AJ709" s="207"/>
      <c r="AK709" s="207"/>
      <c r="AL709" s="207"/>
      <c r="AM709" s="207"/>
      <c r="AN709" s="207"/>
      <c r="AO709" s="207"/>
      <c r="AP709" s="207"/>
      <c r="AQ709" s="207"/>
      <c r="AR709" s="207"/>
      <c r="AS709" s="207"/>
      <c r="AT709" s="207"/>
      <c r="AU709" s="207"/>
      <c r="AV709" s="207"/>
      <c r="AW709" s="207"/>
      <c r="AX709" s="207"/>
      <c r="AY709" s="207"/>
      <c r="AZ709" s="207"/>
      <c r="BA709" s="207"/>
    </row>
    <row r="710" ht="18.75" hidden="1" customHeight="1">
      <c r="A710" s="1"/>
      <c r="B710" s="207"/>
      <c r="C710" s="207"/>
      <c r="D710" s="207"/>
      <c r="E710" s="207"/>
      <c r="F710" s="207"/>
      <c r="G710" s="207"/>
      <c r="H710" s="207"/>
      <c r="I710" s="207"/>
      <c r="J710" s="207"/>
      <c r="K710" s="207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  <c r="AA710" s="207"/>
      <c r="AB710" s="207"/>
      <c r="AC710" s="207"/>
      <c r="AD710" s="207"/>
      <c r="AE710" s="207"/>
      <c r="AF710" s="207"/>
      <c r="AG710" s="207"/>
      <c r="AH710" s="207"/>
      <c r="AI710" s="207"/>
      <c r="AJ710" s="207"/>
      <c r="AK710" s="207"/>
      <c r="AL710" s="207"/>
      <c r="AM710" s="207"/>
      <c r="AN710" s="207"/>
      <c r="AO710" s="207"/>
      <c r="AP710" s="207"/>
      <c r="AQ710" s="207"/>
      <c r="AR710" s="207"/>
      <c r="AS710" s="207"/>
      <c r="AT710" s="207"/>
      <c r="AU710" s="207"/>
      <c r="AV710" s="207"/>
      <c r="AW710" s="207"/>
      <c r="AX710" s="207"/>
      <c r="AY710" s="207"/>
      <c r="AZ710" s="207"/>
      <c r="BA710" s="207"/>
    </row>
    <row r="711" ht="18.75" hidden="1" customHeight="1">
      <c r="A711" s="1"/>
      <c r="B711" s="207"/>
      <c r="C711" s="207"/>
      <c r="D711" s="207"/>
      <c r="E711" s="207"/>
      <c r="F711" s="207"/>
      <c r="G711" s="207"/>
      <c r="H711" s="207"/>
      <c r="I711" s="207"/>
      <c r="J711" s="207"/>
      <c r="K711" s="207"/>
      <c r="L711" s="207"/>
      <c r="M711" s="207"/>
      <c r="N711" s="207"/>
      <c r="O711" s="207"/>
      <c r="P711" s="207"/>
      <c r="Q711" s="207"/>
      <c r="R711" s="207"/>
      <c r="S711" s="207"/>
      <c r="T711" s="207"/>
      <c r="U711" s="207"/>
      <c r="V711" s="207"/>
      <c r="W711" s="207"/>
      <c r="X711" s="207"/>
      <c r="Y711" s="207"/>
      <c r="Z711" s="207"/>
      <c r="AA711" s="207"/>
      <c r="AB711" s="207"/>
      <c r="AC711" s="207"/>
      <c r="AD711" s="207"/>
      <c r="AE711" s="207"/>
      <c r="AF711" s="207"/>
      <c r="AG711" s="207"/>
      <c r="AH711" s="207"/>
      <c r="AI711" s="207"/>
      <c r="AJ711" s="207"/>
      <c r="AK711" s="207"/>
      <c r="AL711" s="207"/>
      <c r="AM711" s="207"/>
      <c r="AN711" s="207"/>
      <c r="AO711" s="207"/>
      <c r="AP711" s="207"/>
      <c r="AQ711" s="207"/>
      <c r="AR711" s="207"/>
      <c r="AS711" s="207"/>
      <c r="AT711" s="207"/>
      <c r="AU711" s="207"/>
      <c r="AV711" s="207"/>
      <c r="AW711" s="207"/>
      <c r="AX711" s="207"/>
      <c r="AY711" s="207"/>
      <c r="AZ711" s="207"/>
      <c r="BA711" s="207"/>
    </row>
    <row r="712" ht="18.75" hidden="1" customHeight="1">
      <c r="A712" s="1"/>
      <c r="B712" s="207"/>
      <c r="C712" s="207"/>
      <c r="D712" s="207"/>
      <c r="E712" s="207"/>
      <c r="F712" s="207"/>
      <c r="G712" s="207"/>
      <c r="H712" s="207"/>
      <c r="I712" s="207"/>
      <c r="J712" s="207"/>
      <c r="K712" s="207"/>
      <c r="L712" s="207"/>
      <c r="M712" s="207"/>
      <c r="N712" s="207"/>
      <c r="O712" s="207"/>
      <c r="P712" s="207"/>
      <c r="Q712" s="207"/>
      <c r="R712" s="207"/>
      <c r="S712" s="207"/>
      <c r="T712" s="207"/>
      <c r="U712" s="207"/>
      <c r="V712" s="207"/>
      <c r="W712" s="207"/>
      <c r="X712" s="207"/>
      <c r="Y712" s="207"/>
      <c r="Z712" s="207"/>
      <c r="AA712" s="207"/>
      <c r="AB712" s="207"/>
      <c r="AC712" s="207"/>
      <c r="AD712" s="207"/>
      <c r="AE712" s="207"/>
      <c r="AF712" s="207"/>
      <c r="AG712" s="207"/>
      <c r="AH712" s="207"/>
      <c r="AI712" s="207"/>
      <c r="AJ712" s="207"/>
      <c r="AK712" s="207"/>
      <c r="AL712" s="207"/>
      <c r="AM712" s="207"/>
      <c r="AN712" s="207"/>
      <c r="AO712" s="207"/>
      <c r="AP712" s="207"/>
      <c r="AQ712" s="207"/>
      <c r="AR712" s="207"/>
      <c r="AS712" s="207"/>
      <c r="AT712" s="207"/>
      <c r="AU712" s="207"/>
      <c r="AV712" s="207"/>
      <c r="AW712" s="207"/>
      <c r="AX712" s="207"/>
      <c r="AY712" s="207"/>
      <c r="AZ712" s="207"/>
      <c r="BA712" s="207"/>
    </row>
    <row r="713" ht="18.75" hidden="1" customHeight="1">
      <c r="A713" s="1"/>
      <c r="B713" s="207"/>
      <c r="C713" s="207"/>
      <c r="D713" s="207"/>
      <c r="E713" s="207"/>
      <c r="F713" s="207"/>
      <c r="G713" s="207"/>
      <c r="H713" s="207"/>
      <c r="I713" s="207"/>
      <c r="J713" s="207"/>
      <c r="K713" s="207"/>
      <c r="L713" s="207"/>
      <c r="M713" s="207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207"/>
      <c r="Y713" s="207"/>
      <c r="Z713" s="207"/>
      <c r="AA713" s="207"/>
      <c r="AB713" s="207"/>
      <c r="AC713" s="207"/>
      <c r="AD713" s="207"/>
      <c r="AE713" s="207"/>
      <c r="AF713" s="207"/>
      <c r="AG713" s="207"/>
      <c r="AH713" s="207"/>
      <c r="AI713" s="207"/>
      <c r="AJ713" s="207"/>
      <c r="AK713" s="207"/>
      <c r="AL713" s="207"/>
      <c r="AM713" s="207"/>
      <c r="AN713" s="207"/>
      <c r="AO713" s="207"/>
      <c r="AP713" s="207"/>
      <c r="AQ713" s="207"/>
      <c r="AR713" s="207"/>
      <c r="AS713" s="207"/>
      <c r="AT713" s="207"/>
      <c r="AU713" s="207"/>
      <c r="AV713" s="207"/>
      <c r="AW713" s="207"/>
      <c r="AX713" s="207"/>
      <c r="AY713" s="207"/>
      <c r="AZ713" s="207"/>
      <c r="BA713" s="207"/>
    </row>
    <row r="714" ht="18.75" hidden="1" customHeight="1">
      <c r="A714" s="1"/>
      <c r="B714" s="207"/>
      <c r="C714" s="207"/>
      <c r="D714" s="207"/>
      <c r="E714" s="207"/>
      <c r="F714" s="207"/>
      <c r="G714" s="207"/>
      <c r="H714" s="207"/>
      <c r="I714" s="207"/>
      <c r="J714" s="207"/>
      <c r="K714" s="207"/>
      <c r="L714" s="207"/>
      <c r="M714" s="207"/>
      <c r="N714" s="207"/>
      <c r="O714" s="207"/>
      <c r="P714" s="207"/>
      <c r="Q714" s="207"/>
      <c r="R714" s="207"/>
      <c r="S714" s="207"/>
      <c r="T714" s="207"/>
      <c r="U714" s="207"/>
      <c r="V714" s="207"/>
      <c r="W714" s="207"/>
      <c r="X714" s="207"/>
      <c r="Y714" s="207"/>
      <c r="Z714" s="207"/>
      <c r="AA714" s="207"/>
      <c r="AB714" s="207"/>
      <c r="AC714" s="207"/>
      <c r="AD714" s="207"/>
      <c r="AE714" s="207"/>
      <c r="AF714" s="207"/>
      <c r="AG714" s="207"/>
      <c r="AH714" s="207"/>
      <c r="AI714" s="207"/>
      <c r="AJ714" s="207"/>
      <c r="AK714" s="207"/>
      <c r="AL714" s="207"/>
      <c r="AM714" s="207"/>
      <c r="AN714" s="207"/>
      <c r="AO714" s="207"/>
      <c r="AP714" s="207"/>
      <c r="AQ714" s="207"/>
      <c r="AR714" s="207"/>
      <c r="AS714" s="207"/>
      <c r="AT714" s="207"/>
      <c r="AU714" s="207"/>
      <c r="AV714" s="207"/>
      <c r="AW714" s="207"/>
      <c r="AX714" s="207"/>
      <c r="AY714" s="207"/>
      <c r="AZ714" s="207"/>
      <c r="BA714" s="207"/>
    </row>
    <row r="715" ht="18.75" hidden="1" customHeight="1">
      <c r="A715" s="1"/>
      <c r="B715" s="207"/>
      <c r="C715" s="207"/>
      <c r="D715" s="207"/>
      <c r="E715" s="207"/>
      <c r="F715" s="207"/>
      <c r="G715" s="207"/>
      <c r="H715" s="207"/>
      <c r="I715" s="207"/>
      <c r="J715" s="207"/>
      <c r="K715" s="207"/>
      <c r="L715" s="207"/>
      <c r="M715" s="207"/>
      <c r="N715" s="207"/>
      <c r="O715" s="207"/>
      <c r="P715" s="207"/>
      <c r="Q715" s="207"/>
      <c r="R715" s="207"/>
      <c r="S715" s="207"/>
      <c r="T715" s="207"/>
      <c r="U715" s="207"/>
      <c r="V715" s="207"/>
      <c r="W715" s="207"/>
      <c r="X715" s="207"/>
      <c r="Y715" s="207"/>
      <c r="Z715" s="207"/>
      <c r="AA715" s="207"/>
      <c r="AB715" s="207"/>
      <c r="AC715" s="207"/>
      <c r="AD715" s="207"/>
      <c r="AE715" s="207"/>
      <c r="AF715" s="207"/>
      <c r="AG715" s="207"/>
      <c r="AH715" s="207"/>
      <c r="AI715" s="207"/>
      <c r="AJ715" s="207"/>
      <c r="AK715" s="207"/>
      <c r="AL715" s="207"/>
      <c r="AM715" s="207"/>
      <c r="AN715" s="207"/>
      <c r="AO715" s="207"/>
      <c r="AP715" s="207"/>
      <c r="AQ715" s="207"/>
      <c r="AR715" s="207"/>
      <c r="AS715" s="207"/>
      <c r="AT715" s="207"/>
      <c r="AU715" s="207"/>
      <c r="AV715" s="207"/>
      <c r="AW715" s="207"/>
      <c r="AX715" s="207"/>
      <c r="AY715" s="207"/>
      <c r="AZ715" s="207"/>
      <c r="BA715" s="207"/>
    </row>
    <row r="716" ht="18.75" hidden="1" customHeight="1">
      <c r="A716" s="1"/>
      <c r="B716" s="207"/>
      <c r="C716" s="207"/>
      <c r="D716" s="207"/>
      <c r="E716" s="207"/>
      <c r="F716" s="207"/>
      <c r="G716" s="207"/>
      <c r="H716" s="207"/>
      <c r="I716" s="207"/>
      <c r="J716" s="207"/>
      <c r="K716" s="207"/>
      <c r="L716" s="207"/>
      <c r="M716" s="207"/>
      <c r="N716" s="207"/>
      <c r="O716" s="207"/>
      <c r="P716" s="207"/>
      <c r="Q716" s="207"/>
      <c r="R716" s="207"/>
      <c r="S716" s="207"/>
      <c r="T716" s="207"/>
      <c r="U716" s="207"/>
      <c r="V716" s="207"/>
      <c r="W716" s="207"/>
      <c r="X716" s="207"/>
      <c r="Y716" s="207"/>
      <c r="Z716" s="207"/>
      <c r="AA716" s="207"/>
      <c r="AB716" s="207"/>
      <c r="AC716" s="207"/>
      <c r="AD716" s="207"/>
      <c r="AE716" s="207"/>
      <c r="AF716" s="207"/>
      <c r="AG716" s="207"/>
      <c r="AH716" s="207"/>
      <c r="AI716" s="207"/>
      <c r="AJ716" s="207"/>
      <c r="AK716" s="207"/>
      <c r="AL716" s="207"/>
      <c r="AM716" s="207"/>
      <c r="AN716" s="207"/>
      <c r="AO716" s="207"/>
      <c r="AP716" s="207"/>
      <c r="AQ716" s="207"/>
      <c r="AR716" s="207"/>
      <c r="AS716" s="207"/>
      <c r="AT716" s="207"/>
      <c r="AU716" s="207"/>
      <c r="AV716" s="207"/>
      <c r="AW716" s="207"/>
      <c r="AX716" s="207"/>
      <c r="AY716" s="207"/>
      <c r="AZ716" s="207"/>
      <c r="BA716" s="207"/>
    </row>
    <row r="717" ht="18.75" hidden="1" customHeight="1">
      <c r="A717" s="1"/>
      <c r="B717" s="207"/>
      <c r="C717" s="207"/>
      <c r="D717" s="207"/>
      <c r="E717" s="207"/>
      <c r="F717" s="207"/>
      <c r="G717" s="207"/>
      <c r="H717" s="207"/>
      <c r="I717" s="207"/>
      <c r="J717" s="207"/>
      <c r="K717" s="207"/>
      <c r="L717" s="207"/>
      <c r="M717" s="207"/>
      <c r="N717" s="207"/>
      <c r="O717" s="207"/>
      <c r="P717" s="207"/>
      <c r="Q717" s="207"/>
      <c r="R717" s="207"/>
      <c r="S717" s="207"/>
      <c r="T717" s="207"/>
      <c r="U717" s="207"/>
      <c r="V717" s="207"/>
      <c r="W717" s="207"/>
      <c r="X717" s="207"/>
      <c r="Y717" s="207"/>
      <c r="Z717" s="207"/>
      <c r="AA717" s="207"/>
      <c r="AB717" s="207"/>
      <c r="AC717" s="207"/>
      <c r="AD717" s="207"/>
      <c r="AE717" s="207"/>
      <c r="AF717" s="207"/>
      <c r="AG717" s="207"/>
      <c r="AH717" s="207"/>
      <c r="AI717" s="207"/>
      <c r="AJ717" s="207"/>
      <c r="AK717" s="207"/>
      <c r="AL717" s="207"/>
      <c r="AM717" s="207"/>
      <c r="AN717" s="207"/>
      <c r="AO717" s="207"/>
      <c r="AP717" s="207"/>
      <c r="AQ717" s="207"/>
      <c r="AR717" s="207"/>
      <c r="AS717" s="207"/>
      <c r="AT717" s="207"/>
      <c r="AU717" s="207"/>
      <c r="AV717" s="207"/>
      <c r="AW717" s="207"/>
      <c r="AX717" s="207"/>
      <c r="AY717" s="207"/>
      <c r="AZ717" s="207"/>
      <c r="BA717" s="207"/>
    </row>
    <row r="718" ht="18.75" hidden="1" customHeight="1">
      <c r="A718" s="1"/>
      <c r="B718" s="207"/>
      <c r="C718" s="207"/>
      <c r="D718" s="207"/>
      <c r="E718" s="207"/>
      <c r="F718" s="207"/>
      <c r="G718" s="207"/>
      <c r="H718" s="207"/>
      <c r="I718" s="207"/>
      <c r="J718" s="207"/>
      <c r="K718" s="207"/>
      <c r="L718" s="207"/>
      <c r="M718" s="207"/>
      <c r="N718" s="207"/>
      <c r="O718" s="207"/>
      <c r="P718" s="207"/>
      <c r="Q718" s="207"/>
      <c r="R718" s="207"/>
      <c r="S718" s="207"/>
      <c r="T718" s="207"/>
      <c r="U718" s="207"/>
      <c r="V718" s="207"/>
      <c r="W718" s="207"/>
      <c r="X718" s="207"/>
      <c r="Y718" s="207"/>
      <c r="Z718" s="207"/>
      <c r="AA718" s="207"/>
      <c r="AB718" s="207"/>
      <c r="AC718" s="207"/>
      <c r="AD718" s="207"/>
      <c r="AE718" s="207"/>
      <c r="AF718" s="207"/>
      <c r="AG718" s="207"/>
      <c r="AH718" s="207"/>
      <c r="AI718" s="207"/>
      <c r="AJ718" s="207"/>
      <c r="AK718" s="207"/>
      <c r="AL718" s="207"/>
      <c r="AM718" s="207"/>
      <c r="AN718" s="207"/>
      <c r="AO718" s="207"/>
      <c r="AP718" s="207"/>
      <c r="AQ718" s="207"/>
      <c r="AR718" s="207"/>
      <c r="AS718" s="207"/>
      <c r="AT718" s="207"/>
      <c r="AU718" s="207"/>
      <c r="AV718" s="207"/>
      <c r="AW718" s="207"/>
      <c r="AX718" s="207"/>
      <c r="AY718" s="207"/>
      <c r="AZ718" s="207"/>
      <c r="BA718" s="207"/>
    </row>
    <row r="719" ht="18.75" hidden="1" customHeight="1">
      <c r="A719" s="1"/>
      <c r="B719" s="207"/>
      <c r="C719" s="207"/>
      <c r="D719" s="207"/>
      <c r="E719" s="207"/>
      <c r="F719" s="207"/>
      <c r="G719" s="207"/>
      <c r="H719" s="207"/>
      <c r="I719" s="207"/>
      <c r="J719" s="207"/>
      <c r="K719" s="207"/>
      <c r="L719" s="207"/>
      <c r="M719" s="207"/>
      <c r="N719" s="207"/>
      <c r="O719" s="207"/>
      <c r="P719" s="207"/>
      <c r="Q719" s="207"/>
      <c r="R719" s="207"/>
      <c r="S719" s="207"/>
      <c r="T719" s="207"/>
      <c r="U719" s="207"/>
      <c r="V719" s="207"/>
      <c r="W719" s="207"/>
      <c r="X719" s="207"/>
      <c r="Y719" s="207"/>
      <c r="Z719" s="207"/>
      <c r="AA719" s="207"/>
      <c r="AB719" s="207"/>
      <c r="AC719" s="207"/>
      <c r="AD719" s="207"/>
      <c r="AE719" s="207"/>
      <c r="AF719" s="207"/>
      <c r="AG719" s="207"/>
      <c r="AH719" s="207"/>
      <c r="AI719" s="207"/>
      <c r="AJ719" s="207"/>
      <c r="AK719" s="207"/>
      <c r="AL719" s="207"/>
      <c r="AM719" s="207"/>
      <c r="AN719" s="207"/>
      <c r="AO719" s="207"/>
      <c r="AP719" s="207"/>
      <c r="AQ719" s="207"/>
      <c r="AR719" s="207"/>
      <c r="AS719" s="207"/>
      <c r="AT719" s="207"/>
      <c r="AU719" s="207"/>
      <c r="AV719" s="207"/>
      <c r="AW719" s="207"/>
      <c r="AX719" s="207"/>
      <c r="AY719" s="207"/>
      <c r="AZ719" s="207"/>
      <c r="BA719" s="207"/>
    </row>
    <row r="720" ht="18.75" hidden="1" customHeight="1">
      <c r="A720" s="1"/>
      <c r="B720" s="207"/>
      <c r="C720" s="207"/>
      <c r="D720" s="207"/>
      <c r="E720" s="207"/>
      <c r="F720" s="207"/>
      <c r="G720" s="207"/>
      <c r="H720" s="207"/>
      <c r="I720" s="207"/>
      <c r="J720" s="207"/>
      <c r="K720" s="207"/>
      <c r="L720" s="207"/>
      <c r="M720" s="207"/>
      <c r="N720" s="207"/>
      <c r="O720" s="207"/>
      <c r="P720" s="207"/>
      <c r="Q720" s="207"/>
      <c r="R720" s="207"/>
      <c r="S720" s="207"/>
      <c r="T720" s="207"/>
      <c r="U720" s="207"/>
      <c r="V720" s="207"/>
      <c r="W720" s="207"/>
      <c r="X720" s="207"/>
      <c r="Y720" s="207"/>
      <c r="Z720" s="207"/>
      <c r="AA720" s="207"/>
      <c r="AB720" s="207"/>
      <c r="AC720" s="207"/>
      <c r="AD720" s="207"/>
      <c r="AE720" s="207"/>
      <c r="AF720" s="207"/>
      <c r="AG720" s="207"/>
      <c r="AH720" s="207"/>
      <c r="AI720" s="207"/>
      <c r="AJ720" s="207"/>
      <c r="AK720" s="207"/>
      <c r="AL720" s="207"/>
      <c r="AM720" s="207"/>
      <c r="AN720" s="207"/>
      <c r="AO720" s="207"/>
      <c r="AP720" s="207"/>
      <c r="AQ720" s="207"/>
      <c r="AR720" s="207"/>
      <c r="AS720" s="207"/>
      <c r="AT720" s="207"/>
      <c r="AU720" s="207"/>
      <c r="AV720" s="207"/>
      <c r="AW720" s="207"/>
      <c r="AX720" s="207"/>
      <c r="AY720" s="207"/>
      <c r="AZ720" s="207"/>
      <c r="BA720" s="207"/>
    </row>
    <row r="721" ht="18.75" hidden="1" customHeight="1">
      <c r="A721" s="1"/>
      <c r="B721" s="207"/>
      <c r="C721" s="207"/>
      <c r="D721" s="207"/>
      <c r="E721" s="207"/>
      <c r="F721" s="207"/>
      <c r="G721" s="207"/>
      <c r="H721" s="207"/>
      <c r="I721" s="207"/>
      <c r="J721" s="207"/>
      <c r="K721" s="207"/>
      <c r="L721" s="207"/>
      <c r="M721" s="207"/>
      <c r="N721" s="207"/>
      <c r="O721" s="207"/>
      <c r="P721" s="207"/>
      <c r="Q721" s="207"/>
      <c r="R721" s="207"/>
      <c r="S721" s="207"/>
      <c r="T721" s="207"/>
      <c r="U721" s="207"/>
      <c r="V721" s="207"/>
      <c r="W721" s="207"/>
      <c r="X721" s="207"/>
      <c r="Y721" s="207"/>
      <c r="Z721" s="207"/>
      <c r="AA721" s="207"/>
      <c r="AB721" s="207"/>
      <c r="AC721" s="207"/>
      <c r="AD721" s="207"/>
      <c r="AE721" s="207"/>
      <c r="AF721" s="207"/>
      <c r="AG721" s="207"/>
      <c r="AH721" s="207"/>
      <c r="AI721" s="207"/>
      <c r="AJ721" s="207"/>
      <c r="AK721" s="207"/>
      <c r="AL721" s="207"/>
      <c r="AM721" s="207"/>
      <c r="AN721" s="207"/>
      <c r="AO721" s="207"/>
      <c r="AP721" s="207"/>
      <c r="AQ721" s="207"/>
      <c r="AR721" s="207"/>
      <c r="AS721" s="207"/>
      <c r="AT721" s="207"/>
      <c r="AU721" s="207"/>
      <c r="AV721" s="207"/>
      <c r="AW721" s="207"/>
      <c r="AX721" s="207"/>
      <c r="AY721" s="207"/>
      <c r="AZ721" s="207"/>
      <c r="BA721" s="207"/>
    </row>
    <row r="722" ht="18.75" hidden="1" customHeight="1">
      <c r="A722" s="1"/>
      <c r="B722" s="207"/>
      <c r="C722" s="207"/>
      <c r="D722" s="207"/>
      <c r="E722" s="207"/>
      <c r="F722" s="207"/>
      <c r="G722" s="207"/>
      <c r="H722" s="207"/>
      <c r="I722" s="207"/>
      <c r="J722" s="207"/>
      <c r="K722" s="207"/>
      <c r="L722" s="207"/>
      <c r="M722" s="207"/>
      <c r="N722" s="207"/>
      <c r="O722" s="207"/>
      <c r="P722" s="207"/>
      <c r="Q722" s="207"/>
      <c r="R722" s="207"/>
      <c r="S722" s="207"/>
      <c r="T722" s="207"/>
      <c r="U722" s="207"/>
      <c r="V722" s="207"/>
      <c r="W722" s="207"/>
      <c r="X722" s="207"/>
      <c r="Y722" s="207"/>
      <c r="Z722" s="207"/>
      <c r="AA722" s="207"/>
      <c r="AB722" s="207"/>
      <c r="AC722" s="207"/>
      <c r="AD722" s="207"/>
      <c r="AE722" s="207"/>
      <c r="AF722" s="207"/>
      <c r="AG722" s="207"/>
      <c r="AH722" s="207"/>
      <c r="AI722" s="207"/>
      <c r="AJ722" s="207"/>
      <c r="AK722" s="207"/>
      <c r="AL722" s="207"/>
      <c r="AM722" s="207"/>
      <c r="AN722" s="207"/>
      <c r="AO722" s="207"/>
      <c r="AP722" s="207"/>
      <c r="AQ722" s="207"/>
      <c r="AR722" s="207"/>
      <c r="AS722" s="207"/>
      <c r="AT722" s="207"/>
      <c r="AU722" s="207"/>
      <c r="AV722" s="207"/>
      <c r="AW722" s="207"/>
      <c r="AX722" s="207"/>
      <c r="AY722" s="207"/>
      <c r="AZ722" s="207"/>
      <c r="BA722" s="207"/>
    </row>
    <row r="723" ht="18.75" hidden="1" customHeight="1">
      <c r="A723" s="1"/>
      <c r="B723" s="207"/>
      <c r="C723" s="207"/>
      <c r="D723" s="207"/>
      <c r="E723" s="207"/>
      <c r="F723" s="207"/>
      <c r="G723" s="207"/>
      <c r="H723" s="207"/>
      <c r="I723" s="207"/>
      <c r="J723" s="207"/>
      <c r="K723" s="207"/>
      <c r="L723" s="207"/>
      <c r="M723" s="207"/>
      <c r="N723" s="207"/>
      <c r="O723" s="207"/>
      <c r="P723" s="207"/>
      <c r="Q723" s="207"/>
      <c r="R723" s="207"/>
      <c r="S723" s="207"/>
      <c r="T723" s="207"/>
      <c r="U723" s="207"/>
      <c r="V723" s="207"/>
      <c r="W723" s="207"/>
      <c r="X723" s="207"/>
      <c r="Y723" s="207"/>
      <c r="Z723" s="207"/>
      <c r="AA723" s="207"/>
      <c r="AB723" s="207"/>
      <c r="AC723" s="207"/>
      <c r="AD723" s="207"/>
      <c r="AE723" s="207"/>
      <c r="AF723" s="207"/>
      <c r="AG723" s="207"/>
      <c r="AH723" s="207"/>
      <c r="AI723" s="207"/>
      <c r="AJ723" s="207"/>
      <c r="AK723" s="207"/>
      <c r="AL723" s="207"/>
      <c r="AM723" s="207"/>
      <c r="AN723" s="207"/>
      <c r="AO723" s="207"/>
      <c r="AP723" s="207"/>
      <c r="AQ723" s="207"/>
      <c r="AR723" s="207"/>
      <c r="AS723" s="207"/>
      <c r="AT723" s="207"/>
      <c r="AU723" s="207"/>
      <c r="AV723" s="207"/>
      <c r="AW723" s="207"/>
      <c r="AX723" s="207"/>
      <c r="AY723" s="207"/>
      <c r="AZ723" s="207"/>
      <c r="BA723" s="207"/>
    </row>
    <row r="724" ht="18.75" hidden="1" customHeight="1">
      <c r="A724" s="1"/>
      <c r="B724" s="207"/>
      <c r="C724" s="207"/>
      <c r="D724" s="207"/>
      <c r="E724" s="207"/>
      <c r="F724" s="207"/>
      <c r="G724" s="207"/>
      <c r="H724" s="207"/>
      <c r="I724" s="207"/>
      <c r="J724" s="207"/>
      <c r="K724" s="207"/>
      <c r="L724" s="207"/>
      <c r="M724" s="207"/>
      <c r="N724" s="207"/>
      <c r="O724" s="207"/>
      <c r="P724" s="207"/>
      <c r="Q724" s="207"/>
      <c r="R724" s="207"/>
      <c r="S724" s="207"/>
      <c r="T724" s="207"/>
      <c r="U724" s="207"/>
      <c r="V724" s="207"/>
      <c r="W724" s="207"/>
      <c r="X724" s="207"/>
      <c r="Y724" s="207"/>
      <c r="Z724" s="207"/>
      <c r="AA724" s="207"/>
      <c r="AB724" s="207"/>
      <c r="AC724" s="207"/>
      <c r="AD724" s="207"/>
      <c r="AE724" s="207"/>
      <c r="AF724" s="207"/>
      <c r="AG724" s="207"/>
      <c r="AH724" s="207"/>
      <c r="AI724" s="207"/>
      <c r="AJ724" s="207"/>
      <c r="AK724" s="207"/>
      <c r="AL724" s="207"/>
      <c r="AM724" s="207"/>
      <c r="AN724" s="207"/>
      <c r="AO724" s="207"/>
      <c r="AP724" s="207"/>
      <c r="AQ724" s="207"/>
      <c r="AR724" s="207"/>
      <c r="AS724" s="207"/>
      <c r="AT724" s="207"/>
      <c r="AU724" s="207"/>
      <c r="AV724" s="207"/>
      <c r="AW724" s="207"/>
      <c r="AX724" s="207"/>
      <c r="AY724" s="207"/>
      <c r="AZ724" s="207"/>
      <c r="BA724" s="207"/>
    </row>
    <row r="725" ht="18.75" hidden="1" customHeight="1">
      <c r="A725" s="1"/>
      <c r="B725" s="207"/>
      <c r="C725" s="207"/>
      <c r="D725" s="207"/>
      <c r="E725" s="207"/>
      <c r="F725" s="207"/>
      <c r="G725" s="207"/>
      <c r="H725" s="207"/>
      <c r="I725" s="207"/>
      <c r="J725" s="207"/>
      <c r="K725" s="207"/>
      <c r="L725" s="207"/>
      <c r="M725" s="207"/>
      <c r="N725" s="207"/>
      <c r="O725" s="207"/>
      <c r="P725" s="207"/>
      <c r="Q725" s="207"/>
      <c r="R725" s="207"/>
      <c r="S725" s="207"/>
      <c r="T725" s="207"/>
      <c r="U725" s="207"/>
      <c r="V725" s="207"/>
      <c r="W725" s="207"/>
      <c r="X725" s="207"/>
      <c r="Y725" s="207"/>
      <c r="Z725" s="207"/>
      <c r="AA725" s="207"/>
      <c r="AB725" s="207"/>
      <c r="AC725" s="207"/>
      <c r="AD725" s="207"/>
      <c r="AE725" s="207"/>
      <c r="AF725" s="207"/>
      <c r="AG725" s="207"/>
      <c r="AH725" s="207"/>
      <c r="AI725" s="207"/>
      <c r="AJ725" s="207"/>
      <c r="AK725" s="207"/>
      <c r="AL725" s="207"/>
      <c r="AM725" s="207"/>
      <c r="AN725" s="207"/>
      <c r="AO725" s="207"/>
      <c r="AP725" s="207"/>
      <c r="AQ725" s="207"/>
      <c r="AR725" s="207"/>
      <c r="AS725" s="207"/>
      <c r="AT725" s="207"/>
      <c r="AU725" s="207"/>
      <c r="AV725" s="207"/>
      <c r="AW725" s="207"/>
      <c r="AX725" s="207"/>
      <c r="AY725" s="207"/>
      <c r="AZ725" s="207"/>
      <c r="BA725" s="207"/>
    </row>
    <row r="726" ht="18.75" hidden="1" customHeight="1">
      <c r="A726" s="1"/>
      <c r="B726" s="207"/>
      <c r="C726" s="207"/>
      <c r="D726" s="207"/>
      <c r="E726" s="207"/>
      <c r="F726" s="207"/>
      <c r="G726" s="207"/>
      <c r="H726" s="207"/>
      <c r="I726" s="207"/>
      <c r="J726" s="207"/>
      <c r="K726" s="207"/>
      <c r="L726" s="207"/>
      <c r="M726" s="207"/>
      <c r="N726" s="207"/>
      <c r="O726" s="207"/>
      <c r="P726" s="207"/>
      <c r="Q726" s="207"/>
      <c r="R726" s="207"/>
      <c r="S726" s="207"/>
      <c r="T726" s="207"/>
      <c r="U726" s="207"/>
      <c r="V726" s="207"/>
      <c r="W726" s="207"/>
      <c r="X726" s="207"/>
      <c r="Y726" s="207"/>
      <c r="Z726" s="207"/>
      <c r="AA726" s="207"/>
      <c r="AB726" s="207"/>
      <c r="AC726" s="207"/>
      <c r="AD726" s="207"/>
      <c r="AE726" s="207"/>
      <c r="AF726" s="207"/>
      <c r="AG726" s="207"/>
      <c r="AH726" s="207"/>
      <c r="AI726" s="207"/>
      <c r="AJ726" s="207"/>
      <c r="AK726" s="207"/>
      <c r="AL726" s="207"/>
      <c r="AM726" s="207"/>
      <c r="AN726" s="207"/>
      <c r="AO726" s="207"/>
      <c r="AP726" s="207"/>
      <c r="AQ726" s="207"/>
      <c r="AR726" s="207"/>
      <c r="AS726" s="207"/>
      <c r="AT726" s="207"/>
      <c r="AU726" s="207"/>
      <c r="AV726" s="207"/>
      <c r="AW726" s="207"/>
      <c r="AX726" s="207"/>
      <c r="AY726" s="207"/>
      <c r="AZ726" s="207"/>
      <c r="BA726" s="207"/>
    </row>
    <row r="727" ht="18.75" hidden="1" customHeight="1">
      <c r="A727" s="1"/>
      <c r="B727" s="207"/>
      <c r="C727" s="207"/>
      <c r="D727" s="207"/>
      <c r="E727" s="207"/>
      <c r="F727" s="207"/>
      <c r="G727" s="207"/>
      <c r="H727" s="207"/>
      <c r="I727" s="207"/>
      <c r="J727" s="207"/>
      <c r="K727" s="207"/>
      <c r="L727" s="207"/>
      <c r="M727" s="207"/>
      <c r="N727" s="207"/>
      <c r="O727" s="207"/>
      <c r="P727" s="207"/>
      <c r="Q727" s="207"/>
      <c r="R727" s="207"/>
      <c r="S727" s="207"/>
      <c r="T727" s="207"/>
      <c r="U727" s="207"/>
      <c r="V727" s="207"/>
      <c r="W727" s="207"/>
      <c r="X727" s="207"/>
      <c r="Y727" s="207"/>
      <c r="Z727" s="207"/>
      <c r="AA727" s="207"/>
      <c r="AB727" s="207"/>
      <c r="AC727" s="207"/>
      <c r="AD727" s="207"/>
      <c r="AE727" s="207"/>
      <c r="AF727" s="207"/>
      <c r="AG727" s="207"/>
      <c r="AH727" s="207"/>
      <c r="AI727" s="207"/>
      <c r="AJ727" s="207"/>
      <c r="AK727" s="207"/>
      <c r="AL727" s="207"/>
      <c r="AM727" s="207"/>
      <c r="AN727" s="207"/>
      <c r="AO727" s="207"/>
      <c r="AP727" s="207"/>
      <c r="AQ727" s="207"/>
      <c r="AR727" s="207"/>
      <c r="AS727" s="207"/>
      <c r="AT727" s="207"/>
      <c r="AU727" s="207"/>
      <c r="AV727" s="207"/>
      <c r="AW727" s="207"/>
      <c r="AX727" s="207"/>
      <c r="AY727" s="207"/>
      <c r="AZ727" s="207"/>
      <c r="BA727" s="207"/>
    </row>
    <row r="728" ht="18.75" hidden="1" customHeight="1">
      <c r="A728" s="1"/>
      <c r="B728" s="207"/>
      <c r="C728" s="207"/>
      <c r="D728" s="207"/>
      <c r="E728" s="207"/>
      <c r="F728" s="207"/>
      <c r="G728" s="207"/>
      <c r="H728" s="207"/>
      <c r="I728" s="207"/>
      <c r="J728" s="207"/>
      <c r="K728" s="207"/>
      <c r="L728" s="207"/>
      <c r="M728" s="207"/>
      <c r="N728" s="207"/>
      <c r="O728" s="207"/>
      <c r="P728" s="207"/>
      <c r="Q728" s="207"/>
      <c r="R728" s="207"/>
      <c r="S728" s="207"/>
      <c r="T728" s="207"/>
      <c r="U728" s="207"/>
      <c r="V728" s="207"/>
      <c r="W728" s="207"/>
      <c r="X728" s="207"/>
      <c r="Y728" s="207"/>
      <c r="Z728" s="207"/>
      <c r="AA728" s="207"/>
      <c r="AB728" s="207"/>
      <c r="AC728" s="207"/>
      <c r="AD728" s="207"/>
      <c r="AE728" s="207"/>
      <c r="AF728" s="207"/>
      <c r="AG728" s="207"/>
      <c r="AH728" s="207"/>
      <c r="AI728" s="207"/>
      <c r="AJ728" s="207"/>
      <c r="AK728" s="207"/>
      <c r="AL728" s="207"/>
      <c r="AM728" s="207"/>
      <c r="AN728" s="207"/>
      <c r="AO728" s="207"/>
      <c r="AP728" s="207"/>
      <c r="AQ728" s="207"/>
      <c r="AR728" s="207"/>
      <c r="AS728" s="207"/>
      <c r="AT728" s="207"/>
      <c r="AU728" s="207"/>
      <c r="AV728" s="207"/>
      <c r="AW728" s="207"/>
      <c r="AX728" s="207"/>
      <c r="AY728" s="207"/>
      <c r="AZ728" s="207"/>
      <c r="BA728" s="207"/>
    </row>
    <row r="729" ht="18.75" hidden="1" customHeight="1">
      <c r="A729" s="1"/>
      <c r="B729" s="207"/>
      <c r="C729" s="207"/>
      <c r="D729" s="207"/>
      <c r="E729" s="207"/>
      <c r="F729" s="207"/>
      <c r="G729" s="207"/>
      <c r="H729" s="207"/>
      <c r="I729" s="207"/>
      <c r="J729" s="207"/>
      <c r="K729" s="207"/>
      <c r="L729" s="207"/>
      <c r="M729" s="207"/>
      <c r="N729" s="207"/>
      <c r="O729" s="207"/>
      <c r="P729" s="207"/>
      <c r="Q729" s="207"/>
      <c r="R729" s="207"/>
      <c r="S729" s="207"/>
      <c r="T729" s="207"/>
      <c r="U729" s="207"/>
      <c r="V729" s="207"/>
      <c r="W729" s="207"/>
      <c r="X729" s="207"/>
      <c r="Y729" s="207"/>
      <c r="Z729" s="207"/>
      <c r="AA729" s="207"/>
      <c r="AB729" s="207"/>
      <c r="AC729" s="207"/>
      <c r="AD729" s="207"/>
      <c r="AE729" s="207"/>
      <c r="AF729" s="207"/>
      <c r="AG729" s="207"/>
      <c r="AH729" s="207"/>
      <c r="AI729" s="207"/>
      <c r="AJ729" s="207"/>
      <c r="AK729" s="207"/>
      <c r="AL729" s="207"/>
      <c r="AM729" s="207"/>
      <c r="AN729" s="207"/>
      <c r="AO729" s="207"/>
      <c r="AP729" s="207"/>
      <c r="AQ729" s="207"/>
      <c r="AR729" s="207"/>
      <c r="AS729" s="207"/>
      <c r="AT729" s="207"/>
      <c r="AU729" s="207"/>
      <c r="AV729" s="207"/>
      <c r="AW729" s="207"/>
      <c r="AX729" s="207"/>
      <c r="AY729" s="207"/>
      <c r="AZ729" s="207"/>
      <c r="BA729" s="207"/>
    </row>
    <row r="730" ht="18.75" hidden="1" customHeight="1">
      <c r="A730" s="1"/>
      <c r="B730" s="207"/>
      <c r="C730" s="207"/>
      <c r="D730" s="207"/>
      <c r="E730" s="207"/>
      <c r="F730" s="207"/>
      <c r="G730" s="207"/>
      <c r="H730" s="207"/>
      <c r="I730" s="207"/>
      <c r="J730" s="207"/>
      <c r="K730" s="207"/>
      <c r="L730" s="207"/>
      <c r="M730" s="207"/>
      <c r="N730" s="207"/>
      <c r="O730" s="207"/>
      <c r="P730" s="207"/>
      <c r="Q730" s="207"/>
      <c r="R730" s="207"/>
      <c r="S730" s="207"/>
      <c r="T730" s="207"/>
      <c r="U730" s="207"/>
      <c r="V730" s="207"/>
      <c r="W730" s="207"/>
      <c r="X730" s="207"/>
      <c r="Y730" s="207"/>
      <c r="Z730" s="207"/>
      <c r="AA730" s="207"/>
      <c r="AB730" s="207"/>
      <c r="AC730" s="207"/>
      <c r="AD730" s="207"/>
      <c r="AE730" s="207"/>
      <c r="AF730" s="207"/>
      <c r="AG730" s="207"/>
      <c r="AH730" s="207"/>
      <c r="AI730" s="207"/>
      <c r="AJ730" s="207"/>
      <c r="AK730" s="207"/>
      <c r="AL730" s="207"/>
      <c r="AM730" s="207"/>
      <c r="AN730" s="207"/>
      <c r="AO730" s="207"/>
      <c r="AP730" s="207"/>
      <c r="AQ730" s="207"/>
      <c r="AR730" s="207"/>
      <c r="AS730" s="207"/>
      <c r="AT730" s="207"/>
      <c r="AU730" s="207"/>
      <c r="AV730" s="207"/>
      <c r="AW730" s="207"/>
      <c r="AX730" s="207"/>
      <c r="AY730" s="207"/>
      <c r="AZ730" s="207"/>
      <c r="BA730" s="207"/>
    </row>
    <row r="731" ht="18.75" hidden="1" customHeight="1">
      <c r="A731" s="1"/>
      <c r="B731" s="207"/>
      <c r="C731" s="207"/>
      <c r="D731" s="207"/>
      <c r="E731" s="207"/>
      <c r="F731" s="207"/>
      <c r="G731" s="207"/>
      <c r="H731" s="207"/>
      <c r="I731" s="207"/>
      <c r="J731" s="207"/>
      <c r="K731" s="207"/>
      <c r="L731" s="207"/>
      <c r="M731" s="207"/>
      <c r="N731" s="207"/>
      <c r="O731" s="207"/>
      <c r="P731" s="207"/>
      <c r="Q731" s="207"/>
      <c r="R731" s="207"/>
      <c r="S731" s="207"/>
      <c r="T731" s="207"/>
      <c r="U731" s="207"/>
      <c r="V731" s="207"/>
      <c r="W731" s="207"/>
      <c r="X731" s="207"/>
      <c r="Y731" s="207"/>
      <c r="Z731" s="207"/>
      <c r="AA731" s="207"/>
      <c r="AB731" s="207"/>
      <c r="AC731" s="207"/>
      <c r="AD731" s="207"/>
      <c r="AE731" s="207"/>
      <c r="AF731" s="207"/>
      <c r="AG731" s="207"/>
      <c r="AH731" s="207"/>
      <c r="AI731" s="207"/>
      <c r="AJ731" s="207"/>
      <c r="AK731" s="207"/>
      <c r="AL731" s="207"/>
      <c r="AM731" s="207"/>
      <c r="AN731" s="207"/>
      <c r="AO731" s="207"/>
      <c r="AP731" s="207"/>
      <c r="AQ731" s="207"/>
      <c r="AR731" s="207"/>
      <c r="AS731" s="207"/>
      <c r="AT731" s="207"/>
      <c r="AU731" s="207"/>
      <c r="AV731" s="207"/>
      <c r="AW731" s="207"/>
      <c r="AX731" s="207"/>
      <c r="AY731" s="207"/>
      <c r="AZ731" s="207"/>
      <c r="BA731" s="207"/>
    </row>
    <row r="732" ht="18.75" hidden="1" customHeight="1">
      <c r="A732" s="1"/>
      <c r="B732" s="207"/>
      <c r="C732" s="207"/>
      <c r="D732" s="207"/>
      <c r="E732" s="207"/>
      <c r="F732" s="207"/>
      <c r="G732" s="207"/>
      <c r="H732" s="207"/>
      <c r="I732" s="207"/>
      <c r="J732" s="207"/>
      <c r="K732" s="207"/>
      <c r="L732" s="207"/>
      <c r="M732" s="207"/>
      <c r="N732" s="207"/>
      <c r="O732" s="207"/>
      <c r="P732" s="207"/>
      <c r="Q732" s="207"/>
      <c r="R732" s="207"/>
      <c r="S732" s="207"/>
      <c r="T732" s="207"/>
      <c r="U732" s="207"/>
      <c r="V732" s="207"/>
      <c r="W732" s="207"/>
      <c r="X732" s="207"/>
      <c r="Y732" s="207"/>
      <c r="Z732" s="207"/>
      <c r="AA732" s="207"/>
      <c r="AB732" s="207"/>
      <c r="AC732" s="207"/>
      <c r="AD732" s="207"/>
      <c r="AE732" s="207"/>
      <c r="AF732" s="207"/>
      <c r="AG732" s="207"/>
      <c r="AH732" s="207"/>
      <c r="AI732" s="207"/>
      <c r="AJ732" s="207"/>
      <c r="AK732" s="207"/>
      <c r="AL732" s="207"/>
      <c r="AM732" s="207"/>
      <c r="AN732" s="207"/>
      <c r="AO732" s="207"/>
      <c r="AP732" s="207"/>
      <c r="AQ732" s="207"/>
      <c r="AR732" s="207"/>
      <c r="AS732" s="207"/>
      <c r="AT732" s="207"/>
      <c r="AU732" s="207"/>
      <c r="AV732" s="207"/>
      <c r="AW732" s="207"/>
      <c r="AX732" s="207"/>
      <c r="AY732" s="207"/>
      <c r="AZ732" s="207"/>
      <c r="BA732" s="207"/>
    </row>
    <row r="733" ht="18.75" hidden="1" customHeight="1">
      <c r="A733" s="1"/>
      <c r="B733" s="207"/>
      <c r="C733" s="207"/>
      <c r="D733" s="207"/>
      <c r="E733" s="207"/>
      <c r="F733" s="207"/>
      <c r="G733" s="207"/>
      <c r="H733" s="207"/>
      <c r="I733" s="207"/>
      <c r="J733" s="207"/>
      <c r="K733" s="207"/>
      <c r="L733" s="207"/>
      <c r="M733" s="207"/>
      <c r="N733" s="207"/>
      <c r="O733" s="207"/>
      <c r="P733" s="207"/>
      <c r="Q733" s="207"/>
      <c r="R733" s="207"/>
      <c r="S733" s="207"/>
      <c r="T733" s="207"/>
      <c r="U733" s="207"/>
      <c r="V733" s="207"/>
      <c r="W733" s="207"/>
      <c r="X733" s="207"/>
      <c r="Y733" s="207"/>
      <c r="Z733" s="207"/>
      <c r="AA733" s="207"/>
      <c r="AB733" s="207"/>
      <c r="AC733" s="207"/>
      <c r="AD733" s="207"/>
      <c r="AE733" s="207"/>
      <c r="AF733" s="207"/>
      <c r="AG733" s="207"/>
      <c r="AH733" s="207"/>
      <c r="AI733" s="207"/>
      <c r="AJ733" s="207"/>
      <c r="AK733" s="207"/>
      <c r="AL733" s="207"/>
      <c r="AM733" s="207"/>
      <c r="AN733" s="207"/>
      <c r="AO733" s="207"/>
      <c r="AP733" s="207"/>
      <c r="AQ733" s="207"/>
      <c r="AR733" s="207"/>
      <c r="AS733" s="207"/>
      <c r="AT733" s="207"/>
      <c r="AU733" s="207"/>
      <c r="AV733" s="207"/>
      <c r="AW733" s="207"/>
      <c r="AX733" s="207"/>
      <c r="AY733" s="207"/>
      <c r="AZ733" s="207"/>
      <c r="BA733" s="207"/>
    </row>
    <row r="734" ht="18.75" hidden="1" customHeight="1">
      <c r="A734" s="1"/>
      <c r="B734" s="207"/>
      <c r="C734" s="207"/>
      <c r="D734" s="207"/>
      <c r="E734" s="207"/>
      <c r="F734" s="207"/>
      <c r="G734" s="207"/>
      <c r="H734" s="207"/>
      <c r="I734" s="207"/>
      <c r="J734" s="207"/>
      <c r="K734" s="207"/>
      <c r="L734" s="207"/>
      <c r="M734" s="207"/>
      <c r="N734" s="207"/>
      <c r="O734" s="207"/>
      <c r="P734" s="207"/>
      <c r="Q734" s="207"/>
      <c r="R734" s="207"/>
      <c r="S734" s="207"/>
      <c r="T734" s="207"/>
      <c r="U734" s="207"/>
      <c r="V734" s="207"/>
      <c r="W734" s="207"/>
      <c r="X734" s="207"/>
      <c r="Y734" s="207"/>
      <c r="Z734" s="207"/>
      <c r="AA734" s="207"/>
      <c r="AB734" s="207"/>
      <c r="AC734" s="207"/>
      <c r="AD734" s="207"/>
      <c r="AE734" s="207"/>
      <c r="AF734" s="207"/>
      <c r="AG734" s="207"/>
      <c r="AH734" s="207"/>
      <c r="AI734" s="207"/>
      <c r="AJ734" s="207"/>
      <c r="AK734" s="207"/>
      <c r="AL734" s="207"/>
      <c r="AM734" s="207"/>
      <c r="AN734" s="207"/>
      <c r="AO734" s="207"/>
      <c r="AP734" s="207"/>
      <c r="AQ734" s="207"/>
      <c r="AR734" s="207"/>
      <c r="AS734" s="207"/>
      <c r="AT734" s="207"/>
      <c r="AU734" s="207"/>
      <c r="AV734" s="207"/>
      <c r="AW734" s="207"/>
      <c r="AX734" s="207"/>
      <c r="AY734" s="207"/>
      <c r="AZ734" s="207"/>
      <c r="BA734" s="207"/>
    </row>
    <row r="735" ht="18.75" hidden="1" customHeight="1">
      <c r="A735" s="1"/>
      <c r="B735" s="207"/>
      <c r="C735" s="207"/>
      <c r="D735" s="207"/>
      <c r="E735" s="207"/>
      <c r="F735" s="207"/>
      <c r="G735" s="207"/>
      <c r="H735" s="207"/>
      <c r="I735" s="207"/>
      <c r="J735" s="207"/>
      <c r="K735" s="207"/>
      <c r="L735" s="207"/>
      <c r="M735" s="207"/>
      <c r="N735" s="207"/>
      <c r="O735" s="207"/>
      <c r="P735" s="207"/>
      <c r="Q735" s="207"/>
      <c r="R735" s="207"/>
      <c r="S735" s="207"/>
      <c r="T735" s="207"/>
      <c r="U735" s="207"/>
      <c r="V735" s="207"/>
      <c r="W735" s="207"/>
      <c r="X735" s="207"/>
      <c r="Y735" s="207"/>
      <c r="Z735" s="207"/>
      <c r="AA735" s="207"/>
      <c r="AB735" s="207"/>
      <c r="AC735" s="207"/>
      <c r="AD735" s="207"/>
      <c r="AE735" s="207"/>
      <c r="AF735" s="207"/>
      <c r="AG735" s="207"/>
      <c r="AH735" s="207"/>
      <c r="AI735" s="207"/>
      <c r="AJ735" s="207"/>
      <c r="AK735" s="207"/>
      <c r="AL735" s="207"/>
      <c r="AM735" s="207"/>
      <c r="AN735" s="207"/>
      <c r="AO735" s="207"/>
      <c r="AP735" s="207"/>
      <c r="AQ735" s="207"/>
      <c r="AR735" s="207"/>
      <c r="AS735" s="207"/>
      <c r="AT735" s="207"/>
      <c r="AU735" s="207"/>
      <c r="AV735" s="207"/>
      <c r="AW735" s="207"/>
      <c r="AX735" s="207"/>
      <c r="AY735" s="207"/>
      <c r="AZ735" s="207"/>
      <c r="BA735" s="207"/>
    </row>
    <row r="736" ht="18.75" hidden="1" customHeight="1">
      <c r="A736" s="1"/>
      <c r="B736" s="207"/>
      <c r="C736" s="207"/>
      <c r="D736" s="207"/>
      <c r="E736" s="207"/>
      <c r="F736" s="207"/>
      <c r="G736" s="207"/>
      <c r="H736" s="207"/>
      <c r="I736" s="207"/>
      <c r="J736" s="207"/>
      <c r="K736" s="207"/>
      <c r="L736" s="207"/>
      <c r="M736" s="207"/>
      <c r="N736" s="207"/>
      <c r="O736" s="207"/>
      <c r="P736" s="207"/>
      <c r="Q736" s="207"/>
      <c r="R736" s="207"/>
      <c r="S736" s="207"/>
      <c r="T736" s="207"/>
      <c r="U736" s="207"/>
      <c r="V736" s="207"/>
      <c r="W736" s="207"/>
      <c r="X736" s="207"/>
      <c r="Y736" s="207"/>
      <c r="Z736" s="207"/>
      <c r="AA736" s="207"/>
      <c r="AB736" s="207"/>
      <c r="AC736" s="207"/>
      <c r="AD736" s="207"/>
      <c r="AE736" s="207"/>
      <c r="AF736" s="207"/>
      <c r="AG736" s="207"/>
      <c r="AH736" s="207"/>
      <c r="AI736" s="207"/>
      <c r="AJ736" s="207"/>
      <c r="AK736" s="207"/>
      <c r="AL736" s="207"/>
      <c r="AM736" s="207"/>
      <c r="AN736" s="207"/>
      <c r="AO736" s="207"/>
      <c r="AP736" s="207"/>
      <c r="AQ736" s="207"/>
      <c r="AR736" s="207"/>
      <c r="AS736" s="207"/>
      <c r="AT736" s="207"/>
      <c r="AU736" s="207"/>
      <c r="AV736" s="207"/>
      <c r="AW736" s="207"/>
      <c r="AX736" s="207"/>
      <c r="AY736" s="207"/>
      <c r="AZ736" s="207"/>
      <c r="BA736" s="207"/>
    </row>
    <row r="737" ht="18.75" hidden="1" customHeight="1">
      <c r="A737" s="1"/>
      <c r="B737" s="207"/>
      <c r="C737" s="207"/>
      <c r="D737" s="207"/>
      <c r="E737" s="207"/>
      <c r="F737" s="207"/>
      <c r="G737" s="207"/>
      <c r="H737" s="207"/>
      <c r="I737" s="207"/>
      <c r="J737" s="207"/>
      <c r="K737" s="207"/>
      <c r="L737" s="207"/>
      <c r="M737" s="207"/>
      <c r="N737" s="207"/>
      <c r="O737" s="207"/>
      <c r="P737" s="207"/>
      <c r="Q737" s="207"/>
      <c r="R737" s="207"/>
      <c r="S737" s="207"/>
      <c r="T737" s="207"/>
      <c r="U737" s="207"/>
      <c r="V737" s="207"/>
      <c r="W737" s="207"/>
      <c r="X737" s="207"/>
      <c r="Y737" s="207"/>
      <c r="Z737" s="207"/>
      <c r="AA737" s="207"/>
      <c r="AB737" s="207"/>
      <c r="AC737" s="207"/>
      <c r="AD737" s="207"/>
      <c r="AE737" s="207"/>
      <c r="AF737" s="207"/>
      <c r="AG737" s="207"/>
      <c r="AH737" s="207"/>
      <c r="AI737" s="207"/>
      <c r="AJ737" s="207"/>
      <c r="AK737" s="207"/>
      <c r="AL737" s="207"/>
      <c r="AM737" s="207"/>
      <c r="AN737" s="207"/>
      <c r="AO737" s="207"/>
      <c r="AP737" s="207"/>
      <c r="AQ737" s="207"/>
      <c r="AR737" s="207"/>
      <c r="AS737" s="207"/>
      <c r="AT737" s="207"/>
      <c r="AU737" s="207"/>
      <c r="AV737" s="207"/>
      <c r="AW737" s="207"/>
      <c r="AX737" s="207"/>
      <c r="AY737" s="207"/>
      <c r="AZ737" s="207"/>
      <c r="BA737" s="207"/>
    </row>
    <row r="738" ht="18.75" hidden="1" customHeight="1">
      <c r="A738" s="1"/>
      <c r="B738" s="207"/>
      <c r="C738" s="207"/>
      <c r="D738" s="207"/>
      <c r="E738" s="207"/>
      <c r="F738" s="207"/>
      <c r="G738" s="207"/>
      <c r="H738" s="207"/>
      <c r="I738" s="207"/>
      <c r="J738" s="207"/>
      <c r="K738" s="207"/>
      <c r="L738" s="207"/>
      <c r="M738" s="207"/>
      <c r="N738" s="207"/>
      <c r="O738" s="207"/>
      <c r="P738" s="207"/>
      <c r="Q738" s="207"/>
      <c r="R738" s="207"/>
      <c r="S738" s="207"/>
      <c r="T738" s="207"/>
      <c r="U738" s="207"/>
      <c r="V738" s="207"/>
      <c r="W738" s="207"/>
      <c r="X738" s="207"/>
      <c r="Y738" s="207"/>
      <c r="Z738" s="207"/>
      <c r="AA738" s="207"/>
      <c r="AB738" s="207"/>
      <c r="AC738" s="207"/>
      <c r="AD738" s="207"/>
      <c r="AE738" s="207"/>
      <c r="AF738" s="207"/>
      <c r="AG738" s="207"/>
      <c r="AH738" s="207"/>
      <c r="AI738" s="207"/>
      <c r="AJ738" s="207"/>
      <c r="AK738" s="207"/>
      <c r="AL738" s="207"/>
      <c r="AM738" s="207"/>
      <c r="AN738" s="207"/>
      <c r="AO738" s="207"/>
      <c r="AP738" s="207"/>
      <c r="AQ738" s="207"/>
      <c r="AR738" s="207"/>
      <c r="AS738" s="207"/>
      <c r="AT738" s="207"/>
      <c r="AU738" s="207"/>
      <c r="AV738" s="207"/>
      <c r="AW738" s="207"/>
      <c r="AX738" s="207"/>
      <c r="AY738" s="207"/>
      <c r="AZ738" s="207"/>
      <c r="BA738" s="207"/>
    </row>
    <row r="739" ht="18.75" hidden="1" customHeight="1">
      <c r="A739" s="1"/>
      <c r="B739" s="207"/>
      <c r="C739" s="207"/>
      <c r="D739" s="207"/>
      <c r="E739" s="207"/>
      <c r="F739" s="207"/>
      <c r="G739" s="207"/>
      <c r="H739" s="207"/>
      <c r="I739" s="207"/>
      <c r="J739" s="207"/>
      <c r="K739" s="207"/>
      <c r="L739" s="207"/>
      <c r="M739" s="207"/>
      <c r="N739" s="207"/>
      <c r="O739" s="207"/>
      <c r="P739" s="207"/>
      <c r="Q739" s="207"/>
      <c r="R739" s="207"/>
      <c r="S739" s="207"/>
      <c r="T739" s="207"/>
      <c r="U739" s="207"/>
      <c r="V739" s="207"/>
      <c r="W739" s="207"/>
      <c r="X739" s="207"/>
      <c r="Y739" s="207"/>
      <c r="Z739" s="207"/>
      <c r="AA739" s="207"/>
      <c r="AB739" s="207"/>
      <c r="AC739" s="207"/>
      <c r="AD739" s="207"/>
      <c r="AE739" s="207"/>
      <c r="AF739" s="207"/>
      <c r="AG739" s="207"/>
      <c r="AH739" s="207"/>
      <c r="AI739" s="207"/>
      <c r="AJ739" s="207"/>
      <c r="AK739" s="207"/>
      <c r="AL739" s="207"/>
      <c r="AM739" s="207"/>
      <c r="AN739" s="207"/>
      <c r="AO739" s="207"/>
      <c r="AP739" s="207"/>
      <c r="AQ739" s="207"/>
      <c r="AR739" s="207"/>
      <c r="AS739" s="207"/>
      <c r="AT739" s="207"/>
      <c r="AU739" s="207"/>
      <c r="AV739" s="207"/>
      <c r="AW739" s="207"/>
      <c r="AX739" s="207"/>
      <c r="AY739" s="207"/>
      <c r="AZ739" s="207"/>
      <c r="BA739" s="207"/>
    </row>
    <row r="740" ht="18.75" hidden="1" customHeight="1">
      <c r="A740" s="1"/>
      <c r="B740" s="207"/>
      <c r="C740" s="207"/>
      <c r="D740" s="207"/>
      <c r="E740" s="207"/>
      <c r="F740" s="207"/>
      <c r="G740" s="207"/>
      <c r="H740" s="207"/>
      <c r="I740" s="207"/>
      <c r="J740" s="207"/>
      <c r="K740" s="207"/>
      <c r="L740" s="207"/>
      <c r="M740" s="207"/>
      <c r="N740" s="207"/>
      <c r="O740" s="207"/>
      <c r="P740" s="207"/>
      <c r="Q740" s="207"/>
      <c r="R740" s="207"/>
      <c r="S740" s="207"/>
      <c r="T740" s="207"/>
      <c r="U740" s="207"/>
      <c r="V740" s="207"/>
      <c r="W740" s="207"/>
      <c r="X740" s="207"/>
      <c r="Y740" s="207"/>
      <c r="Z740" s="207"/>
      <c r="AA740" s="207"/>
      <c r="AB740" s="207"/>
      <c r="AC740" s="207"/>
      <c r="AD740" s="207"/>
      <c r="AE740" s="207"/>
      <c r="AF740" s="207"/>
      <c r="AG740" s="207"/>
      <c r="AH740" s="207"/>
      <c r="AI740" s="207"/>
      <c r="AJ740" s="207"/>
      <c r="AK740" s="207"/>
      <c r="AL740" s="207"/>
      <c r="AM740" s="207"/>
      <c r="AN740" s="207"/>
      <c r="AO740" s="207"/>
      <c r="AP740" s="207"/>
      <c r="AQ740" s="207"/>
      <c r="AR740" s="207"/>
      <c r="AS740" s="207"/>
      <c r="AT740" s="207"/>
      <c r="AU740" s="207"/>
      <c r="AV740" s="207"/>
      <c r="AW740" s="207"/>
      <c r="AX740" s="207"/>
      <c r="AY740" s="207"/>
      <c r="AZ740" s="207"/>
      <c r="BA740" s="207"/>
    </row>
    <row r="741" ht="18.75" hidden="1" customHeight="1">
      <c r="A741" s="1"/>
      <c r="B741" s="207"/>
      <c r="C741" s="207"/>
      <c r="D741" s="207"/>
      <c r="E741" s="207"/>
      <c r="F741" s="207"/>
      <c r="G741" s="207"/>
      <c r="H741" s="207"/>
      <c r="I741" s="207"/>
      <c r="J741" s="207"/>
      <c r="K741" s="207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  <c r="AA741" s="207"/>
      <c r="AB741" s="207"/>
      <c r="AC741" s="207"/>
      <c r="AD741" s="207"/>
      <c r="AE741" s="207"/>
      <c r="AF741" s="207"/>
      <c r="AG741" s="207"/>
      <c r="AH741" s="207"/>
      <c r="AI741" s="207"/>
      <c r="AJ741" s="207"/>
      <c r="AK741" s="207"/>
      <c r="AL741" s="207"/>
      <c r="AM741" s="207"/>
      <c r="AN741" s="207"/>
      <c r="AO741" s="207"/>
      <c r="AP741" s="207"/>
      <c r="AQ741" s="207"/>
      <c r="AR741" s="207"/>
      <c r="AS741" s="207"/>
      <c r="AT741" s="207"/>
      <c r="AU741" s="207"/>
      <c r="AV741" s="207"/>
      <c r="AW741" s="207"/>
      <c r="AX741" s="207"/>
      <c r="AY741" s="207"/>
      <c r="AZ741" s="207"/>
      <c r="BA741" s="207"/>
    </row>
    <row r="742" ht="18.75" hidden="1" customHeight="1">
      <c r="A742" s="1"/>
      <c r="B742" s="207"/>
      <c r="C742" s="207"/>
      <c r="D742" s="207"/>
      <c r="E742" s="207"/>
      <c r="F742" s="207"/>
      <c r="G742" s="207"/>
      <c r="H742" s="207"/>
      <c r="I742" s="207"/>
      <c r="J742" s="207"/>
      <c r="K742" s="207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  <c r="AA742" s="207"/>
      <c r="AB742" s="207"/>
      <c r="AC742" s="207"/>
      <c r="AD742" s="207"/>
      <c r="AE742" s="207"/>
      <c r="AF742" s="207"/>
      <c r="AG742" s="207"/>
      <c r="AH742" s="207"/>
      <c r="AI742" s="207"/>
      <c r="AJ742" s="207"/>
      <c r="AK742" s="207"/>
      <c r="AL742" s="207"/>
      <c r="AM742" s="207"/>
      <c r="AN742" s="207"/>
      <c r="AO742" s="207"/>
      <c r="AP742" s="207"/>
      <c r="AQ742" s="207"/>
      <c r="AR742" s="207"/>
      <c r="AS742" s="207"/>
      <c r="AT742" s="207"/>
      <c r="AU742" s="207"/>
      <c r="AV742" s="207"/>
      <c r="AW742" s="207"/>
      <c r="AX742" s="207"/>
      <c r="AY742" s="207"/>
      <c r="AZ742" s="207"/>
      <c r="BA742" s="207"/>
    </row>
    <row r="743" ht="18.75" hidden="1" customHeight="1">
      <c r="A743" s="1"/>
      <c r="B743" s="207"/>
      <c r="C743" s="207"/>
      <c r="D743" s="207"/>
      <c r="E743" s="207"/>
      <c r="F743" s="207"/>
      <c r="G743" s="207"/>
      <c r="H743" s="207"/>
      <c r="I743" s="207"/>
      <c r="J743" s="207"/>
      <c r="K743" s="207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  <c r="AA743" s="207"/>
      <c r="AB743" s="207"/>
      <c r="AC743" s="207"/>
      <c r="AD743" s="207"/>
      <c r="AE743" s="207"/>
      <c r="AF743" s="207"/>
      <c r="AG743" s="207"/>
      <c r="AH743" s="207"/>
      <c r="AI743" s="207"/>
      <c r="AJ743" s="207"/>
      <c r="AK743" s="207"/>
      <c r="AL743" s="207"/>
      <c r="AM743" s="207"/>
      <c r="AN743" s="207"/>
      <c r="AO743" s="207"/>
      <c r="AP743" s="207"/>
      <c r="AQ743" s="207"/>
      <c r="AR743" s="207"/>
      <c r="AS743" s="207"/>
      <c r="AT743" s="207"/>
      <c r="AU743" s="207"/>
      <c r="AV743" s="207"/>
      <c r="AW743" s="207"/>
      <c r="AX743" s="207"/>
      <c r="AY743" s="207"/>
      <c r="AZ743" s="207"/>
      <c r="BA743" s="207"/>
    </row>
    <row r="744" ht="18.75" hidden="1" customHeight="1">
      <c r="A744" s="1"/>
      <c r="B744" s="207"/>
      <c r="C744" s="207"/>
      <c r="D744" s="207"/>
      <c r="E744" s="207"/>
      <c r="F744" s="207"/>
      <c r="G744" s="207"/>
      <c r="H744" s="207"/>
      <c r="I744" s="207"/>
      <c r="J744" s="207"/>
      <c r="K744" s="207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  <c r="AA744" s="207"/>
      <c r="AB744" s="207"/>
      <c r="AC744" s="207"/>
      <c r="AD744" s="207"/>
      <c r="AE744" s="207"/>
      <c r="AF744" s="207"/>
      <c r="AG744" s="207"/>
      <c r="AH744" s="207"/>
      <c r="AI744" s="207"/>
      <c r="AJ744" s="207"/>
      <c r="AK744" s="207"/>
      <c r="AL744" s="207"/>
      <c r="AM744" s="207"/>
      <c r="AN744" s="207"/>
      <c r="AO744" s="207"/>
      <c r="AP744" s="207"/>
      <c r="AQ744" s="207"/>
      <c r="AR744" s="207"/>
      <c r="AS744" s="207"/>
      <c r="AT744" s="207"/>
      <c r="AU744" s="207"/>
      <c r="AV744" s="207"/>
      <c r="AW744" s="207"/>
      <c r="AX744" s="207"/>
      <c r="AY744" s="207"/>
      <c r="AZ744" s="207"/>
      <c r="BA744" s="207"/>
    </row>
    <row r="745" ht="18.75" hidden="1" customHeight="1">
      <c r="A745" s="1"/>
      <c r="B745" s="207"/>
      <c r="C745" s="207"/>
      <c r="D745" s="207"/>
      <c r="E745" s="207"/>
      <c r="F745" s="207"/>
      <c r="G745" s="207"/>
      <c r="H745" s="207"/>
      <c r="I745" s="207"/>
      <c r="J745" s="207"/>
      <c r="K745" s="207"/>
      <c r="L745" s="207"/>
      <c r="M745" s="207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  <c r="AA745" s="207"/>
      <c r="AB745" s="207"/>
      <c r="AC745" s="207"/>
      <c r="AD745" s="207"/>
      <c r="AE745" s="207"/>
      <c r="AF745" s="207"/>
      <c r="AG745" s="207"/>
      <c r="AH745" s="207"/>
      <c r="AI745" s="207"/>
      <c r="AJ745" s="207"/>
      <c r="AK745" s="207"/>
      <c r="AL745" s="207"/>
      <c r="AM745" s="207"/>
      <c r="AN745" s="207"/>
      <c r="AO745" s="207"/>
      <c r="AP745" s="207"/>
      <c r="AQ745" s="207"/>
      <c r="AR745" s="207"/>
      <c r="AS745" s="207"/>
      <c r="AT745" s="207"/>
      <c r="AU745" s="207"/>
      <c r="AV745" s="207"/>
      <c r="AW745" s="207"/>
      <c r="AX745" s="207"/>
      <c r="AY745" s="207"/>
      <c r="AZ745" s="207"/>
      <c r="BA745" s="207"/>
    </row>
    <row r="746" ht="18.75" hidden="1" customHeight="1">
      <c r="A746" s="1"/>
      <c r="B746" s="207"/>
      <c r="C746" s="207"/>
      <c r="D746" s="207"/>
      <c r="E746" s="207"/>
      <c r="F746" s="207"/>
      <c r="G746" s="207"/>
      <c r="H746" s="207"/>
      <c r="I746" s="207"/>
      <c r="J746" s="207"/>
      <c r="K746" s="207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  <c r="AA746" s="207"/>
      <c r="AB746" s="207"/>
      <c r="AC746" s="207"/>
      <c r="AD746" s="207"/>
      <c r="AE746" s="207"/>
      <c r="AF746" s="207"/>
      <c r="AG746" s="207"/>
      <c r="AH746" s="207"/>
      <c r="AI746" s="207"/>
      <c r="AJ746" s="207"/>
      <c r="AK746" s="207"/>
      <c r="AL746" s="207"/>
      <c r="AM746" s="207"/>
      <c r="AN746" s="207"/>
      <c r="AO746" s="207"/>
      <c r="AP746" s="207"/>
      <c r="AQ746" s="207"/>
      <c r="AR746" s="207"/>
      <c r="AS746" s="207"/>
      <c r="AT746" s="207"/>
      <c r="AU746" s="207"/>
      <c r="AV746" s="207"/>
      <c r="AW746" s="207"/>
      <c r="AX746" s="207"/>
      <c r="AY746" s="207"/>
      <c r="AZ746" s="207"/>
      <c r="BA746" s="207"/>
    </row>
    <row r="747" ht="18.75" hidden="1" customHeight="1">
      <c r="A747" s="1"/>
      <c r="B747" s="207"/>
      <c r="C747" s="207"/>
      <c r="D747" s="207"/>
      <c r="E747" s="207"/>
      <c r="F747" s="207"/>
      <c r="G747" s="207"/>
      <c r="H747" s="207"/>
      <c r="I747" s="207"/>
      <c r="J747" s="207"/>
      <c r="K747" s="207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  <c r="AA747" s="207"/>
      <c r="AB747" s="207"/>
      <c r="AC747" s="207"/>
      <c r="AD747" s="207"/>
      <c r="AE747" s="207"/>
      <c r="AF747" s="207"/>
      <c r="AG747" s="207"/>
      <c r="AH747" s="207"/>
      <c r="AI747" s="207"/>
      <c r="AJ747" s="207"/>
      <c r="AK747" s="207"/>
      <c r="AL747" s="207"/>
      <c r="AM747" s="207"/>
      <c r="AN747" s="207"/>
      <c r="AO747" s="207"/>
      <c r="AP747" s="207"/>
      <c r="AQ747" s="207"/>
      <c r="AR747" s="207"/>
      <c r="AS747" s="207"/>
      <c r="AT747" s="207"/>
      <c r="AU747" s="207"/>
      <c r="AV747" s="207"/>
      <c r="AW747" s="207"/>
      <c r="AX747" s="207"/>
      <c r="AY747" s="207"/>
      <c r="AZ747" s="207"/>
      <c r="BA747" s="207"/>
    </row>
    <row r="748" ht="18.75" hidden="1" customHeight="1">
      <c r="A748" s="1"/>
      <c r="B748" s="207"/>
      <c r="C748" s="207"/>
      <c r="D748" s="207"/>
      <c r="E748" s="207"/>
      <c r="F748" s="207"/>
      <c r="G748" s="207"/>
      <c r="H748" s="207"/>
      <c r="I748" s="207"/>
      <c r="J748" s="207"/>
      <c r="K748" s="207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  <c r="AA748" s="207"/>
      <c r="AB748" s="207"/>
      <c r="AC748" s="207"/>
      <c r="AD748" s="207"/>
      <c r="AE748" s="207"/>
      <c r="AF748" s="207"/>
      <c r="AG748" s="207"/>
      <c r="AH748" s="207"/>
      <c r="AI748" s="207"/>
      <c r="AJ748" s="207"/>
      <c r="AK748" s="207"/>
      <c r="AL748" s="207"/>
      <c r="AM748" s="207"/>
      <c r="AN748" s="207"/>
      <c r="AO748" s="207"/>
      <c r="AP748" s="207"/>
      <c r="AQ748" s="207"/>
      <c r="AR748" s="207"/>
      <c r="AS748" s="207"/>
      <c r="AT748" s="207"/>
      <c r="AU748" s="207"/>
      <c r="AV748" s="207"/>
      <c r="AW748" s="207"/>
      <c r="AX748" s="207"/>
      <c r="AY748" s="207"/>
      <c r="AZ748" s="207"/>
      <c r="BA748" s="207"/>
    </row>
    <row r="749" ht="18.75" hidden="1" customHeight="1">
      <c r="A749" s="1"/>
      <c r="B749" s="207"/>
      <c r="C749" s="207"/>
      <c r="D749" s="207"/>
      <c r="E749" s="207"/>
      <c r="F749" s="207"/>
      <c r="G749" s="207"/>
      <c r="H749" s="207"/>
      <c r="I749" s="207"/>
      <c r="J749" s="207"/>
      <c r="K749" s="207"/>
      <c r="L749" s="207"/>
      <c r="M749" s="207"/>
      <c r="N749" s="207"/>
      <c r="O749" s="207"/>
      <c r="P749" s="207"/>
      <c r="Q749" s="207"/>
      <c r="R749" s="207"/>
      <c r="S749" s="207"/>
      <c r="T749" s="207"/>
      <c r="U749" s="207"/>
      <c r="V749" s="207"/>
      <c r="W749" s="207"/>
      <c r="X749" s="207"/>
      <c r="Y749" s="207"/>
      <c r="Z749" s="207"/>
      <c r="AA749" s="207"/>
      <c r="AB749" s="207"/>
      <c r="AC749" s="207"/>
      <c r="AD749" s="207"/>
      <c r="AE749" s="207"/>
      <c r="AF749" s="207"/>
      <c r="AG749" s="207"/>
      <c r="AH749" s="207"/>
      <c r="AI749" s="207"/>
      <c r="AJ749" s="207"/>
      <c r="AK749" s="207"/>
      <c r="AL749" s="207"/>
      <c r="AM749" s="207"/>
      <c r="AN749" s="207"/>
      <c r="AO749" s="207"/>
      <c r="AP749" s="207"/>
      <c r="AQ749" s="207"/>
      <c r="AR749" s="207"/>
      <c r="AS749" s="207"/>
      <c r="AT749" s="207"/>
      <c r="AU749" s="207"/>
      <c r="AV749" s="207"/>
      <c r="AW749" s="207"/>
      <c r="AX749" s="207"/>
      <c r="AY749" s="207"/>
      <c r="AZ749" s="207"/>
      <c r="BA749" s="207"/>
    </row>
    <row r="750" ht="18.75" hidden="1" customHeight="1">
      <c r="A750" s="1"/>
      <c r="B750" s="207"/>
      <c r="C750" s="207"/>
      <c r="D750" s="207"/>
      <c r="E750" s="207"/>
      <c r="F750" s="207"/>
      <c r="G750" s="207"/>
      <c r="H750" s="207"/>
      <c r="I750" s="207"/>
      <c r="J750" s="207"/>
      <c r="K750" s="207"/>
      <c r="L750" s="207"/>
      <c r="M750" s="207"/>
      <c r="N750" s="207"/>
      <c r="O750" s="207"/>
      <c r="P750" s="207"/>
      <c r="Q750" s="207"/>
      <c r="R750" s="207"/>
      <c r="S750" s="207"/>
      <c r="T750" s="207"/>
      <c r="U750" s="207"/>
      <c r="V750" s="207"/>
      <c r="W750" s="207"/>
      <c r="X750" s="207"/>
      <c r="Y750" s="207"/>
      <c r="Z750" s="207"/>
      <c r="AA750" s="207"/>
      <c r="AB750" s="207"/>
      <c r="AC750" s="207"/>
      <c r="AD750" s="207"/>
      <c r="AE750" s="207"/>
      <c r="AF750" s="207"/>
      <c r="AG750" s="207"/>
      <c r="AH750" s="207"/>
      <c r="AI750" s="207"/>
      <c r="AJ750" s="207"/>
      <c r="AK750" s="207"/>
      <c r="AL750" s="207"/>
      <c r="AM750" s="207"/>
      <c r="AN750" s="207"/>
      <c r="AO750" s="207"/>
      <c r="AP750" s="207"/>
      <c r="AQ750" s="207"/>
      <c r="AR750" s="207"/>
      <c r="AS750" s="207"/>
      <c r="AT750" s="207"/>
      <c r="AU750" s="207"/>
      <c r="AV750" s="207"/>
      <c r="AW750" s="207"/>
      <c r="AX750" s="207"/>
      <c r="AY750" s="207"/>
      <c r="AZ750" s="207"/>
      <c r="BA750" s="207"/>
    </row>
    <row r="751" ht="18.75" hidden="1" customHeight="1">
      <c r="A751" s="1"/>
      <c r="B751" s="207"/>
      <c r="C751" s="207"/>
      <c r="D751" s="207"/>
      <c r="E751" s="207"/>
      <c r="F751" s="207"/>
      <c r="G751" s="207"/>
      <c r="H751" s="207"/>
      <c r="I751" s="207"/>
      <c r="J751" s="207"/>
      <c r="K751" s="207"/>
      <c r="L751" s="207"/>
      <c r="M751" s="207"/>
      <c r="N751" s="207"/>
      <c r="O751" s="207"/>
      <c r="P751" s="207"/>
      <c r="Q751" s="207"/>
      <c r="R751" s="207"/>
      <c r="S751" s="207"/>
      <c r="T751" s="207"/>
      <c r="U751" s="207"/>
      <c r="V751" s="207"/>
      <c r="W751" s="207"/>
      <c r="X751" s="207"/>
      <c r="Y751" s="207"/>
      <c r="Z751" s="207"/>
      <c r="AA751" s="207"/>
      <c r="AB751" s="207"/>
      <c r="AC751" s="207"/>
      <c r="AD751" s="207"/>
      <c r="AE751" s="207"/>
      <c r="AF751" s="207"/>
      <c r="AG751" s="207"/>
      <c r="AH751" s="207"/>
      <c r="AI751" s="207"/>
      <c r="AJ751" s="207"/>
      <c r="AK751" s="207"/>
      <c r="AL751" s="207"/>
      <c r="AM751" s="207"/>
      <c r="AN751" s="207"/>
      <c r="AO751" s="207"/>
      <c r="AP751" s="207"/>
      <c r="AQ751" s="207"/>
      <c r="AR751" s="207"/>
      <c r="AS751" s="207"/>
      <c r="AT751" s="207"/>
      <c r="AU751" s="207"/>
      <c r="AV751" s="207"/>
      <c r="AW751" s="207"/>
      <c r="AX751" s="207"/>
      <c r="AY751" s="207"/>
      <c r="AZ751" s="207"/>
      <c r="BA751" s="207"/>
    </row>
    <row r="752" ht="18.75" hidden="1" customHeight="1">
      <c r="A752" s="1"/>
      <c r="B752" s="207"/>
      <c r="C752" s="207"/>
      <c r="D752" s="207"/>
      <c r="E752" s="207"/>
      <c r="F752" s="207"/>
      <c r="G752" s="207"/>
      <c r="H752" s="207"/>
      <c r="I752" s="207"/>
      <c r="J752" s="207"/>
      <c r="K752" s="207"/>
      <c r="L752" s="207"/>
      <c r="M752" s="207"/>
      <c r="N752" s="207"/>
      <c r="O752" s="207"/>
      <c r="P752" s="207"/>
      <c r="Q752" s="207"/>
      <c r="R752" s="207"/>
      <c r="S752" s="207"/>
      <c r="T752" s="207"/>
      <c r="U752" s="207"/>
      <c r="V752" s="207"/>
      <c r="W752" s="207"/>
      <c r="X752" s="207"/>
      <c r="Y752" s="207"/>
      <c r="Z752" s="207"/>
      <c r="AA752" s="207"/>
      <c r="AB752" s="207"/>
      <c r="AC752" s="207"/>
      <c r="AD752" s="207"/>
      <c r="AE752" s="207"/>
      <c r="AF752" s="207"/>
      <c r="AG752" s="207"/>
      <c r="AH752" s="207"/>
      <c r="AI752" s="207"/>
      <c r="AJ752" s="207"/>
      <c r="AK752" s="207"/>
      <c r="AL752" s="207"/>
      <c r="AM752" s="207"/>
      <c r="AN752" s="207"/>
      <c r="AO752" s="207"/>
      <c r="AP752" s="207"/>
      <c r="AQ752" s="207"/>
      <c r="AR752" s="207"/>
      <c r="AS752" s="207"/>
      <c r="AT752" s="207"/>
      <c r="AU752" s="207"/>
      <c r="AV752" s="207"/>
      <c r="AW752" s="207"/>
      <c r="AX752" s="207"/>
      <c r="AY752" s="207"/>
      <c r="AZ752" s="207"/>
      <c r="BA752" s="207"/>
    </row>
    <row r="753" ht="18.75" hidden="1" customHeight="1">
      <c r="A753" s="1"/>
      <c r="B753" s="207"/>
      <c r="C753" s="207"/>
      <c r="D753" s="207"/>
      <c r="E753" s="207"/>
      <c r="F753" s="207"/>
      <c r="G753" s="207"/>
      <c r="H753" s="207"/>
      <c r="I753" s="207"/>
      <c r="J753" s="207"/>
      <c r="K753" s="207"/>
      <c r="L753" s="207"/>
      <c r="M753" s="207"/>
      <c r="N753" s="207"/>
      <c r="O753" s="207"/>
      <c r="P753" s="207"/>
      <c r="Q753" s="207"/>
      <c r="R753" s="207"/>
      <c r="S753" s="207"/>
      <c r="T753" s="207"/>
      <c r="U753" s="207"/>
      <c r="V753" s="207"/>
      <c r="W753" s="207"/>
      <c r="X753" s="207"/>
      <c r="Y753" s="207"/>
      <c r="Z753" s="207"/>
      <c r="AA753" s="207"/>
      <c r="AB753" s="207"/>
      <c r="AC753" s="207"/>
      <c r="AD753" s="207"/>
      <c r="AE753" s="207"/>
      <c r="AF753" s="207"/>
      <c r="AG753" s="207"/>
      <c r="AH753" s="207"/>
      <c r="AI753" s="207"/>
      <c r="AJ753" s="207"/>
      <c r="AK753" s="207"/>
      <c r="AL753" s="207"/>
      <c r="AM753" s="207"/>
      <c r="AN753" s="207"/>
      <c r="AO753" s="207"/>
      <c r="AP753" s="207"/>
      <c r="AQ753" s="207"/>
      <c r="AR753" s="207"/>
      <c r="AS753" s="207"/>
      <c r="AT753" s="207"/>
      <c r="AU753" s="207"/>
      <c r="AV753" s="207"/>
      <c r="AW753" s="207"/>
      <c r="AX753" s="207"/>
      <c r="AY753" s="207"/>
      <c r="AZ753" s="207"/>
      <c r="BA753" s="207"/>
    </row>
    <row r="754" ht="18.75" hidden="1" customHeight="1">
      <c r="A754" s="1"/>
      <c r="B754" s="207"/>
      <c r="C754" s="207"/>
      <c r="D754" s="207"/>
      <c r="E754" s="207"/>
      <c r="F754" s="207"/>
      <c r="G754" s="207"/>
      <c r="H754" s="207"/>
      <c r="I754" s="207"/>
      <c r="J754" s="207"/>
      <c r="K754" s="207"/>
      <c r="L754" s="207"/>
      <c r="M754" s="207"/>
      <c r="N754" s="207"/>
      <c r="O754" s="207"/>
      <c r="P754" s="207"/>
      <c r="Q754" s="207"/>
      <c r="R754" s="207"/>
      <c r="S754" s="207"/>
      <c r="T754" s="207"/>
      <c r="U754" s="207"/>
      <c r="V754" s="207"/>
      <c r="W754" s="207"/>
      <c r="X754" s="207"/>
      <c r="Y754" s="207"/>
      <c r="Z754" s="207"/>
      <c r="AA754" s="207"/>
      <c r="AB754" s="207"/>
      <c r="AC754" s="207"/>
      <c r="AD754" s="207"/>
      <c r="AE754" s="207"/>
      <c r="AF754" s="207"/>
      <c r="AG754" s="207"/>
      <c r="AH754" s="207"/>
      <c r="AI754" s="207"/>
      <c r="AJ754" s="207"/>
      <c r="AK754" s="207"/>
      <c r="AL754" s="207"/>
      <c r="AM754" s="207"/>
      <c r="AN754" s="207"/>
      <c r="AO754" s="207"/>
      <c r="AP754" s="207"/>
      <c r="AQ754" s="207"/>
      <c r="AR754" s="207"/>
      <c r="AS754" s="207"/>
      <c r="AT754" s="207"/>
      <c r="AU754" s="207"/>
      <c r="AV754" s="207"/>
      <c r="AW754" s="207"/>
      <c r="AX754" s="207"/>
      <c r="AY754" s="207"/>
      <c r="AZ754" s="207"/>
      <c r="BA754" s="207"/>
    </row>
    <row r="755" ht="18.75" hidden="1" customHeight="1">
      <c r="A755" s="1"/>
      <c r="B755" s="207"/>
      <c r="C755" s="207"/>
      <c r="D755" s="207"/>
      <c r="E755" s="207"/>
      <c r="F755" s="207"/>
      <c r="G755" s="207"/>
      <c r="H755" s="207"/>
      <c r="I755" s="207"/>
      <c r="J755" s="207"/>
      <c r="K755" s="207"/>
      <c r="L755" s="207"/>
      <c r="M755" s="207"/>
      <c r="N755" s="207"/>
      <c r="O755" s="207"/>
      <c r="P755" s="207"/>
      <c r="Q755" s="207"/>
      <c r="R755" s="207"/>
      <c r="S755" s="207"/>
      <c r="T755" s="207"/>
      <c r="U755" s="207"/>
      <c r="V755" s="207"/>
      <c r="W755" s="207"/>
      <c r="X755" s="207"/>
      <c r="Y755" s="207"/>
      <c r="Z755" s="207"/>
      <c r="AA755" s="207"/>
      <c r="AB755" s="207"/>
      <c r="AC755" s="207"/>
      <c r="AD755" s="207"/>
      <c r="AE755" s="207"/>
      <c r="AF755" s="207"/>
      <c r="AG755" s="207"/>
      <c r="AH755" s="207"/>
      <c r="AI755" s="207"/>
      <c r="AJ755" s="207"/>
      <c r="AK755" s="207"/>
      <c r="AL755" s="207"/>
      <c r="AM755" s="207"/>
      <c r="AN755" s="207"/>
      <c r="AO755" s="207"/>
      <c r="AP755" s="207"/>
      <c r="AQ755" s="207"/>
      <c r="AR755" s="207"/>
      <c r="AS755" s="207"/>
      <c r="AT755" s="207"/>
      <c r="AU755" s="207"/>
      <c r="AV755" s="207"/>
      <c r="AW755" s="207"/>
      <c r="AX755" s="207"/>
      <c r="AY755" s="207"/>
      <c r="AZ755" s="207"/>
      <c r="BA755" s="207"/>
    </row>
    <row r="756" ht="18.75" hidden="1" customHeight="1">
      <c r="A756" s="1"/>
      <c r="B756" s="207"/>
      <c r="C756" s="207"/>
      <c r="D756" s="207"/>
      <c r="E756" s="207"/>
      <c r="F756" s="207"/>
      <c r="G756" s="207"/>
      <c r="H756" s="207"/>
      <c r="I756" s="207"/>
      <c r="J756" s="207"/>
      <c r="K756" s="207"/>
      <c r="L756" s="207"/>
      <c r="M756" s="207"/>
      <c r="N756" s="207"/>
      <c r="O756" s="207"/>
      <c r="P756" s="207"/>
      <c r="Q756" s="207"/>
      <c r="R756" s="207"/>
      <c r="S756" s="207"/>
      <c r="T756" s="207"/>
      <c r="U756" s="207"/>
      <c r="V756" s="207"/>
      <c r="W756" s="207"/>
      <c r="X756" s="207"/>
      <c r="Y756" s="207"/>
      <c r="Z756" s="207"/>
      <c r="AA756" s="207"/>
      <c r="AB756" s="207"/>
      <c r="AC756" s="207"/>
      <c r="AD756" s="207"/>
      <c r="AE756" s="207"/>
      <c r="AF756" s="207"/>
      <c r="AG756" s="207"/>
      <c r="AH756" s="207"/>
      <c r="AI756" s="207"/>
      <c r="AJ756" s="207"/>
      <c r="AK756" s="207"/>
      <c r="AL756" s="207"/>
      <c r="AM756" s="207"/>
      <c r="AN756" s="207"/>
      <c r="AO756" s="207"/>
      <c r="AP756" s="207"/>
      <c r="AQ756" s="207"/>
      <c r="AR756" s="207"/>
      <c r="AS756" s="207"/>
      <c r="AT756" s="207"/>
      <c r="AU756" s="207"/>
      <c r="AV756" s="207"/>
      <c r="AW756" s="207"/>
      <c r="AX756" s="207"/>
      <c r="AY756" s="207"/>
      <c r="AZ756" s="207"/>
      <c r="BA756" s="207"/>
    </row>
    <row r="757" ht="18.75" hidden="1" customHeight="1">
      <c r="A757" s="1"/>
      <c r="B757" s="207"/>
      <c r="C757" s="207"/>
      <c r="D757" s="207"/>
      <c r="E757" s="207"/>
      <c r="F757" s="207"/>
      <c r="G757" s="207"/>
      <c r="H757" s="207"/>
      <c r="I757" s="207"/>
      <c r="J757" s="207"/>
      <c r="K757" s="207"/>
      <c r="L757" s="207"/>
      <c r="M757" s="207"/>
      <c r="N757" s="207"/>
      <c r="O757" s="207"/>
      <c r="P757" s="207"/>
      <c r="Q757" s="207"/>
      <c r="R757" s="207"/>
      <c r="S757" s="207"/>
      <c r="T757" s="207"/>
      <c r="U757" s="207"/>
      <c r="V757" s="207"/>
      <c r="W757" s="207"/>
      <c r="X757" s="207"/>
      <c r="Y757" s="207"/>
      <c r="Z757" s="207"/>
      <c r="AA757" s="207"/>
      <c r="AB757" s="207"/>
      <c r="AC757" s="207"/>
      <c r="AD757" s="207"/>
      <c r="AE757" s="207"/>
      <c r="AF757" s="207"/>
      <c r="AG757" s="207"/>
      <c r="AH757" s="207"/>
      <c r="AI757" s="207"/>
      <c r="AJ757" s="207"/>
      <c r="AK757" s="207"/>
      <c r="AL757" s="207"/>
      <c r="AM757" s="207"/>
      <c r="AN757" s="207"/>
      <c r="AO757" s="207"/>
      <c r="AP757" s="207"/>
      <c r="AQ757" s="207"/>
      <c r="AR757" s="207"/>
      <c r="AS757" s="207"/>
      <c r="AT757" s="207"/>
      <c r="AU757" s="207"/>
      <c r="AV757" s="207"/>
      <c r="AW757" s="207"/>
      <c r="AX757" s="207"/>
      <c r="AY757" s="207"/>
      <c r="AZ757" s="207"/>
      <c r="BA757" s="207"/>
    </row>
    <row r="758" ht="18.75" hidden="1" customHeight="1">
      <c r="A758" s="1"/>
      <c r="B758" s="207"/>
      <c r="C758" s="207"/>
      <c r="D758" s="207"/>
      <c r="E758" s="207"/>
      <c r="F758" s="207"/>
      <c r="G758" s="207"/>
      <c r="H758" s="207"/>
      <c r="I758" s="207"/>
      <c r="J758" s="207"/>
      <c r="K758" s="207"/>
      <c r="L758" s="207"/>
      <c r="M758" s="207"/>
      <c r="N758" s="207"/>
      <c r="O758" s="207"/>
      <c r="P758" s="207"/>
      <c r="Q758" s="207"/>
      <c r="R758" s="207"/>
      <c r="S758" s="207"/>
      <c r="T758" s="207"/>
      <c r="U758" s="207"/>
      <c r="V758" s="207"/>
      <c r="W758" s="207"/>
      <c r="X758" s="207"/>
      <c r="Y758" s="207"/>
      <c r="Z758" s="207"/>
      <c r="AA758" s="207"/>
      <c r="AB758" s="207"/>
      <c r="AC758" s="207"/>
      <c r="AD758" s="207"/>
      <c r="AE758" s="207"/>
      <c r="AF758" s="207"/>
      <c r="AG758" s="207"/>
      <c r="AH758" s="207"/>
      <c r="AI758" s="207"/>
      <c r="AJ758" s="207"/>
      <c r="AK758" s="207"/>
      <c r="AL758" s="207"/>
      <c r="AM758" s="207"/>
      <c r="AN758" s="207"/>
      <c r="AO758" s="207"/>
      <c r="AP758" s="207"/>
      <c r="AQ758" s="207"/>
      <c r="AR758" s="207"/>
      <c r="AS758" s="207"/>
      <c r="AT758" s="207"/>
      <c r="AU758" s="207"/>
      <c r="AV758" s="207"/>
      <c r="AW758" s="207"/>
      <c r="AX758" s="207"/>
      <c r="AY758" s="207"/>
      <c r="AZ758" s="207"/>
      <c r="BA758" s="207"/>
    </row>
    <row r="759" ht="18.75" hidden="1" customHeight="1">
      <c r="A759" s="1"/>
      <c r="B759" s="207"/>
      <c r="C759" s="207"/>
      <c r="D759" s="207"/>
      <c r="E759" s="207"/>
      <c r="F759" s="207"/>
      <c r="G759" s="207"/>
      <c r="H759" s="207"/>
      <c r="I759" s="207"/>
      <c r="J759" s="207"/>
      <c r="K759" s="207"/>
      <c r="L759" s="207"/>
      <c r="M759" s="207"/>
      <c r="N759" s="207"/>
      <c r="O759" s="207"/>
      <c r="P759" s="207"/>
      <c r="Q759" s="207"/>
      <c r="R759" s="207"/>
      <c r="S759" s="207"/>
      <c r="T759" s="207"/>
      <c r="U759" s="207"/>
      <c r="V759" s="207"/>
      <c r="W759" s="207"/>
      <c r="X759" s="207"/>
      <c r="Y759" s="207"/>
      <c r="Z759" s="207"/>
      <c r="AA759" s="207"/>
      <c r="AB759" s="207"/>
      <c r="AC759" s="207"/>
      <c r="AD759" s="207"/>
      <c r="AE759" s="207"/>
      <c r="AF759" s="207"/>
      <c r="AG759" s="207"/>
      <c r="AH759" s="207"/>
      <c r="AI759" s="207"/>
      <c r="AJ759" s="207"/>
      <c r="AK759" s="207"/>
      <c r="AL759" s="207"/>
      <c r="AM759" s="207"/>
      <c r="AN759" s="207"/>
      <c r="AO759" s="207"/>
      <c r="AP759" s="207"/>
      <c r="AQ759" s="207"/>
      <c r="AR759" s="207"/>
      <c r="AS759" s="207"/>
      <c r="AT759" s="207"/>
      <c r="AU759" s="207"/>
      <c r="AV759" s="207"/>
      <c r="AW759" s="207"/>
      <c r="AX759" s="207"/>
      <c r="AY759" s="207"/>
      <c r="AZ759" s="207"/>
      <c r="BA759" s="207"/>
    </row>
    <row r="760" ht="18.75" hidden="1" customHeight="1">
      <c r="A760" s="1"/>
      <c r="B760" s="207"/>
      <c r="C760" s="207"/>
      <c r="D760" s="207"/>
      <c r="E760" s="207"/>
      <c r="F760" s="207"/>
      <c r="G760" s="207"/>
      <c r="H760" s="207"/>
      <c r="I760" s="207"/>
      <c r="J760" s="207"/>
      <c r="K760" s="207"/>
      <c r="L760" s="207"/>
      <c r="M760" s="207"/>
      <c r="N760" s="207"/>
      <c r="O760" s="207"/>
      <c r="P760" s="207"/>
      <c r="Q760" s="207"/>
      <c r="R760" s="207"/>
      <c r="S760" s="207"/>
      <c r="T760" s="207"/>
      <c r="U760" s="207"/>
      <c r="V760" s="207"/>
      <c r="W760" s="207"/>
      <c r="X760" s="207"/>
      <c r="Y760" s="207"/>
      <c r="Z760" s="207"/>
      <c r="AA760" s="207"/>
      <c r="AB760" s="207"/>
      <c r="AC760" s="207"/>
      <c r="AD760" s="207"/>
      <c r="AE760" s="207"/>
      <c r="AF760" s="207"/>
      <c r="AG760" s="207"/>
      <c r="AH760" s="207"/>
      <c r="AI760" s="207"/>
      <c r="AJ760" s="207"/>
      <c r="AK760" s="207"/>
      <c r="AL760" s="207"/>
      <c r="AM760" s="207"/>
      <c r="AN760" s="207"/>
      <c r="AO760" s="207"/>
      <c r="AP760" s="207"/>
      <c r="AQ760" s="207"/>
      <c r="AR760" s="207"/>
      <c r="AS760" s="207"/>
      <c r="AT760" s="207"/>
      <c r="AU760" s="207"/>
      <c r="AV760" s="207"/>
      <c r="AW760" s="207"/>
      <c r="AX760" s="207"/>
      <c r="AY760" s="207"/>
      <c r="AZ760" s="207"/>
      <c r="BA760" s="207"/>
    </row>
    <row r="761" ht="18.75" hidden="1" customHeight="1">
      <c r="A761" s="1"/>
      <c r="B761" s="207"/>
      <c r="C761" s="207"/>
      <c r="D761" s="207"/>
      <c r="E761" s="207"/>
      <c r="F761" s="207"/>
      <c r="G761" s="207"/>
      <c r="H761" s="207"/>
      <c r="I761" s="207"/>
      <c r="J761" s="207"/>
      <c r="K761" s="207"/>
      <c r="L761" s="207"/>
      <c r="M761" s="207"/>
      <c r="N761" s="207"/>
      <c r="O761" s="207"/>
      <c r="P761" s="207"/>
      <c r="Q761" s="207"/>
      <c r="R761" s="207"/>
      <c r="S761" s="207"/>
      <c r="T761" s="207"/>
      <c r="U761" s="207"/>
      <c r="V761" s="207"/>
      <c r="W761" s="207"/>
      <c r="X761" s="207"/>
      <c r="Y761" s="207"/>
      <c r="Z761" s="207"/>
      <c r="AA761" s="207"/>
      <c r="AB761" s="207"/>
      <c r="AC761" s="207"/>
      <c r="AD761" s="207"/>
      <c r="AE761" s="207"/>
      <c r="AF761" s="207"/>
      <c r="AG761" s="207"/>
      <c r="AH761" s="207"/>
      <c r="AI761" s="207"/>
      <c r="AJ761" s="207"/>
      <c r="AK761" s="207"/>
      <c r="AL761" s="207"/>
      <c r="AM761" s="207"/>
      <c r="AN761" s="207"/>
      <c r="AO761" s="207"/>
      <c r="AP761" s="207"/>
      <c r="AQ761" s="207"/>
      <c r="AR761" s="207"/>
      <c r="AS761" s="207"/>
      <c r="AT761" s="207"/>
      <c r="AU761" s="207"/>
      <c r="AV761" s="207"/>
      <c r="AW761" s="207"/>
      <c r="AX761" s="207"/>
      <c r="AY761" s="207"/>
      <c r="AZ761" s="207"/>
      <c r="BA761" s="207"/>
    </row>
    <row r="762" ht="18.75" hidden="1" customHeight="1">
      <c r="A762" s="1"/>
      <c r="B762" s="207"/>
      <c r="C762" s="207"/>
      <c r="D762" s="207"/>
      <c r="E762" s="207"/>
      <c r="F762" s="207"/>
      <c r="G762" s="207"/>
      <c r="H762" s="207"/>
      <c r="I762" s="207"/>
      <c r="J762" s="207"/>
      <c r="K762" s="207"/>
      <c r="L762" s="207"/>
      <c r="M762" s="207"/>
      <c r="N762" s="207"/>
      <c r="O762" s="207"/>
      <c r="P762" s="207"/>
      <c r="Q762" s="207"/>
      <c r="R762" s="207"/>
      <c r="S762" s="207"/>
      <c r="T762" s="207"/>
      <c r="U762" s="207"/>
      <c r="V762" s="207"/>
      <c r="W762" s="207"/>
      <c r="X762" s="207"/>
      <c r="Y762" s="207"/>
      <c r="Z762" s="207"/>
      <c r="AA762" s="207"/>
      <c r="AB762" s="207"/>
      <c r="AC762" s="207"/>
      <c r="AD762" s="207"/>
      <c r="AE762" s="207"/>
      <c r="AF762" s="207"/>
      <c r="AG762" s="207"/>
      <c r="AH762" s="207"/>
      <c r="AI762" s="207"/>
      <c r="AJ762" s="207"/>
      <c r="AK762" s="207"/>
      <c r="AL762" s="207"/>
      <c r="AM762" s="207"/>
      <c r="AN762" s="207"/>
      <c r="AO762" s="207"/>
      <c r="AP762" s="207"/>
      <c r="AQ762" s="207"/>
      <c r="AR762" s="207"/>
      <c r="AS762" s="207"/>
      <c r="AT762" s="207"/>
      <c r="AU762" s="207"/>
      <c r="AV762" s="207"/>
      <c r="AW762" s="207"/>
      <c r="AX762" s="207"/>
      <c r="AY762" s="207"/>
      <c r="AZ762" s="207"/>
      <c r="BA762" s="207"/>
    </row>
    <row r="763" ht="18.75" hidden="1" customHeight="1">
      <c r="A763" s="1"/>
      <c r="B763" s="207"/>
      <c r="C763" s="207"/>
      <c r="D763" s="207"/>
      <c r="E763" s="207"/>
      <c r="F763" s="207"/>
      <c r="G763" s="207"/>
      <c r="H763" s="207"/>
      <c r="I763" s="207"/>
      <c r="J763" s="207"/>
      <c r="K763" s="207"/>
      <c r="L763" s="207"/>
      <c r="M763" s="207"/>
      <c r="N763" s="207"/>
      <c r="O763" s="207"/>
      <c r="P763" s="207"/>
      <c r="Q763" s="207"/>
      <c r="R763" s="207"/>
      <c r="S763" s="207"/>
      <c r="T763" s="207"/>
      <c r="U763" s="207"/>
      <c r="V763" s="207"/>
      <c r="W763" s="207"/>
      <c r="X763" s="207"/>
      <c r="Y763" s="207"/>
      <c r="Z763" s="207"/>
      <c r="AA763" s="207"/>
      <c r="AB763" s="207"/>
      <c r="AC763" s="207"/>
      <c r="AD763" s="207"/>
      <c r="AE763" s="207"/>
      <c r="AF763" s="207"/>
      <c r="AG763" s="207"/>
      <c r="AH763" s="207"/>
      <c r="AI763" s="207"/>
      <c r="AJ763" s="207"/>
      <c r="AK763" s="207"/>
      <c r="AL763" s="207"/>
      <c r="AM763" s="207"/>
      <c r="AN763" s="207"/>
      <c r="AO763" s="207"/>
      <c r="AP763" s="207"/>
      <c r="AQ763" s="207"/>
      <c r="AR763" s="207"/>
      <c r="AS763" s="207"/>
      <c r="AT763" s="207"/>
      <c r="AU763" s="207"/>
      <c r="AV763" s="207"/>
      <c r="AW763" s="207"/>
      <c r="AX763" s="207"/>
      <c r="AY763" s="207"/>
      <c r="AZ763" s="207"/>
      <c r="BA763" s="207"/>
    </row>
    <row r="764" ht="18.75" hidden="1" customHeight="1">
      <c r="A764" s="1"/>
      <c r="B764" s="207"/>
      <c r="C764" s="207"/>
      <c r="D764" s="207"/>
      <c r="E764" s="207"/>
      <c r="F764" s="207"/>
      <c r="G764" s="207"/>
      <c r="H764" s="207"/>
      <c r="I764" s="207"/>
      <c r="J764" s="207"/>
      <c r="K764" s="207"/>
      <c r="L764" s="207"/>
      <c r="M764" s="207"/>
      <c r="N764" s="207"/>
      <c r="O764" s="207"/>
      <c r="P764" s="207"/>
      <c r="Q764" s="207"/>
      <c r="R764" s="207"/>
      <c r="S764" s="207"/>
      <c r="T764" s="207"/>
      <c r="U764" s="207"/>
      <c r="V764" s="207"/>
      <c r="W764" s="207"/>
      <c r="X764" s="207"/>
      <c r="Y764" s="207"/>
      <c r="Z764" s="207"/>
      <c r="AA764" s="207"/>
      <c r="AB764" s="207"/>
      <c r="AC764" s="207"/>
      <c r="AD764" s="207"/>
      <c r="AE764" s="207"/>
      <c r="AF764" s="207"/>
      <c r="AG764" s="207"/>
      <c r="AH764" s="207"/>
      <c r="AI764" s="207"/>
      <c r="AJ764" s="207"/>
      <c r="AK764" s="207"/>
      <c r="AL764" s="207"/>
      <c r="AM764" s="207"/>
      <c r="AN764" s="207"/>
      <c r="AO764" s="207"/>
      <c r="AP764" s="207"/>
      <c r="AQ764" s="207"/>
      <c r="AR764" s="207"/>
      <c r="AS764" s="207"/>
      <c r="AT764" s="207"/>
      <c r="AU764" s="207"/>
      <c r="AV764" s="207"/>
      <c r="AW764" s="207"/>
      <c r="AX764" s="207"/>
      <c r="AY764" s="207"/>
      <c r="AZ764" s="207"/>
      <c r="BA764" s="207"/>
    </row>
    <row r="765" ht="18.75" hidden="1" customHeight="1">
      <c r="A765" s="1"/>
      <c r="B765" s="207"/>
      <c r="C765" s="207"/>
      <c r="D765" s="207"/>
      <c r="E765" s="207"/>
      <c r="F765" s="207"/>
      <c r="G765" s="207"/>
      <c r="H765" s="207"/>
      <c r="I765" s="207"/>
      <c r="J765" s="207"/>
      <c r="K765" s="207"/>
      <c r="L765" s="207"/>
      <c r="M765" s="207"/>
      <c r="N765" s="207"/>
      <c r="O765" s="207"/>
      <c r="P765" s="207"/>
      <c r="Q765" s="207"/>
      <c r="R765" s="207"/>
      <c r="S765" s="207"/>
      <c r="T765" s="207"/>
      <c r="U765" s="207"/>
      <c r="V765" s="207"/>
      <c r="W765" s="207"/>
      <c r="X765" s="207"/>
      <c r="Y765" s="207"/>
      <c r="Z765" s="207"/>
      <c r="AA765" s="207"/>
      <c r="AB765" s="207"/>
      <c r="AC765" s="207"/>
      <c r="AD765" s="207"/>
      <c r="AE765" s="207"/>
      <c r="AF765" s="207"/>
      <c r="AG765" s="207"/>
      <c r="AH765" s="207"/>
      <c r="AI765" s="207"/>
      <c r="AJ765" s="207"/>
      <c r="AK765" s="207"/>
      <c r="AL765" s="207"/>
      <c r="AM765" s="207"/>
      <c r="AN765" s="207"/>
      <c r="AO765" s="207"/>
      <c r="AP765" s="207"/>
      <c r="AQ765" s="207"/>
      <c r="AR765" s="207"/>
      <c r="AS765" s="207"/>
      <c r="AT765" s="207"/>
      <c r="AU765" s="207"/>
      <c r="AV765" s="207"/>
      <c r="AW765" s="207"/>
      <c r="AX765" s="207"/>
      <c r="AY765" s="207"/>
      <c r="AZ765" s="207"/>
      <c r="BA765" s="207"/>
    </row>
    <row r="766" ht="18.75" hidden="1" customHeight="1">
      <c r="A766" s="1"/>
      <c r="B766" s="207"/>
      <c r="C766" s="207"/>
      <c r="D766" s="207"/>
      <c r="E766" s="207"/>
      <c r="F766" s="207"/>
      <c r="G766" s="207"/>
      <c r="H766" s="207"/>
      <c r="I766" s="207"/>
      <c r="J766" s="207"/>
      <c r="K766" s="207"/>
      <c r="L766" s="207"/>
      <c r="M766" s="207"/>
      <c r="N766" s="207"/>
      <c r="O766" s="207"/>
      <c r="P766" s="207"/>
      <c r="Q766" s="207"/>
      <c r="R766" s="207"/>
      <c r="S766" s="207"/>
      <c r="T766" s="207"/>
      <c r="U766" s="207"/>
      <c r="V766" s="207"/>
      <c r="W766" s="207"/>
      <c r="X766" s="207"/>
      <c r="Y766" s="207"/>
      <c r="Z766" s="207"/>
      <c r="AA766" s="207"/>
      <c r="AB766" s="207"/>
      <c r="AC766" s="207"/>
      <c r="AD766" s="207"/>
      <c r="AE766" s="207"/>
      <c r="AF766" s="207"/>
      <c r="AG766" s="207"/>
      <c r="AH766" s="207"/>
      <c r="AI766" s="207"/>
      <c r="AJ766" s="207"/>
      <c r="AK766" s="207"/>
      <c r="AL766" s="207"/>
      <c r="AM766" s="207"/>
      <c r="AN766" s="207"/>
      <c r="AO766" s="207"/>
      <c r="AP766" s="207"/>
      <c r="AQ766" s="207"/>
      <c r="AR766" s="207"/>
      <c r="AS766" s="207"/>
      <c r="AT766" s="207"/>
      <c r="AU766" s="207"/>
      <c r="AV766" s="207"/>
      <c r="AW766" s="207"/>
      <c r="AX766" s="207"/>
      <c r="AY766" s="207"/>
      <c r="AZ766" s="207"/>
      <c r="BA766" s="207"/>
    </row>
    <row r="767" ht="18.75" hidden="1" customHeight="1">
      <c r="A767" s="1"/>
      <c r="B767" s="207"/>
      <c r="C767" s="207"/>
      <c r="D767" s="207"/>
      <c r="E767" s="207"/>
      <c r="F767" s="207"/>
      <c r="G767" s="207"/>
      <c r="H767" s="207"/>
      <c r="I767" s="207"/>
      <c r="J767" s="207"/>
      <c r="K767" s="207"/>
      <c r="L767" s="207"/>
      <c r="M767" s="207"/>
      <c r="N767" s="207"/>
      <c r="O767" s="207"/>
      <c r="P767" s="207"/>
      <c r="Q767" s="207"/>
      <c r="R767" s="207"/>
      <c r="S767" s="207"/>
      <c r="T767" s="207"/>
      <c r="U767" s="207"/>
      <c r="V767" s="207"/>
      <c r="W767" s="207"/>
      <c r="X767" s="207"/>
      <c r="Y767" s="207"/>
      <c r="Z767" s="207"/>
      <c r="AA767" s="207"/>
      <c r="AB767" s="207"/>
      <c r="AC767" s="207"/>
      <c r="AD767" s="207"/>
      <c r="AE767" s="207"/>
      <c r="AF767" s="207"/>
      <c r="AG767" s="207"/>
      <c r="AH767" s="207"/>
      <c r="AI767" s="207"/>
      <c r="AJ767" s="207"/>
      <c r="AK767" s="207"/>
      <c r="AL767" s="207"/>
      <c r="AM767" s="207"/>
      <c r="AN767" s="207"/>
      <c r="AO767" s="207"/>
      <c r="AP767" s="207"/>
      <c r="AQ767" s="207"/>
      <c r="AR767" s="207"/>
      <c r="AS767" s="207"/>
      <c r="AT767" s="207"/>
      <c r="AU767" s="207"/>
      <c r="AV767" s="207"/>
      <c r="AW767" s="207"/>
      <c r="AX767" s="207"/>
      <c r="AY767" s="207"/>
      <c r="AZ767" s="207"/>
      <c r="BA767" s="207"/>
    </row>
    <row r="768" ht="18.75" hidden="1" customHeight="1">
      <c r="A768" s="1"/>
      <c r="B768" s="207"/>
      <c r="C768" s="207"/>
      <c r="D768" s="207"/>
      <c r="E768" s="207"/>
      <c r="F768" s="207"/>
      <c r="G768" s="207"/>
      <c r="H768" s="207"/>
      <c r="I768" s="207"/>
      <c r="J768" s="207"/>
      <c r="K768" s="207"/>
      <c r="L768" s="207"/>
      <c r="M768" s="207"/>
      <c r="N768" s="207"/>
      <c r="O768" s="207"/>
      <c r="P768" s="207"/>
      <c r="Q768" s="207"/>
      <c r="R768" s="207"/>
      <c r="S768" s="207"/>
      <c r="T768" s="207"/>
      <c r="U768" s="207"/>
      <c r="V768" s="207"/>
      <c r="W768" s="207"/>
      <c r="X768" s="207"/>
      <c r="Y768" s="207"/>
      <c r="Z768" s="207"/>
      <c r="AA768" s="207"/>
      <c r="AB768" s="207"/>
      <c r="AC768" s="207"/>
      <c r="AD768" s="207"/>
      <c r="AE768" s="207"/>
      <c r="AF768" s="207"/>
      <c r="AG768" s="207"/>
      <c r="AH768" s="207"/>
      <c r="AI768" s="207"/>
      <c r="AJ768" s="207"/>
      <c r="AK768" s="207"/>
      <c r="AL768" s="207"/>
      <c r="AM768" s="207"/>
      <c r="AN768" s="207"/>
      <c r="AO768" s="207"/>
      <c r="AP768" s="207"/>
      <c r="AQ768" s="207"/>
      <c r="AR768" s="207"/>
      <c r="AS768" s="207"/>
      <c r="AT768" s="207"/>
      <c r="AU768" s="207"/>
      <c r="AV768" s="207"/>
      <c r="AW768" s="207"/>
      <c r="AX768" s="207"/>
      <c r="AY768" s="207"/>
      <c r="AZ768" s="207"/>
      <c r="BA768" s="207"/>
    </row>
    <row r="769" ht="18.75" hidden="1" customHeight="1">
      <c r="A769" s="1"/>
      <c r="B769" s="207"/>
      <c r="C769" s="207"/>
      <c r="D769" s="207"/>
      <c r="E769" s="207"/>
      <c r="F769" s="207"/>
      <c r="G769" s="207"/>
      <c r="H769" s="207"/>
      <c r="I769" s="207"/>
      <c r="J769" s="207"/>
      <c r="K769" s="207"/>
      <c r="L769" s="207"/>
      <c r="M769" s="207"/>
      <c r="N769" s="207"/>
      <c r="O769" s="207"/>
      <c r="P769" s="207"/>
      <c r="Q769" s="207"/>
      <c r="R769" s="207"/>
      <c r="S769" s="207"/>
      <c r="T769" s="207"/>
      <c r="U769" s="207"/>
      <c r="V769" s="207"/>
      <c r="W769" s="207"/>
      <c r="X769" s="207"/>
      <c r="Y769" s="207"/>
      <c r="Z769" s="207"/>
      <c r="AA769" s="207"/>
      <c r="AB769" s="207"/>
      <c r="AC769" s="207"/>
      <c r="AD769" s="207"/>
      <c r="AE769" s="207"/>
      <c r="AF769" s="207"/>
      <c r="AG769" s="207"/>
      <c r="AH769" s="207"/>
      <c r="AI769" s="207"/>
      <c r="AJ769" s="207"/>
      <c r="AK769" s="207"/>
      <c r="AL769" s="207"/>
      <c r="AM769" s="207"/>
      <c r="AN769" s="207"/>
      <c r="AO769" s="207"/>
      <c r="AP769" s="207"/>
      <c r="AQ769" s="207"/>
      <c r="AR769" s="207"/>
      <c r="AS769" s="207"/>
      <c r="AT769" s="207"/>
      <c r="AU769" s="207"/>
      <c r="AV769" s="207"/>
      <c r="AW769" s="207"/>
      <c r="AX769" s="207"/>
      <c r="AY769" s="207"/>
      <c r="AZ769" s="207"/>
      <c r="BA769" s="207"/>
    </row>
    <row r="770" ht="18.75" hidden="1" customHeight="1">
      <c r="A770" s="1"/>
      <c r="B770" s="207"/>
      <c r="C770" s="207"/>
      <c r="D770" s="207"/>
      <c r="E770" s="207"/>
      <c r="F770" s="207"/>
      <c r="G770" s="207"/>
      <c r="H770" s="207"/>
      <c r="I770" s="207"/>
      <c r="J770" s="207"/>
      <c r="K770" s="207"/>
      <c r="L770" s="207"/>
      <c r="M770" s="207"/>
      <c r="N770" s="207"/>
      <c r="O770" s="207"/>
      <c r="P770" s="207"/>
      <c r="Q770" s="207"/>
      <c r="R770" s="207"/>
      <c r="S770" s="207"/>
      <c r="T770" s="207"/>
      <c r="U770" s="207"/>
      <c r="V770" s="207"/>
      <c r="W770" s="207"/>
      <c r="X770" s="207"/>
      <c r="Y770" s="207"/>
      <c r="Z770" s="207"/>
      <c r="AA770" s="207"/>
      <c r="AB770" s="207"/>
      <c r="AC770" s="207"/>
      <c r="AD770" s="207"/>
      <c r="AE770" s="207"/>
      <c r="AF770" s="207"/>
      <c r="AG770" s="207"/>
      <c r="AH770" s="207"/>
      <c r="AI770" s="207"/>
      <c r="AJ770" s="207"/>
      <c r="AK770" s="207"/>
      <c r="AL770" s="207"/>
      <c r="AM770" s="207"/>
      <c r="AN770" s="207"/>
      <c r="AO770" s="207"/>
      <c r="AP770" s="207"/>
      <c r="AQ770" s="207"/>
      <c r="AR770" s="207"/>
      <c r="AS770" s="207"/>
      <c r="AT770" s="207"/>
      <c r="AU770" s="207"/>
      <c r="AV770" s="207"/>
      <c r="AW770" s="207"/>
      <c r="AX770" s="207"/>
      <c r="AY770" s="207"/>
      <c r="AZ770" s="207"/>
      <c r="BA770" s="207"/>
    </row>
    <row r="771" ht="18.75" hidden="1" customHeight="1">
      <c r="A771" s="1"/>
      <c r="B771" s="207"/>
      <c r="C771" s="207"/>
      <c r="D771" s="207"/>
      <c r="E771" s="207"/>
      <c r="F771" s="207"/>
      <c r="G771" s="207"/>
      <c r="H771" s="207"/>
      <c r="I771" s="207"/>
      <c r="J771" s="207"/>
      <c r="K771" s="207"/>
      <c r="L771" s="207"/>
      <c r="M771" s="207"/>
      <c r="N771" s="207"/>
      <c r="O771" s="207"/>
      <c r="P771" s="207"/>
      <c r="Q771" s="207"/>
      <c r="R771" s="207"/>
      <c r="S771" s="207"/>
      <c r="T771" s="207"/>
      <c r="U771" s="207"/>
      <c r="V771" s="207"/>
      <c r="W771" s="207"/>
      <c r="X771" s="207"/>
      <c r="Y771" s="207"/>
      <c r="Z771" s="207"/>
      <c r="AA771" s="207"/>
      <c r="AB771" s="207"/>
      <c r="AC771" s="207"/>
      <c r="AD771" s="207"/>
      <c r="AE771" s="207"/>
      <c r="AF771" s="207"/>
      <c r="AG771" s="207"/>
      <c r="AH771" s="207"/>
      <c r="AI771" s="207"/>
      <c r="AJ771" s="207"/>
      <c r="AK771" s="207"/>
      <c r="AL771" s="207"/>
      <c r="AM771" s="207"/>
      <c r="AN771" s="207"/>
      <c r="AO771" s="207"/>
      <c r="AP771" s="207"/>
      <c r="AQ771" s="207"/>
      <c r="AR771" s="207"/>
      <c r="AS771" s="207"/>
      <c r="AT771" s="207"/>
      <c r="AU771" s="207"/>
      <c r="AV771" s="207"/>
      <c r="AW771" s="207"/>
      <c r="AX771" s="207"/>
      <c r="AY771" s="207"/>
      <c r="AZ771" s="207"/>
      <c r="BA771" s="207"/>
    </row>
    <row r="772" ht="18.75" hidden="1" customHeight="1">
      <c r="A772" s="1"/>
      <c r="B772" s="207"/>
      <c r="C772" s="207"/>
      <c r="D772" s="207"/>
      <c r="E772" s="207"/>
      <c r="F772" s="207"/>
      <c r="G772" s="207"/>
      <c r="H772" s="207"/>
      <c r="I772" s="207"/>
      <c r="J772" s="207"/>
      <c r="K772" s="207"/>
      <c r="L772" s="207"/>
      <c r="M772" s="207"/>
      <c r="N772" s="207"/>
      <c r="O772" s="207"/>
      <c r="P772" s="207"/>
      <c r="Q772" s="207"/>
      <c r="R772" s="207"/>
      <c r="S772" s="207"/>
      <c r="T772" s="207"/>
      <c r="U772" s="207"/>
      <c r="V772" s="207"/>
      <c r="W772" s="207"/>
      <c r="X772" s="207"/>
      <c r="Y772" s="207"/>
      <c r="Z772" s="207"/>
      <c r="AA772" s="207"/>
      <c r="AB772" s="207"/>
      <c r="AC772" s="207"/>
      <c r="AD772" s="207"/>
      <c r="AE772" s="207"/>
      <c r="AF772" s="207"/>
      <c r="AG772" s="207"/>
      <c r="AH772" s="207"/>
      <c r="AI772" s="207"/>
      <c r="AJ772" s="207"/>
      <c r="AK772" s="207"/>
      <c r="AL772" s="207"/>
      <c r="AM772" s="207"/>
      <c r="AN772" s="207"/>
      <c r="AO772" s="207"/>
      <c r="AP772" s="207"/>
      <c r="AQ772" s="207"/>
      <c r="AR772" s="207"/>
      <c r="AS772" s="207"/>
      <c r="AT772" s="207"/>
      <c r="AU772" s="207"/>
      <c r="AV772" s="207"/>
      <c r="AW772" s="207"/>
      <c r="AX772" s="207"/>
      <c r="AY772" s="207"/>
      <c r="AZ772" s="207"/>
      <c r="BA772" s="207"/>
    </row>
    <row r="773" ht="18.75" hidden="1" customHeight="1">
      <c r="A773" s="1"/>
      <c r="B773" s="207"/>
      <c r="C773" s="207"/>
      <c r="D773" s="207"/>
      <c r="E773" s="207"/>
      <c r="F773" s="207"/>
      <c r="G773" s="207"/>
      <c r="H773" s="207"/>
      <c r="I773" s="207"/>
      <c r="J773" s="207"/>
      <c r="K773" s="207"/>
      <c r="L773" s="207"/>
      <c r="M773" s="207"/>
      <c r="N773" s="207"/>
      <c r="O773" s="207"/>
      <c r="P773" s="207"/>
      <c r="Q773" s="207"/>
      <c r="R773" s="207"/>
      <c r="S773" s="207"/>
      <c r="T773" s="207"/>
      <c r="U773" s="207"/>
      <c r="V773" s="207"/>
      <c r="W773" s="207"/>
      <c r="X773" s="207"/>
      <c r="Y773" s="207"/>
      <c r="Z773" s="207"/>
      <c r="AA773" s="207"/>
      <c r="AB773" s="207"/>
      <c r="AC773" s="207"/>
      <c r="AD773" s="207"/>
      <c r="AE773" s="207"/>
      <c r="AF773" s="207"/>
      <c r="AG773" s="207"/>
      <c r="AH773" s="207"/>
      <c r="AI773" s="207"/>
      <c r="AJ773" s="207"/>
      <c r="AK773" s="207"/>
      <c r="AL773" s="207"/>
      <c r="AM773" s="207"/>
      <c r="AN773" s="207"/>
      <c r="AO773" s="207"/>
      <c r="AP773" s="207"/>
      <c r="AQ773" s="207"/>
      <c r="AR773" s="207"/>
      <c r="AS773" s="207"/>
      <c r="AT773" s="207"/>
      <c r="AU773" s="207"/>
      <c r="AV773" s="207"/>
      <c r="AW773" s="207"/>
      <c r="AX773" s="207"/>
      <c r="AY773" s="207"/>
      <c r="AZ773" s="207"/>
      <c r="BA773" s="207"/>
    </row>
    <row r="774" ht="18.75" hidden="1" customHeight="1">
      <c r="A774" s="1"/>
      <c r="B774" s="207"/>
      <c r="C774" s="207"/>
      <c r="D774" s="207"/>
      <c r="E774" s="207"/>
      <c r="F774" s="207"/>
      <c r="G774" s="207"/>
      <c r="H774" s="207"/>
      <c r="I774" s="207"/>
      <c r="J774" s="207"/>
      <c r="K774" s="207"/>
      <c r="L774" s="207"/>
      <c r="M774" s="207"/>
      <c r="N774" s="207"/>
      <c r="O774" s="207"/>
      <c r="P774" s="207"/>
      <c r="Q774" s="207"/>
      <c r="R774" s="207"/>
      <c r="S774" s="207"/>
      <c r="T774" s="207"/>
      <c r="U774" s="207"/>
      <c r="V774" s="207"/>
      <c r="W774" s="207"/>
      <c r="X774" s="207"/>
      <c r="Y774" s="207"/>
      <c r="Z774" s="207"/>
      <c r="AA774" s="207"/>
      <c r="AB774" s="207"/>
      <c r="AC774" s="207"/>
      <c r="AD774" s="207"/>
      <c r="AE774" s="207"/>
      <c r="AF774" s="207"/>
      <c r="AG774" s="207"/>
      <c r="AH774" s="207"/>
      <c r="AI774" s="207"/>
      <c r="AJ774" s="207"/>
      <c r="AK774" s="207"/>
      <c r="AL774" s="207"/>
      <c r="AM774" s="207"/>
      <c r="AN774" s="207"/>
      <c r="AO774" s="207"/>
      <c r="AP774" s="207"/>
      <c r="AQ774" s="207"/>
      <c r="AR774" s="207"/>
      <c r="AS774" s="207"/>
      <c r="AT774" s="207"/>
      <c r="AU774" s="207"/>
      <c r="AV774" s="207"/>
      <c r="AW774" s="207"/>
      <c r="AX774" s="207"/>
      <c r="AY774" s="207"/>
      <c r="AZ774" s="207"/>
      <c r="BA774" s="207"/>
    </row>
    <row r="775" ht="18.75" hidden="1" customHeight="1">
      <c r="A775" s="1"/>
      <c r="B775" s="207"/>
      <c r="C775" s="207"/>
      <c r="D775" s="207"/>
      <c r="E775" s="207"/>
      <c r="F775" s="207"/>
      <c r="G775" s="207"/>
      <c r="H775" s="207"/>
      <c r="I775" s="207"/>
      <c r="J775" s="207"/>
      <c r="K775" s="207"/>
      <c r="L775" s="207"/>
      <c r="M775" s="207"/>
      <c r="N775" s="207"/>
      <c r="O775" s="207"/>
      <c r="P775" s="207"/>
      <c r="Q775" s="207"/>
      <c r="R775" s="207"/>
      <c r="S775" s="207"/>
      <c r="T775" s="207"/>
      <c r="U775" s="207"/>
      <c r="V775" s="207"/>
      <c r="W775" s="207"/>
      <c r="X775" s="207"/>
      <c r="Y775" s="207"/>
      <c r="Z775" s="207"/>
      <c r="AA775" s="207"/>
      <c r="AB775" s="207"/>
      <c r="AC775" s="207"/>
      <c r="AD775" s="207"/>
      <c r="AE775" s="207"/>
      <c r="AF775" s="207"/>
      <c r="AG775" s="207"/>
      <c r="AH775" s="207"/>
      <c r="AI775" s="207"/>
      <c r="AJ775" s="207"/>
      <c r="AK775" s="207"/>
      <c r="AL775" s="207"/>
      <c r="AM775" s="207"/>
      <c r="AN775" s="207"/>
      <c r="AO775" s="207"/>
      <c r="AP775" s="207"/>
      <c r="AQ775" s="207"/>
      <c r="AR775" s="207"/>
      <c r="AS775" s="207"/>
      <c r="AT775" s="207"/>
      <c r="AU775" s="207"/>
      <c r="AV775" s="207"/>
      <c r="AW775" s="207"/>
      <c r="AX775" s="207"/>
      <c r="AY775" s="207"/>
      <c r="AZ775" s="207"/>
      <c r="BA775" s="207"/>
    </row>
    <row r="776" ht="18.75" hidden="1" customHeight="1">
      <c r="A776" s="1"/>
      <c r="B776" s="207"/>
      <c r="C776" s="207"/>
      <c r="D776" s="207"/>
      <c r="E776" s="207"/>
      <c r="F776" s="207"/>
      <c r="G776" s="207"/>
      <c r="H776" s="207"/>
      <c r="I776" s="207"/>
      <c r="J776" s="207"/>
      <c r="K776" s="207"/>
      <c r="L776" s="207"/>
      <c r="M776" s="207"/>
      <c r="N776" s="207"/>
      <c r="O776" s="207"/>
      <c r="P776" s="207"/>
      <c r="Q776" s="207"/>
      <c r="R776" s="207"/>
      <c r="S776" s="207"/>
      <c r="T776" s="207"/>
      <c r="U776" s="207"/>
      <c r="V776" s="207"/>
      <c r="W776" s="207"/>
      <c r="X776" s="207"/>
      <c r="Y776" s="207"/>
      <c r="Z776" s="207"/>
      <c r="AA776" s="207"/>
      <c r="AB776" s="207"/>
      <c r="AC776" s="207"/>
      <c r="AD776" s="207"/>
      <c r="AE776" s="207"/>
      <c r="AF776" s="207"/>
      <c r="AG776" s="207"/>
      <c r="AH776" s="207"/>
      <c r="AI776" s="207"/>
      <c r="AJ776" s="207"/>
      <c r="AK776" s="207"/>
      <c r="AL776" s="207"/>
      <c r="AM776" s="207"/>
      <c r="AN776" s="207"/>
      <c r="AO776" s="207"/>
      <c r="AP776" s="207"/>
      <c r="AQ776" s="207"/>
      <c r="AR776" s="207"/>
      <c r="AS776" s="207"/>
      <c r="AT776" s="207"/>
      <c r="AU776" s="207"/>
      <c r="AV776" s="207"/>
      <c r="AW776" s="207"/>
      <c r="AX776" s="207"/>
      <c r="AY776" s="207"/>
      <c r="AZ776" s="207"/>
      <c r="BA776" s="207"/>
    </row>
    <row r="777" ht="18.75" hidden="1" customHeight="1">
      <c r="A777" s="1"/>
      <c r="B777" s="207"/>
      <c r="C777" s="207"/>
      <c r="D777" s="207"/>
      <c r="E777" s="207"/>
      <c r="F777" s="207"/>
      <c r="G777" s="207"/>
      <c r="H777" s="207"/>
      <c r="I777" s="207"/>
      <c r="J777" s="207"/>
      <c r="K777" s="207"/>
      <c r="L777" s="207"/>
      <c r="M777" s="207"/>
      <c r="N777" s="207"/>
      <c r="O777" s="207"/>
      <c r="P777" s="207"/>
      <c r="Q777" s="207"/>
      <c r="R777" s="207"/>
      <c r="S777" s="207"/>
      <c r="T777" s="207"/>
      <c r="U777" s="207"/>
      <c r="V777" s="207"/>
      <c r="W777" s="207"/>
      <c r="X777" s="207"/>
      <c r="Y777" s="207"/>
      <c r="Z777" s="207"/>
      <c r="AA777" s="207"/>
      <c r="AB777" s="207"/>
      <c r="AC777" s="207"/>
      <c r="AD777" s="207"/>
      <c r="AE777" s="207"/>
      <c r="AF777" s="207"/>
      <c r="AG777" s="207"/>
      <c r="AH777" s="207"/>
      <c r="AI777" s="207"/>
      <c r="AJ777" s="207"/>
      <c r="AK777" s="207"/>
      <c r="AL777" s="207"/>
      <c r="AM777" s="207"/>
      <c r="AN777" s="207"/>
      <c r="AO777" s="207"/>
      <c r="AP777" s="207"/>
      <c r="AQ777" s="207"/>
      <c r="AR777" s="207"/>
      <c r="AS777" s="207"/>
      <c r="AT777" s="207"/>
      <c r="AU777" s="207"/>
      <c r="AV777" s="207"/>
      <c r="AW777" s="207"/>
      <c r="AX777" s="207"/>
      <c r="AY777" s="207"/>
      <c r="AZ777" s="207"/>
      <c r="BA777" s="207"/>
    </row>
    <row r="778" ht="18.75" hidden="1" customHeight="1">
      <c r="A778" s="1"/>
      <c r="B778" s="207"/>
      <c r="C778" s="207"/>
      <c r="D778" s="207"/>
      <c r="E778" s="207"/>
      <c r="F778" s="207"/>
      <c r="G778" s="207"/>
      <c r="H778" s="207"/>
      <c r="I778" s="207"/>
      <c r="J778" s="207"/>
      <c r="K778" s="207"/>
      <c r="L778" s="207"/>
      <c r="M778" s="207"/>
      <c r="N778" s="207"/>
      <c r="O778" s="207"/>
      <c r="P778" s="207"/>
      <c r="Q778" s="207"/>
      <c r="R778" s="207"/>
      <c r="S778" s="207"/>
      <c r="T778" s="207"/>
      <c r="U778" s="207"/>
      <c r="V778" s="207"/>
      <c r="W778" s="207"/>
      <c r="X778" s="207"/>
      <c r="Y778" s="207"/>
      <c r="Z778" s="207"/>
      <c r="AA778" s="207"/>
      <c r="AB778" s="207"/>
      <c r="AC778" s="207"/>
      <c r="AD778" s="207"/>
      <c r="AE778" s="207"/>
      <c r="AF778" s="207"/>
      <c r="AG778" s="207"/>
      <c r="AH778" s="207"/>
      <c r="AI778" s="207"/>
      <c r="AJ778" s="207"/>
      <c r="AK778" s="207"/>
      <c r="AL778" s="207"/>
      <c r="AM778" s="207"/>
      <c r="AN778" s="207"/>
      <c r="AO778" s="207"/>
      <c r="AP778" s="207"/>
      <c r="AQ778" s="207"/>
      <c r="AR778" s="207"/>
      <c r="AS778" s="207"/>
      <c r="AT778" s="207"/>
      <c r="AU778" s="207"/>
      <c r="AV778" s="207"/>
      <c r="AW778" s="207"/>
      <c r="AX778" s="207"/>
      <c r="AY778" s="207"/>
      <c r="AZ778" s="207"/>
      <c r="BA778" s="207"/>
    </row>
    <row r="779" ht="18.75" hidden="1" customHeight="1">
      <c r="A779" s="1"/>
      <c r="B779" s="207"/>
      <c r="C779" s="207"/>
      <c r="D779" s="207"/>
      <c r="E779" s="207"/>
      <c r="F779" s="207"/>
      <c r="G779" s="207"/>
      <c r="H779" s="207"/>
      <c r="I779" s="207"/>
      <c r="J779" s="207"/>
      <c r="K779" s="207"/>
      <c r="L779" s="207"/>
      <c r="M779" s="207"/>
      <c r="N779" s="207"/>
      <c r="O779" s="207"/>
      <c r="P779" s="207"/>
      <c r="Q779" s="207"/>
      <c r="R779" s="207"/>
      <c r="S779" s="207"/>
      <c r="T779" s="207"/>
      <c r="U779" s="207"/>
      <c r="V779" s="207"/>
      <c r="W779" s="207"/>
      <c r="X779" s="207"/>
      <c r="Y779" s="207"/>
      <c r="Z779" s="207"/>
      <c r="AA779" s="207"/>
      <c r="AB779" s="207"/>
      <c r="AC779" s="207"/>
      <c r="AD779" s="207"/>
      <c r="AE779" s="207"/>
      <c r="AF779" s="207"/>
      <c r="AG779" s="207"/>
      <c r="AH779" s="207"/>
      <c r="AI779" s="207"/>
      <c r="AJ779" s="207"/>
      <c r="AK779" s="207"/>
      <c r="AL779" s="207"/>
      <c r="AM779" s="207"/>
      <c r="AN779" s="207"/>
      <c r="AO779" s="207"/>
      <c r="AP779" s="207"/>
      <c r="AQ779" s="207"/>
      <c r="AR779" s="207"/>
      <c r="AS779" s="207"/>
      <c r="AT779" s="207"/>
      <c r="AU779" s="207"/>
      <c r="AV779" s="207"/>
      <c r="AW779" s="207"/>
      <c r="AX779" s="207"/>
      <c r="AY779" s="207"/>
      <c r="AZ779" s="207"/>
      <c r="BA779" s="207"/>
    </row>
    <row r="780" ht="18.75" hidden="1" customHeight="1">
      <c r="A780" s="1"/>
      <c r="B780" s="207"/>
      <c r="C780" s="207"/>
      <c r="D780" s="207"/>
      <c r="E780" s="207"/>
      <c r="F780" s="207"/>
      <c r="G780" s="207"/>
      <c r="H780" s="207"/>
      <c r="I780" s="207"/>
      <c r="J780" s="207"/>
      <c r="K780" s="207"/>
      <c r="L780" s="207"/>
      <c r="M780" s="207"/>
      <c r="N780" s="207"/>
      <c r="O780" s="207"/>
      <c r="P780" s="207"/>
      <c r="Q780" s="207"/>
      <c r="R780" s="207"/>
      <c r="S780" s="207"/>
      <c r="T780" s="207"/>
      <c r="U780" s="207"/>
      <c r="V780" s="207"/>
      <c r="W780" s="207"/>
      <c r="X780" s="207"/>
      <c r="Y780" s="207"/>
      <c r="Z780" s="207"/>
      <c r="AA780" s="207"/>
      <c r="AB780" s="207"/>
      <c r="AC780" s="207"/>
      <c r="AD780" s="207"/>
      <c r="AE780" s="207"/>
      <c r="AF780" s="207"/>
      <c r="AG780" s="207"/>
      <c r="AH780" s="207"/>
      <c r="AI780" s="207"/>
      <c r="AJ780" s="207"/>
      <c r="AK780" s="207"/>
      <c r="AL780" s="207"/>
      <c r="AM780" s="207"/>
      <c r="AN780" s="207"/>
      <c r="AO780" s="207"/>
      <c r="AP780" s="207"/>
      <c r="AQ780" s="207"/>
      <c r="AR780" s="207"/>
      <c r="AS780" s="207"/>
      <c r="AT780" s="207"/>
      <c r="AU780" s="207"/>
      <c r="AV780" s="207"/>
      <c r="AW780" s="207"/>
      <c r="AX780" s="207"/>
      <c r="AY780" s="207"/>
      <c r="AZ780" s="207"/>
      <c r="BA780" s="207"/>
    </row>
    <row r="781" ht="18.75" hidden="1" customHeight="1">
      <c r="A781" s="1"/>
      <c r="B781" s="207"/>
      <c r="C781" s="207"/>
      <c r="D781" s="207"/>
      <c r="E781" s="207"/>
      <c r="F781" s="207"/>
      <c r="G781" s="207"/>
      <c r="H781" s="207"/>
      <c r="I781" s="207"/>
      <c r="J781" s="207"/>
      <c r="K781" s="207"/>
      <c r="L781" s="207"/>
      <c r="M781" s="207"/>
      <c r="N781" s="207"/>
      <c r="O781" s="207"/>
      <c r="P781" s="207"/>
      <c r="Q781" s="207"/>
      <c r="R781" s="207"/>
      <c r="S781" s="207"/>
      <c r="T781" s="207"/>
      <c r="U781" s="207"/>
      <c r="V781" s="207"/>
      <c r="W781" s="207"/>
      <c r="X781" s="207"/>
      <c r="Y781" s="207"/>
      <c r="Z781" s="207"/>
      <c r="AA781" s="207"/>
      <c r="AB781" s="207"/>
      <c r="AC781" s="207"/>
      <c r="AD781" s="207"/>
      <c r="AE781" s="207"/>
      <c r="AF781" s="207"/>
      <c r="AG781" s="207"/>
      <c r="AH781" s="207"/>
      <c r="AI781" s="207"/>
      <c r="AJ781" s="207"/>
      <c r="AK781" s="207"/>
      <c r="AL781" s="207"/>
      <c r="AM781" s="207"/>
      <c r="AN781" s="207"/>
      <c r="AO781" s="207"/>
      <c r="AP781" s="207"/>
      <c r="AQ781" s="207"/>
      <c r="AR781" s="207"/>
      <c r="AS781" s="207"/>
      <c r="AT781" s="207"/>
      <c r="AU781" s="207"/>
      <c r="AV781" s="207"/>
      <c r="AW781" s="207"/>
      <c r="AX781" s="207"/>
      <c r="AY781" s="207"/>
      <c r="AZ781" s="207"/>
      <c r="BA781" s="207"/>
    </row>
    <row r="782" ht="18.75" hidden="1" customHeight="1">
      <c r="A782" s="1"/>
      <c r="B782" s="207"/>
      <c r="C782" s="207"/>
      <c r="D782" s="207"/>
      <c r="E782" s="207"/>
      <c r="F782" s="207"/>
      <c r="G782" s="207"/>
      <c r="H782" s="207"/>
      <c r="I782" s="207"/>
      <c r="J782" s="207"/>
      <c r="K782" s="207"/>
      <c r="L782" s="207"/>
      <c r="M782" s="207"/>
      <c r="N782" s="207"/>
      <c r="O782" s="207"/>
      <c r="P782" s="207"/>
      <c r="Q782" s="207"/>
      <c r="R782" s="207"/>
      <c r="S782" s="207"/>
      <c r="T782" s="207"/>
      <c r="U782" s="207"/>
      <c r="V782" s="207"/>
      <c r="W782" s="207"/>
      <c r="X782" s="207"/>
      <c r="Y782" s="207"/>
      <c r="Z782" s="207"/>
      <c r="AA782" s="207"/>
      <c r="AB782" s="207"/>
      <c r="AC782" s="207"/>
      <c r="AD782" s="207"/>
      <c r="AE782" s="207"/>
      <c r="AF782" s="207"/>
      <c r="AG782" s="207"/>
      <c r="AH782" s="207"/>
      <c r="AI782" s="207"/>
      <c r="AJ782" s="207"/>
      <c r="AK782" s="207"/>
      <c r="AL782" s="207"/>
      <c r="AM782" s="207"/>
      <c r="AN782" s="207"/>
      <c r="AO782" s="207"/>
      <c r="AP782" s="207"/>
      <c r="AQ782" s="207"/>
      <c r="AR782" s="207"/>
      <c r="AS782" s="207"/>
      <c r="AT782" s="207"/>
      <c r="AU782" s="207"/>
      <c r="AV782" s="207"/>
      <c r="AW782" s="207"/>
      <c r="AX782" s="207"/>
      <c r="AY782" s="207"/>
      <c r="AZ782" s="207"/>
      <c r="BA782" s="207"/>
    </row>
    <row r="783" ht="18.75" hidden="1" customHeight="1">
      <c r="A783" s="1"/>
      <c r="B783" s="207"/>
      <c r="C783" s="207"/>
      <c r="D783" s="207"/>
      <c r="E783" s="207"/>
      <c r="F783" s="207"/>
      <c r="G783" s="207"/>
      <c r="H783" s="207"/>
      <c r="I783" s="207"/>
      <c r="J783" s="207"/>
      <c r="K783" s="207"/>
      <c r="L783" s="207"/>
      <c r="M783" s="207"/>
      <c r="N783" s="207"/>
      <c r="O783" s="207"/>
      <c r="P783" s="207"/>
      <c r="Q783" s="207"/>
      <c r="R783" s="207"/>
      <c r="S783" s="207"/>
      <c r="T783" s="207"/>
      <c r="U783" s="207"/>
      <c r="V783" s="207"/>
      <c r="W783" s="207"/>
      <c r="X783" s="207"/>
      <c r="Y783" s="207"/>
      <c r="Z783" s="207"/>
      <c r="AA783" s="207"/>
      <c r="AB783" s="207"/>
      <c r="AC783" s="207"/>
      <c r="AD783" s="207"/>
      <c r="AE783" s="207"/>
      <c r="AF783" s="207"/>
      <c r="AG783" s="207"/>
      <c r="AH783" s="207"/>
      <c r="AI783" s="207"/>
      <c r="AJ783" s="207"/>
      <c r="AK783" s="207"/>
      <c r="AL783" s="207"/>
      <c r="AM783" s="207"/>
      <c r="AN783" s="207"/>
      <c r="AO783" s="207"/>
      <c r="AP783" s="207"/>
      <c r="AQ783" s="207"/>
      <c r="AR783" s="207"/>
      <c r="AS783" s="207"/>
      <c r="AT783" s="207"/>
      <c r="AU783" s="207"/>
      <c r="AV783" s="207"/>
      <c r="AW783" s="207"/>
      <c r="AX783" s="207"/>
      <c r="AY783" s="207"/>
      <c r="AZ783" s="207"/>
      <c r="BA783" s="207"/>
    </row>
    <row r="784" ht="18.75" hidden="1" customHeight="1">
      <c r="A784" s="1"/>
      <c r="B784" s="207"/>
      <c r="C784" s="207"/>
      <c r="D784" s="207"/>
      <c r="E784" s="207"/>
      <c r="F784" s="207"/>
      <c r="G784" s="207"/>
      <c r="H784" s="207"/>
      <c r="I784" s="207"/>
      <c r="J784" s="207"/>
      <c r="K784" s="207"/>
      <c r="L784" s="207"/>
      <c r="M784" s="207"/>
      <c r="N784" s="207"/>
      <c r="O784" s="207"/>
      <c r="P784" s="207"/>
      <c r="Q784" s="207"/>
      <c r="R784" s="207"/>
      <c r="S784" s="207"/>
      <c r="T784" s="207"/>
      <c r="U784" s="207"/>
      <c r="V784" s="207"/>
      <c r="W784" s="207"/>
      <c r="X784" s="207"/>
      <c r="Y784" s="207"/>
      <c r="Z784" s="207"/>
      <c r="AA784" s="207"/>
      <c r="AB784" s="207"/>
      <c r="AC784" s="207"/>
      <c r="AD784" s="207"/>
      <c r="AE784" s="207"/>
      <c r="AF784" s="207"/>
      <c r="AG784" s="207"/>
      <c r="AH784" s="207"/>
      <c r="AI784" s="207"/>
      <c r="AJ784" s="207"/>
      <c r="AK784" s="207"/>
      <c r="AL784" s="207"/>
      <c r="AM784" s="207"/>
      <c r="AN784" s="207"/>
      <c r="AO784" s="207"/>
      <c r="AP784" s="207"/>
      <c r="AQ784" s="207"/>
      <c r="AR784" s="207"/>
      <c r="AS784" s="207"/>
      <c r="AT784" s="207"/>
      <c r="AU784" s="207"/>
      <c r="AV784" s="207"/>
      <c r="AW784" s="207"/>
      <c r="AX784" s="207"/>
      <c r="AY784" s="207"/>
      <c r="AZ784" s="207"/>
      <c r="BA784" s="207"/>
    </row>
    <row r="785" ht="18.75" hidden="1" customHeight="1">
      <c r="A785" s="1"/>
      <c r="B785" s="207"/>
      <c r="C785" s="207"/>
      <c r="D785" s="207"/>
      <c r="E785" s="207"/>
      <c r="F785" s="207"/>
      <c r="G785" s="207"/>
      <c r="H785" s="207"/>
      <c r="I785" s="207"/>
      <c r="J785" s="207"/>
      <c r="K785" s="207"/>
      <c r="L785" s="207"/>
      <c r="M785" s="207"/>
      <c r="N785" s="207"/>
      <c r="O785" s="207"/>
      <c r="P785" s="207"/>
      <c r="Q785" s="207"/>
      <c r="R785" s="207"/>
      <c r="S785" s="207"/>
      <c r="T785" s="207"/>
      <c r="U785" s="207"/>
      <c r="V785" s="207"/>
      <c r="W785" s="207"/>
      <c r="X785" s="207"/>
      <c r="Y785" s="207"/>
      <c r="Z785" s="207"/>
      <c r="AA785" s="207"/>
      <c r="AB785" s="207"/>
      <c r="AC785" s="207"/>
      <c r="AD785" s="207"/>
      <c r="AE785" s="207"/>
      <c r="AF785" s="207"/>
      <c r="AG785" s="207"/>
      <c r="AH785" s="207"/>
      <c r="AI785" s="207"/>
      <c r="AJ785" s="207"/>
      <c r="AK785" s="207"/>
      <c r="AL785" s="207"/>
      <c r="AM785" s="207"/>
      <c r="AN785" s="207"/>
      <c r="AO785" s="207"/>
      <c r="AP785" s="207"/>
      <c r="AQ785" s="207"/>
      <c r="AR785" s="207"/>
      <c r="AS785" s="207"/>
      <c r="AT785" s="207"/>
      <c r="AU785" s="207"/>
      <c r="AV785" s="207"/>
      <c r="AW785" s="207"/>
      <c r="AX785" s="207"/>
      <c r="AY785" s="207"/>
      <c r="AZ785" s="207"/>
      <c r="BA785" s="207"/>
    </row>
    <row r="786" ht="18.75" hidden="1" customHeight="1">
      <c r="A786" s="1"/>
      <c r="B786" s="207"/>
      <c r="C786" s="207"/>
      <c r="D786" s="207"/>
      <c r="E786" s="207"/>
      <c r="F786" s="207"/>
      <c r="G786" s="207"/>
      <c r="H786" s="207"/>
      <c r="I786" s="207"/>
      <c r="J786" s="207"/>
      <c r="K786" s="207"/>
      <c r="L786" s="207"/>
      <c r="M786" s="207"/>
      <c r="N786" s="207"/>
      <c r="O786" s="207"/>
      <c r="P786" s="207"/>
      <c r="Q786" s="207"/>
      <c r="R786" s="207"/>
      <c r="S786" s="207"/>
      <c r="T786" s="207"/>
      <c r="U786" s="207"/>
      <c r="V786" s="207"/>
      <c r="W786" s="207"/>
      <c r="X786" s="207"/>
      <c r="Y786" s="207"/>
      <c r="Z786" s="207"/>
      <c r="AA786" s="207"/>
      <c r="AB786" s="207"/>
      <c r="AC786" s="207"/>
      <c r="AD786" s="207"/>
      <c r="AE786" s="207"/>
      <c r="AF786" s="207"/>
      <c r="AG786" s="207"/>
      <c r="AH786" s="207"/>
      <c r="AI786" s="207"/>
      <c r="AJ786" s="207"/>
      <c r="AK786" s="207"/>
      <c r="AL786" s="207"/>
      <c r="AM786" s="207"/>
      <c r="AN786" s="207"/>
      <c r="AO786" s="207"/>
      <c r="AP786" s="207"/>
      <c r="AQ786" s="207"/>
      <c r="AR786" s="207"/>
      <c r="AS786" s="207"/>
      <c r="AT786" s="207"/>
      <c r="AU786" s="207"/>
      <c r="AV786" s="207"/>
      <c r="AW786" s="207"/>
      <c r="AX786" s="207"/>
      <c r="AY786" s="207"/>
      <c r="AZ786" s="207"/>
      <c r="BA786" s="207"/>
    </row>
    <row r="787" ht="18.75" hidden="1" customHeight="1">
      <c r="A787" s="1"/>
      <c r="B787" s="207"/>
      <c r="C787" s="207"/>
      <c r="D787" s="207"/>
      <c r="E787" s="207"/>
      <c r="F787" s="207"/>
      <c r="G787" s="207"/>
      <c r="H787" s="207"/>
      <c r="I787" s="207"/>
      <c r="J787" s="207"/>
      <c r="K787" s="207"/>
      <c r="L787" s="207"/>
      <c r="M787" s="207"/>
      <c r="N787" s="207"/>
      <c r="O787" s="207"/>
      <c r="P787" s="207"/>
      <c r="Q787" s="207"/>
      <c r="R787" s="207"/>
      <c r="S787" s="207"/>
      <c r="T787" s="207"/>
      <c r="U787" s="207"/>
      <c r="V787" s="207"/>
      <c r="W787" s="207"/>
      <c r="X787" s="207"/>
      <c r="Y787" s="207"/>
      <c r="Z787" s="207"/>
      <c r="AA787" s="207"/>
      <c r="AB787" s="207"/>
      <c r="AC787" s="207"/>
      <c r="AD787" s="207"/>
      <c r="AE787" s="207"/>
      <c r="AF787" s="207"/>
      <c r="AG787" s="207"/>
      <c r="AH787" s="207"/>
      <c r="AI787" s="207"/>
      <c r="AJ787" s="207"/>
      <c r="AK787" s="207"/>
      <c r="AL787" s="207"/>
      <c r="AM787" s="207"/>
      <c r="AN787" s="207"/>
      <c r="AO787" s="207"/>
      <c r="AP787" s="207"/>
      <c r="AQ787" s="207"/>
      <c r="AR787" s="207"/>
      <c r="AS787" s="207"/>
      <c r="AT787" s="207"/>
      <c r="AU787" s="207"/>
      <c r="AV787" s="207"/>
      <c r="AW787" s="207"/>
      <c r="AX787" s="207"/>
      <c r="AY787" s="207"/>
      <c r="AZ787" s="207"/>
      <c r="BA787" s="207"/>
    </row>
    <row r="788" ht="18.75" hidden="1" customHeight="1">
      <c r="A788" s="1"/>
      <c r="B788" s="207"/>
      <c r="C788" s="207"/>
      <c r="D788" s="207"/>
      <c r="E788" s="207"/>
      <c r="F788" s="207"/>
      <c r="G788" s="207"/>
      <c r="H788" s="207"/>
      <c r="I788" s="207"/>
      <c r="J788" s="207"/>
      <c r="K788" s="207"/>
      <c r="L788" s="207"/>
      <c r="M788" s="207"/>
      <c r="N788" s="207"/>
      <c r="O788" s="207"/>
      <c r="P788" s="207"/>
      <c r="Q788" s="207"/>
      <c r="R788" s="207"/>
      <c r="S788" s="207"/>
      <c r="T788" s="207"/>
      <c r="U788" s="207"/>
      <c r="V788" s="207"/>
      <c r="W788" s="207"/>
      <c r="X788" s="207"/>
      <c r="Y788" s="207"/>
      <c r="Z788" s="207"/>
      <c r="AA788" s="207"/>
      <c r="AB788" s="207"/>
      <c r="AC788" s="207"/>
      <c r="AD788" s="207"/>
      <c r="AE788" s="207"/>
      <c r="AF788" s="207"/>
      <c r="AG788" s="207"/>
      <c r="AH788" s="207"/>
      <c r="AI788" s="207"/>
      <c r="AJ788" s="207"/>
      <c r="AK788" s="207"/>
      <c r="AL788" s="207"/>
      <c r="AM788" s="207"/>
      <c r="AN788" s="207"/>
      <c r="AO788" s="207"/>
      <c r="AP788" s="207"/>
      <c r="AQ788" s="207"/>
      <c r="AR788" s="207"/>
      <c r="AS788" s="207"/>
      <c r="AT788" s="207"/>
      <c r="AU788" s="207"/>
      <c r="AV788" s="207"/>
      <c r="AW788" s="207"/>
      <c r="AX788" s="207"/>
      <c r="AY788" s="207"/>
      <c r="AZ788" s="207"/>
      <c r="BA788" s="207"/>
    </row>
    <row r="789" ht="18.75" hidden="1" customHeight="1">
      <c r="A789" s="1"/>
      <c r="B789" s="207"/>
      <c r="C789" s="207"/>
      <c r="D789" s="207"/>
      <c r="E789" s="207"/>
      <c r="F789" s="207"/>
      <c r="G789" s="207"/>
      <c r="H789" s="207"/>
      <c r="I789" s="207"/>
      <c r="J789" s="207"/>
      <c r="K789" s="207"/>
      <c r="L789" s="207"/>
      <c r="M789" s="207"/>
      <c r="N789" s="207"/>
      <c r="O789" s="207"/>
      <c r="P789" s="207"/>
      <c r="Q789" s="207"/>
      <c r="R789" s="207"/>
      <c r="S789" s="207"/>
      <c r="T789" s="207"/>
      <c r="U789" s="207"/>
      <c r="V789" s="207"/>
      <c r="W789" s="207"/>
      <c r="X789" s="207"/>
      <c r="Y789" s="207"/>
      <c r="Z789" s="207"/>
      <c r="AA789" s="207"/>
      <c r="AB789" s="207"/>
      <c r="AC789" s="207"/>
      <c r="AD789" s="207"/>
      <c r="AE789" s="207"/>
      <c r="AF789" s="207"/>
      <c r="AG789" s="207"/>
      <c r="AH789" s="207"/>
      <c r="AI789" s="207"/>
      <c r="AJ789" s="207"/>
      <c r="AK789" s="207"/>
      <c r="AL789" s="207"/>
      <c r="AM789" s="207"/>
      <c r="AN789" s="207"/>
      <c r="AO789" s="207"/>
      <c r="AP789" s="207"/>
      <c r="AQ789" s="207"/>
      <c r="AR789" s="207"/>
      <c r="AS789" s="207"/>
      <c r="AT789" s="207"/>
      <c r="AU789" s="207"/>
      <c r="AV789" s="207"/>
      <c r="AW789" s="207"/>
      <c r="AX789" s="207"/>
      <c r="AY789" s="207"/>
      <c r="AZ789" s="207"/>
      <c r="BA789" s="207"/>
    </row>
    <row r="790" ht="18.75" hidden="1" customHeight="1">
      <c r="A790" s="1"/>
      <c r="B790" s="207"/>
      <c r="C790" s="207"/>
      <c r="D790" s="207"/>
      <c r="E790" s="207"/>
      <c r="F790" s="207"/>
      <c r="G790" s="207"/>
      <c r="H790" s="207"/>
      <c r="I790" s="207"/>
      <c r="J790" s="207"/>
      <c r="K790" s="207"/>
      <c r="L790" s="207"/>
      <c r="M790" s="207"/>
      <c r="N790" s="207"/>
      <c r="O790" s="207"/>
      <c r="P790" s="207"/>
      <c r="Q790" s="207"/>
      <c r="R790" s="207"/>
      <c r="S790" s="207"/>
      <c r="T790" s="207"/>
      <c r="U790" s="207"/>
      <c r="V790" s="207"/>
      <c r="W790" s="207"/>
      <c r="X790" s="207"/>
      <c r="Y790" s="207"/>
      <c r="Z790" s="207"/>
      <c r="AA790" s="207"/>
      <c r="AB790" s="207"/>
      <c r="AC790" s="207"/>
      <c r="AD790" s="207"/>
      <c r="AE790" s="207"/>
      <c r="AF790" s="207"/>
      <c r="AG790" s="207"/>
      <c r="AH790" s="207"/>
      <c r="AI790" s="207"/>
      <c r="AJ790" s="207"/>
      <c r="AK790" s="207"/>
      <c r="AL790" s="207"/>
      <c r="AM790" s="207"/>
      <c r="AN790" s="207"/>
      <c r="AO790" s="207"/>
      <c r="AP790" s="207"/>
      <c r="AQ790" s="207"/>
      <c r="AR790" s="207"/>
      <c r="AS790" s="207"/>
      <c r="AT790" s="207"/>
      <c r="AU790" s="207"/>
      <c r="AV790" s="207"/>
      <c r="AW790" s="207"/>
      <c r="AX790" s="207"/>
      <c r="AY790" s="207"/>
      <c r="AZ790" s="207"/>
      <c r="BA790" s="207"/>
    </row>
    <row r="791" ht="18.75" hidden="1" customHeight="1">
      <c r="A791" s="1"/>
      <c r="B791" s="207"/>
      <c r="C791" s="207"/>
      <c r="D791" s="207"/>
      <c r="E791" s="207"/>
      <c r="F791" s="207"/>
      <c r="G791" s="207"/>
      <c r="H791" s="207"/>
      <c r="I791" s="207"/>
      <c r="J791" s="207"/>
      <c r="K791" s="207"/>
      <c r="L791" s="207"/>
      <c r="M791" s="207"/>
      <c r="N791" s="207"/>
      <c r="O791" s="207"/>
      <c r="P791" s="207"/>
      <c r="Q791" s="207"/>
      <c r="R791" s="207"/>
      <c r="S791" s="207"/>
      <c r="T791" s="207"/>
      <c r="U791" s="207"/>
      <c r="V791" s="207"/>
      <c r="W791" s="207"/>
      <c r="X791" s="207"/>
      <c r="Y791" s="207"/>
      <c r="Z791" s="207"/>
      <c r="AA791" s="207"/>
      <c r="AB791" s="207"/>
      <c r="AC791" s="207"/>
      <c r="AD791" s="207"/>
      <c r="AE791" s="207"/>
      <c r="AF791" s="207"/>
      <c r="AG791" s="207"/>
      <c r="AH791" s="207"/>
      <c r="AI791" s="207"/>
      <c r="AJ791" s="207"/>
      <c r="AK791" s="207"/>
      <c r="AL791" s="207"/>
      <c r="AM791" s="207"/>
      <c r="AN791" s="207"/>
      <c r="AO791" s="207"/>
      <c r="AP791" s="207"/>
      <c r="AQ791" s="207"/>
      <c r="AR791" s="207"/>
      <c r="AS791" s="207"/>
      <c r="AT791" s="207"/>
      <c r="AU791" s="207"/>
      <c r="AV791" s="207"/>
      <c r="AW791" s="207"/>
      <c r="AX791" s="207"/>
      <c r="AY791" s="207"/>
      <c r="AZ791" s="207"/>
      <c r="BA791" s="207"/>
    </row>
    <row r="792" ht="18.75" hidden="1" customHeight="1">
      <c r="A792" s="1"/>
      <c r="B792" s="207"/>
      <c r="C792" s="207"/>
      <c r="D792" s="207"/>
      <c r="E792" s="207"/>
      <c r="F792" s="207"/>
      <c r="G792" s="207"/>
      <c r="H792" s="207"/>
      <c r="I792" s="207"/>
      <c r="J792" s="207"/>
      <c r="K792" s="207"/>
      <c r="L792" s="207"/>
      <c r="M792" s="207"/>
      <c r="N792" s="207"/>
      <c r="O792" s="207"/>
      <c r="P792" s="207"/>
      <c r="Q792" s="207"/>
      <c r="R792" s="207"/>
      <c r="S792" s="207"/>
      <c r="T792" s="207"/>
      <c r="U792" s="207"/>
      <c r="V792" s="207"/>
      <c r="W792" s="207"/>
      <c r="X792" s="207"/>
      <c r="Y792" s="207"/>
      <c r="Z792" s="207"/>
      <c r="AA792" s="207"/>
      <c r="AB792" s="207"/>
      <c r="AC792" s="207"/>
      <c r="AD792" s="207"/>
      <c r="AE792" s="207"/>
      <c r="AF792" s="207"/>
      <c r="AG792" s="207"/>
      <c r="AH792" s="207"/>
      <c r="AI792" s="207"/>
      <c r="AJ792" s="207"/>
      <c r="AK792" s="207"/>
      <c r="AL792" s="207"/>
      <c r="AM792" s="207"/>
      <c r="AN792" s="207"/>
      <c r="AO792" s="207"/>
      <c r="AP792" s="207"/>
      <c r="AQ792" s="207"/>
      <c r="AR792" s="207"/>
      <c r="AS792" s="207"/>
      <c r="AT792" s="207"/>
      <c r="AU792" s="207"/>
      <c r="AV792" s="207"/>
      <c r="AW792" s="207"/>
      <c r="AX792" s="207"/>
      <c r="AY792" s="207"/>
      <c r="AZ792" s="207"/>
      <c r="BA792" s="207"/>
    </row>
    <row r="793" ht="18.75" hidden="1" customHeight="1">
      <c r="A793" s="1"/>
      <c r="B793" s="207"/>
      <c r="C793" s="207"/>
      <c r="D793" s="207"/>
      <c r="E793" s="207"/>
      <c r="F793" s="207"/>
      <c r="G793" s="207"/>
      <c r="H793" s="207"/>
      <c r="I793" s="207"/>
      <c r="J793" s="207"/>
      <c r="K793" s="207"/>
      <c r="L793" s="207"/>
      <c r="M793" s="207"/>
      <c r="N793" s="207"/>
      <c r="O793" s="207"/>
      <c r="P793" s="207"/>
      <c r="Q793" s="207"/>
      <c r="R793" s="207"/>
      <c r="S793" s="207"/>
      <c r="T793" s="207"/>
      <c r="U793" s="207"/>
      <c r="V793" s="207"/>
      <c r="W793" s="207"/>
      <c r="X793" s="207"/>
      <c r="Y793" s="207"/>
      <c r="Z793" s="207"/>
      <c r="AA793" s="207"/>
      <c r="AB793" s="207"/>
      <c r="AC793" s="207"/>
      <c r="AD793" s="207"/>
      <c r="AE793" s="207"/>
      <c r="AF793" s="207"/>
      <c r="AG793" s="207"/>
      <c r="AH793" s="207"/>
      <c r="AI793" s="207"/>
      <c r="AJ793" s="207"/>
      <c r="AK793" s="207"/>
      <c r="AL793" s="207"/>
      <c r="AM793" s="207"/>
      <c r="AN793" s="207"/>
      <c r="AO793" s="207"/>
      <c r="AP793" s="207"/>
      <c r="AQ793" s="207"/>
      <c r="AR793" s="207"/>
      <c r="AS793" s="207"/>
      <c r="AT793" s="207"/>
      <c r="AU793" s="207"/>
      <c r="AV793" s="207"/>
      <c r="AW793" s="207"/>
      <c r="AX793" s="207"/>
      <c r="AY793" s="207"/>
      <c r="AZ793" s="207"/>
      <c r="BA793" s="207"/>
    </row>
    <row r="794" ht="18.75" hidden="1" customHeight="1">
      <c r="A794" s="1"/>
      <c r="B794" s="207"/>
      <c r="C794" s="207"/>
      <c r="D794" s="207"/>
      <c r="E794" s="207"/>
      <c r="F794" s="207"/>
      <c r="G794" s="207"/>
      <c r="H794" s="207"/>
      <c r="I794" s="207"/>
      <c r="J794" s="207"/>
      <c r="K794" s="207"/>
      <c r="L794" s="207"/>
      <c r="M794" s="207"/>
      <c r="N794" s="207"/>
      <c r="O794" s="207"/>
      <c r="P794" s="207"/>
      <c r="Q794" s="207"/>
      <c r="R794" s="207"/>
      <c r="S794" s="207"/>
      <c r="T794" s="207"/>
      <c r="U794" s="207"/>
      <c r="V794" s="207"/>
      <c r="W794" s="207"/>
      <c r="X794" s="207"/>
      <c r="Y794" s="207"/>
      <c r="Z794" s="207"/>
      <c r="AA794" s="207"/>
      <c r="AB794" s="207"/>
      <c r="AC794" s="207"/>
      <c r="AD794" s="207"/>
      <c r="AE794" s="207"/>
      <c r="AF794" s="207"/>
      <c r="AG794" s="207"/>
      <c r="AH794" s="207"/>
      <c r="AI794" s="207"/>
      <c r="AJ794" s="207"/>
      <c r="AK794" s="207"/>
      <c r="AL794" s="207"/>
      <c r="AM794" s="207"/>
      <c r="AN794" s="207"/>
      <c r="AO794" s="207"/>
      <c r="AP794" s="207"/>
      <c r="AQ794" s="207"/>
      <c r="AR794" s="207"/>
      <c r="AS794" s="207"/>
      <c r="AT794" s="207"/>
      <c r="AU794" s="207"/>
      <c r="AV794" s="207"/>
      <c r="AW794" s="207"/>
      <c r="AX794" s="207"/>
      <c r="AY794" s="207"/>
      <c r="AZ794" s="207"/>
      <c r="BA794" s="207"/>
    </row>
    <row r="795" ht="18.75" hidden="1" customHeight="1">
      <c r="A795" s="1"/>
      <c r="B795" s="207"/>
      <c r="C795" s="207"/>
      <c r="D795" s="207"/>
      <c r="E795" s="207"/>
      <c r="F795" s="207"/>
      <c r="G795" s="207"/>
      <c r="H795" s="207"/>
      <c r="I795" s="207"/>
      <c r="J795" s="207"/>
      <c r="K795" s="207"/>
      <c r="L795" s="207"/>
      <c r="M795" s="207"/>
      <c r="N795" s="207"/>
      <c r="O795" s="207"/>
      <c r="P795" s="207"/>
      <c r="Q795" s="207"/>
      <c r="R795" s="207"/>
      <c r="S795" s="207"/>
      <c r="T795" s="207"/>
      <c r="U795" s="207"/>
      <c r="V795" s="207"/>
      <c r="W795" s="207"/>
      <c r="X795" s="207"/>
      <c r="Y795" s="207"/>
      <c r="Z795" s="207"/>
      <c r="AA795" s="207"/>
      <c r="AB795" s="207"/>
      <c r="AC795" s="207"/>
      <c r="AD795" s="207"/>
      <c r="AE795" s="207"/>
      <c r="AF795" s="207"/>
      <c r="AG795" s="207"/>
      <c r="AH795" s="207"/>
      <c r="AI795" s="207"/>
      <c r="AJ795" s="207"/>
      <c r="AK795" s="207"/>
      <c r="AL795" s="207"/>
      <c r="AM795" s="207"/>
      <c r="AN795" s="207"/>
      <c r="AO795" s="207"/>
      <c r="AP795" s="207"/>
      <c r="AQ795" s="207"/>
      <c r="AR795" s="207"/>
      <c r="AS795" s="207"/>
      <c r="AT795" s="207"/>
      <c r="AU795" s="207"/>
      <c r="AV795" s="207"/>
      <c r="AW795" s="207"/>
      <c r="AX795" s="207"/>
      <c r="AY795" s="207"/>
      <c r="AZ795" s="207"/>
      <c r="BA795" s="207"/>
    </row>
    <row r="796" ht="18.75" hidden="1" customHeight="1">
      <c r="A796" s="1"/>
      <c r="B796" s="207"/>
      <c r="C796" s="207"/>
      <c r="D796" s="207"/>
      <c r="E796" s="207"/>
      <c r="F796" s="207"/>
      <c r="G796" s="207"/>
      <c r="H796" s="207"/>
      <c r="I796" s="207"/>
      <c r="J796" s="207"/>
      <c r="K796" s="207"/>
      <c r="L796" s="207"/>
      <c r="M796" s="207"/>
      <c r="N796" s="207"/>
      <c r="O796" s="207"/>
      <c r="P796" s="207"/>
      <c r="Q796" s="207"/>
      <c r="R796" s="207"/>
      <c r="S796" s="207"/>
      <c r="T796" s="207"/>
      <c r="U796" s="207"/>
      <c r="V796" s="207"/>
      <c r="W796" s="207"/>
      <c r="X796" s="207"/>
      <c r="Y796" s="207"/>
      <c r="Z796" s="207"/>
      <c r="AA796" s="207"/>
      <c r="AB796" s="207"/>
      <c r="AC796" s="207"/>
      <c r="AD796" s="207"/>
      <c r="AE796" s="207"/>
      <c r="AF796" s="207"/>
      <c r="AG796" s="207"/>
      <c r="AH796" s="207"/>
      <c r="AI796" s="207"/>
      <c r="AJ796" s="207"/>
      <c r="AK796" s="207"/>
      <c r="AL796" s="207"/>
      <c r="AM796" s="207"/>
      <c r="AN796" s="207"/>
      <c r="AO796" s="207"/>
      <c r="AP796" s="207"/>
      <c r="AQ796" s="207"/>
      <c r="AR796" s="207"/>
      <c r="AS796" s="207"/>
      <c r="AT796" s="207"/>
      <c r="AU796" s="207"/>
      <c r="AV796" s="207"/>
      <c r="AW796" s="207"/>
      <c r="AX796" s="207"/>
      <c r="AY796" s="207"/>
      <c r="AZ796" s="207"/>
      <c r="BA796" s="207"/>
    </row>
    <row r="797" ht="18.75" hidden="1" customHeight="1">
      <c r="A797" s="1"/>
      <c r="B797" s="207"/>
      <c r="C797" s="207"/>
      <c r="D797" s="207"/>
      <c r="E797" s="207"/>
      <c r="F797" s="207"/>
      <c r="G797" s="207"/>
      <c r="H797" s="207"/>
      <c r="I797" s="207"/>
      <c r="J797" s="207"/>
      <c r="K797" s="207"/>
      <c r="L797" s="207"/>
      <c r="M797" s="207"/>
      <c r="N797" s="207"/>
      <c r="O797" s="207"/>
      <c r="P797" s="207"/>
      <c r="Q797" s="207"/>
      <c r="R797" s="207"/>
      <c r="S797" s="207"/>
      <c r="T797" s="207"/>
      <c r="U797" s="207"/>
      <c r="V797" s="207"/>
      <c r="W797" s="207"/>
      <c r="X797" s="207"/>
      <c r="Y797" s="207"/>
      <c r="Z797" s="207"/>
      <c r="AA797" s="207"/>
      <c r="AB797" s="207"/>
      <c r="AC797" s="207"/>
      <c r="AD797" s="207"/>
      <c r="AE797" s="207"/>
      <c r="AF797" s="207"/>
      <c r="AG797" s="207"/>
      <c r="AH797" s="207"/>
      <c r="AI797" s="207"/>
      <c r="AJ797" s="207"/>
      <c r="AK797" s="207"/>
      <c r="AL797" s="207"/>
      <c r="AM797" s="207"/>
      <c r="AN797" s="207"/>
      <c r="AO797" s="207"/>
      <c r="AP797" s="207"/>
      <c r="AQ797" s="207"/>
      <c r="AR797" s="207"/>
      <c r="AS797" s="207"/>
      <c r="AT797" s="207"/>
      <c r="AU797" s="207"/>
      <c r="AV797" s="207"/>
      <c r="AW797" s="207"/>
      <c r="AX797" s="207"/>
      <c r="AY797" s="207"/>
      <c r="AZ797" s="207"/>
      <c r="BA797" s="207"/>
    </row>
    <row r="798" ht="18.75" hidden="1" customHeight="1">
      <c r="A798" s="1"/>
      <c r="B798" s="207"/>
      <c r="C798" s="207"/>
      <c r="D798" s="207"/>
      <c r="E798" s="207"/>
      <c r="F798" s="207"/>
      <c r="G798" s="207"/>
      <c r="H798" s="207"/>
      <c r="I798" s="207"/>
      <c r="J798" s="207"/>
      <c r="K798" s="207"/>
      <c r="L798" s="207"/>
      <c r="M798" s="207"/>
      <c r="N798" s="207"/>
      <c r="O798" s="207"/>
      <c r="P798" s="207"/>
      <c r="Q798" s="207"/>
      <c r="R798" s="207"/>
      <c r="S798" s="207"/>
      <c r="T798" s="207"/>
      <c r="U798" s="207"/>
      <c r="V798" s="207"/>
      <c r="W798" s="207"/>
      <c r="X798" s="207"/>
      <c r="Y798" s="207"/>
      <c r="Z798" s="207"/>
      <c r="AA798" s="207"/>
      <c r="AB798" s="207"/>
      <c r="AC798" s="207"/>
      <c r="AD798" s="207"/>
      <c r="AE798" s="207"/>
      <c r="AF798" s="207"/>
      <c r="AG798" s="207"/>
      <c r="AH798" s="207"/>
      <c r="AI798" s="207"/>
      <c r="AJ798" s="207"/>
      <c r="AK798" s="207"/>
      <c r="AL798" s="207"/>
      <c r="AM798" s="207"/>
      <c r="AN798" s="207"/>
      <c r="AO798" s="207"/>
      <c r="AP798" s="207"/>
      <c r="AQ798" s="207"/>
      <c r="AR798" s="207"/>
      <c r="AS798" s="207"/>
      <c r="AT798" s="207"/>
      <c r="AU798" s="207"/>
      <c r="AV798" s="207"/>
      <c r="AW798" s="207"/>
      <c r="AX798" s="207"/>
      <c r="AY798" s="207"/>
      <c r="AZ798" s="207"/>
      <c r="BA798" s="207"/>
    </row>
    <row r="799" ht="18.75" hidden="1" customHeight="1">
      <c r="A799" s="1"/>
      <c r="B799" s="207"/>
      <c r="C799" s="207"/>
      <c r="D799" s="207"/>
      <c r="E799" s="207"/>
      <c r="F799" s="207"/>
      <c r="G799" s="207"/>
      <c r="H799" s="207"/>
      <c r="I799" s="207"/>
      <c r="J799" s="207"/>
      <c r="K799" s="207"/>
      <c r="L799" s="207"/>
      <c r="M799" s="207"/>
      <c r="N799" s="207"/>
      <c r="O799" s="207"/>
      <c r="P799" s="207"/>
      <c r="Q799" s="207"/>
      <c r="R799" s="207"/>
      <c r="S799" s="207"/>
      <c r="T799" s="207"/>
      <c r="U799" s="207"/>
      <c r="V799" s="207"/>
      <c r="W799" s="207"/>
      <c r="X799" s="207"/>
      <c r="Y799" s="207"/>
      <c r="Z799" s="207"/>
      <c r="AA799" s="207"/>
      <c r="AB799" s="207"/>
      <c r="AC799" s="207"/>
      <c r="AD799" s="207"/>
      <c r="AE799" s="207"/>
      <c r="AF799" s="207"/>
      <c r="AG799" s="207"/>
      <c r="AH799" s="207"/>
      <c r="AI799" s="207"/>
      <c r="AJ799" s="207"/>
      <c r="AK799" s="207"/>
      <c r="AL799" s="207"/>
      <c r="AM799" s="207"/>
      <c r="AN799" s="207"/>
      <c r="AO799" s="207"/>
      <c r="AP799" s="207"/>
      <c r="AQ799" s="207"/>
      <c r="AR799" s="207"/>
      <c r="AS799" s="207"/>
      <c r="AT799" s="207"/>
      <c r="AU799" s="207"/>
      <c r="AV799" s="207"/>
      <c r="AW799" s="207"/>
      <c r="AX799" s="207"/>
      <c r="AY799" s="207"/>
      <c r="AZ799" s="207"/>
      <c r="BA799" s="207"/>
    </row>
    <row r="800" ht="18.75" hidden="1" customHeight="1">
      <c r="A800" s="1"/>
      <c r="B800" s="207"/>
      <c r="C800" s="207"/>
      <c r="D800" s="207"/>
      <c r="E800" s="207"/>
      <c r="F800" s="207"/>
      <c r="G800" s="207"/>
      <c r="H800" s="207"/>
      <c r="I800" s="207"/>
      <c r="J800" s="207"/>
      <c r="K800" s="207"/>
      <c r="L800" s="207"/>
      <c r="M800" s="207"/>
      <c r="N800" s="207"/>
      <c r="O800" s="207"/>
      <c r="P800" s="207"/>
      <c r="Q800" s="207"/>
      <c r="R800" s="207"/>
      <c r="S800" s="207"/>
      <c r="T800" s="207"/>
      <c r="U800" s="207"/>
      <c r="V800" s="207"/>
      <c r="W800" s="207"/>
      <c r="X800" s="207"/>
      <c r="Y800" s="207"/>
      <c r="Z800" s="207"/>
      <c r="AA800" s="207"/>
      <c r="AB800" s="207"/>
      <c r="AC800" s="207"/>
      <c r="AD800" s="207"/>
      <c r="AE800" s="207"/>
      <c r="AF800" s="207"/>
      <c r="AG800" s="207"/>
      <c r="AH800" s="207"/>
      <c r="AI800" s="207"/>
      <c r="AJ800" s="207"/>
      <c r="AK800" s="207"/>
      <c r="AL800" s="207"/>
      <c r="AM800" s="207"/>
      <c r="AN800" s="207"/>
      <c r="AO800" s="207"/>
      <c r="AP800" s="207"/>
      <c r="AQ800" s="207"/>
      <c r="AR800" s="207"/>
      <c r="AS800" s="207"/>
      <c r="AT800" s="207"/>
      <c r="AU800" s="207"/>
      <c r="AV800" s="207"/>
      <c r="AW800" s="207"/>
      <c r="AX800" s="207"/>
      <c r="AY800" s="207"/>
      <c r="AZ800" s="207"/>
      <c r="BA800" s="207"/>
    </row>
    <row r="801" ht="18.75" hidden="1" customHeight="1">
      <c r="A801" s="1"/>
      <c r="B801" s="207"/>
      <c r="C801" s="207"/>
      <c r="D801" s="207"/>
      <c r="E801" s="207"/>
      <c r="F801" s="207"/>
      <c r="G801" s="207"/>
      <c r="H801" s="207"/>
      <c r="I801" s="207"/>
      <c r="J801" s="207"/>
      <c r="K801" s="207"/>
      <c r="L801" s="207"/>
      <c r="M801" s="207"/>
      <c r="N801" s="207"/>
      <c r="O801" s="207"/>
      <c r="P801" s="207"/>
      <c r="Q801" s="207"/>
      <c r="R801" s="207"/>
      <c r="S801" s="207"/>
      <c r="T801" s="207"/>
      <c r="U801" s="207"/>
      <c r="V801" s="207"/>
      <c r="W801" s="207"/>
      <c r="X801" s="207"/>
      <c r="Y801" s="207"/>
      <c r="Z801" s="207"/>
      <c r="AA801" s="207"/>
      <c r="AB801" s="207"/>
      <c r="AC801" s="207"/>
      <c r="AD801" s="207"/>
      <c r="AE801" s="207"/>
      <c r="AF801" s="207"/>
      <c r="AG801" s="207"/>
      <c r="AH801" s="207"/>
      <c r="AI801" s="207"/>
      <c r="AJ801" s="207"/>
      <c r="AK801" s="207"/>
      <c r="AL801" s="207"/>
      <c r="AM801" s="207"/>
      <c r="AN801" s="207"/>
      <c r="AO801" s="207"/>
      <c r="AP801" s="207"/>
      <c r="AQ801" s="207"/>
      <c r="AR801" s="207"/>
      <c r="AS801" s="207"/>
      <c r="AT801" s="207"/>
      <c r="AU801" s="207"/>
      <c r="AV801" s="207"/>
      <c r="AW801" s="207"/>
      <c r="AX801" s="207"/>
      <c r="AY801" s="207"/>
      <c r="AZ801" s="207"/>
      <c r="BA801" s="207"/>
    </row>
    <row r="802" ht="18.75" hidden="1" customHeight="1">
      <c r="A802" s="1"/>
      <c r="B802" s="207"/>
      <c r="C802" s="207"/>
      <c r="D802" s="207"/>
      <c r="E802" s="207"/>
      <c r="F802" s="207"/>
      <c r="G802" s="207"/>
      <c r="H802" s="207"/>
      <c r="I802" s="207"/>
      <c r="J802" s="207"/>
      <c r="K802" s="207"/>
      <c r="L802" s="207"/>
      <c r="M802" s="207"/>
      <c r="N802" s="207"/>
      <c r="O802" s="207"/>
      <c r="P802" s="207"/>
      <c r="Q802" s="207"/>
      <c r="R802" s="207"/>
      <c r="S802" s="207"/>
      <c r="T802" s="207"/>
      <c r="U802" s="207"/>
      <c r="V802" s="207"/>
      <c r="W802" s="207"/>
      <c r="X802" s="207"/>
      <c r="Y802" s="207"/>
      <c r="Z802" s="207"/>
      <c r="AA802" s="207"/>
      <c r="AB802" s="207"/>
      <c r="AC802" s="207"/>
      <c r="AD802" s="207"/>
      <c r="AE802" s="207"/>
      <c r="AF802" s="207"/>
      <c r="AG802" s="207"/>
      <c r="AH802" s="207"/>
      <c r="AI802" s="207"/>
      <c r="AJ802" s="207"/>
      <c r="AK802" s="207"/>
      <c r="AL802" s="207"/>
      <c r="AM802" s="207"/>
      <c r="AN802" s="207"/>
      <c r="AO802" s="207"/>
      <c r="AP802" s="207"/>
      <c r="AQ802" s="207"/>
      <c r="AR802" s="207"/>
      <c r="AS802" s="207"/>
      <c r="AT802" s="207"/>
      <c r="AU802" s="207"/>
      <c r="AV802" s="207"/>
      <c r="AW802" s="207"/>
      <c r="AX802" s="207"/>
      <c r="AY802" s="207"/>
      <c r="AZ802" s="207"/>
      <c r="BA802" s="207"/>
    </row>
    <row r="803" ht="18.75" hidden="1" customHeight="1">
      <c r="A803" s="1"/>
      <c r="B803" s="207"/>
      <c r="C803" s="207"/>
      <c r="D803" s="207"/>
      <c r="E803" s="207"/>
      <c r="F803" s="207"/>
      <c r="G803" s="207"/>
      <c r="H803" s="207"/>
      <c r="I803" s="207"/>
      <c r="J803" s="207"/>
      <c r="K803" s="207"/>
      <c r="L803" s="207"/>
      <c r="M803" s="207"/>
      <c r="N803" s="207"/>
      <c r="O803" s="207"/>
      <c r="P803" s="207"/>
      <c r="Q803" s="207"/>
      <c r="R803" s="207"/>
      <c r="S803" s="207"/>
      <c r="T803" s="207"/>
      <c r="U803" s="207"/>
      <c r="V803" s="207"/>
      <c r="W803" s="207"/>
      <c r="X803" s="207"/>
      <c r="Y803" s="207"/>
      <c r="Z803" s="207"/>
      <c r="AA803" s="207"/>
      <c r="AB803" s="207"/>
      <c r="AC803" s="207"/>
      <c r="AD803" s="207"/>
      <c r="AE803" s="207"/>
      <c r="AF803" s="207"/>
      <c r="AG803" s="207"/>
      <c r="AH803" s="207"/>
      <c r="AI803" s="207"/>
      <c r="AJ803" s="207"/>
      <c r="AK803" s="207"/>
      <c r="AL803" s="207"/>
      <c r="AM803" s="207"/>
      <c r="AN803" s="207"/>
      <c r="AO803" s="207"/>
      <c r="AP803" s="207"/>
      <c r="AQ803" s="207"/>
      <c r="AR803" s="207"/>
      <c r="AS803" s="207"/>
      <c r="AT803" s="207"/>
      <c r="AU803" s="207"/>
      <c r="AV803" s="207"/>
      <c r="AW803" s="207"/>
      <c r="AX803" s="207"/>
      <c r="AY803" s="207"/>
      <c r="AZ803" s="207"/>
      <c r="BA803" s="207"/>
    </row>
    <row r="804" ht="18.75" hidden="1" customHeight="1">
      <c r="A804" s="1"/>
      <c r="B804" s="207"/>
      <c r="C804" s="207"/>
      <c r="D804" s="207"/>
      <c r="E804" s="207"/>
      <c r="F804" s="207"/>
      <c r="G804" s="207"/>
      <c r="H804" s="207"/>
      <c r="I804" s="207"/>
      <c r="J804" s="207"/>
      <c r="K804" s="207"/>
      <c r="L804" s="207"/>
      <c r="M804" s="207"/>
      <c r="N804" s="207"/>
      <c r="O804" s="207"/>
      <c r="P804" s="207"/>
      <c r="Q804" s="207"/>
      <c r="R804" s="207"/>
      <c r="S804" s="207"/>
      <c r="T804" s="207"/>
      <c r="U804" s="207"/>
      <c r="V804" s="207"/>
      <c r="W804" s="207"/>
      <c r="X804" s="207"/>
      <c r="Y804" s="207"/>
      <c r="Z804" s="207"/>
      <c r="AA804" s="207"/>
      <c r="AB804" s="207"/>
      <c r="AC804" s="207"/>
      <c r="AD804" s="207"/>
      <c r="AE804" s="207"/>
      <c r="AF804" s="207"/>
      <c r="AG804" s="207"/>
      <c r="AH804" s="207"/>
      <c r="AI804" s="207"/>
      <c r="AJ804" s="207"/>
      <c r="AK804" s="207"/>
      <c r="AL804" s="207"/>
      <c r="AM804" s="207"/>
      <c r="AN804" s="207"/>
      <c r="AO804" s="207"/>
      <c r="AP804" s="207"/>
      <c r="AQ804" s="207"/>
      <c r="AR804" s="207"/>
      <c r="AS804" s="207"/>
      <c r="AT804" s="207"/>
      <c r="AU804" s="207"/>
      <c r="AV804" s="207"/>
      <c r="AW804" s="207"/>
      <c r="AX804" s="207"/>
      <c r="AY804" s="207"/>
      <c r="AZ804" s="207"/>
      <c r="BA804" s="207"/>
    </row>
    <row r="805" ht="18.75" hidden="1" customHeight="1">
      <c r="A805" s="1"/>
      <c r="B805" s="207"/>
      <c r="C805" s="207"/>
      <c r="D805" s="207"/>
      <c r="E805" s="207"/>
      <c r="F805" s="207"/>
      <c r="G805" s="207"/>
      <c r="H805" s="207"/>
      <c r="I805" s="207"/>
      <c r="J805" s="207"/>
      <c r="K805" s="207"/>
      <c r="L805" s="207"/>
      <c r="M805" s="207"/>
      <c r="N805" s="207"/>
      <c r="O805" s="207"/>
      <c r="P805" s="207"/>
      <c r="Q805" s="207"/>
      <c r="R805" s="207"/>
      <c r="S805" s="207"/>
      <c r="T805" s="207"/>
      <c r="U805" s="207"/>
      <c r="V805" s="207"/>
      <c r="W805" s="207"/>
      <c r="X805" s="207"/>
      <c r="Y805" s="207"/>
      <c r="Z805" s="207"/>
      <c r="AA805" s="207"/>
      <c r="AB805" s="207"/>
      <c r="AC805" s="207"/>
      <c r="AD805" s="207"/>
      <c r="AE805" s="207"/>
      <c r="AF805" s="207"/>
      <c r="AG805" s="207"/>
      <c r="AH805" s="207"/>
      <c r="AI805" s="207"/>
      <c r="AJ805" s="207"/>
      <c r="AK805" s="207"/>
      <c r="AL805" s="207"/>
      <c r="AM805" s="207"/>
      <c r="AN805" s="207"/>
      <c r="AO805" s="207"/>
      <c r="AP805" s="207"/>
      <c r="AQ805" s="207"/>
      <c r="AR805" s="207"/>
      <c r="AS805" s="207"/>
      <c r="AT805" s="207"/>
      <c r="AU805" s="207"/>
      <c r="AV805" s="207"/>
      <c r="AW805" s="207"/>
      <c r="AX805" s="207"/>
      <c r="AY805" s="207"/>
      <c r="AZ805" s="207"/>
      <c r="BA805" s="207"/>
    </row>
    <row r="806" ht="18.75" hidden="1" customHeight="1">
      <c r="A806" s="1"/>
      <c r="B806" s="207"/>
      <c r="C806" s="207"/>
      <c r="D806" s="207"/>
      <c r="E806" s="207"/>
      <c r="F806" s="207"/>
      <c r="G806" s="207"/>
      <c r="H806" s="207"/>
      <c r="I806" s="207"/>
      <c r="J806" s="207"/>
      <c r="K806" s="207"/>
      <c r="L806" s="207"/>
      <c r="M806" s="207"/>
      <c r="N806" s="207"/>
      <c r="O806" s="207"/>
      <c r="P806" s="207"/>
      <c r="Q806" s="207"/>
      <c r="R806" s="207"/>
      <c r="S806" s="207"/>
      <c r="T806" s="207"/>
      <c r="U806" s="207"/>
      <c r="V806" s="207"/>
      <c r="W806" s="207"/>
      <c r="X806" s="207"/>
      <c r="Y806" s="207"/>
      <c r="Z806" s="207"/>
      <c r="AA806" s="207"/>
      <c r="AB806" s="207"/>
      <c r="AC806" s="207"/>
      <c r="AD806" s="207"/>
      <c r="AE806" s="207"/>
      <c r="AF806" s="207"/>
      <c r="AG806" s="207"/>
      <c r="AH806" s="207"/>
      <c r="AI806" s="207"/>
      <c r="AJ806" s="207"/>
      <c r="AK806" s="207"/>
      <c r="AL806" s="207"/>
      <c r="AM806" s="207"/>
      <c r="AN806" s="207"/>
      <c r="AO806" s="207"/>
      <c r="AP806" s="207"/>
      <c r="AQ806" s="207"/>
      <c r="AR806" s="207"/>
      <c r="AS806" s="207"/>
      <c r="AT806" s="207"/>
      <c r="AU806" s="207"/>
      <c r="AV806" s="207"/>
      <c r="AW806" s="207"/>
      <c r="AX806" s="207"/>
      <c r="AY806" s="207"/>
      <c r="AZ806" s="207"/>
      <c r="BA806" s="207"/>
    </row>
    <row r="807" ht="18.75" hidden="1" customHeight="1">
      <c r="A807" s="1"/>
      <c r="B807" s="207"/>
      <c r="C807" s="207"/>
      <c r="D807" s="207"/>
      <c r="E807" s="207"/>
      <c r="F807" s="207"/>
      <c r="G807" s="207"/>
      <c r="H807" s="207"/>
      <c r="I807" s="207"/>
      <c r="J807" s="207"/>
      <c r="K807" s="207"/>
      <c r="L807" s="207"/>
      <c r="M807" s="207"/>
      <c r="N807" s="207"/>
      <c r="O807" s="207"/>
      <c r="P807" s="207"/>
      <c r="Q807" s="207"/>
      <c r="R807" s="207"/>
      <c r="S807" s="207"/>
      <c r="T807" s="207"/>
      <c r="U807" s="207"/>
      <c r="V807" s="207"/>
      <c r="W807" s="207"/>
      <c r="X807" s="207"/>
      <c r="Y807" s="207"/>
      <c r="Z807" s="207"/>
      <c r="AA807" s="207"/>
      <c r="AB807" s="207"/>
      <c r="AC807" s="207"/>
      <c r="AD807" s="207"/>
      <c r="AE807" s="207"/>
      <c r="AF807" s="207"/>
      <c r="AG807" s="207"/>
      <c r="AH807" s="207"/>
      <c r="AI807" s="207"/>
      <c r="AJ807" s="207"/>
      <c r="AK807" s="207"/>
      <c r="AL807" s="207"/>
      <c r="AM807" s="207"/>
      <c r="AN807" s="207"/>
      <c r="AO807" s="207"/>
      <c r="AP807" s="207"/>
      <c r="AQ807" s="207"/>
      <c r="AR807" s="207"/>
      <c r="AS807" s="207"/>
      <c r="AT807" s="207"/>
      <c r="AU807" s="207"/>
      <c r="AV807" s="207"/>
      <c r="AW807" s="207"/>
      <c r="AX807" s="207"/>
      <c r="AY807" s="207"/>
      <c r="AZ807" s="207"/>
      <c r="BA807" s="207"/>
    </row>
    <row r="808" ht="18.75" hidden="1" customHeight="1">
      <c r="A808" s="1"/>
      <c r="B808" s="207"/>
      <c r="C808" s="207"/>
      <c r="D808" s="207"/>
      <c r="E808" s="207"/>
      <c r="F808" s="207"/>
      <c r="G808" s="207"/>
      <c r="H808" s="207"/>
      <c r="I808" s="207"/>
      <c r="J808" s="207"/>
      <c r="K808" s="207"/>
      <c r="L808" s="207"/>
      <c r="M808" s="207"/>
      <c r="N808" s="207"/>
      <c r="O808" s="207"/>
      <c r="P808" s="207"/>
      <c r="Q808" s="207"/>
      <c r="R808" s="207"/>
      <c r="S808" s="207"/>
      <c r="T808" s="207"/>
      <c r="U808" s="207"/>
      <c r="V808" s="207"/>
      <c r="W808" s="207"/>
      <c r="X808" s="207"/>
      <c r="Y808" s="207"/>
      <c r="Z808" s="207"/>
      <c r="AA808" s="207"/>
      <c r="AB808" s="207"/>
      <c r="AC808" s="207"/>
      <c r="AD808" s="207"/>
      <c r="AE808" s="207"/>
      <c r="AF808" s="207"/>
      <c r="AG808" s="207"/>
      <c r="AH808" s="207"/>
      <c r="AI808" s="207"/>
      <c r="AJ808" s="207"/>
      <c r="AK808" s="207"/>
      <c r="AL808" s="207"/>
      <c r="AM808" s="207"/>
      <c r="AN808" s="207"/>
      <c r="AO808" s="207"/>
      <c r="AP808" s="207"/>
      <c r="AQ808" s="207"/>
      <c r="AR808" s="207"/>
      <c r="AS808" s="207"/>
      <c r="AT808" s="207"/>
      <c r="AU808" s="207"/>
      <c r="AV808" s="207"/>
      <c r="AW808" s="207"/>
      <c r="AX808" s="207"/>
      <c r="AY808" s="207"/>
      <c r="AZ808" s="207"/>
      <c r="BA808" s="207"/>
    </row>
    <row r="809" ht="18.75" hidden="1" customHeight="1">
      <c r="A809" s="1"/>
      <c r="B809" s="207"/>
      <c r="C809" s="207"/>
      <c r="D809" s="207"/>
      <c r="E809" s="207"/>
      <c r="F809" s="207"/>
      <c r="G809" s="207"/>
      <c r="H809" s="207"/>
      <c r="I809" s="207"/>
      <c r="J809" s="207"/>
      <c r="K809" s="207"/>
      <c r="L809" s="207"/>
      <c r="M809" s="207"/>
      <c r="N809" s="207"/>
      <c r="O809" s="207"/>
      <c r="P809" s="207"/>
      <c r="Q809" s="207"/>
      <c r="R809" s="207"/>
      <c r="S809" s="207"/>
      <c r="T809" s="207"/>
      <c r="U809" s="207"/>
      <c r="V809" s="207"/>
      <c r="W809" s="207"/>
      <c r="X809" s="207"/>
      <c r="Y809" s="207"/>
      <c r="Z809" s="207"/>
      <c r="AA809" s="207"/>
      <c r="AB809" s="207"/>
      <c r="AC809" s="207"/>
      <c r="AD809" s="207"/>
      <c r="AE809" s="207"/>
      <c r="AF809" s="207"/>
      <c r="AG809" s="207"/>
      <c r="AH809" s="207"/>
      <c r="AI809" s="207"/>
      <c r="AJ809" s="207"/>
      <c r="AK809" s="207"/>
      <c r="AL809" s="207"/>
      <c r="AM809" s="207"/>
      <c r="AN809" s="207"/>
      <c r="AO809" s="207"/>
      <c r="AP809" s="207"/>
      <c r="AQ809" s="207"/>
      <c r="AR809" s="207"/>
      <c r="AS809" s="207"/>
      <c r="AT809" s="207"/>
      <c r="AU809" s="207"/>
      <c r="AV809" s="207"/>
      <c r="AW809" s="207"/>
      <c r="AX809" s="207"/>
      <c r="AY809" s="207"/>
      <c r="AZ809" s="207"/>
      <c r="BA809" s="207"/>
    </row>
    <row r="810" ht="18.75" hidden="1" customHeight="1">
      <c r="A810" s="1"/>
      <c r="B810" s="207"/>
      <c r="C810" s="207"/>
      <c r="D810" s="207"/>
      <c r="E810" s="207"/>
      <c r="F810" s="207"/>
      <c r="G810" s="207"/>
      <c r="H810" s="207"/>
      <c r="I810" s="207"/>
      <c r="J810" s="207"/>
      <c r="K810" s="207"/>
      <c r="L810" s="207"/>
      <c r="M810" s="207"/>
      <c r="N810" s="207"/>
      <c r="O810" s="207"/>
      <c r="P810" s="207"/>
      <c r="Q810" s="207"/>
      <c r="R810" s="207"/>
      <c r="S810" s="207"/>
      <c r="T810" s="207"/>
      <c r="U810" s="207"/>
      <c r="V810" s="207"/>
      <c r="W810" s="207"/>
      <c r="X810" s="207"/>
      <c r="Y810" s="207"/>
      <c r="Z810" s="207"/>
      <c r="AA810" s="207"/>
      <c r="AB810" s="207"/>
      <c r="AC810" s="207"/>
      <c r="AD810" s="207"/>
      <c r="AE810" s="207"/>
      <c r="AF810" s="207"/>
      <c r="AG810" s="207"/>
      <c r="AH810" s="207"/>
      <c r="AI810" s="207"/>
      <c r="AJ810" s="207"/>
      <c r="AK810" s="207"/>
      <c r="AL810" s="207"/>
      <c r="AM810" s="207"/>
      <c r="AN810" s="207"/>
      <c r="AO810" s="207"/>
      <c r="AP810" s="207"/>
      <c r="AQ810" s="207"/>
      <c r="AR810" s="207"/>
      <c r="AS810" s="207"/>
      <c r="AT810" s="207"/>
      <c r="AU810" s="207"/>
      <c r="AV810" s="207"/>
      <c r="AW810" s="207"/>
      <c r="AX810" s="207"/>
      <c r="AY810" s="207"/>
      <c r="AZ810" s="207"/>
      <c r="BA810" s="207"/>
    </row>
    <row r="811" ht="18.75" hidden="1" customHeight="1">
      <c r="A811" s="1"/>
      <c r="B811" s="207"/>
      <c r="C811" s="207"/>
      <c r="D811" s="207"/>
      <c r="E811" s="207"/>
      <c r="F811" s="207"/>
      <c r="G811" s="207"/>
      <c r="H811" s="207"/>
      <c r="I811" s="207"/>
      <c r="J811" s="207"/>
      <c r="K811" s="207"/>
      <c r="L811" s="207"/>
      <c r="M811" s="207"/>
      <c r="N811" s="207"/>
      <c r="O811" s="207"/>
      <c r="P811" s="207"/>
      <c r="Q811" s="207"/>
      <c r="R811" s="207"/>
      <c r="S811" s="207"/>
      <c r="T811" s="207"/>
      <c r="U811" s="207"/>
      <c r="V811" s="207"/>
      <c r="W811" s="207"/>
      <c r="X811" s="207"/>
      <c r="Y811" s="207"/>
      <c r="Z811" s="207"/>
      <c r="AA811" s="207"/>
      <c r="AB811" s="207"/>
      <c r="AC811" s="207"/>
      <c r="AD811" s="207"/>
      <c r="AE811" s="207"/>
      <c r="AF811" s="207"/>
      <c r="AG811" s="207"/>
      <c r="AH811" s="207"/>
      <c r="AI811" s="207"/>
      <c r="AJ811" s="207"/>
      <c r="AK811" s="207"/>
      <c r="AL811" s="207"/>
      <c r="AM811" s="207"/>
      <c r="AN811" s="207"/>
      <c r="AO811" s="207"/>
      <c r="AP811" s="207"/>
      <c r="AQ811" s="207"/>
      <c r="AR811" s="207"/>
      <c r="AS811" s="207"/>
      <c r="AT811" s="207"/>
      <c r="AU811" s="207"/>
      <c r="AV811" s="207"/>
      <c r="AW811" s="207"/>
      <c r="AX811" s="207"/>
      <c r="AY811" s="207"/>
      <c r="AZ811" s="207"/>
      <c r="BA811" s="207"/>
    </row>
    <row r="812" ht="18.75" hidden="1" customHeight="1">
      <c r="A812" s="1"/>
      <c r="B812" s="207"/>
      <c r="C812" s="207"/>
      <c r="D812" s="207"/>
      <c r="E812" s="207"/>
      <c r="F812" s="207"/>
      <c r="G812" s="207"/>
      <c r="H812" s="207"/>
      <c r="I812" s="207"/>
      <c r="J812" s="207"/>
      <c r="K812" s="207"/>
      <c r="L812" s="207"/>
      <c r="M812" s="207"/>
      <c r="N812" s="207"/>
      <c r="O812" s="207"/>
      <c r="P812" s="207"/>
      <c r="Q812" s="207"/>
      <c r="R812" s="207"/>
      <c r="S812" s="207"/>
      <c r="T812" s="207"/>
      <c r="U812" s="207"/>
      <c r="V812" s="207"/>
      <c r="W812" s="207"/>
      <c r="X812" s="207"/>
      <c r="Y812" s="207"/>
      <c r="Z812" s="207"/>
      <c r="AA812" s="207"/>
      <c r="AB812" s="207"/>
      <c r="AC812" s="207"/>
      <c r="AD812" s="207"/>
      <c r="AE812" s="207"/>
      <c r="AF812" s="207"/>
      <c r="AG812" s="207"/>
      <c r="AH812" s="207"/>
      <c r="AI812" s="207"/>
      <c r="AJ812" s="207"/>
      <c r="AK812" s="207"/>
      <c r="AL812" s="207"/>
      <c r="AM812" s="207"/>
      <c r="AN812" s="207"/>
      <c r="AO812" s="207"/>
      <c r="AP812" s="207"/>
      <c r="AQ812" s="207"/>
      <c r="AR812" s="207"/>
      <c r="AS812" s="207"/>
      <c r="AT812" s="207"/>
      <c r="AU812" s="207"/>
      <c r="AV812" s="207"/>
      <c r="AW812" s="207"/>
      <c r="AX812" s="207"/>
      <c r="AY812" s="207"/>
      <c r="AZ812" s="207"/>
      <c r="BA812" s="207"/>
    </row>
    <row r="813" ht="18.75" hidden="1" customHeight="1">
      <c r="A813" s="1"/>
      <c r="B813" s="207"/>
      <c r="C813" s="207"/>
      <c r="D813" s="207"/>
      <c r="E813" s="207"/>
      <c r="F813" s="207"/>
      <c r="G813" s="207"/>
      <c r="H813" s="207"/>
      <c r="I813" s="207"/>
      <c r="J813" s="207"/>
      <c r="K813" s="207"/>
      <c r="L813" s="207"/>
      <c r="M813" s="207"/>
      <c r="N813" s="207"/>
      <c r="O813" s="207"/>
      <c r="P813" s="207"/>
      <c r="Q813" s="207"/>
      <c r="R813" s="207"/>
      <c r="S813" s="207"/>
      <c r="T813" s="207"/>
      <c r="U813" s="207"/>
      <c r="V813" s="207"/>
      <c r="W813" s="207"/>
      <c r="X813" s="207"/>
      <c r="Y813" s="207"/>
      <c r="Z813" s="207"/>
      <c r="AA813" s="207"/>
      <c r="AB813" s="207"/>
      <c r="AC813" s="207"/>
      <c r="AD813" s="207"/>
      <c r="AE813" s="207"/>
      <c r="AF813" s="207"/>
      <c r="AG813" s="207"/>
      <c r="AH813" s="207"/>
      <c r="AI813" s="207"/>
      <c r="AJ813" s="207"/>
      <c r="AK813" s="207"/>
      <c r="AL813" s="207"/>
      <c r="AM813" s="207"/>
      <c r="AN813" s="207"/>
      <c r="AO813" s="207"/>
      <c r="AP813" s="207"/>
      <c r="AQ813" s="207"/>
      <c r="AR813" s="207"/>
      <c r="AS813" s="207"/>
      <c r="AT813" s="207"/>
      <c r="AU813" s="207"/>
      <c r="AV813" s="207"/>
      <c r="AW813" s="207"/>
      <c r="AX813" s="207"/>
      <c r="AY813" s="207"/>
      <c r="AZ813" s="207"/>
      <c r="BA813" s="207"/>
    </row>
    <row r="814" ht="18.75" hidden="1" customHeight="1">
      <c r="A814" s="1"/>
      <c r="B814" s="207"/>
      <c r="C814" s="207"/>
      <c r="D814" s="207"/>
      <c r="E814" s="207"/>
      <c r="F814" s="207"/>
      <c r="G814" s="207"/>
      <c r="H814" s="207"/>
      <c r="I814" s="207"/>
      <c r="J814" s="207"/>
      <c r="K814" s="207"/>
      <c r="L814" s="207"/>
      <c r="M814" s="207"/>
      <c r="N814" s="207"/>
      <c r="O814" s="207"/>
      <c r="P814" s="207"/>
      <c r="Q814" s="207"/>
      <c r="R814" s="207"/>
      <c r="S814" s="207"/>
      <c r="T814" s="207"/>
      <c r="U814" s="207"/>
      <c r="V814" s="207"/>
      <c r="W814" s="207"/>
      <c r="X814" s="207"/>
      <c r="Y814" s="207"/>
      <c r="Z814" s="207"/>
      <c r="AA814" s="207"/>
      <c r="AB814" s="207"/>
      <c r="AC814" s="207"/>
      <c r="AD814" s="207"/>
      <c r="AE814" s="207"/>
      <c r="AF814" s="207"/>
      <c r="AG814" s="207"/>
      <c r="AH814" s="207"/>
      <c r="AI814" s="207"/>
      <c r="AJ814" s="207"/>
      <c r="AK814" s="207"/>
      <c r="AL814" s="207"/>
      <c r="AM814" s="207"/>
      <c r="AN814" s="207"/>
      <c r="AO814" s="207"/>
      <c r="AP814" s="207"/>
      <c r="AQ814" s="207"/>
      <c r="AR814" s="207"/>
      <c r="AS814" s="207"/>
      <c r="AT814" s="207"/>
      <c r="AU814" s="207"/>
      <c r="AV814" s="207"/>
      <c r="AW814" s="207"/>
      <c r="AX814" s="207"/>
      <c r="AY814" s="207"/>
      <c r="AZ814" s="207"/>
      <c r="BA814" s="207"/>
    </row>
    <row r="815" ht="18.75" hidden="1" customHeight="1">
      <c r="A815" s="1"/>
      <c r="B815" s="207"/>
      <c r="C815" s="207"/>
      <c r="D815" s="207"/>
      <c r="E815" s="207"/>
      <c r="F815" s="207"/>
      <c r="G815" s="207"/>
      <c r="H815" s="207"/>
      <c r="I815" s="207"/>
      <c r="J815" s="207"/>
      <c r="K815" s="207"/>
      <c r="L815" s="207"/>
      <c r="M815" s="207"/>
      <c r="N815" s="207"/>
      <c r="O815" s="207"/>
      <c r="P815" s="207"/>
      <c r="Q815" s="207"/>
      <c r="R815" s="207"/>
      <c r="S815" s="207"/>
      <c r="T815" s="207"/>
      <c r="U815" s="207"/>
      <c r="V815" s="207"/>
      <c r="W815" s="207"/>
      <c r="X815" s="207"/>
      <c r="Y815" s="207"/>
      <c r="Z815" s="207"/>
      <c r="AA815" s="207"/>
      <c r="AB815" s="207"/>
      <c r="AC815" s="207"/>
      <c r="AD815" s="207"/>
      <c r="AE815" s="207"/>
      <c r="AF815" s="207"/>
      <c r="AG815" s="207"/>
      <c r="AH815" s="207"/>
      <c r="AI815" s="207"/>
      <c r="AJ815" s="207"/>
      <c r="AK815" s="207"/>
      <c r="AL815" s="207"/>
      <c r="AM815" s="207"/>
      <c r="AN815" s="207"/>
      <c r="AO815" s="207"/>
      <c r="AP815" s="207"/>
      <c r="AQ815" s="207"/>
      <c r="AR815" s="207"/>
      <c r="AS815" s="207"/>
      <c r="AT815" s="207"/>
      <c r="AU815" s="207"/>
      <c r="AV815" s="207"/>
      <c r="AW815" s="207"/>
      <c r="AX815" s="207"/>
      <c r="AY815" s="207"/>
      <c r="AZ815" s="207"/>
      <c r="BA815" s="207"/>
    </row>
    <row r="816" ht="18.75" hidden="1" customHeight="1">
      <c r="A816" s="1"/>
      <c r="B816" s="207"/>
      <c r="C816" s="207"/>
      <c r="D816" s="207"/>
      <c r="E816" s="207"/>
      <c r="F816" s="207"/>
      <c r="G816" s="207"/>
      <c r="H816" s="207"/>
      <c r="I816" s="207"/>
      <c r="J816" s="207"/>
      <c r="K816" s="207"/>
      <c r="L816" s="207"/>
      <c r="M816" s="207"/>
      <c r="N816" s="207"/>
      <c r="O816" s="207"/>
      <c r="P816" s="207"/>
      <c r="Q816" s="207"/>
      <c r="R816" s="207"/>
      <c r="S816" s="207"/>
      <c r="T816" s="207"/>
      <c r="U816" s="207"/>
      <c r="V816" s="207"/>
      <c r="W816" s="207"/>
      <c r="X816" s="207"/>
      <c r="Y816" s="207"/>
      <c r="Z816" s="207"/>
      <c r="AA816" s="207"/>
      <c r="AB816" s="207"/>
      <c r="AC816" s="207"/>
      <c r="AD816" s="207"/>
      <c r="AE816" s="207"/>
      <c r="AF816" s="207"/>
      <c r="AG816" s="207"/>
      <c r="AH816" s="207"/>
      <c r="AI816" s="207"/>
      <c r="AJ816" s="207"/>
      <c r="AK816" s="207"/>
      <c r="AL816" s="207"/>
      <c r="AM816" s="207"/>
      <c r="AN816" s="207"/>
      <c r="AO816" s="207"/>
      <c r="AP816" s="207"/>
      <c r="AQ816" s="207"/>
      <c r="AR816" s="207"/>
      <c r="AS816" s="207"/>
      <c r="AT816" s="207"/>
      <c r="AU816" s="207"/>
      <c r="AV816" s="207"/>
      <c r="AW816" s="207"/>
      <c r="AX816" s="207"/>
      <c r="AY816" s="207"/>
      <c r="AZ816" s="207"/>
      <c r="BA816" s="207"/>
    </row>
    <row r="817" ht="18.75" hidden="1" customHeight="1">
      <c r="A817" s="1"/>
      <c r="B817" s="207"/>
      <c r="C817" s="207"/>
      <c r="D817" s="207"/>
      <c r="E817" s="207"/>
      <c r="F817" s="207"/>
      <c r="G817" s="207"/>
      <c r="H817" s="207"/>
      <c r="I817" s="207"/>
      <c r="J817" s="207"/>
      <c r="K817" s="207"/>
      <c r="L817" s="207"/>
      <c r="M817" s="207"/>
      <c r="N817" s="207"/>
      <c r="O817" s="207"/>
      <c r="P817" s="207"/>
      <c r="Q817" s="207"/>
      <c r="R817" s="207"/>
      <c r="S817" s="207"/>
      <c r="T817" s="207"/>
      <c r="U817" s="207"/>
      <c r="V817" s="207"/>
      <c r="W817" s="207"/>
      <c r="X817" s="207"/>
      <c r="Y817" s="207"/>
      <c r="Z817" s="207"/>
      <c r="AA817" s="207"/>
      <c r="AB817" s="207"/>
      <c r="AC817" s="207"/>
      <c r="AD817" s="207"/>
      <c r="AE817" s="207"/>
      <c r="AF817" s="207"/>
      <c r="AG817" s="207"/>
      <c r="AH817" s="207"/>
      <c r="AI817" s="207"/>
      <c r="AJ817" s="207"/>
      <c r="AK817" s="207"/>
      <c r="AL817" s="207"/>
      <c r="AM817" s="207"/>
      <c r="AN817" s="207"/>
      <c r="AO817" s="207"/>
      <c r="AP817" s="207"/>
      <c r="AQ817" s="207"/>
      <c r="AR817" s="207"/>
      <c r="AS817" s="207"/>
      <c r="AT817" s="207"/>
      <c r="AU817" s="207"/>
      <c r="AV817" s="207"/>
      <c r="AW817" s="207"/>
      <c r="AX817" s="207"/>
      <c r="AY817" s="207"/>
      <c r="AZ817" s="207"/>
      <c r="BA817" s="207"/>
    </row>
    <row r="818" ht="18.75" hidden="1" customHeight="1">
      <c r="A818" s="1"/>
      <c r="B818" s="207"/>
      <c r="C818" s="207"/>
      <c r="D818" s="207"/>
      <c r="E818" s="207"/>
      <c r="F818" s="207"/>
      <c r="G818" s="207"/>
      <c r="H818" s="207"/>
      <c r="I818" s="207"/>
      <c r="J818" s="207"/>
      <c r="K818" s="207"/>
      <c r="L818" s="207"/>
      <c r="M818" s="207"/>
      <c r="N818" s="207"/>
      <c r="O818" s="207"/>
      <c r="P818" s="207"/>
      <c r="Q818" s="207"/>
      <c r="R818" s="207"/>
      <c r="S818" s="207"/>
      <c r="T818" s="207"/>
      <c r="U818" s="207"/>
      <c r="V818" s="207"/>
      <c r="W818" s="207"/>
      <c r="X818" s="207"/>
      <c r="Y818" s="207"/>
      <c r="Z818" s="207"/>
      <c r="AA818" s="207"/>
      <c r="AB818" s="207"/>
      <c r="AC818" s="207"/>
      <c r="AD818" s="207"/>
      <c r="AE818" s="207"/>
      <c r="AF818" s="207"/>
      <c r="AG818" s="207"/>
      <c r="AH818" s="207"/>
      <c r="AI818" s="207"/>
      <c r="AJ818" s="207"/>
      <c r="AK818" s="207"/>
      <c r="AL818" s="207"/>
      <c r="AM818" s="207"/>
      <c r="AN818" s="207"/>
      <c r="AO818" s="207"/>
      <c r="AP818" s="207"/>
      <c r="AQ818" s="207"/>
      <c r="AR818" s="207"/>
      <c r="AS818" s="207"/>
      <c r="AT818" s="207"/>
      <c r="AU818" s="207"/>
      <c r="AV818" s="207"/>
      <c r="AW818" s="207"/>
      <c r="AX818" s="207"/>
      <c r="AY818" s="207"/>
      <c r="AZ818" s="207"/>
      <c r="BA818" s="207"/>
    </row>
    <row r="819" ht="18.75" hidden="1" customHeight="1">
      <c r="A819" s="1"/>
      <c r="B819" s="207"/>
      <c r="C819" s="207"/>
      <c r="D819" s="207"/>
      <c r="E819" s="207"/>
      <c r="F819" s="207"/>
      <c r="G819" s="207"/>
      <c r="H819" s="207"/>
      <c r="I819" s="207"/>
      <c r="J819" s="207"/>
      <c r="K819" s="207"/>
      <c r="L819" s="207"/>
      <c r="M819" s="207"/>
      <c r="N819" s="207"/>
      <c r="O819" s="207"/>
      <c r="P819" s="207"/>
      <c r="Q819" s="207"/>
      <c r="R819" s="207"/>
      <c r="S819" s="207"/>
      <c r="T819" s="207"/>
      <c r="U819" s="207"/>
      <c r="V819" s="207"/>
      <c r="W819" s="207"/>
      <c r="X819" s="207"/>
      <c r="Y819" s="207"/>
      <c r="Z819" s="207"/>
      <c r="AA819" s="207"/>
      <c r="AB819" s="207"/>
      <c r="AC819" s="207"/>
      <c r="AD819" s="207"/>
      <c r="AE819" s="207"/>
      <c r="AF819" s="207"/>
      <c r="AG819" s="207"/>
      <c r="AH819" s="207"/>
      <c r="AI819" s="207"/>
      <c r="AJ819" s="207"/>
      <c r="AK819" s="207"/>
      <c r="AL819" s="207"/>
      <c r="AM819" s="207"/>
      <c r="AN819" s="207"/>
      <c r="AO819" s="207"/>
      <c r="AP819" s="207"/>
      <c r="AQ819" s="207"/>
      <c r="AR819" s="207"/>
      <c r="AS819" s="207"/>
      <c r="AT819" s="207"/>
      <c r="AU819" s="207"/>
      <c r="AV819" s="207"/>
      <c r="AW819" s="207"/>
      <c r="AX819" s="207"/>
      <c r="AY819" s="207"/>
      <c r="AZ819" s="207"/>
      <c r="BA819" s="207"/>
    </row>
    <row r="820" ht="18.75" hidden="1" customHeight="1">
      <c r="A820" s="1"/>
      <c r="B820" s="207"/>
      <c r="C820" s="207"/>
      <c r="D820" s="207"/>
      <c r="E820" s="207"/>
      <c r="F820" s="207"/>
      <c r="G820" s="207"/>
      <c r="H820" s="207"/>
      <c r="I820" s="207"/>
      <c r="J820" s="207"/>
      <c r="K820" s="207"/>
      <c r="L820" s="207"/>
      <c r="M820" s="207"/>
      <c r="N820" s="207"/>
      <c r="O820" s="207"/>
      <c r="P820" s="207"/>
      <c r="Q820" s="207"/>
      <c r="R820" s="207"/>
      <c r="S820" s="207"/>
      <c r="T820" s="207"/>
      <c r="U820" s="207"/>
      <c r="V820" s="207"/>
      <c r="W820" s="207"/>
      <c r="X820" s="207"/>
      <c r="Y820" s="207"/>
      <c r="Z820" s="207"/>
      <c r="AA820" s="207"/>
      <c r="AB820" s="207"/>
      <c r="AC820" s="207"/>
      <c r="AD820" s="207"/>
      <c r="AE820" s="207"/>
      <c r="AF820" s="207"/>
      <c r="AG820" s="207"/>
      <c r="AH820" s="207"/>
      <c r="AI820" s="207"/>
      <c r="AJ820" s="207"/>
      <c r="AK820" s="207"/>
      <c r="AL820" s="207"/>
      <c r="AM820" s="207"/>
      <c r="AN820" s="207"/>
      <c r="AO820" s="207"/>
      <c r="AP820" s="207"/>
      <c r="AQ820" s="207"/>
      <c r="AR820" s="207"/>
      <c r="AS820" s="207"/>
      <c r="AT820" s="207"/>
      <c r="AU820" s="207"/>
      <c r="AV820" s="207"/>
      <c r="AW820" s="207"/>
      <c r="AX820" s="207"/>
      <c r="AY820" s="207"/>
      <c r="AZ820" s="207"/>
      <c r="BA820" s="207"/>
    </row>
    <row r="821" ht="18.75" hidden="1" customHeight="1">
      <c r="A821" s="1"/>
      <c r="B821" s="207"/>
      <c r="C821" s="207"/>
      <c r="D821" s="207"/>
      <c r="E821" s="207"/>
      <c r="F821" s="207"/>
      <c r="G821" s="207"/>
      <c r="H821" s="207"/>
      <c r="I821" s="207"/>
      <c r="J821" s="207"/>
      <c r="K821" s="207"/>
      <c r="L821" s="207"/>
      <c r="M821" s="207"/>
      <c r="N821" s="207"/>
      <c r="O821" s="207"/>
      <c r="P821" s="207"/>
      <c r="Q821" s="207"/>
      <c r="R821" s="207"/>
      <c r="S821" s="207"/>
      <c r="T821" s="207"/>
      <c r="U821" s="207"/>
      <c r="V821" s="207"/>
      <c r="W821" s="207"/>
      <c r="X821" s="207"/>
      <c r="Y821" s="207"/>
      <c r="Z821" s="207"/>
      <c r="AA821" s="207"/>
      <c r="AB821" s="207"/>
      <c r="AC821" s="207"/>
      <c r="AD821" s="207"/>
      <c r="AE821" s="207"/>
      <c r="AF821" s="207"/>
      <c r="AG821" s="207"/>
      <c r="AH821" s="207"/>
      <c r="AI821" s="207"/>
      <c r="AJ821" s="207"/>
      <c r="AK821" s="207"/>
      <c r="AL821" s="207"/>
      <c r="AM821" s="207"/>
      <c r="AN821" s="207"/>
      <c r="AO821" s="207"/>
      <c r="AP821" s="207"/>
      <c r="AQ821" s="207"/>
      <c r="AR821" s="207"/>
      <c r="AS821" s="207"/>
      <c r="AT821" s="207"/>
      <c r="AU821" s="207"/>
      <c r="AV821" s="207"/>
      <c r="AW821" s="207"/>
      <c r="AX821" s="207"/>
      <c r="AY821" s="207"/>
      <c r="AZ821" s="207"/>
      <c r="BA821" s="207"/>
    </row>
    <row r="822" ht="18.75" hidden="1" customHeight="1">
      <c r="A822" s="1"/>
      <c r="B822" s="207"/>
      <c r="C822" s="207"/>
      <c r="D822" s="207"/>
      <c r="E822" s="207"/>
      <c r="F822" s="207"/>
      <c r="G822" s="207"/>
      <c r="H822" s="207"/>
      <c r="I822" s="207"/>
      <c r="J822" s="207"/>
      <c r="K822" s="207"/>
      <c r="L822" s="207"/>
      <c r="M822" s="207"/>
      <c r="N822" s="207"/>
      <c r="O822" s="207"/>
      <c r="P822" s="207"/>
      <c r="Q822" s="207"/>
      <c r="R822" s="207"/>
      <c r="S822" s="207"/>
      <c r="T822" s="207"/>
      <c r="U822" s="207"/>
      <c r="V822" s="207"/>
      <c r="W822" s="207"/>
      <c r="X822" s="207"/>
      <c r="Y822" s="207"/>
      <c r="Z822" s="207"/>
      <c r="AA822" s="207"/>
      <c r="AB822" s="207"/>
      <c r="AC822" s="207"/>
      <c r="AD822" s="207"/>
      <c r="AE822" s="207"/>
      <c r="AF822" s="207"/>
      <c r="AG822" s="207"/>
      <c r="AH822" s="207"/>
      <c r="AI822" s="207"/>
      <c r="AJ822" s="207"/>
      <c r="AK822" s="207"/>
      <c r="AL822" s="207"/>
      <c r="AM822" s="207"/>
      <c r="AN822" s="207"/>
      <c r="AO822" s="207"/>
      <c r="AP822" s="207"/>
      <c r="AQ822" s="207"/>
      <c r="AR822" s="207"/>
      <c r="AS822" s="207"/>
      <c r="AT822" s="207"/>
      <c r="AU822" s="207"/>
      <c r="AV822" s="207"/>
      <c r="AW822" s="207"/>
      <c r="AX822" s="207"/>
      <c r="AY822" s="207"/>
      <c r="AZ822" s="207"/>
      <c r="BA822" s="207"/>
    </row>
    <row r="823" ht="18.75" hidden="1" customHeight="1">
      <c r="A823" s="1"/>
      <c r="B823" s="207"/>
      <c r="C823" s="207"/>
      <c r="D823" s="207"/>
      <c r="E823" s="207"/>
      <c r="F823" s="207"/>
      <c r="G823" s="207"/>
      <c r="H823" s="207"/>
      <c r="I823" s="207"/>
      <c r="J823" s="207"/>
      <c r="K823" s="207"/>
      <c r="L823" s="207"/>
      <c r="M823" s="207"/>
      <c r="N823" s="207"/>
      <c r="O823" s="207"/>
      <c r="P823" s="207"/>
      <c r="Q823" s="207"/>
      <c r="R823" s="207"/>
      <c r="S823" s="207"/>
      <c r="T823" s="207"/>
      <c r="U823" s="207"/>
      <c r="V823" s="207"/>
      <c r="W823" s="207"/>
      <c r="X823" s="207"/>
      <c r="Y823" s="207"/>
      <c r="Z823" s="207"/>
      <c r="AA823" s="207"/>
      <c r="AB823" s="207"/>
      <c r="AC823" s="207"/>
      <c r="AD823" s="207"/>
      <c r="AE823" s="207"/>
      <c r="AF823" s="207"/>
      <c r="AG823" s="207"/>
      <c r="AH823" s="207"/>
      <c r="AI823" s="207"/>
      <c r="AJ823" s="207"/>
      <c r="AK823" s="207"/>
      <c r="AL823" s="207"/>
      <c r="AM823" s="207"/>
      <c r="AN823" s="207"/>
      <c r="AO823" s="207"/>
      <c r="AP823" s="207"/>
      <c r="AQ823" s="207"/>
      <c r="AR823" s="207"/>
      <c r="AS823" s="207"/>
      <c r="AT823" s="207"/>
      <c r="AU823" s="207"/>
      <c r="AV823" s="207"/>
      <c r="AW823" s="207"/>
      <c r="AX823" s="207"/>
      <c r="AY823" s="207"/>
      <c r="AZ823" s="207"/>
      <c r="BA823" s="207"/>
    </row>
    <row r="824" ht="18.75" hidden="1" customHeight="1">
      <c r="A824" s="1"/>
      <c r="B824" s="207"/>
      <c r="C824" s="207"/>
      <c r="D824" s="207"/>
      <c r="E824" s="207"/>
      <c r="F824" s="207"/>
      <c r="G824" s="207"/>
      <c r="H824" s="207"/>
      <c r="I824" s="207"/>
      <c r="J824" s="207"/>
      <c r="K824" s="207"/>
      <c r="L824" s="207"/>
      <c r="M824" s="207"/>
      <c r="N824" s="207"/>
      <c r="O824" s="207"/>
      <c r="P824" s="207"/>
      <c r="Q824" s="207"/>
      <c r="R824" s="207"/>
      <c r="S824" s="207"/>
      <c r="T824" s="207"/>
      <c r="U824" s="207"/>
      <c r="V824" s="207"/>
      <c r="W824" s="207"/>
      <c r="X824" s="207"/>
      <c r="Y824" s="207"/>
      <c r="Z824" s="207"/>
      <c r="AA824" s="207"/>
      <c r="AB824" s="207"/>
      <c r="AC824" s="207"/>
      <c r="AD824" s="207"/>
      <c r="AE824" s="207"/>
      <c r="AF824" s="207"/>
      <c r="AG824" s="207"/>
      <c r="AH824" s="207"/>
      <c r="AI824" s="207"/>
      <c r="AJ824" s="207"/>
      <c r="AK824" s="207"/>
      <c r="AL824" s="207"/>
      <c r="AM824" s="207"/>
      <c r="AN824" s="207"/>
      <c r="AO824" s="207"/>
      <c r="AP824" s="207"/>
      <c r="AQ824" s="207"/>
      <c r="AR824" s="207"/>
      <c r="AS824" s="207"/>
      <c r="AT824" s="207"/>
      <c r="AU824" s="207"/>
      <c r="AV824" s="207"/>
      <c r="AW824" s="207"/>
      <c r="AX824" s="207"/>
      <c r="AY824" s="207"/>
      <c r="AZ824" s="207"/>
      <c r="BA824" s="207"/>
    </row>
    <row r="825" ht="18.75" hidden="1" customHeight="1">
      <c r="A825" s="1"/>
      <c r="B825" s="207"/>
      <c r="C825" s="207"/>
      <c r="D825" s="207"/>
      <c r="E825" s="207"/>
      <c r="F825" s="207"/>
      <c r="G825" s="207"/>
      <c r="H825" s="207"/>
      <c r="I825" s="207"/>
      <c r="J825" s="207"/>
      <c r="K825" s="207"/>
      <c r="L825" s="207"/>
      <c r="M825" s="207"/>
      <c r="N825" s="207"/>
      <c r="O825" s="207"/>
      <c r="P825" s="207"/>
      <c r="Q825" s="207"/>
      <c r="R825" s="207"/>
      <c r="S825" s="207"/>
      <c r="T825" s="207"/>
      <c r="U825" s="207"/>
      <c r="V825" s="207"/>
      <c r="W825" s="207"/>
      <c r="X825" s="207"/>
      <c r="Y825" s="207"/>
      <c r="Z825" s="207"/>
      <c r="AA825" s="207"/>
      <c r="AB825" s="207"/>
      <c r="AC825" s="207"/>
      <c r="AD825" s="207"/>
      <c r="AE825" s="207"/>
      <c r="AF825" s="207"/>
      <c r="AG825" s="207"/>
      <c r="AH825" s="207"/>
      <c r="AI825" s="207"/>
      <c r="AJ825" s="207"/>
      <c r="AK825" s="207"/>
      <c r="AL825" s="207"/>
      <c r="AM825" s="207"/>
      <c r="AN825" s="207"/>
      <c r="AO825" s="207"/>
      <c r="AP825" s="207"/>
      <c r="AQ825" s="207"/>
      <c r="AR825" s="207"/>
      <c r="AS825" s="207"/>
      <c r="AT825" s="207"/>
      <c r="AU825" s="207"/>
      <c r="AV825" s="207"/>
      <c r="AW825" s="207"/>
      <c r="AX825" s="207"/>
      <c r="AY825" s="207"/>
      <c r="AZ825" s="207"/>
      <c r="BA825" s="207"/>
    </row>
    <row r="826" ht="18.75" hidden="1" customHeight="1">
      <c r="A826" s="1"/>
      <c r="B826" s="207"/>
      <c r="C826" s="207"/>
      <c r="D826" s="207"/>
      <c r="E826" s="207"/>
      <c r="F826" s="207"/>
      <c r="G826" s="207"/>
      <c r="H826" s="207"/>
      <c r="I826" s="207"/>
      <c r="J826" s="207"/>
      <c r="K826" s="207"/>
      <c r="L826" s="207"/>
      <c r="M826" s="207"/>
      <c r="N826" s="207"/>
      <c r="O826" s="207"/>
      <c r="P826" s="207"/>
      <c r="Q826" s="207"/>
      <c r="R826" s="207"/>
      <c r="S826" s="207"/>
      <c r="T826" s="207"/>
      <c r="U826" s="207"/>
      <c r="V826" s="207"/>
      <c r="W826" s="207"/>
      <c r="X826" s="207"/>
      <c r="Y826" s="207"/>
      <c r="Z826" s="207"/>
      <c r="AA826" s="207"/>
      <c r="AB826" s="207"/>
      <c r="AC826" s="207"/>
      <c r="AD826" s="207"/>
      <c r="AE826" s="207"/>
      <c r="AF826" s="207"/>
      <c r="AG826" s="207"/>
      <c r="AH826" s="207"/>
      <c r="AI826" s="207"/>
      <c r="AJ826" s="207"/>
      <c r="AK826" s="207"/>
      <c r="AL826" s="207"/>
      <c r="AM826" s="207"/>
      <c r="AN826" s="207"/>
      <c r="AO826" s="207"/>
      <c r="AP826" s="207"/>
      <c r="AQ826" s="207"/>
      <c r="AR826" s="207"/>
      <c r="AS826" s="207"/>
      <c r="AT826" s="207"/>
      <c r="AU826" s="207"/>
      <c r="AV826" s="207"/>
      <c r="AW826" s="207"/>
      <c r="AX826" s="207"/>
      <c r="AY826" s="207"/>
      <c r="AZ826" s="207"/>
      <c r="BA826" s="207"/>
    </row>
    <row r="827" ht="18.75" hidden="1" customHeight="1">
      <c r="A827" s="1"/>
      <c r="B827" s="207"/>
      <c r="C827" s="207"/>
      <c r="D827" s="207"/>
      <c r="E827" s="207"/>
      <c r="F827" s="207"/>
      <c r="G827" s="207"/>
      <c r="H827" s="207"/>
      <c r="I827" s="207"/>
      <c r="J827" s="207"/>
      <c r="K827" s="207"/>
      <c r="L827" s="207"/>
      <c r="M827" s="207"/>
      <c r="N827" s="207"/>
      <c r="O827" s="207"/>
      <c r="P827" s="207"/>
      <c r="Q827" s="207"/>
      <c r="R827" s="207"/>
      <c r="S827" s="207"/>
      <c r="T827" s="207"/>
      <c r="U827" s="207"/>
      <c r="V827" s="207"/>
      <c r="W827" s="207"/>
      <c r="X827" s="207"/>
      <c r="Y827" s="207"/>
      <c r="Z827" s="207"/>
      <c r="AA827" s="207"/>
      <c r="AB827" s="207"/>
      <c r="AC827" s="207"/>
      <c r="AD827" s="207"/>
      <c r="AE827" s="207"/>
      <c r="AF827" s="207"/>
      <c r="AG827" s="207"/>
      <c r="AH827" s="207"/>
      <c r="AI827" s="207"/>
      <c r="AJ827" s="207"/>
      <c r="AK827" s="207"/>
      <c r="AL827" s="207"/>
      <c r="AM827" s="207"/>
      <c r="AN827" s="207"/>
      <c r="AO827" s="207"/>
      <c r="AP827" s="207"/>
      <c r="AQ827" s="207"/>
      <c r="AR827" s="207"/>
      <c r="AS827" s="207"/>
      <c r="AT827" s="207"/>
      <c r="AU827" s="207"/>
      <c r="AV827" s="207"/>
      <c r="AW827" s="207"/>
      <c r="AX827" s="207"/>
      <c r="AY827" s="207"/>
      <c r="AZ827" s="207"/>
      <c r="BA827" s="207"/>
    </row>
    <row r="828" ht="18.75" hidden="1" customHeight="1">
      <c r="A828" s="1"/>
      <c r="B828" s="207"/>
      <c r="C828" s="207"/>
      <c r="D828" s="207"/>
      <c r="E828" s="207"/>
      <c r="F828" s="207"/>
      <c r="G828" s="207"/>
      <c r="H828" s="207"/>
      <c r="I828" s="207"/>
      <c r="J828" s="207"/>
      <c r="K828" s="207"/>
      <c r="L828" s="207"/>
      <c r="M828" s="207"/>
      <c r="N828" s="207"/>
      <c r="O828" s="207"/>
      <c r="P828" s="207"/>
      <c r="Q828" s="207"/>
      <c r="R828" s="207"/>
      <c r="S828" s="207"/>
      <c r="T828" s="207"/>
      <c r="U828" s="207"/>
      <c r="V828" s="207"/>
      <c r="W828" s="207"/>
      <c r="X828" s="207"/>
      <c r="Y828" s="207"/>
      <c r="Z828" s="207"/>
      <c r="AA828" s="207"/>
      <c r="AB828" s="207"/>
      <c r="AC828" s="207"/>
      <c r="AD828" s="207"/>
      <c r="AE828" s="207"/>
      <c r="AF828" s="207"/>
      <c r="AG828" s="207"/>
      <c r="AH828" s="207"/>
      <c r="AI828" s="207"/>
      <c r="AJ828" s="207"/>
      <c r="AK828" s="207"/>
      <c r="AL828" s="207"/>
      <c r="AM828" s="207"/>
      <c r="AN828" s="207"/>
      <c r="AO828" s="207"/>
      <c r="AP828" s="207"/>
      <c r="AQ828" s="207"/>
      <c r="AR828" s="207"/>
      <c r="AS828" s="207"/>
      <c r="AT828" s="207"/>
      <c r="AU828" s="207"/>
      <c r="AV828" s="207"/>
      <c r="AW828" s="207"/>
      <c r="AX828" s="207"/>
      <c r="AY828" s="207"/>
      <c r="AZ828" s="207"/>
      <c r="BA828" s="207"/>
    </row>
    <row r="829" ht="18.75" hidden="1" customHeight="1">
      <c r="A829" s="1"/>
      <c r="B829" s="207"/>
      <c r="C829" s="207"/>
      <c r="D829" s="207"/>
      <c r="E829" s="207"/>
      <c r="F829" s="207"/>
      <c r="G829" s="207"/>
      <c r="H829" s="207"/>
      <c r="I829" s="207"/>
      <c r="J829" s="207"/>
      <c r="K829" s="207"/>
      <c r="L829" s="207"/>
      <c r="M829" s="207"/>
      <c r="N829" s="207"/>
      <c r="O829" s="207"/>
      <c r="P829" s="207"/>
      <c r="Q829" s="207"/>
      <c r="R829" s="207"/>
      <c r="S829" s="207"/>
      <c r="T829" s="207"/>
      <c r="U829" s="207"/>
      <c r="V829" s="207"/>
      <c r="W829" s="207"/>
      <c r="X829" s="207"/>
      <c r="Y829" s="207"/>
      <c r="Z829" s="207"/>
      <c r="AA829" s="207"/>
      <c r="AB829" s="207"/>
      <c r="AC829" s="207"/>
      <c r="AD829" s="207"/>
      <c r="AE829" s="207"/>
      <c r="AF829" s="207"/>
      <c r="AG829" s="207"/>
      <c r="AH829" s="207"/>
      <c r="AI829" s="207"/>
      <c r="AJ829" s="207"/>
      <c r="AK829" s="207"/>
      <c r="AL829" s="207"/>
      <c r="AM829" s="207"/>
      <c r="AN829" s="207"/>
      <c r="AO829" s="207"/>
      <c r="AP829" s="207"/>
      <c r="AQ829" s="207"/>
      <c r="AR829" s="207"/>
      <c r="AS829" s="207"/>
      <c r="AT829" s="207"/>
      <c r="AU829" s="207"/>
      <c r="AV829" s="207"/>
      <c r="AW829" s="207"/>
      <c r="AX829" s="207"/>
      <c r="AY829" s="207"/>
      <c r="AZ829" s="207"/>
      <c r="BA829" s="207"/>
    </row>
    <row r="830" ht="18.75" hidden="1" customHeight="1">
      <c r="A830" s="1"/>
      <c r="B830" s="207"/>
      <c r="C830" s="207"/>
      <c r="D830" s="207"/>
      <c r="E830" s="207"/>
      <c r="F830" s="207"/>
      <c r="G830" s="207"/>
      <c r="H830" s="207"/>
      <c r="I830" s="207"/>
      <c r="J830" s="207"/>
      <c r="K830" s="207"/>
      <c r="L830" s="207"/>
      <c r="M830" s="207"/>
      <c r="N830" s="207"/>
      <c r="O830" s="207"/>
      <c r="P830" s="207"/>
      <c r="Q830" s="207"/>
      <c r="R830" s="207"/>
      <c r="S830" s="207"/>
      <c r="T830" s="207"/>
      <c r="U830" s="207"/>
      <c r="V830" s="207"/>
      <c r="W830" s="207"/>
      <c r="X830" s="207"/>
      <c r="Y830" s="207"/>
      <c r="Z830" s="207"/>
      <c r="AA830" s="207"/>
      <c r="AB830" s="207"/>
      <c r="AC830" s="207"/>
      <c r="AD830" s="207"/>
      <c r="AE830" s="207"/>
      <c r="AF830" s="207"/>
      <c r="AG830" s="207"/>
      <c r="AH830" s="207"/>
      <c r="AI830" s="207"/>
      <c r="AJ830" s="207"/>
      <c r="AK830" s="207"/>
      <c r="AL830" s="207"/>
      <c r="AM830" s="207"/>
      <c r="AN830" s="207"/>
      <c r="AO830" s="207"/>
      <c r="AP830" s="207"/>
      <c r="AQ830" s="207"/>
      <c r="AR830" s="207"/>
      <c r="AS830" s="207"/>
      <c r="AT830" s="207"/>
      <c r="AU830" s="207"/>
      <c r="AV830" s="207"/>
      <c r="AW830" s="207"/>
      <c r="AX830" s="207"/>
      <c r="AY830" s="207"/>
      <c r="AZ830" s="207"/>
      <c r="BA830" s="207"/>
    </row>
    <row r="831" ht="18.75" hidden="1" customHeight="1">
      <c r="A831" s="1"/>
      <c r="B831" s="207"/>
      <c r="C831" s="207"/>
      <c r="D831" s="207"/>
      <c r="E831" s="207"/>
      <c r="F831" s="207"/>
      <c r="G831" s="207"/>
      <c r="H831" s="207"/>
      <c r="I831" s="207"/>
      <c r="J831" s="207"/>
      <c r="K831" s="207"/>
      <c r="L831" s="207"/>
      <c r="M831" s="207"/>
      <c r="N831" s="207"/>
      <c r="O831" s="207"/>
      <c r="P831" s="207"/>
      <c r="Q831" s="207"/>
      <c r="R831" s="207"/>
      <c r="S831" s="207"/>
      <c r="T831" s="207"/>
      <c r="U831" s="207"/>
      <c r="V831" s="207"/>
      <c r="W831" s="207"/>
      <c r="X831" s="207"/>
      <c r="Y831" s="207"/>
      <c r="Z831" s="207"/>
      <c r="AA831" s="207"/>
      <c r="AB831" s="207"/>
      <c r="AC831" s="207"/>
      <c r="AD831" s="207"/>
      <c r="AE831" s="207"/>
      <c r="AF831" s="207"/>
      <c r="AG831" s="207"/>
      <c r="AH831" s="207"/>
      <c r="AI831" s="207"/>
      <c r="AJ831" s="207"/>
      <c r="AK831" s="207"/>
      <c r="AL831" s="207"/>
      <c r="AM831" s="207"/>
      <c r="AN831" s="207"/>
      <c r="AO831" s="207"/>
      <c r="AP831" s="207"/>
      <c r="AQ831" s="207"/>
      <c r="AR831" s="207"/>
      <c r="AS831" s="207"/>
      <c r="AT831" s="207"/>
      <c r="AU831" s="207"/>
      <c r="AV831" s="207"/>
      <c r="AW831" s="207"/>
      <c r="AX831" s="207"/>
      <c r="AY831" s="207"/>
      <c r="AZ831" s="207"/>
      <c r="BA831" s="207"/>
    </row>
    <row r="832" ht="18.75" hidden="1" customHeight="1">
      <c r="A832" s="1"/>
      <c r="B832" s="207"/>
      <c r="C832" s="207"/>
      <c r="D832" s="207"/>
      <c r="E832" s="207"/>
      <c r="F832" s="207"/>
      <c r="G832" s="207"/>
      <c r="H832" s="207"/>
      <c r="I832" s="207"/>
      <c r="J832" s="207"/>
      <c r="K832" s="207"/>
      <c r="L832" s="207"/>
      <c r="M832" s="207"/>
      <c r="N832" s="207"/>
      <c r="O832" s="207"/>
      <c r="P832" s="207"/>
      <c r="Q832" s="207"/>
      <c r="R832" s="207"/>
      <c r="S832" s="207"/>
      <c r="T832" s="207"/>
      <c r="U832" s="207"/>
      <c r="V832" s="207"/>
      <c r="W832" s="207"/>
      <c r="X832" s="207"/>
      <c r="Y832" s="207"/>
      <c r="Z832" s="207"/>
      <c r="AA832" s="207"/>
      <c r="AB832" s="207"/>
      <c r="AC832" s="207"/>
      <c r="AD832" s="207"/>
      <c r="AE832" s="207"/>
      <c r="AF832" s="207"/>
      <c r="AG832" s="207"/>
      <c r="AH832" s="207"/>
      <c r="AI832" s="207"/>
      <c r="AJ832" s="207"/>
      <c r="AK832" s="207"/>
      <c r="AL832" s="207"/>
      <c r="AM832" s="207"/>
      <c r="AN832" s="207"/>
      <c r="AO832" s="207"/>
      <c r="AP832" s="207"/>
      <c r="AQ832" s="207"/>
      <c r="AR832" s="207"/>
      <c r="AS832" s="207"/>
      <c r="AT832" s="207"/>
      <c r="AU832" s="207"/>
      <c r="AV832" s="207"/>
      <c r="AW832" s="207"/>
      <c r="AX832" s="207"/>
      <c r="AY832" s="207"/>
      <c r="AZ832" s="207"/>
      <c r="BA832" s="207"/>
    </row>
    <row r="833" ht="18.75" hidden="1" customHeight="1">
      <c r="A833" s="1"/>
      <c r="B833" s="207"/>
      <c r="C833" s="207"/>
      <c r="D833" s="207"/>
      <c r="E833" s="207"/>
      <c r="F833" s="207"/>
      <c r="G833" s="207"/>
      <c r="H833" s="207"/>
      <c r="I833" s="207"/>
      <c r="J833" s="207"/>
      <c r="K833" s="207"/>
      <c r="L833" s="207"/>
      <c r="M833" s="207"/>
      <c r="N833" s="207"/>
      <c r="O833" s="207"/>
      <c r="P833" s="207"/>
      <c r="Q833" s="207"/>
      <c r="R833" s="207"/>
      <c r="S833" s="207"/>
      <c r="T833" s="207"/>
      <c r="U833" s="207"/>
      <c r="V833" s="207"/>
      <c r="W833" s="207"/>
      <c r="X833" s="207"/>
      <c r="Y833" s="207"/>
      <c r="Z833" s="207"/>
      <c r="AA833" s="207"/>
      <c r="AB833" s="207"/>
      <c r="AC833" s="207"/>
      <c r="AD833" s="207"/>
      <c r="AE833" s="207"/>
      <c r="AF833" s="207"/>
      <c r="AG833" s="207"/>
      <c r="AH833" s="207"/>
      <c r="AI833" s="207"/>
      <c r="AJ833" s="207"/>
      <c r="AK833" s="207"/>
      <c r="AL833" s="207"/>
      <c r="AM833" s="207"/>
      <c r="AN833" s="207"/>
      <c r="AO833" s="207"/>
      <c r="AP833" s="207"/>
      <c r="AQ833" s="207"/>
      <c r="AR833" s="207"/>
      <c r="AS833" s="207"/>
      <c r="AT833" s="207"/>
      <c r="AU833" s="207"/>
      <c r="AV833" s="207"/>
      <c r="AW833" s="207"/>
      <c r="AX833" s="207"/>
      <c r="AY833" s="207"/>
      <c r="AZ833" s="207"/>
      <c r="BA833" s="207"/>
    </row>
    <row r="834" ht="18.75" hidden="1" customHeight="1">
      <c r="A834" s="1"/>
      <c r="B834" s="207"/>
      <c r="C834" s="207"/>
      <c r="D834" s="207"/>
      <c r="E834" s="207"/>
      <c r="F834" s="207"/>
      <c r="G834" s="207"/>
      <c r="H834" s="207"/>
      <c r="I834" s="207"/>
      <c r="J834" s="207"/>
      <c r="K834" s="207"/>
      <c r="L834" s="207"/>
      <c r="M834" s="207"/>
      <c r="N834" s="207"/>
      <c r="O834" s="207"/>
      <c r="P834" s="207"/>
      <c r="Q834" s="207"/>
      <c r="R834" s="207"/>
      <c r="S834" s="207"/>
      <c r="T834" s="207"/>
      <c r="U834" s="207"/>
      <c r="V834" s="207"/>
      <c r="W834" s="207"/>
      <c r="X834" s="207"/>
      <c r="Y834" s="207"/>
      <c r="Z834" s="207"/>
      <c r="AA834" s="207"/>
      <c r="AB834" s="207"/>
      <c r="AC834" s="207"/>
      <c r="AD834" s="207"/>
      <c r="AE834" s="207"/>
      <c r="AF834" s="207"/>
      <c r="AG834" s="207"/>
      <c r="AH834" s="207"/>
      <c r="AI834" s="207"/>
      <c r="AJ834" s="207"/>
      <c r="AK834" s="207"/>
      <c r="AL834" s="207"/>
      <c r="AM834" s="207"/>
      <c r="AN834" s="207"/>
      <c r="AO834" s="207"/>
      <c r="AP834" s="207"/>
      <c r="AQ834" s="207"/>
      <c r="AR834" s="207"/>
      <c r="AS834" s="207"/>
      <c r="AT834" s="207"/>
      <c r="AU834" s="207"/>
      <c r="AV834" s="207"/>
      <c r="AW834" s="207"/>
      <c r="AX834" s="207"/>
      <c r="AY834" s="207"/>
      <c r="AZ834" s="207"/>
      <c r="BA834" s="207"/>
    </row>
    <row r="835" ht="18.75" hidden="1" customHeight="1">
      <c r="A835" s="1"/>
      <c r="B835" s="207"/>
      <c r="C835" s="207"/>
      <c r="D835" s="207"/>
      <c r="E835" s="207"/>
      <c r="F835" s="207"/>
      <c r="G835" s="207"/>
      <c r="H835" s="207"/>
      <c r="I835" s="207"/>
      <c r="J835" s="207"/>
      <c r="K835" s="207"/>
      <c r="L835" s="207"/>
      <c r="M835" s="207"/>
      <c r="N835" s="207"/>
      <c r="O835" s="207"/>
      <c r="P835" s="207"/>
      <c r="Q835" s="207"/>
      <c r="R835" s="207"/>
      <c r="S835" s="207"/>
      <c r="T835" s="207"/>
      <c r="U835" s="207"/>
      <c r="V835" s="207"/>
      <c r="W835" s="207"/>
      <c r="X835" s="207"/>
      <c r="Y835" s="207"/>
      <c r="Z835" s="207"/>
      <c r="AA835" s="207"/>
      <c r="AB835" s="207"/>
      <c r="AC835" s="207"/>
      <c r="AD835" s="207"/>
      <c r="AE835" s="207"/>
      <c r="AF835" s="207"/>
      <c r="AG835" s="207"/>
      <c r="AH835" s="207"/>
      <c r="AI835" s="207"/>
      <c r="AJ835" s="207"/>
      <c r="AK835" s="207"/>
      <c r="AL835" s="207"/>
      <c r="AM835" s="207"/>
      <c r="AN835" s="207"/>
      <c r="AO835" s="207"/>
      <c r="AP835" s="207"/>
      <c r="AQ835" s="207"/>
      <c r="AR835" s="207"/>
      <c r="AS835" s="207"/>
      <c r="AT835" s="207"/>
      <c r="AU835" s="207"/>
      <c r="AV835" s="207"/>
      <c r="AW835" s="207"/>
      <c r="AX835" s="207"/>
      <c r="AY835" s="207"/>
      <c r="AZ835" s="207"/>
      <c r="BA835" s="207"/>
    </row>
    <row r="836" ht="18.75" hidden="1" customHeight="1">
      <c r="A836" s="1"/>
      <c r="B836" s="207"/>
      <c r="C836" s="207"/>
      <c r="D836" s="207"/>
      <c r="E836" s="207"/>
      <c r="F836" s="207"/>
      <c r="G836" s="207"/>
      <c r="H836" s="207"/>
      <c r="I836" s="207"/>
      <c r="J836" s="207"/>
      <c r="K836" s="207"/>
      <c r="L836" s="207"/>
      <c r="M836" s="207"/>
      <c r="N836" s="207"/>
      <c r="O836" s="207"/>
      <c r="P836" s="207"/>
      <c r="Q836" s="207"/>
      <c r="R836" s="207"/>
      <c r="S836" s="207"/>
      <c r="T836" s="207"/>
      <c r="U836" s="207"/>
      <c r="V836" s="207"/>
      <c r="W836" s="207"/>
      <c r="X836" s="207"/>
      <c r="Y836" s="207"/>
      <c r="Z836" s="207"/>
      <c r="AA836" s="207"/>
      <c r="AB836" s="207"/>
      <c r="AC836" s="207"/>
      <c r="AD836" s="207"/>
      <c r="AE836" s="207"/>
      <c r="AF836" s="207"/>
      <c r="AG836" s="207"/>
      <c r="AH836" s="207"/>
      <c r="AI836" s="207"/>
      <c r="AJ836" s="207"/>
      <c r="AK836" s="207"/>
      <c r="AL836" s="207"/>
      <c r="AM836" s="207"/>
      <c r="AN836" s="207"/>
      <c r="AO836" s="207"/>
      <c r="AP836" s="207"/>
      <c r="AQ836" s="207"/>
      <c r="AR836" s="207"/>
      <c r="AS836" s="207"/>
      <c r="AT836" s="207"/>
      <c r="AU836" s="207"/>
      <c r="AV836" s="207"/>
      <c r="AW836" s="207"/>
      <c r="AX836" s="207"/>
      <c r="AY836" s="207"/>
      <c r="AZ836" s="207"/>
      <c r="BA836" s="207"/>
    </row>
    <row r="837" ht="18.75" hidden="1" customHeight="1">
      <c r="A837" s="1"/>
      <c r="B837" s="207"/>
      <c r="C837" s="207"/>
      <c r="D837" s="207"/>
      <c r="E837" s="207"/>
      <c r="F837" s="207"/>
      <c r="G837" s="207"/>
      <c r="H837" s="207"/>
      <c r="I837" s="207"/>
      <c r="J837" s="207"/>
      <c r="K837" s="207"/>
      <c r="L837" s="207"/>
      <c r="M837" s="207"/>
      <c r="N837" s="207"/>
      <c r="O837" s="207"/>
      <c r="P837" s="207"/>
      <c r="Q837" s="207"/>
      <c r="R837" s="207"/>
      <c r="S837" s="207"/>
      <c r="T837" s="207"/>
      <c r="U837" s="207"/>
      <c r="V837" s="207"/>
      <c r="W837" s="207"/>
      <c r="X837" s="207"/>
      <c r="Y837" s="207"/>
      <c r="Z837" s="207"/>
      <c r="AA837" s="207"/>
      <c r="AB837" s="207"/>
      <c r="AC837" s="207"/>
      <c r="AD837" s="207"/>
      <c r="AE837" s="207"/>
      <c r="AF837" s="207"/>
      <c r="AG837" s="207"/>
      <c r="AH837" s="207"/>
      <c r="AI837" s="207"/>
      <c r="AJ837" s="207"/>
      <c r="AK837" s="207"/>
      <c r="AL837" s="207"/>
      <c r="AM837" s="207"/>
      <c r="AN837" s="207"/>
      <c r="AO837" s="207"/>
      <c r="AP837" s="207"/>
      <c r="AQ837" s="207"/>
      <c r="AR837" s="207"/>
      <c r="AS837" s="207"/>
      <c r="AT837" s="207"/>
      <c r="AU837" s="207"/>
      <c r="AV837" s="207"/>
      <c r="AW837" s="207"/>
      <c r="AX837" s="207"/>
      <c r="AY837" s="207"/>
      <c r="AZ837" s="207"/>
      <c r="BA837" s="207"/>
    </row>
    <row r="838" ht="18.75" hidden="1" customHeight="1">
      <c r="A838" s="1"/>
      <c r="B838" s="207"/>
      <c r="C838" s="207"/>
      <c r="D838" s="207"/>
      <c r="E838" s="207"/>
      <c r="F838" s="207"/>
      <c r="G838" s="207"/>
      <c r="H838" s="207"/>
      <c r="I838" s="207"/>
      <c r="J838" s="207"/>
      <c r="K838" s="207"/>
      <c r="L838" s="207"/>
      <c r="M838" s="207"/>
      <c r="N838" s="207"/>
      <c r="O838" s="207"/>
      <c r="P838" s="207"/>
      <c r="Q838" s="207"/>
      <c r="R838" s="207"/>
      <c r="S838" s="207"/>
      <c r="T838" s="207"/>
      <c r="U838" s="207"/>
      <c r="V838" s="207"/>
      <c r="W838" s="207"/>
      <c r="X838" s="207"/>
      <c r="Y838" s="207"/>
      <c r="Z838" s="207"/>
      <c r="AA838" s="207"/>
      <c r="AB838" s="207"/>
      <c r="AC838" s="207"/>
      <c r="AD838" s="207"/>
      <c r="AE838" s="207"/>
      <c r="AF838" s="207"/>
      <c r="AG838" s="207"/>
      <c r="AH838" s="207"/>
      <c r="AI838" s="207"/>
      <c r="AJ838" s="207"/>
      <c r="AK838" s="207"/>
      <c r="AL838" s="207"/>
      <c r="AM838" s="207"/>
      <c r="AN838" s="207"/>
      <c r="AO838" s="207"/>
      <c r="AP838" s="207"/>
      <c r="AQ838" s="207"/>
      <c r="AR838" s="207"/>
      <c r="AS838" s="207"/>
      <c r="AT838" s="207"/>
      <c r="AU838" s="207"/>
      <c r="AV838" s="207"/>
      <c r="AW838" s="207"/>
      <c r="AX838" s="207"/>
      <c r="AY838" s="207"/>
      <c r="AZ838" s="207"/>
      <c r="BA838" s="207"/>
    </row>
    <row r="839" ht="18.75" hidden="1" customHeight="1">
      <c r="A839" s="1"/>
      <c r="B839" s="207"/>
      <c r="C839" s="207"/>
      <c r="D839" s="207"/>
      <c r="E839" s="207"/>
      <c r="F839" s="207"/>
      <c r="G839" s="207"/>
      <c r="H839" s="207"/>
      <c r="I839" s="207"/>
      <c r="J839" s="207"/>
      <c r="K839" s="207"/>
      <c r="L839" s="207"/>
      <c r="M839" s="207"/>
      <c r="N839" s="207"/>
      <c r="O839" s="207"/>
      <c r="P839" s="207"/>
      <c r="Q839" s="207"/>
      <c r="R839" s="207"/>
      <c r="S839" s="207"/>
      <c r="T839" s="207"/>
      <c r="U839" s="207"/>
      <c r="V839" s="207"/>
      <c r="W839" s="207"/>
      <c r="X839" s="207"/>
      <c r="Y839" s="207"/>
      <c r="Z839" s="207"/>
      <c r="AA839" s="207"/>
      <c r="AB839" s="207"/>
      <c r="AC839" s="207"/>
      <c r="AD839" s="207"/>
      <c r="AE839" s="207"/>
      <c r="AF839" s="207"/>
      <c r="AG839" s="207"/>
      <c r="AH839" s="207"/>
      <c r="AI839" s="207"/>
      <c r="AJ839" s="207"/>
      <c r="AK839" s="207"/>
      <c r="AL839" s="207"/>
      <c r="AM839" s="207"/>
      <c r="AN839" s="207"/>
      <c r="AO839" s="207"/>
      <c r="AP839" s="207"/>
      <c r="AQ839" s="207"/>
      <c r="AR839" s="207"/>
      <c r="AS839" s="207"/>
      <c r="AT839" s="207"/>
      <c r="AU839" s="207"/>
      <c r="AV839" s="207"/>
      <c r="AW839" s="207"/>
      <c r="AX839" s="207"/>
      <c r="AY839" s="207"/>
      <c r="AZ839" s="207"/>
      <c r="BA839" s="207"/>
    </row>
    <row r="840" ht="18.75" hidden="1" customHeight="1">
      <c r="A840" s="1"/>
      <c r="B840" s="207"/>
      <c r="C840" s="207"/>
      <c r="D840" s="207"/>
      <c r="E840" s="207"/>
      <c r="F840" s="207"/>
      <c r="G840" s="207"/>
      <c r="H840" s="207"/>
      <c r="I840" s="207"/>
      <c r="J840" s="207"/>
      <c r="K840" s="207"/>
      <c r="L840" s="207"/>
      <c r="M840" s="207"/>
      <c r="N840" s="207"/>
      <c r="O840" s="207"/>
      <c r="P840" s="207"/>
      <c r="Q840" s="207"/>
      <c r="R840" s="207"/>
      <c r="S840" s="207"/>
      <c r="T840" s="207"/>
      <c r="U840" s="207"/>
      <c r="V840" s="207"/>
      <c r="W840" s="207"/>
      <c r="X840" s="207"/>
      <c r="Y840" s="207"/>
      <c r="Z840" s="207"/>
      <c r="AA840" s="207"/>
      <c r="AB840" s="207"/>
      <c r="AC840" s="207"/>
      <c r="AD840" s="207"/>
      <c r="AE840" s="207"/>
      <c r="AF840" s="207"/>
      <c r="AG840" s="207"/>
      <c r="AH840" s="207"/>
      <c r="AI840" s="207"/>
      <c r="AJ840" s="207"/>
      <c r="AK840" s="207"/>
      <c r="AL840" s="207"/>
      <c r="AM840" s="207"/>
      <c r="AN840" s="207"/>
      <c r="AO840" s="207"/>
      <c r="AP840" s="207"/>
      <c r="AQ840" s="207"/>
      <c r="AR840" s="207"/>
      <c r="AS840" s="207"/>
      <c r="AT840" s="207"/>
      <c r="AU840" s="207"/>
      <c r="AV840" s="207"/>
      <c r="AW840" s="207"/>
      <c r="AX840" s="207"/>
      <c r="AY840" s="207"/>
      <c r="AZ840" s="207"/>
      <c r="BA840" s="207"/>
    </row>
    <row r="841" ht="18.75" hidden="1" customHeight="1">
      <c r="A841" s="1"/>
      <c r="B841" s="207"/>
      <c r="C841" s="207"/>
      <c r="D841" s="207"/>
      <c r="E841" s="207"/>
      <c r="F841" s="207"/>
      <c r="G841" s="207"/>
      <c r="H841" s="207"/>
      <c r="I841" s="207"/>
      <c r="J841" s="207"/>
      <c r="K841" s="207"/>
      <c r="L841" s="207"/>
      <c r="M841" s="207"/>
      <c r="N841" s="207"/>
      <c r="O841" s="207"/>
      <c r="P841" s="207"/>
      <c r="Q841" s="207"/>
      <c r="R841" s="207"/>
      <c r="S841" s="207"/>
      <c r="T841" s="207"/>
      <c r="U841" s="207"/>
      <c r="V841" s="207"/>
      <c r="W841" s="207"/>
      <c r="X841" s="207"/>
      <c r="Y841" s="207"/>
      <c r="Z841" s="207"/>
      <c r="AA841" s="207"/>
      <c r="AB841" s="207"/>
      <c r="AC841" s="207"/>
      <c r="AD841" s="207"/>
      <c r="AE841" s="207"/>
      <c r="AF841" s="207"/>
      <c r="AG841" s="207"/>
      <c r="AH841" s="207"/>
      <c r="AI841" s="207"/>
      <c r="AJ841" s="207"/>
      <c r="AK841" s="207"/>
      <c r="AL841" s="207"/>
      <c r="AM841" s="207"/>
      <c r="AN841" s="207"/>
      <c r="AO841" s="207"/>
      <c r="AP841" s="207"/>
      <c r="AQ841" s="207"/>
      <c r="AR841" s="207"/>
      <c r="AS841" s="207"/>
      <c r="AT841" s="207"/>
      <c r="AU841" s="207"/>
      <c r="AV841" s="207"/>
      <c r="AW841" s="207"/>
      <c r="AX841" s="207"/>
      <c r="AY841" s="207"/>
      <c r="AZ841" s="207"/>
      <c r="BA841" s="207"/>
    </row>
    <row r="842" ht="18.75" hidden="1" customHeight="1">
      <c r="A842" s="1"/>
      <c r="B842" s="207"/>
      <c r="C842" s="207"/>
      <c r="D842" s="207"/>
      <c r="E842" s="207"/>
      <c r="F842" s="207"/>
      <c r="G842" s="207"/>
      <c r="H842" s="207"/>
      <c r="I842" s="207"/>
      <c r="J842" s="207"/>
      <c r="K842" s="207"/>
      <c r="L842" s="207"/>
      <c r="M842" s="207"/>
      <c r="N842" s="207"/>
      <c r="O842" s="207"/>
      <c r="P842" s="207"/>
      <c r="Q842" s="207"/>
      <c r="R842" s="207"/>
      <c r="S842" s="207"/>
      <c r="T842" s="207"/>
      <c r="U842" s="207"/>
      <c r="V842" s="207"/>
      <c r="W842" s="207"/>
      <c r="X842" s="207"/>
      <c r="Y842" s="207"/>
      <c r="Z842" s="207"/>
      <c r="AA842" s="207"/>
      <c r="AB842" s="207"/>
      <c r="AC842" s="207"/>
      <c r="AD842" s="207"/>
      <c r="AE842" s="207"/>
      <c r="AF842" s="207"/>
      <c r="AG842" s="207"/>
      <c r="AH842" s="207"/>
      <c r="AI842" s="207"/>
      <c r="AJ842" s="207"/>
      <c r="AK842" s="207"/>
      <c r="AL842" s="207"/>
      <c r="AM842" s="207"/>
      <c r="AN842" s="207"/>
      <c r="AO842" s="207"/>
      <c r="AP842" s="207"/>
      <c r="AQ842" s="207"/>
      <c r="AR842" s="207"/>
      <c r="AS842" s="207"/>
      <c r="AT842" s="207"/>
      <c r="AU842" s="207"/>
      <c r="AV842" s="207"/>
      <c r="AW842" s="207"/>
      <c r="AX842" s="207"/>
      <c r="AY842" s="207"/>
      <c r="AZ842" s="207"/>
      <c r="BA842" s="207"/>
    </row>
    <row r="843" ht="18.75" hidden="1" customHeight="1">
      <c r="A843" s="1"/>
      <c r="B843" s="207"/>
      <c r="C843" s="207"/>
      <c r="D843" s="207"/>
      <c r="E843" s="207"/>
      <c r="F843" s="207"/>
      <c r="G843" s="207"/>
      <c r="H843" s="207"/>
      <c r="I843" s="207"/>
      <c r="J843" s="207"/>
      <c r="K843" s="207"/>
      <c r="L843" s="207"/>
      <c r="M843" s="207"/>
      <c r="N843" s="207"/>
      <c r="O843" s="207"/>
      <c r="P843" s="207"/>
      <c r="Q843" s="207"/>
      <c r="R843" s="207"/>
      <c r="S843" s="207"/>
      <c r="T843" s="207"/>
      <c r="U843" s="207"/>
      <c r="V843" s="207"/>
      <c r="W843" s="207"/>
      <c r="X843" s="207"/>
      <c r="Y843" s="207"/>
      <c r="Z843" s="207"/>
      <c r="AA843" s="207"/>
      <c r="AB843" s="207"/>
      <c r="AC843" s="207"/>
      <c r="AD843" s="207"/>
      <c r="AE843" s="207"/>
      <c r="AF843" s="207"/>
      <c r="AG843" s="207"/>
      <c r="AH843" s="207"/>
      <c r="AI843" s="207"/>
      <c r="AJ843" s="207"/>
      <c r="AK843" s="207"/>
      <c r="AL843" s="207"/>
      <c r="AM843" s="207"/>
      <c r="AN843" s="207"/>
      <c r="AO843" s="207"/>
      <c r="AP843" s="207"/>
      <c r="AQ843" s="207"/>
      <c r="AR843" s="207"/>
      <c r="AS843" s="207"/>
      <c r="AT843" s="207"/>
      <c r="AU843" s="207"/>
      <c r="AV843" s="207"/>
      <c r="AW843" s="207"/>
      <c r="AX843" s="207"/>
      <c r="AY843" s="207"/>
      <c r="AZ843" s="207"/>
      <c r="BA843" s="207"/>
    </row>
    <row r="844" ht="18.75" hidden="1" customHeight="1">
      <c r="A844" s="1"/>
      <c r="B844" s="207"/>
      <c r="C844" s="207"/>
      <c r="D844" s="207"/>
      <c r="E844" s="207"/>
      <c r="F844" s="207"/>
      <c r="G844" s="207"/>
      <c r="H844" s="207"/>
      <c r="I844" s="207"/>
      <c r="J844" s="207"/>
      <c r="K844" s="207"/>
      <c r="L844" s="207"/>
      <c r="M844" s="207"/>
      <c r="N844" s="207"/>
      <c r="O844" s="207"/>
      <c r="P844" s="207"/>
      <c r="Q844" s="207"/>
      <c r="R844" s="207"/>
      <c r="S844" s="207"/>
      <c r="T844" s="207"/>
      <c r="U844" s="207"/>
      <c r="V844" s="207"/>
      <c r="W844" s="207"/>
      <c r="X844" s="207"/>
      <c r="Y844" s="207"/>
      <c r="Z844" s="207"/>
      <c r="AA844" s="207"/>
      <c r="AB844" s="207"/>
      <c r="AC844" s="207"/>
      <c r="AD844" s="207"/>
      <c r="AE844" s="207"/>
      <c r="AF844" s="207"/>
      <c r="AG844" s="207"/>
      <c r="AH844" s="207"/>
      <c r="AI844" s="207"/>
      <c r="AJ844" s="207"/>
      <c r="AK844" s="207"/>
      <c r="AL844" s="207"/>
      <c r="AM844" s="207"/>
      <c r="AN844" s="207"/>
      <c r="AO844" s="207"/>
      <c r="AP844" s="207"/>
      <c r="AQ844" s="207"/>
      <c r="AR844" s="207"/>
      <c r="AS844" s="207"/>
      <c r="AT844" s="207"/>
      <c r="AU844" s="207"/>
      <c r="AV844" s="207"/>
      <c r="AW844" s="207"/>
      <c r="AX844" s="207"/>
      <c r="AY844" s="207"/>
      <c r="AZ844" s="207"/>
      <c r="BA844" s="207"/>
    </row>
    <row r="845" ht="18.75" hidden="1" customHeight="1">
      <c r="A845" s="1"/>
      <c r="B845" s="207"/>
      <c r="C845" s="207"/>
      <c r="D845" s="207"/>
      <c r="E845" s="207"/>
      <c r="F845" s="207"/>
      <c r="G845" s="207"/>
      <c r="H845" s="207"/>
      <c r="I845" s="207"/>
      <c r="J845" s="207"/>
      <c r="K845" s="207"/>
      <c r="L845" s="207"/>
      <c r="M845" s="207"/>
      <c r="N845" s="207"/>
      <c r="O845" s="207"/>
      <c r="P845" s="207"/>
      <c r="Q845" s="207"/>
      <c r="R845" s="207"/>
      <c r="S845" s="207"/>
      <c r="T845" s="207"/>
      <c r="U845" s="207"/>
      <c r="V845" s="207"/>
      <c r="W845" s="207"/>
      <c r="X845" s="207"/>
      <c r="Y845" s="207"/>
      <c r="Z845" s="207"/>
      <c r="AA845" s="207"/>
      <c r="AB845" s="207"/>
      <c r="AC845" s="207"/>
      <c r="AD845" s="207"/>
      <c r="AE845" s="207"/>
      <c r="AF845" s="207"/>
      <c r="AG845" s="207"/>
      <c r="AH845" s="207"/>
      <c r="AI845" s="207"/>
      <c r="AJ845" s="207"/>
      <c r="AK845" s="207"/>
      <c r="AL845" s="207"/>
      <c r="AM845" s="207"/>
      <c r="AN845" s="207"/>
      <c r="AO845" s="207"/>
      <c r="AP845" s="207"/>
      <c r="AQ845" s="207"/>
      <c r="AR845" s="207"/>
      <c r="AS845" s="207"/>
      <c r="AT845" s="207"/>
      <c r="AU845" s="207"/>
      <c r="AV845" s="207"/>
      <c r="AW845" s="207"/>
      <c r="AX845" s="207"/>
      <c r="AY845" s="207"/>
      <c r="AZ845" s="207"/>
      <c r="BA845" s="207"/>
    </row>
    <row r="846" ht="18.75" hidden="1" customHeight="1">
      <c r="A846" s="1"/>
      <c r="B846" s="207"/>
      <c r="C846" s="207"/>
      <c r="D846" s="207"/>
      <c r="E846" s="207"/>
      <c r="F846" s="207"/>
      <c r="G846" s="207"/>
      <c r="H846" s="207"/>
      <c r="I846" s="207"/>
      <c r="J846" s="207"/>
      <c r="K846" s="207"/>
      <c r="L846" s="207"/>
      <c r="M846" s="207"/>
      <c r="N846" s="207"/>
      <c r="O846" s="207"/>
      <c r="P846" s="207"/>
      <c r="Q846" s="207"/>
      <c r="R846" s="207"/>
      <c r="S846" s="207"/>
      <c r="T846" s="207"/>
      <c r="U846" s="207"/>
      <c r="V846" s="207"/>
      <c r="W846" s="207"/>
      <c r="X846" s="207"/>
      <c r="Y846" s="207"/>
      <c r="Z846" s="207"/>
      <c r="AA846" s="207"/>
      <c r="AB846" s="207"/>
      <c r="AC846" s="207"/>
      <c r="AD846" s="207"/>
      <c r="AE846" s="207"/>
      <c r="AF846" s="207"/>
      <c r="AG846" s="207"/>
      <c r="AH846" s="207"/>
      <c r="AI846" s="207"/>
      <c r="AJ846" s="207"/>
      <c r="AK846" s="207"/>
      <c r="AL846" s="207"/>
      <c r="AM846" s="207"/>
      <c r="AN846" s="207"/>
      <c r="AO846" s="207"/>
      <c r="AP846" s="207"/>
      <c r="AQ846" s="207"/>
      <c r="AR846" s="207"/>
      <c r="AS846" s="207"/>
      <c r="AT846" s="207"/>
      <c r="AU846" s="207"/>
      <c r="AV846" s="207"/>
      <c r="AW846" s="207"/>
      <c r="AX846" s="207"/>
      <c r="AY846" s="207"/>
      <c r="AZ846" s="207"/>
      <c r="BA846" s="207"/>
    </row>
    <row r="847" ht="18.75" hidden="1" customHeight="1">
      <c r="A847" s="1"/>
      <c r="B847" s="207"/>
      <c r="C847" s="207"/>
      <c r="D847" s="207"/>
      <c r="E847" s="207"/>
      <c r="F847" s="207"/>
      <c r="G847" s="207"/>
      <c r="H847" s="207"/>
      <c r="I847" s="207"/>
      <c r="J847" s="207"/>
      <c r="K847" s="207"/>
      <c r="L847" s="207"/>
      <c r="M847" s="207"/>
      <c r="N847" s="207"/>
      <c r="O847" s="207"/>
      <c r="P847" s="207"/>
      <c r="Q847" s="207"/>
      <c r="R847" s="207"/>
      <c r="S847" s="207"/>
      <c r="T847" s="207"/>
      <c r="U847" s="207"/>
      <c r="V847" s="207"/>
      <c r="W847" s="207"/>
      <c r="X847" s="207"/>
      <c r="Y847" s="207"/>
      <c r="Z847" s="207"/>
      <c r="AA847" s="207"/>
      <c r="AB847" s="207"/>
      <c r="AC847" s="207"/>
      <c r="AD847" s="207"/>
      <c r="AE847" s="207"/>
      <c r="AF847" s="207"/>
      <c r="AG847" s="207"/>
      <c r="AH847" s="207"/>
      <c r="AI847" s="207"/>
      <c r="AJ847" s="207"/>
      <c r="AK847" s="207"/>
      <c r="AL847" s="207"/>
      <c r="AM847" s="207"/>
      <c r="AN847" s="207"/>
      <c r="AO847" s="207"/>
      <c r="AP847" s="207"/>
      <c r="AQ847" s="207"/>
      <c r="AR847" s="207"/>
      <c r="AS847" s="207"/>
      <c r="AT847" s="207"/>
      <c r="AU847" s="207"/>
      <c r="AV847" s="207"/>
      <c r="AW847" s="207"/>
      <c r="AX847" s="207"/>
      <c r="AY847" s="207"/>
      <c r="AZ847" s="207"/>
      <c r="BA847" s="207"/>
    </row>
    <row r="848" ht="18.75" hidden="1" customHeight="1">
      <c r="A848" s="1"/>
      <c r="B848" s="207"/>
      <c r="C848" s="207"/>
      <c r="D848" s="207"/>
      <c r="E848" s="207"/>
      <c r="F848" s="207"/>
      <c r="G848" s="207"/>
      <c r="H848" s="207"/>
      <c r="I848" s="207"/>
      <c r="J848" s="207"/>
      <c r="K848" s="207"/>
      <c r="L848" s="207"/>
      <c r="M848" s="207"/>
      <c r="N848" s="207"/>
      <c r="O848" s="207"/>
      <c r="P848" s="207"/>
      <c r="Q848" s="207"/>
      <c r="R848" s="207"/>
      <c r="S848" s="207"/>
      <c r="T848" s="207"/>
      <c r="U848" s="207"/>
      <c r="V848" s="207"/>
      <c r="W848" s="207"/>
      <c r="X848" s="207"/>
      <c r="Y848" s="207"/>
      <c r="Z848" s="207"/>
      <c r="AA848" s="207"/>
      <c r="AB848" s="207"/>
      <c r="AC848" s="207"/>
      <c r="AD848" s="207"/>
      <c r="AE848" s="207"/>
      <c r="AF848" s="207"/>
      <c r="AG848" s="207"/>
      <c r="AH848" s="207"/>
      <c r="AI848" s="207"/>
      <c r="AJ848" s="207"/>
      <c r="AK848" s="207"/>
      <c r="AL848" s="207"/>
      <c r="AM848" s="207"/>
      <c r="AN848" s="207"/>
      <c r="AO848" s="207"/>
      <c r="AP848" s="207"/>
      <c r="AQ848" s="207"/>
      <c r="AR848" s="207"/>
      <c r="AS848" s="207"/>
      <c r="AT848" s="207"/>
      <c r="AU848" s="207"/>
      <c r="AV848" s="207"/>
      <c r="AW848" s="207"/>
      <c r="AX848" s="207"/>
      <c r="AY848" s="207"/>
      <c r="AZ848" s="207"/>
      <c r="BA848" s="207"/>
    </row>
    <row r="849" ht="18.75" hidden="1" customHeight="1">
      <c r="A849" s="1"/>
      <c r="B849" s="207"/>
      <c r="C849" s="207"/>
      <c r="D849" s="207"/>
      <c r="E849" s="207"/>
      <c r="F849" s="207"/>
      <c r="G849" s="207"/>
      <c r="H849" s="207"/>
      <c r="I849" s="207"/>
      <c r="J849" s="207"/>
      <c r="K849" s="207"/>
      <c r="L849" s="207"/>
      <c r="M849" s="207"/>
      <c r="N849" s="207"/>
      <c r="O849" s="207"/>
      <c r="P849" s="207"/>
      <c r="Q849" s="207"/>
      <c r="R849" s="207"/>
      <c r="S849" s="207"/>
      <c r="T849" s="207"/>
      <c r="U849" s="207"/>
      <c r="V849" s="207"/>
      <c r="W849" s="207"/>
      <c r="X849" s="207"/>
      <c r="Y849" s="207"/>
      <c r="Z849" s="207"/>
      <c r="AA849" s="207"/>
      <c r="AB849" s="207"/>
      <c r="AC849" s="207"/>
      <c r="AD849" s="207"/>
      <c r="AE849" s="207"/>
      <c r="AF849" s="207"/>
      <c r="AG849" s="207"/>
      <c r="AH849" s="207"/>
      <c r="AI849" s="207"/>
      <c r="AJ849" s="207"/>
      <c r="AK849" s="207"/>
      <c r="AL849" s="207"/>
      <c r="AM849" s="207"/>
      <c r="AN849" s="207"/>
      <c r="AO849" s="207"/>
      <c r="AP849" s="207"/>
      <c r="AQ849" s="207"/>
      <c r="AR849" s="207"/>
      <c r="AS849" s="207"/>
      <c r="AT849" s="207"/>
      <c r="AU849" s="207"/>
      <c r="AV849" s="207"/>
      <c r="AW849" s="207"/>
      <c r="AX849" s="207"/>
      <c r="AY849" s="207"/>
      <c r="AZ849" s="207"/>
      <c r="BA849" s="207"/>
    </row>
    <row r="850" ht="18.75" hidden="1" customHeight="1">
      <c r="A850" s="1"/>
      <c r="B850" s="207"/>
      <c r="C850" s="207"/>
      <c r="D850" s="207"/>
      <c r="E850" s="207"/>
      <c r="F850" s="207"/>
      <c r="G850" s="207"/>
      <c r="H850" s="207"/>
      <c r="I850" s="207"/>
      <c r="J850" s="207"/>
      <c r="K850" s="207"/>
      <c r="L850" s="207"/>
      <c r="M850" s="207"/>
      <c r="N850" s="207"/>
      <c r="O850" s="207"/>
      <c r="P850" s="207"/>
      <c r="Q850" s="207"/>
      <c r="R850" s="207"/>
      <c r="S850" s="207"/>
      <c r="T850" s="207"/>
      <c r="U850" s="207"/>
      <c r="V850" s="207"/>
      <c r="W850" s="207"/>
      <c r="X850" s="207"/>
      <c r="Y850" s="207"/>
      <c r="Z850" s="207"/>
      <c r="AA850" s="207"/>
      <c r="AB850" s="207"/>
      <c r="AC850" s="207"/>
      <c r="AD850" s="207"/>
      <c r="AE850" s="207"/>
      <c r="AF850" s="207"/>
      <c r="AG850" s="207"/>
      <c r="AH850" s="207"/>
      <c r="AI850" s="207"/>
      <c r="AJ850" s="207"/>
      <c r="AK850" s="207"/>
      <c r="AL850" s="207"/>
      <c r="AM850" s="207"/>
      <c r="AN850" s="207"/>
      <c r="AO850" s="207"/>
      <c r="AP850" s="207"/>
      <c r="AQ850" s="207"/>
      <c r="AR850" s="207"/>
      <c r="AS850" s="207"/>
      <c r="AT850" s="207"/>
      <c r="AU850" s="207"/>
      <c r="AV850" s="207"/>
      <c r="AW850" s="207"/>
      <c r="AX850" s="207"/>
      <c r="AY850" s="207"/>
      <c r="AZ850" s="207"/>
      <c r="BA850" s="207"/>
    </row>
    <row r="851" ht="18.75" hidden="1" customHeight="1">
      <c r="A851" s="1"/>
      <c r="B851" s="207"/>
      <c r="C851" s="207"/>
      <c r="D851" s="207"/>
      <c r="E851" s="207"/>
      <c r="F851" s="207"/>
      <c r="G851" s="207"/>
      <c r="H851" s="207"/>
      <c r="I851" s="207"/>
      <c r="J851" s="207"/>
      <c r="K851" s="207"/>
      <c r="L851" s="207"/>
      <c r="M851" s="207"/>
      <c r="N851" s="207"/>
      <c r="O851" s="207"/>
      <c r="P851" s="207"/>
      <c r="Q851" s="207"/>
      <c r="R851" s="207"/>
      <c r="S851" s="207"/>
      <c r="T851" s="207"/>
      <c r="U851" s="207"/>
      <c r="V851" s="207"/>
      <c r="W851" s="207"/>
      <c r="X851" s="207"/>
      <c r="Y851" s="207"/>
      <c r="Z851" s="207"/>
      <c r="AA851" s="207"/>
      <c r="AB851" s="207"/>
      <c r="AC851" s="207"/>
      <c r="AD851" s="207"/>
      <c r="AE851" s="207"/>
      <c r="AF851" s="207"/>
      <c r="AG851" s="207"/>
      <c r="AH851" s="207"/>
      <c r="AI851" s="207"/>
      <c r="AJ851" s="207"/>
      <c r="AK851" s="207"/>
      <c r="AL851" s="207"/>
      <c r="AM851" s="207"/>
      <c r="AN851" s="207"/>
      <c r="AO851" s="207"/>
      <c r="AP851" s="207"/>
      <c r="AQ851" s="207"/>
      <c r="AR851" s="207"/>
      <c r="AS851" s="207"/>
      <c r="AT851" s="207"/>
      <c r="AU851" s="207"/>
      <c r="AV851" s="207"/>
      <c r="AW851" s="207"/>
      <c r="AX851" s="207"/>
      <c r="AY851" s="207"/>
      <c r="AZ851" s="207"/>
      <c r="BA851" s="207"/>
    </row>
    <row r="852" ht="18.75" hidden="1" customHeight="1">
      <c r="A852" s="1"/>
      <c r="B852" s="207"/>
      <c r="C852" s="207"/>
      <c r="D852" s="207"/>
      <c r="E852" s="207"/>
      <c r="F852" s="207"/>
      <c r="G852" s="207"/>
      <c r="H852" s="207"/>
      <c r="I852" s="207"/>
      <c r="J852" s="207"/>
      <c r="K852" s="207"/>
      <c r="L852" s="207"/>
      <c r="M852" s="207"/>
      <c r="N852" s="207"/>
      <c r="O852" s="207"/>
      <c r="P852" s="207"/>
      <c r="Q852" s="207"/>
      <c r="R852" s="207"/>
      <c r="S852" s="207"/>
      <c r="T852" s="207"/>
      <c r="U852" s="207"/>
      <c r="V852" s="207"/>
      <c r="W852" s="207"/>
      <c r="X852" s="207"/>
      <c r="Y852" s="207"/>
      <c r="Z852" s="207"/>
      <c r="AA852" s="207"/>
      <c r="AB852" s="207"/>
      <c r="AC852" s="207"/>
      <c r="AD852" s="207"/>
      <c r="AE852" s="207"/>
      <c r="AF852" s="207"/>
      <c r="AG852" s="207"/>
      <c r="AH852" s="207"/>
      <c r="AI852" s="207"/>
      <c r="AJ852" s="207"/>
      <c r="AK852" s="207"/>
      <c r="AL852" s="207"/>
      <c r="AM852" s="207"/>
      <c r="AN852" s="207"/>
      <c r="AO852" s="207"/>
      <c r="AP852" s="207"/>
      <c r="AQ852" s="207"/>
      <c r="AR852" s="207"/>
      <c r="AS852" s="207"/>
      <c r="AT852" s="207"/>
      <c r="AU852" s="207"/>
      <c r="AV852" s="207"/>
      <c r="AW852" s="207"/>
      <c r="AX852" s="207"/>
      <c r="AY852" s="207"/>
      <c r="AZ852" s="207"/>
      <c r="BA852" s="207"/>
    </row>
    <row r="853" ht="18.75" hidden="1" customHeight="1">
      <c r="A853" s="1"/>
      <c r="B853" s="207"/>
      <c r="C853" s="207"/>
      <c r="D853" s="207"/>
      <c r="E853" s="207"/>
      <c r="F853" s="207"/>
      <c r="G853" s="207"/>
      <c r="H853" s="207"/>
      <c r="I853" s="207"/>
      <c r="J853" s="207"/>
      <c r="K853" s="207"/>
      <c r="L853" s="207"/>
      <c r="M853" s="207"/>
      <c r="N853" s="207"/>
      <c r="O853" s="207"/>
      <c r="P853" s="207"/>
      <c r="Q853" s="207"/>
      <c r="R853" s="207"/>
      <c r="S853" s="207"/>
      <c r="T853" s="207"/>
      <c r="U853" s="207"/>
      <c r="V853" s="207"/>
      <c r="W853" s="207"/>
      <c r="X853" s="207"/>
      <c r="Y853" s="207"/>
      <c r="Z853" s="207"/>
      <c r="AA853" s="207"/>
      <c r="AB853" s="207"/>
      <c r="AC853" s="207"/>
      <c r="AD853" s="207"/>
      <c r="AE853" s="207"/>
      <c r="AF853" s="207"/>
      <c r="AG853" s="207"/>
      <c r="AH853" s="207"/>
      <c r="AI853" s="207"/>
      <c r="AJ853" s="207"/>
      <c r="AK853" s="207"/>
      <c r="AL853" s="207"/>
      <c r="AM853" s="207"/>
      <c r="AN853" s="207"/>
      <c r="AO853" s="207"/>
      <c r="AP853" s="207"/>
      <c r="AQ853" s="207"/>
      <c r="AR853" s="207"/>
      <c r="AS853" s="207"/>
      <c r="AT853" s="207"/>
      <c r="AU853" s="207"/>
      <c r="AV853" s="207"/>
      <c r="AW853" s="207"/>
      <c r="AX853" s="207"/>
      <c r="AY853" s="207"/>
      <c r="AZ853" s="207"/>
      <c r="BA853" s="207"/>
    </row>
    <row r="854" ht="18.75" hidden="1" customHeight="1">
      <c r="A854" s="1"/>
      <c r="B854" s="207"/>
      <c r="C854" s="207"/>
      <c r="D854" s="207"/>
      <c r="E854" s="207"/>
      <c r="F854" s="207"/>
      <c r="G854" s="207"/>
      <c r="H854" s="207"/>
      <c r="I854" s="207"/>
      <c r="J854" s="207"/>
      <c r="K854" s="207"/>
      <c r="L854" s="207"/>
      <c r="M854" s="207"/>
      <c r="N854" s="207"/>
      <c r="O854" s="207"/>
      <c r="P854" s="207"/>
      <c r="Q854" s="207"/>
      <c r="R854" s="207"/>
      <c r="S854" s="207"/>
      <c r="T854" s="207"/>
      <c r="U854" s="207"/>
      <c r="V854" s="207"/>
      <c r="W854" s="207"/>
      <c r="X854" s="207"/>
      <c r="Y854" s="207"/>
      <c r="Z854" s="207"/>
      <c r="AA854" s="207"/>
      <c r="AB854" s="207"/>
      <c r="AC854" s="207"/>
      <c r="AD854" s="207"/>
      <c r="AE854" s="207"/>
      <c r="AF854" s="207"/>
      <c r="AG854" s="207"/>
      <c r="AH854" s="207"/>
      <c r="AI854" s="207"/>
      <c r="AJ854" s="207"/>
      <c r="AK854" s="207"/>
      <c r="AL854" s="207"/>
      <c r="AM854" s="207"/>
      <c r="AN854" s="207"/>
      <c r="AO854" s="207"/>
      <c r="AP854" s="207"/>
      <c r="AQ854" s="207"/>
      <c r="AR854" s="207"/>
      <c r="AS854" s="207"/>
      <c r="AT854" s="207"/>
      <c r="AU854" s="207"/>
      <c r="AV854" s="207"/>
      <c r="AW854" s="207"/>
      <c r="AX854" s="207"/>
      <c r="AY854" s="207"/>
      <c r="AZ854" s="207"/>
      <c r="BA854" s="207"/>
    </row>
    <row r="855" ht="18.75" hidden="1" customHeight="1">
      <c r="A855" s="1"/>
      <c r="B855" s="207"/>
      <c r="C855" s="207"/>
      <c r="D855" s="207"/>
      <c r="E855" s="207"/>
      <c r="F855" s="207"/>
      <c r="G855" s="207"/>
      <c r="H855" s="207"/>
      <c r="I855" s="207"/>
      <c r="J855" s="207"/>
      <c r="K855" s="207"/>
      <c r="L855" s="207"/>
      <c r="M855" s="207"/>
      <c r="N855" s="207"/>
      <c r="O855" s="207"/>
      <c r="P855" s="207"/>
      <c r="Q855" s="207"/>
      <c r="R855" s="207"/>
      <c r="S855" s="207"/>
      <c r="T855" s="207"/>
      <c r="U855" s="207"/>
      <c r="V855" s="207"/>
      <c r="W855" s="207"/>
      <c r="X855" s="207"/>
      <c r="Y855" s="207"/>
      <c r="Z855" s="207"/>
      <c r="AA855" s="207"/>
      <c r="AB855" s="207"/>
      <c r="AC855" s="207"/>
      <c r="AD855" s="207"/>
      <c r="AE855" s="207"/>
      <c r="AF855" s="207"/>
      <c r="AG855" s="207"/>
      <c r="AH855" s="207"/>
      <c r="AI855" s="207"/>
      <c r="AJ855" s="207"/>
      <c r="AK855" s="207"/>
      <c r="AL855" s="207"/>
      <c r="AM855" s="207"/>
      <c r="AN855" s="207"/>
      <c r="AO855" s="207"/>
      <c r="AP855" s="207"/>
      <c r="AQ855" s="207"/>
      <c r="AR855" s="207"/>
      <c r="AS855" s="207"/>
      <c r="AT855" s="207"/>
      <c r="AU855" s="207"/>
      <c r="AV855" s="207"/>
      <c r="AW855" s="207"/>
      <c r="AX855" s="207"/>
      <c r="AY855" s="207"/>
      <c r="AZ855" s="207"/>
      <c r="BA855" s="207"/>
    </row>
    <row r="856" ht="18.75" hidden="1" customHeight="1">
      <c r="A856" s="1"/>
      <c r="B856" s="207"/>
      <c r="C856" s="207"/>
      <c r="D856" s="207"/>
      <c r="E856" s="207"/>
      <c r="F856" s="207"/>
      <c r="G856" s="207"/>
      <c r="H856" s="207"/>
      <c r="I856" s="207"/>
      <c r="J856" s="207"/>
      <c r="K856" s="207"/>
      <c r="L856" s="207"/>
      <c r="M856" s="207"/>
      <c r="N856" s="207"/>
      <c r="O856" s="207"/>
      <c r="P856" s="207"/>
      <c r="Q856" s="207"/>
      <c r="R856" s="207"/>
      <c r="S856" s="207"/>
      <c r="T856" s="207"/>
      <c r="U856" s="207"/>
      <c r="V856" s="207"/>
      <c r="W856" s="207"/>
      <c r="X856" s="207"/>
      <c r="Y856" s="207"/>
      <c r="Z856" s="207"/>
      <c r="AA856" s="207"/>
      <c r="AB856" s="207"/>
      <c r="AC856" s="207"/>
      <c r="AD856" s="207"/>
      <c r="AE856" s="207"/>
      <c r="AF856" s="207"/>
      <c r="AG856" s="207"/>
      <c r="AH856" s="207"/>
      <c r="AI856" s="207"/>
      <c r="AJ856" s="207"/>
      <c r="AK856" s="207"/>
      <c r="AL856" s="207"/>
      <c r="AM856" s="207"/>
      <c r="AN856" s="207"/>
      <c r="AO856" s="207"/>
      <c r="AP856" s="207"/>
      <c r="AQ856" s="207"/>
      <c r="AR856" s="207"/>
      <c r="AS856" s="207"/>
      <c r="AT856" s="207"/>
      <c r="AU856" s="207"/>
      <c r="AV856" s="207"/>
      <c r="AW856" s="207"/>
      <c r="AX856" s="207"/>
      <c r="AY856" s="207"/>
      <c r="AZ856" s="207"/>
      <c r="BA856" s="207"/>
    </row>
    <row r="857" ht="18.75" hidden="1" customHeight="1">
      <c r="A857" s="1"/>
      <c r="B857" s="207"/>
      <c r="C857" s="207"/>
      <c r="D857" s="207"/>
      <c r="E857" s="207"/>
      <c r="F857" s="207"/>
      <c r="G857" s="207"/>
      <c r="H857" s="207"/>
      <c r="I857" s="207"/>
      <c r="J857" s="207"/>
      <c r="K857" s="207"/>
      <c r="L857" s="207"/>
      <c r="M857" s="207"/>
      <c r="N857" s="207"/>
      <c r="O857" s="207"/>
      <c r="P857" s="207"/>
      <c r="Q857" s="207"/>
      <c r="R857" s="207"/>
      <c r="S857" s="207"/>
      <c r="T857" s="207"/>
      <c r="U857" s="207"/>
      <c r="V857" s="207"/>
      <c r="W857" s="207"/>
      <c r="X857" s="207"/>
      <c r="Y857" s="207"/>
      <c r="Z857" s="207"/>
      <c r="AA857" s="207"/>
      <c r="AB857" s="207"/>
      <c r="AC857" s="207"/>
      <c r="AD857" s="207"/>
      <c r="AE857" s="207"/>
      <c r="AF857" s="207"/>
      <c r="AG857" s="207"/>
      <c r="AH857" s="207"/>
      <c r="AI857" s="207"/>
      <c r="AJ857" s="207"/>
      <c r="AK857" s="207"/>
      <c r="AL857" s="207"/>
      <c r="AM857" s="207"/>
      <c r="AN857" s="207"/>
      <c r="AO857" s="207"/>
      <c r="AP857" s="207"/>
      <c r="AQ857" s="207"/>
      <c r="AR857" s="207"/>
      <c r="AS857" s="207"/>
      <c r="AT857" s="207"/>
      <c r="AU857" s="207"/>
      <c r="AV857" s="207"/>
      <c r="AW857" s="207"/>
      <c r="AX857" s="207"/>
      <c r="AY857" s="207"/>
      <c r="AZ857" s="207"/>
      <c r="BA857" s="207"/>
    </row>
    <row r="858" ht="18.75" hidden="1" customHeight="1">
      <c r="A858" s="1"/>
      <c r="B858" s="207"/>
      <c r="C858" s="207"/>
      <c r="D858" s="207"/>
      <c r="E858" s="207"/>
      <c r="F858" s="207"/>
      <c r="G858" s="207"/>
      <c r="H858" s="207"/>
      <c r="I858" s="207"/>
      <c r="J858" s="207"/>
      <c r="K858" s="207"/>
      <c r="L858" s="207"/>
      <c r="M858" s="207"/>
      <c r="N858" s="207"/>
      <c r="O858" s="207"/>
      <c r="P858" s="207"/>
      <c r="Q858" s="207"/>
      <c r="R858" s="207"/>
      <c r="S858" s="207"/>
      <c r="T858" s="207"/>
      <c r="U858" s="207"/>
      <c r="V858" s="207"/>
      <c r="W858" s="207"/>
      <c r="X858" s="207"/>
      <c r="Y858" s="207"/>
      <c r="Z858" s="207"/>
      <c r="AA858" s="207"/>
      <c r="AB858" s="207"/>
      <c r="AC858" s="207"/>
      <c r="AD858" s="207"/>
      <c r="AE858" s="207"/>
      <c r="AF858" s="207"/>
      <c r="AG858" s="207"/>
      <c r="AH858" s="207"/>
      <c r="AI858" s="207"/>
      <c r="AJ858" s="207"/>
      <c r="AK858" s="207"/>
      <c r="AL858" s="207"/>
      <c r="AM858" s="207"/>
      <c r="AN858" s="207"/>
      <c r="AO858" s="207"/>
      <c r="AP858" s="207"/>
      <c r="AQ858" s="207"/>
      <c r="AR858" s="207"/>
      <c r="AS858" s="207"/>
      <c r="AT858" s="207"/>
      <c r="AU858" s="207"/>
      <c r="AV858" s="207"/>
      <c r="AW858" s="207"/>
      <c r="AX858" s="207"/>
      <c r="AY858" s="207"/>
      <c r="AZ858" s="207"/>
      <c r="BA858" s="207"/>
    </row>
    <row r="859" ht="18.75" hidden="1" customHeight="1">
      <c r="A859" s="1"/>
      <c r="B859" s="207"/>
      <c r="C859" s="207"/>
      <c r="D859" s="207"/>
      <c r="E859" s="207"/>
      <c r="F859" s="207"/>
      <c r="G859" s="207"/>
      <c r="H859" s="207"/>
      <c r="I859" s="207"/>
      <c r="J859" s="207"/>
      <c r="K859" s="207"/>
      <c r="L859" s="207"/>
      <c r="M859" s="207"/>
      <c r="N859" s="207"/>
      <c r="O859" s="207"/>
      <c r="P859" s="207"/>
      <c r="Q859" s="207"/>
      <c r="R859" s="207"/>
      <c r="S859" s="207"/>
      <c r="T859" s="207"/>
      <c r="U859" s="207"/>
      <c r="V859" s="207"/>
      <c r="W859" s="207"/>
      <c r="X859" s="207"/>
      <c r="Y859" s="207"/>
      <c r="Z859" s="207"/>
      <c r="AA859" s="207"/>
      <c r="AB859" s="207"/>
      <c r="AC859" s="207"/>
      <c r="AD859" s="207"/>
      <c r="AE859" s="207"/>
      <c r="AF859" s="207"/>
      <c r="AG859" s="207"/>
      <c r="AH859" s="207"/>
      <c r="AI859" s="207"/>
      <c r="AJ859" s="207"/>
      <c r="AK859" s="207"/>
      <c r="AL859" s="207"/>
      <c r="AM859" s="207"/>
      <c r="AN859" s="207"/>
      <c r="AO859" s="207"/>
      <c r="AP859" s="207"/>
      <c r="AQ859" s="207"/>
      <c r="AR859" s="207"/>
      <c r="AS859" s="207"/>
      <c r="AT859" s="207"/>
      <c r="AU859" s="207"/>
      <c r="AV859" s="207"/>
      <c r="AW859" s="207"/>
      <c r="AX859" s="207"/>
      <c r="AY859" s="207"/>
      <c r="AZ859" s="207"/>
      <c r="BA859" s="207"/>
    </row>
    <row r="860" ht="18.75" hidden="1" customHeight="1">
      <c r="A860" s="1"/>
      <c r="B860" s="207"/>
      <c r="C860" s="207"/>
      <c r="D860" s="207"/>
      <c r="E860" s="207"/>
      <c r="F860" s="207"/>
      <c r="G860" s="207"/>
      <c r="H860" s="207"/>
      <c r="I860" s="207"/>
      <c r="J860" s="207"/>
      <c r="K860" s="207"/>
      <c r="L860" s="207"/>
      <c r="M860" s="207"/>
      <c r="N860" s="207"/>
      <c r="O860" s="207"/>
      <c r="P860" s="207"/>
      <c r="Q860" s="207"/>
      <c r="R860" s="207"/>
      <c r="S860" s="207"/>
      <c r="T860" s="207"/>
      <c r="U860" s="207"/>
      <c r="V860" s="207"/>
      <c r="W860" s="207"/>
      <c r="X860" s="207"/>
      <c r="Y860" s="207"/>
      <c r="Z860" s="207"/>
      <c r="AA860" s="207"/>
      <c r="AB860" s="207"/>
      <c r="AC860" s="207"/>
      <c r="AD860" s="207"/>
      <c r="AE860" s="207"/>
      <c r="AF860" s="207"/>
      <c r="AG860" s="207"/>
      <c r="AH860" s="207"/>
      <c r="AI860" s="207"/>
      <c r="AJ860" s="207"/>
      <c r="AK860" s="207"/>
      <c r="AL860" s="207"/>
      <c r="AM860" s="207"/>
      <c r="AN860" s="207"/>
      <c r="AO860" s="207"/>
      <c r="AP860" s="207"/>
      <c r="AQ860" s="207"/>
      <c r="AR860" s="207"/>
      <c r="AS860" s="207"/>
      <c r="AT860" s="207"/>
      <c r="AU860" s="207"/>
      <c r="AV860" s="207"/>
      <c r="AW860" s="207"/>
      <c r="AX860" s="207"/>
      <c r="AY860" s="207"/>
      <c r="AZ860" s="207"/>
      <c r="BA860" s="207"/>
    </row>
    <row r="861" ht="18.75" hidden="1" customHeight="1">
      <c r="A861" s="1"/>
      <c r="B861" s="207"/>
      <c r="C861" s="207"/>
      <c r="D861" s="207"/>
      <c r="E861" s="207"/>
      <c r="F861" s="207"/>
      <c r="G861" s="207"/>
      <c r="H861" s="207"/>
      <c r="I861" s="207"/>
      <c r="J861" s="207"/>
      <c r="K861" s="207"/>
      <c r="L861" s="207"/>
      <c r="M861" s="207"/>
      <c r="N861" s="207"/>
      <c r="O861" s="207"/>
      <c r="P861" s="207"/>
      <c r="Q861" s="207"/>
      <c r="R861" s="207"/>
      <c r="S861" s="207"/>
      <c r="T861" s="207"/>
      <c r="U861" s="207"/>
      <c r="V861" s="207"/>
      <c r="W861" s="207"/>
      <c r="X861" s="207"/>
      <c r="Y861" s="207"/>
      <c r="Z861" s="207"/>
      <c r="AA861" s="207"/>
      <c r="AB861" s="207"/>
      <c r="AC861" s="207"/>
      <c r="AD861" s="207"/>
      <c r="AE861" s="207"/>
      <c r="AF861" s="207"/>
      <c r="AG861" s="207"/>
      <c r="AH861" s="207"/>
      <c r="AI861" s="207"/>
      <c r="AJ861" s="207"/>
      <c r="AK861" s="207"/>
      <c r="AL861" s="207"/>
      <c r="AM861" s="207"/>
      <c r="AN861" s="207"/>
      <c r="AO861" s="207"/>
      <c r="AP861" s="207"/>
      <c r="AQ861" s="207"/>
      <c r="AR861" s="207"/>
      <c r="AS861" s="207"/>
      <c r="AT861" s="207"/>
      <c r="AU861" s="207"/>
      <c r="AV861" s="207"/>
      <c r="AW861" s="207"/>
      <c r="AX861" s="207"/>
      <c r="AY861" s="207"/>
      <c r="AZ861" s="207"/>
      <c r="BA861" s="207"/>
    </row>
    <row r="862" ht="18.75" hidden="1" customHeight="1">
      <c r="A862" s="1"/>
      <c r="B862" s="207"/>
      <c r="C862" s="207"/>
      <c r="D862" s="207"/>
      <c r="E862" s="207"/>
      <c r="F862" s="207"/>
      <c r="G862" s="207"/>
      <c r="H862" s="207"/>
      <c r="I862" s="207"/>
      <c r="J862" s="207"/>
      <c r="K862" s="207"/>
      <c r="L862" s="207"/>
      <c r="M862" s="207"/>
      <c r="N862" s="207"/>
      <c r="O862" s="207"/>
      <c r="P862" s="207"/>
      <c r="Q862" s="207"/>
      <c r="R862" s="207"/>
      <c r="S862" s="207"/>
      <c r="T862" s="207"/>
      <c r="U862" s="207"/>
      <c r="V862" s="207"/>
      <c r="W862" s="207"/>
      <c r="X862" s="207"/>
      <c r="Y862" s="207"/>
      <c r="Z862" s="207"/>
      <c r="AA862" s="207"/>
      <c r="AB862" s="207"/>
      <c r="AC862" s="207"/>
      <c r="AD862" s="207"/>
      <c r="AE862" s="207"/>
      <c r="AF862" s="207"/>
      <c r="AG862" s="207"/>
      <c r="AH862" s="207"/>
      <c r="AI862" s="207"/>
      <c r="AJ862" s="207"/>
      <c r="AK862" s="207"/>
      <c r="AL862" s="207"/>
      <c r="AM862" s="207"/>
      <c r="AN862" s="207"/>
      <c r="AO862" s="207"/>
      <c r="AP862" s="207"/>
      <c r="AQ862" s="207"/>
      <c r="AR862" s="207"/>
      <c r="AS862" s="207"/>
      <c r="AT862" s="207"/>
      <c r="AU862" s="207"/>
      <c r="AV862" s="207"/>
      <c r="AW862" s="207"/>
      <c r="AX862" s="207"/>
      <c r="AY862" s="207"/>
      <c r="AZ862" s="207"/>
      <c r="BA862" s="207"/>
    </row>
    <row r="863" ht="18.75" hidden="1" customHeight="1">
      <c r="A863" s="1"/>
      <c r="B863" s="207"/>
      <c r="C863" s="207"/>
      <c r="D863" s="207"/>
      <c r="E863" s="207"/>
      <c r="F863" s="207"/>
      <c r="G863" s="207"/>
      <c r="H863" s="207"/>
      <c r="I863" s="207"/>
      <c r="J863" s="207"/>
      <c r="K863" s="207"/>
      <c r="L863" s="207"/>
      <c r="M863" s="207"/>
      <c r="N863" s="207"/>
      <c r="O863" s="207"/>
      <c r="P863" s="207"/>
      <c r="Q863" s="207"/>
      <c r="R863" s="207"/>
      <c r="S863" s="207"/>
      <c r="T863" s="207"/>
      <c r="U863" s="207"/>
      <c r="V863" s="207"/>
      <c r="W863" s="207"/>
      <c r="X863" s="207"/>
      <c r="Y863" s="207"/>
      <c r="Z863" s="207"/>
      <c r="AA863" s="207"/>
      <c r="AB863" s="207"/>
      <c r="AC863" s="207"/>
      <c r="AD863" s="207"/>
      <c r="AE863" s="207"/>
      <c r="AF863" s="207"/>
      <c r="AG863" s="207"/>
      <c r="AH863" s="207"/>
      <c r="AI863" s="207"/>
      <c r="AJ863" s="207"/>
      <c r="AK863" s="207"/>
      <c r="AL863" s="207"/>
      <c r="AM863" s="207"/>
      <c r="AN863" s="207"/>
      <c r="AO863" s="207"/>
      <c r="AP863" s="207"/>
      <c r="AQ863" s="207"/>
      <c r="AR863" s="207"/>
      <c r="AS863" s="207"/>
      <c r="AT863" s="207"/>
      <c r="AU863" s="207"/>
      <c r="AV863" s="207"/>
      <c r="AW863" s="207"/>
      <c r="AX863" s="207"/>
      <c r="AY863" s="207"/>
      <c r="AZ863" s="207"/>
      <c r="BA863" s="207"/>
    </row>
    <row r="864" ht="18.75" hidden="1" customHeight="1">
      <c r="A864" s="1"/>
      <c r="B864" s="207"/>
      <c r="C864" s="207"/>
      <c r="D864" s="207"/>
      <c r="E864" s="207"/>
      <c r="F864" s="207"/>
      <c r="G864" s="207"/>
      <c r="H864" s="207"/>
      <c r="I864" s="207"/>
      <c r="J864" s="207"/>
      <c r="K864" s="207"/>
      <c r="L864" s="207"/>
      <c r="M864" s="207"/>
      <c r="N864" s="207"/>
      <c r="O864" s="207"/>
      <c r="P864" s="207"/>
      <c r="Q864" s="207"/>
      <c r="R864" s="207"/>
      <c r="S864" s="207"/>
      <c r="T864" s="207"/>
      <c r="U864" s="207"/>
      <c r="V864" s="207"/>
      <c r="W864" s="207"/>
      <c r="X864" s="207"/>
      <c r="Y864" s="207"/>
      <c r="Z864" s="207"/>
      <c r="AA864" s="207"/>
      <c r="AB864" s="207"/>
      <c r="AC864" s="207"/>
      <c r="AD864" s="207"/>
      <c r="AE864" s="207"/>
      <c r="AF864" s="207"/>
      <c r="AG864" s="207"/>
      <c r="AH864" s="207"/>
      <c r="AI864" s="207"/>
      <c r="AJ864" s="207"/>
      <c r="AK864" s="207"/>
      <c r="AL864" s="207"/>
      <c r="AM864" s="207"/>
      <c r="AN864" s="207"/>
      <c r="AO864" s="207"/>
      <c r="AP864" s="207"/>
      <c r="AQ864" s="207"/>
      <c r="AR864" s="207"/>
      <c r="AS864" s="207"/>
      <c r="AT864" s="207"/>
      <c r="AU864" s="207"/>
      <c r="AV864" s="207"/>
      <c r="AW864" s="207"/>
      <c r="AX864" s="207"/>
      <c r="AY864" s="207"/>
      <c r="AZ864" s="207"/>
      <c r="BA864" s="207"/>
    </row>
    <row r="865" ht="18.75" hidden="1" customHeight="1">
      <c r="A865" s="1"/>
      <c r="B865" s="207"/>
      <c r="C865" s="207"/>
      <c r="D865" s="207"/>
      <c r="E865" s="207"/>
      <c r="F865" s="207"/>
      <c r="G865" s="207"/>
      <c r="H865" s="207"/>
      <c r="I865" s="207"/>
      <c r="J865" s="207"/>
      <c r="K865" s="207"/>
      <c r="L865" s="207"/>
      <c r="M865" s="207"/>
      <c r="N865" s="207"/>
      <c r="O865" s="207"/>
      <c r="P865" s="207"/>
      <c r="Q865" s="207"/>
      <c r="R865" s="207"/>
      <c r="S865" s="207"/>
      <c r="T865" s="207"/>
      <c r="U865" s="207"/>
      <c r="V865" s="207"/>
      <c r="W865" s="207"/>
      <c r="X865" s="207"/>
      <c r="Y865" s="207"/>
      <c r="Z865" s="207"/>
      <c r="AA865" s="207"/>
      <c r="AB865" s="207"/>
      <c r="AC865" s="207"/>
      <c r="AD865" s="207"/>
      <c r="AE865" s="207"/>
      <c r="AF865" s="207"/>
      <c r="AG865" s="207"/>
      <c r="AH865" s="207"/>
      <c r="AI865" s="207"/>
      <c r="AJ865" s="207"/>
      <c r="AK865" s="207"/>
      <c r="AL865" s="207"/>
      <c r="AM865" s="207"/>
      <c r="AN865" s="207"/>
      <c r="AO865" s="207"/>
      <c r="AP865" s="207"/>
      <c r="AQ865" s="207"/>
      <c r="AR865" s="207"/>
      <c r="AS865" s="207"/>
      <c r="AT865" s="207"/>
      <c r="AU865" s="207"/>
      <c r="AV865" s="207"/>
      <c r="AW865" s="207"/>
      <c r="AX865" s="207"/>
      <c r="AY865" s="207"/>
      <c r="AZ865" s="207"/>
      <c r="BA865" s="207"/>
    </row>
    <row r="866" ht="18.75" hidden="1" customHeight="1">
      <c r="A866" s="1"/>
      <c r="B866" s="207"/>
      <c r="C866" s="207"/>
      <c r="D866" s="207"/>
      <c r="E866" s="207"/>
      <c r="F866" s="207"/>
      <c r="G866" s="207"/>
      <c r="H866" s="207"/>
      <c r="I866" s="207"/>
      <c r="J866" s="207"/>
      <c r="K866" s="207"/>
      <c r="L866" s="207"/>
      <c r="M866" s="207"/>
      <c r="N866" s="207"/>
      <c r="O866" s="207"/>
      <c r="P866" s="207"/>
      <c r="Q866" s="207"/>
      <c r="R866" s="207"/>
      <c r="S866" s="207"/>
      <c r="T866" s="207"/>
      <c r="U866" s="207"/>
      <c r="V866" s="207"/>
      <c r="W866" s="207"/>
      <c r="X866" s="207"/>
      <c r="Y866" s="207"/>
      <c r="Z866" s="207"/>
      <c r="AA866" s="207"/>
      <c r="AB866" s="207"/>
      <c r="AC866" s="207"/>
      <c r="AD866" s="207"/>
      <c r="AE866" s="207"/>
      <c r="AF866" s="207"/>
      <c r="AG866" s="207"/>
      <c r="AH866" s="207"/>
      <c r="AI866" s="207"/>
      <c r="AJ866" s="207"/>
      <c r="AK866" s="207"/>
      <c r="AL866" s="207"/>
      <c r="AM866" s="207"/>
      <c r="AN866" s="207"/>
      <c r="AO866" s="207"/>
      <c r="AP866" s="207"/>
      <c r="AQ866" s="207"/>
      <c r="AR866" s="207"/>
      <c r="AS866" s="207"/>
      <c r="AT866" s="207"/>
      <c r="AU866" s="207"/>
      <c r="AV866" s="207"/>
      <c r="AW866" s="207"/>
      <c r="AX866" s="207"/>
      <c r="AY866" s="207"/>
      <c r="AZ866" s="207"/>
      <c r="BA866" s="207"/>
    </row>
    <row r="867" ht="18.75" hidden="1" customHeight="1">
      <c r="A867" s="1"/>
      <c r="B867" s="207"/>
      <c r="C867" s="207"/>
      <c r="D867" s="207"/>
      <c r="E867" s="207"/>
      <c r="F867" s="207"/>
      <c r="G867" s="207"/>
      <c r="H867" s="207"/>
      <c r="I867" s="207"/>
      <c r="J867" s="207"/>
      <c r="K867" s="207"/>
      <c r="L867" s="207"/>
      <c r="M867" s="207"/>
      <c r="N867" s="207"/>
      <c r="O867" s="207"/>
      <c r="P867" s="207"/>
      <c r="Q867" s="207"/>
      <c r="R867" s="207"/>
      <c r="S867" s="207"/>
      <c r="T867" s="207"/>
      <c r="U867" s="207"/>
      <c r="V867" s="207"/>
      <c r="W867" s="207"/>
      <c r="X867" s="207"/>
      <c r="Y867" s="207"/>
      <c r="Z867" s="207"/>
      <c r="AA867" s="207"/>
      <c r="AB867" s="207"/>
      <c r="AC867" s="207"/>
      <c r="AD867" s="207"/>
      <c r="AE867" s="207"/>
      <c r="AF867" s="207"/>
      <c r="AG867" s="207"/>
      <c r="AH867" s="207"/>
      <c r="AI867" s="207"/>
      <c r="AJ867" s="207"/>
      <c r="AK867" s="207"/>
      <c r="AL867" s="207"/>
      <c r="AM867" s="207"/>
      <c r="AN867" s="207"/>
      <c r="AO867" s="207"/>
      <c r="AP867" s="207"/>
      <c r="AQ867" s="207"/>
      <c r="AR867" s="207"/>
      <c r="AS867" s="207"/>
      <c r="AT867" s="207"/>
      <c r="AU867" s="207"/>
      <c r="AV867" s="207"/>
      <c r="AW867" s="207"/>
      <c r="AX867" s="207"/>
      <c r="AY867" s="207"/>
      <c r="AZ867" s="207"/>
      <c r="BA867" s="207"/>
    </row>
    <row r="868" ht="18.75" hidden="1" customHeight="1">
      <c r="A868" s="1"/>
      <c r="B868" s="207"/>
      <c r="C868" s="207"/>
      <c r="D868" s="207"/>
      <c r="E868" s="207"/>
      <c r="F868" s="207"/>
      <c r="G868" s="207"/>
      <c r="H868" s="207"/>
      <c r="I868" s="207"/>
      <c r="J868" s="207"/>
      <c r="K868" s="207"/>
      <c r="L868" s="207"/>
      <c r="M868" s="207"/>
      <c r="N868" s="207"/>
      <c r="O868" s="207"/>
      <c r="P868" s="207"/>
      <c r="Q868" s="207"/>
      <c r="R868" s="207"/>
      <c r="S868" s="207"/>
      <c r="T868" s="207"/>
      <c r="U868" s="207"/>
      <c r="V868" s="207"/>
      <c r="W868" s="207"/>
      <c r="X868" s="207"/>
      <c r="Y868" s="207"/>
      <c r="Z868" s="207"/>
      <c r="AA868" s="207"/>
      <c r="AB868" s="207"/>
      <c r="AC868" s="207"/>
      <c r="AD868" s="207"/>
      <c r="AE868" s="207"/>
      <c r="AF868" s="207"/>
      <c r="AG868" s="207"/>
      <c r="AH868" s="207"/>
      <c r="AI868" s="207"/>
      <c r="AJ868" s="207"/>
      <c r="AK868" s="207"/>
      <c r="AL868" s="207"/>
      <c r="AM868" s="207"/>
      <c r="AN868" s="207"/>
      <c r="AO868" s="207"/>
      <c r="AP868" s="207"/>
      <c r="AQ868" s="207"/>
      <c r="AR868" s="207"/>
      <c r="AS868" s="207"/>
      <c r="AT868" s="207"/>
      <c r="AU868" s="207"/>
      <c r="AV868" s="207"/>
      <c r="AW868" s="207"/>
      <c r="AX868" s="207"/>
      <c r="AY868" s="207"/>
      <c r="AZ868" s="207"/>
      <c r="BA868" s="207"/>
    </row>
    <row r="869" ht="18.75" hidden="1" customHeight="1">
      <c r="A869" s="1"/>
      <c r="B869" s="207"/>
      <c r="C869" s="207"/>
      <c r="D869" s="207"/>
      <c r="E869" s="207"/>
      <c r="F869" s="207"/>
      <c r="G869" s="207"/>
      <c r="H869" s="207"/>
      <c r="I869" s="207"/>
      <c r="J869" s="207"/>
      <c r="K869" s="207"/>
      <c r="L869" s="207"/>
      <c r="M869" s="207"/>
      <c r="N869" s="207"/>
      <c r="O869" s="207"/>
      <c r="P869" s="207"/>
      <c r="Q869" s="207"/>
      <c r="R869" s="207"/>
      <c r="S869" s="207"/>
      <c r="T869" s="207"/>
      <c r="U869" s="207"/>
      <c r="V869" s="207"/>
      <c r="W869" s="207"/>
      <c r="X869" s="207"/>
      <c r="Y869" s="207"/>
      <c r="Z869" s="207"/>
      <c r="AA869" s="207"/>
      <c r="AB869" s="207"/>
      <c r="AC869" s="207"/>
      <c r="AD869" s="207"/>
      <c r="AE869" s="207"/>
      <c r="AF869" s="207"/>
      <c r="AG869" s="207"/>
      <c r="AH869" s="207"/>
      <c r="AI869" s="207"/>
      <c r="AJ869" s="207"/>
      <c r="AK869" s="207"/>
      <c r="AL869" s="207"/>
      <c r="AM869" s="207"/>
      <c r="AN869" s="207"/>
      <c r="AO869" s="207"/>
      <c r="AP869" s="207"/>
      <c r="AQ869" s="207"/>
      <c r="AR869" s="207"/>
      <c r="AS869" s="207"/>
      <c r="AT869" s="207"/>
      <c r="AU869" s="207"/>
      <c r="AV869" s="207"/>
      <c r="AW869" s="207"/>
      <c r="AX869" s="207"/>
      <c r="AY869" s="207"/>
      <c r="AZ869" s="207"/>
      <c r="BA869" s="207"/>
    </row>
    <row r="870" ht="18.75" hidden="1" customHeight="1">
      <c r="A870" s="1"/>
      <c r="B870" s="207"/>
      <c r="C870" s="207"/>
      <c r="D870" s="207"/>
      <c r="E870" s="207"/>
      <c r="F870" s="207"/>
      <c r="G870" s="207"/>
      <c r="H870" s="207"/>
      <c r="I870" s="207"/>
      <c r="J870" s="207"/>
      <c r="K870" s="207"/>
      <c r="L870" s="207"/>
      <c r="M870" s="207"/>
      <c r="N870" s="207"/>
      <c r="O870" s="207"/>
      <c r="P870" s="207"/>
      <c r="Q870" s="207"/>
      <c r="R870" s="207"/>
      <c r="S870" s="207"/>
      <c r="T870" s="207"/>
      <c r="U870" s="207"/>
      <c r="V870" s="207"/>
      <c r="W870" s="207"/>
      <c r="X870" s="207"/>
      <c r="Y870" s="207"/>
      <c r="Z870" s="207"/>
      <c r="AA870" s="207"/>
      <c r="AB870" s="207"/>
      <c r="AC870" s="207"/>
      <c r="AD870" s="207"/>
      <c r="AE870" s="207"/>
      <c r="AF870" s="207"/>
      <c r="AG870" s="207"/>
      <c r="AH870" s="207"/>
      <c r="AI870" s="207"/>
      <c r="AJ870" s="207"/>
      <c r="AK870" s="207"/>
      <c r="AL870" s="207"/>
      <c r="AM870" s="207"/>
      <c r="AN870" s="207"/>
      <c r="AO870" s="207"/>
      <c r="AP870" s="207"/>
      <c r="AQ870" s="207"/>
      <c r="AR870" s="207"/>
      <c r="AS870" s="207"/>
      <c r="AT870" s="207"/>
      <c r="AU870" s="207"/>
      <c r="AV870" s="207"/>
      <c r="AW870" s="207"/>
      <c r="AX870" s="207"/>
      <c r="AY870" s="207"/>
      <c r="AZ870" s="207"/>
      <c r="BA870" s="207"/>
    </row>
    <row r="871" ht="18.75" hidden="1" customHeight="1">
      <c r="A871" s="1"/>
      <c r="B871" s="207"/>
      <c r="C871" s="207"/>
      <c r="D871" s="207"/>
      <c r="E871" s="207"/>
      <c r="F871" s="207"/>
      <c r="G871" s="207"/>
      <c r="H871" s="207"/>
      <c r="I871" s="207"/>
      <c r="J871" s="207"/>
      <c r="K871" s="207"/>
      <c r="L871" s="207"/>
      <c r="M871" s="207"/>
      <c r="N871" s="207"/>
      <c r="O871" s="207"/>
      <c r="P871" s="207"/>
      <c r="Q871" s="207"/>
      <c r="R871" s="207"/>
      <c r="S871" s="207"/>
      <c r="T871" s="207"/>
      <c r="U871" s="207"/>
      <c r="V871" s="207"/>
      <c r="W871" s="207"/>
      <c r="X871" s="207"/>
      <c r="Y871" s="207"/>
      <c r="Z871" s="207"/>
      <c r="AA871" s="207"/>
      <c r="AB871" s="207"/>
      <c r="AC871" s="207"/>
      <c r="AD871" s="207"/>
      <c r="AE871" s="207"/>
      <c r="AF871" s="207"/>
      <c r="AG871" s="207"/>
      <c r="AH871" s="207"/>
      <c r="AI871" s="207"/>
      <c r="AJ871" s="207"/>
      <c r="AK871" s="207"/>
      <c r="AL871" s="207"/>
      <c r="AM871" s="207"/>
      <c r="AN871" s="207"/>
      <c r="AO871" s="207"/>
      <c r="AP871" s="207"/>
      <c r="AQ871" s="207"/>
      <c r="AR871" s="207"/>
      <c r="AS871" s="207"/>
      <c r="AT871" s="207"/>
      <c r="AU871" s="207"/>
      <c r="AV871" s="207"/>
      <c r="AW871" s="207"/>
      <c r="AX871" s="207"/>
      <c r="AY871" s="207"/>
      <c r="AZ871" s="207"/>
      <c r="BA871" s="207"/>
    </row>
    <row r="872" ht="18.75" hidden="1" customHeight="1">
      <c r="A872" s="1"/>
      <c r="B872" s="207"/>
      <c r="C872" s="207"/>
      <c r="D872" s="207"/>
      <c r="E872" s="207"/>
      <c r="F872" s="207"/>
      <c r="G872" s="207"/>
      <c r="H872" s="207"/>
      <c r="I872" s="207"/>
      <c r="J872" s="207"/>
      <c r="K872" s="207"/>
      <c r="L872" s="207"/>
      <c r="M872" s="207"/>
      <c r="N872" s="207"/>
      <c r="O872" s="207"/>
      <c r="P872" s="207"/>
      <c r="Q872" s="207"/>
      <c r="R872" s="207"/>
      <c r="S872" s="207"/>
      <c r="T872" s="207"/>
      <c r="U872" s="207"/>
      <c r="V872" s="207"/>
      <c r="W872" s="207"/>
      <c r="X872" s="207"/>
      <c r="Y872" s="207"/>
      <c r="Z872" s="207"/>
      <c r="AA872" s="207"/>
      <c r="AB872" s="207"/>
      <c r="AC872" s="207"/>
      <c r="AD872" s="207"/>
      <c r="AE872" s="207"/>
      <c r="AF872" s="207"/>
      <c r="AG872" s="207"/>
      <c r="AH872" s="207"/>
      <c r="AI872" s="207"/>
      <c r="AJ872" s="207"/>
      <c r="AK872" s="207"/>
      <c r="AL872" s="207"/>
      <c r="AM872" s="207"/>
      <c r="AN872" s="207"/>
      <c r="AO872" s="207"/>
      <c r="AP872" s="207"/>
      <c r="AQ872" s="207"/>
      <c r="AR872" s="207"/>
      <c r="AS872" s="207"/>
      <c r="AT872" s="207"/>
      <c r="AU872" s="207"/>
      <c r="AV872" s="207"/>
      <c r="AW872" s="207"/>
      <c r="AX872" s="207"/>
      <c r="AY872" s="207"/>
      <c r="AZ872" s="207"/>
      <c r="BA872" s="207"/>
    </row>
    <row r="873" ht="18.75" hidden="1" customHeight="1">
      <c r="A873" s="1"/>
      <c r="B873" s="207"/>
      <c r="C873" s="207"/>
      <c r="D873" s="207"/>
      <c r="E873" s="207"/>
      <c r="F873" s="207"/>
      <c r="G873" s="207"/>
      <c r="H873" s="207"/>
      <c r="I873" s="207"/>
      <c r="J873" s="207"/>
      <c r="K873" s="207"/>
      <c r="L873" s="207"/>
      <c r="M873" s="207"/>
      <c r="N873" s="207"/>
      <c r="O873" s="207"/>
      <c r="P873" s="207"/>
      <c r="Q873" s="207"/>
      <c r="R873" s="207"/>
      <c r="S873" s="207"/>
      <c r="T873" s="207"/>
      <c r="U873" s="207"/>
      <c r="V873" s="207"/>
      <c r="W873" s="207"/>
      <c r="X873" s="207"/>
      <c r="Y873" s="207"/>
      <c r="Z873" s="207"/>
      <c r="AA873" s="207"/>
      <c r="AB873" s="207"/>
      <c r="AC873" s="207"/>
      <c r="AD873" s="207"/>
      <c r="AE873" s="207"/>
      <c r="AF873" s="207"/>
      <c r="AG873" s="207"/>
      <c r="AH873" s="207"/>
      <c r="AI873" s="207"/>
      <c r="AJ873" s="207"/>
      <c r="AK873" s="207"/>
      <c r="AL873" s="207"/>
      <c r="AM873" s="207"/>
      <c r="AN873" s="207"/>
      <c r="AO873" s="207"/>
      <c r="AP873" s="207"/>
      <c r="AQ873" s="207"/>
      <c r="AR873" s="207"/>
      <c r="AS873" s="207"/>
      <c r="AT873" s="207"/>
      <c r="AU873" s="207"/>
      <c r="AV873" s="207"/>
      <c r="AW873" s="207"/>
      <c r="AX873" s="207"/>
      <c r="AY873" s="207"/>
      <c r="AZ873" s="207"/>
      <c r="BA873" s="207"/>
    </row>
    <row r="874" ht="18.75" hidden="1" customHeight="1">
      <c r="A874" s="1"/>
      <c r="B874" s="207"/>
      <c r="C874" s="207"/>
      <c r="D874" s="207"/>
      <c r="E874" s="207"/>
      <c r="F874" s="207"/>
      <c r="G874" s="207"/>
      <c r="H874" s="207"/>
      <c r="I874" s="207"/>
      <c r="J874" s="207"/>
      <c r="K874" s="207"/>
      <c r="L874" s="207"/>
      <c r="M874" s="207"/>
      <c r="N874" s="207"/>
      <c r="O874" s="207"/>
      <c r="P874" s="207"/>
      <c r="Q874" s="207"/>
      <c r="R874" s="207"/>
      <c r="S874" s="207"/>
      <c r="T874" s="207"/>
      <c r="U874" s="207"/>
      <c r="V874" s="207"/>
      <c r="W874" s="207"/>
      <c r="X874" s="207"/>
      <c r="Y874" s="207"/>
      <c r="Z874" s="207"/>
      <c r="AA874" s="207"/>
      <c r="AB874" s="207"/>
      <c r="AC874" s="207"/>
      <c r="AD874" s="207"/>
      <c r="AE874" s="207"/>
      <c r="AF874" s="207"/>
      <c r="AG874" s="207"/>
      <c r="AH874" s="207"/>
      <c r="AI874" s="207"/>
      <c r="AJ874" s="207"/>
      <c r="AK874" s="207"/>
      <c r="AL874" s="207"/>
      <c r="AM874" s="207"/>
      <c r="AN874" s="207"/>
      <c r="AO874" s="207"/>
      <c r="AP874" s="207"/>
      <c r="AQ874" s="207"/>
      <c r="AR874" s="207"/>
      <c r="AS874" s="207"/>
      <c r="AT874" s="207"/>
      <c r="AU874" s="207"/>
      <c r="AV874" s="207"/>
      <c r="AW874" s="207"/>
      <c r="AX874" s="207"/>
      <c r="AY874" s="207"/>
      <c r="AZ874" s="207"/>
      <c r="BA874" s="207"/>
    </row>
    <row r="875" ht="18.75" hidden="1" customHeight="1">
      <c r="A875" s="1"/>
      <c r="B875" s="207"/>
      <c r="C875" s="207"/>
      <c r="D875" s="207"/>
      <c r="E875" s="207"/>
      <c r="F875" s="207"/>
      <c r="G875" s="207"/>
      <c r="H875" s="207"/>
      <c r="I875" s="207"/>
      <c r="J875" s="207"/>
      <c r="K875" s="207"/>
      <c r="L875" s="207"/>
      <c r="M875" s="207"/>
      <c r="N875" s="207"/>
      <c r="O875" s="207"/>
      <c r="P875" s="207"/>
      <c r="Q875" s="207"/>
      <c r="R875" s="207"/>
      <c r="S875" s="207"/>
      <c r="T875" s="207"/>
      <c r="U875" s="207"/>
      <c r="V875" s="207"/>
      <c r="W875" s="207"/>
      <c r="X875" s="207"/>
      <c r="Y875" s="207"/>
      <c r="Z875" s="207"/>
      <c r="AA875" s="207"/>
      <c r="AB875" s="207"/>
      <c r="AC875" s="207"/>
      <c r="AD875" s="207"/>
      <c r="AE875" s="207"/>
      <c r="AF875" s="207"/>
      <c r="AG875" s="207"/>
      <c r="AH875" s="207"/>
      <c r="AI875" s="207"/>
      <c r="AJ875" s="207"/>
      <c r="AK875" s="207"/>
      <c r="AL875" s="207"/>
      <c r="AM875" s="207"/>
      <c r="AN875" s="207"/>
      <c r="AO875" s="207"/>
      <c r="AP875" s="207"/>
      <c r="AQ875" s="207"/>
      <c r="AR875" s="207"/>
      <c r="AS875" s="207"/>
      <c r="AT875" s="207"/>
      <c r="AU875" s="207"/>
      <c r="AV875" s="207"/>
      <c r="AW875" s="207"/>
      <c r="AX875" s="207"/>
      <c r="AY875" s="207"/>
      <c r="AZ875" s="207"/>
      <c r="BA875" s="207"/>
    </row>
    <row r="876" ht="18.75" hidden="1" customHeight="1">
      <c r="A876" s="1"/>
      <c r="B876" s="207"/>
      <c r="C876" s="207"/>
      <c r="D876" s="207"/>
      <c r="E876" s="207"/>
      <c r="F876" s="207"/>
      <c r="G876" s="207"/>
      <c r="H876" s="207"/>
      <c r="I876" s="207"/>
      <c r="J876" s="207"/>
      <c r="K876" s="207"/>
      <c r="L876" s="207"/>
      <c r="M876" s="207"/>
      <c r="N876" s="207"/>
      <c r="O876" s="207"/>
      <c r="P876" s="207"/>
      <c r="Q876" s="207"/>
      <c r="R876" s="207"/>
      <c r="S876" s="207"/>
      <c r="T876" s="207"/>
      <c r="U876" s="207"/>
      <c r="V876" s="207"/>
      <c r="W876" s="207"/>
      <c r="X876" s="207"/>
      <c r="Y876" s="207"/>
      <c r="Z876" s="207"/>
      <c r="AA876" s="207"/>
      <c r="AB876" s="207"/>
      <c r="AC876" s="207"/>
      <c r="AD876" s="207"/>
      <c r="AE876" s="207"/>
      <c r="AF876" s="207"/>
      <c r="AG876" s="207"/>
      <c r="AH876" s="207"/>
      <c r="AI876" s="207"/>
      <c r="AJ876" s="207"/>
      <c r="AK876" s="207"/>
      <c r="AL876" s="207"/>
      <c r="AM876" s="207"/>
      <c r="AN876" s="207"/>
      <c r="AO876" s="207"/>
      <c r="AP876" s="207"/>
      <c r="AQ876" s="207"/>
      <c r="AR876" s="207"/>
      <c r="AS876" s="207"/>
      <c r="AT876" s="207"/>
      <c r="AU876" s="207"/>
      <c r="AV876" s="207"/>
      <c r="AW876" s="207"/>
      <c r="AX876" s="207"/>
      <c r="AY876" s="207"/>
      <c r="AZ876" s="207"/>
      <c r="BA876" s="207"/>
    </row>
    <row r="877" ht="18.75" hidden="1" customHeight="1">
      <c r="A877" s="1"/>
      <c r="B877" s="207"/>
      <c r="C877" s="207"/>
      <c r="D877" s="207"/>
      <c r="E877" s="207"/>
      <c r="F877" s="207"/>
      <c r="G877" s="207"/>
      <c r="H877" s="207"/>
      <c r="I877" s="207"/>
      <c r="J877" s="207"/>
      <c r="K877" s="207"/>
      <c r="L877" s="207"/>
      <c r="M877" s="207"/>
      <c r="N877" s="207"/>
      <c r="O877" s="207"/>
      <c r="P877" s="207"/>
      <c r="Q877" s="207"/>
      <c r="R877" s="207"/>
      <c r="S877" s="207"/>
      <c r="T877" s="207"/>
      <c r="U877" s="207"/>
      <c r="V877" s="207"/>
      <c r="W877" s="207"/>
      <c r="X877" s="207"/>
      <c r="Y877" s="207"/>
      <c r="Z877" s="207"/>
      <c r="AA877" s="207"/>
      <c r="AB877" s="207"/>
      <c r="AC877" s="207"/>
      <c r="AD877" s="207"/>
      <c r="AE877" s="207"/>
      <c r="AF877" s="207"/>
      <c r="AG877" s="207"/>
      <c r="AH877" s="207"/>
      <c r="AI877" s="207"/>
      <c r="AJ877" s="207"/>
      <c r="AK877" s="207"/>
      <c r="AL877" s="207"/>
      <c r="AM877" s="207"/>
      <c r="AN877" s="207"/>
      <c r="AO877" s="207"/>
      <c r="AP877" s="207"/>
      <c r="AQ877" s="207"/>
      <c r="AR877" s="207"/>
      <c r="AS877" s="207"/>
      <c r="AT877" s="207"/>
      <c r="AU877" s="207"/>
      <c r="AV877" s="207"/>
      <c r="AW877" s="207"/>
      <c r="AX877" s="207"/>
      <c r="AY877" s="207"/>
      <c r="AZ877" s="207"/>
      <c r="BA877" s="207"/>
    </row>
    <row r="878" ht="18.75" hidden="1" customHeight="1">
      <c r="A878" s="1"/>
      <c r="B878" s="207"/>
      <c r="C878" s="207"/>
      <c r="D878" s="207"/>
      <c r="E878" s="207"/>
      <c r="F878" s="207"/>
      <c r="G878" s="207"/>
      <c r="H878" s="207"/>
      <c r="I878" s="207"/>
      <c r="J878" s="207"/>
      <c r="K878" s="207"/>
      <c r="L878" s="207"/>
      <c r="M878" s="207"/>
      <c r="N878" s="207"/>
      <c r="O878" s="207"/>
      <c r="P878" s="207"/>
      <c r="Q878" s="207"/>
      <c r="R878" s="207"/>
      <c r="S878" s="207"/>
      <c r="T878" s="207"/>
      <c r="U878" s="207"/>
      <c r="V878" s="207"/>
      <c r="W878" s="207"/>
      <c r="X878" s="207"/>
      <c r="Y878" s="207"/>
      <c r="Z878" s="207"/>
      <c r="AA878" s="207"/>
      <c r="AB878" s="207"/>
      <c r="AC878" s="207"/>
      <c r="AD878" s="207"/>
      <c r="AE878" s="207"/>
      <c r="AF878" s="207"/>
      <c r="AG878" s="207"/>
      <c r="AH878" s="207"/>
      <c r="AI878" s="207"/>
      <c r="AJ878" s="207"/>
      <c r="AK878" s="207"/>
      <c r="AL878" s="207"/>
      <c r="AM878" s="207"/>
      <c r="AN878" s="207"/>
      <c r="AO878" s="207"/>
      <c r="AP878" s="207"/>
      <c r="AQ878" s="207"/>
      <c r="AR878" s="207"/>
      <c r="AS878" s="207"/>
      <c r="AT878" s="207"/>
      <c r="AU878" s="207"/>
      <c r="AV878" s="207"/>
      <c r="AW878" s="207"/>
      <c r="AX878" s="207"/>
      <c r="AY878" s="207"/>
      <c r="AZ878" s="207"/>
      <c r="BA878" s="207"/>
    </row>
    <row r="879" ht="18.75" hidden="1" customHeight="1">
      <c r="A879" s="1"/>
      <c r="B879" s="207"/>
      <c r="C879" s="207"/>
      <c r="D879" s="207"/>
      <c r="E879" s="207"/>
      <c r="F879" s="207"/>
      <c r="G879" s="207"/>
      <c r="H879" s="207"/>
      <c r="I879" s="207"/>
      <c r="J879" s="207"/>
      <c r="K879" s="207"/>
      <c r="L879" s="207"/>
      <c r="M879" s="207"/>
      <c r="N879" s="207"/>
      <c r="O879" s="207"/>
      <c r="P879" s="207"/>
      <c r="Q879" s="207"/>
      <c r="R879" s="207"/>
      <c r="S879" s="207"/>
      <c r="T879" s="207"/>
      <c r="U879" s="207"/>
      <c r="V879" s="207"/>
      <c r="W879" s="207"/>
      <c r="X879" s="207"/>
      <c r="Y879" s="207"/>
      <c r="Z879" s="207"/>
      <c r="AA879" s="207"/>
      <c r="AB879" s="207"/>
      <c r="AC879" s="207"/>
      <c r="AD879" s="207"/>
      <c r="AE879" s="207"/>
      <c r="AF879" s="207"/>
      <c r="AG879" s="207"/>
      <c r="AH879" s="207"/>
      <c r="AI879" s="207"/>
      <c r="AJ879" s="207"/>
      <c r="AK879" s="207"/>
      <c r="AL879" s="207"/>
      <c r="AM879" s="207"/>
      <c r="AN879" s="207"/>
      <c r="AO879" s="207"/>
      <c r="AP879" s="207"/>
      <c r="AQ879" s="207"/>
      <c r="AR879" s="207"/>
      <c r="AS879" s="207"/>
      <c r="AT879" s="207"/>
      <c r="AU879" s="207"/>
      <c r="AV879" s="207"/>
      <c r="AW879" s="207"/>
      <c r="AX879" s="207"/>
      <c r="AY879" s="207"/>
      <c r="AZ879" s="207"/>
      <c r="BA879" s="207"/>
    </row>
    <row r="880" ht="18.75" hidden="1" customHeight="1">
      <c r="A880" s="1"/>
      <c r="B880" s="207"/>
      <c r="C880" s="207"/>
      <c r="D880" s="207"/>
      <c r="E880" s="207"/>
      <c r="F880" s="207"/>
      <c r="G880" s="207"/>
      <c r="H880" s="207"/>
      <c r="I880" s="207"/>
      <c r="J880" s="207"/>
      <c r="K880" s="207"/>
      <c r="L880" s="207"/>
      <c r="M880" s="207"/>
      <c r="N880" s="207"/>
      <c r="O880" s="207"/>
      <c r="P880" s="207"/>
      <c r="Q880" s="207"/>
      <c r="R880" s="207"/>
      <c r="S880" s="207"/>
      <c r="T880" s="207"/>
      <c r="U880" s="207"/>
      <c r="V880" s="207"/>
      <c r="W880" s="207"/>
      <c r="X880" s="207"/>
      <c r="Y880" s="207"/>
      <c r="Z880" s="207"/>
      <c r="AA880" s="207"/>
      <c r="AB880" s="207"/>
      <c r="AC880" s="207"/>
      <c r="AD880" s="207"/>
      <c r="AE880" s="207"/>
      <c r="AF880" s="207"/>
      <c r="AG880" s="207"/>
      <c r="AH880" s="207"/>
      <c r="AI880" s="207"/>
      <c r="AJ880" s="207"/>
      <c r="AK880" s="207"/>
      <c r="AL880" s="207"/>
      <c r="AM880" s="207"/>
      <c r="AN880" s="207"/>
      <c r="AO880" s="207"/>
      <c r="AP880" s="207"/>
      <c r="AQ880" s="207"/>
      <c r="AR880" s="207"/>
      <c r="AS880" s="207"/>
      <c r="AT880" s="207"/>
      <c r="AU880" s="207"/>
      <c r="AV880" s="207"/>
      <c r="AW880" s="207"/>
      <c r="AX880" s="207"/>
      <c r="AY880" s="207"/>
      <c r="AZ880" s="207"/>
      <c r="BA880" s="207"/>
    </row>
    <row r="881" ht="18.75" hidden="1" customHeight="1">
      <c r="A881" s="1"/>
      <c r="B881" s="207"/>
      <c r="C881" s="207"/>
      <c r="D881" s="207"/>
      <c r="E881" s="207"/>
      <c r="F881" s="207"/>
      <c r="G881" s="207"/>
      <c r="H881" s="207"/>
      <c r="I881" s="207"/>
      <c r="J881" s="207"/>
      <c r="K881" s="207"/>
      <c r="L881" s="207"/>
      <c r="M881" s="207"/>
      <c r="N881" s="207"/>
      <c r="O881" s="207"/>
      <c r="P881" s="207"/>
      <c r="Q881" s="207"/>
      <c r="R881" s="207"/>
      <c r="S881" s="207"/>
      <c r="T881" s="207"/>
      <c r="U881" s="207"/>
      <c r="V881" s="207"/>
      <c r="W881" s="207"/>
      <c r="X881" s="207"/>
      <c r="Y881" s="207"/>
      <c r="Z881" s="207"/>
      <c r="AA881" s="207"/>
      <c r="AB881" s="207"/>
      <c r="AC881" s="207"/>
      <c r="AD881" s="207"/>
      <c r="AE881" s="207"/>
      <c r="AF881" s="207"/>
      <c r="AG881" s="207"/>
      <c r="AH881" s="207"/>
      <c r="AI881" s="207"/>
      <c r="AJ881" s="207"/>
      <c r="AK881" s="207"/>
      <c r="AL881" s="207"/>
      <c r="AM881" s="207"/>
      <c r="AN881" s="207"/>
      <c r="AO881" s="207"/>
      <c r="AP881" s="207"/>
      <c r="AQ881" s="207"/>
      <c r="AR881" s="207"/>
      <c r="AS881" s="207"/>
      <c r="AT881" s="207"/>
      <c r="AU881" s="207"/>
      <c r="AV881" s="207"/>
      <c r="AW881" s="207"/>
      <c r="AX881" s="207"/>
      <c r="AY881" s="207"/>
      <c r="AZ881" s="207"/>
      <c r="BA881" s="207"/>
    </row>
    <row r="882" ht="18.75" hidden="1" customHeight="1">
      <c r="A882" s="1"/>
      <c r="B882" s="207"/>
      <c r="C882" s="207"/>
      <c r="D882" s="207"/>
      <c r="E882" s="207"/>
      <c r="F882" s="207"/>
      <c r="G882" s="207"/>
      <c r="H882" s="207"/>
      <c r="I882" s="207"/>
      <c r="J882" s="207"/>
      <c r="K882" s="207"/>
      <c r="L882" s="207"/>
      <c r="M882" s="207"/>
      <c r="N882" s="207"/>
      <c r="O882" s="207"/>
      <c r="P882" s="207"/>
      <c r="Q882" s="207"/>
      <c r="R882" s="207"/>
      <c r="S882" s="207"/>
      <c r="T882" s="207"/>
      <c r="U882" s="207"/>
      <c r="V882" s="207"/>
      <c r="W882" s="207"/>
      <c r="X882" s="207"/>
      <c r="Y882" s="207"/>
      <c r="Z882" s="207"/>
      <c r="AA882" s="207"/>
      <c r="AB882" s="207"/>
      <c r="AC882" s="207"/>
      <c r="AD882" s="207"/>
      <c r="AE882" s="207"/>
      <c r="AF882" s="207"/>
      <c r="AG882" s="207"/>
      <c r="AH882" s="207"/>
      <c r="AI882" s="207"/>
      <c r="AJ882" s="207"/>
      <c r="AK882" s="207"/>
      <c r="AL882" s="207"/>
      <c r="AM882" s="207"/>
      <c r="AN882" s="207"/>
      <c r="AO882" s="207"/>
      <c r="AP882" s="207"/>
      <c r="AQ882" s="207"/>
      <c r="AR882" s="207"/>
      <c r="AS882" s="207"/>
      <c r="AT882" s="207"/>
      <c r="AU882" s="207"/>
      <c r="AV882" s="207"/>
      <c r="AW882" s="207"/>
      <c r="AX882" s="207"/>
      <c r="AY882" s="207"/>
      <c r="AZ882" s="207"/>
      <c r="BA882" s="207"/>
    </row>
    <row r="883" ht="18.75" hidden="1" customHeight="1">
      <c r="A883" s="1"/>
      <c r="B883" s="207"/>
      <c r="C883" s="207"/>
      <c r="D883" s="207"/>
      <c r="E883" s="207"/>
      <c r="F883" s="207"/>
      <c r="G883" s="207"/>
      <c r="H883" s="207"/>
      <c r="I883" s="207"/>
      <c r="J883" s="207"/>
      <c r="K883" s="207"/>
      <c r="L883" s="207"/>
      <c r="M883" s="207"/>
      <c r="N883" s="207"/>
      <c r="O883" s="207"/>
      <c r="P883" s="207"/>
      <c r="Q883" s="207"/>
      <c r="R883" s="207"/>
      <c r="S883" s="207"/>
      <c r="T883" s="207"/>
      <c r="U883" s="207"/>
      <c r="V883" s="207"/>
      <c r="W883" s="207"/>
      <c r="X883" s="207"/>
      <c r="Y883" s="207"/>
      <c r="Z883" s="207"/>
      <c r="AA883" s="207"/>
      <c r="AB883" s="207"/>
      <c r="AC883" s="207"/>
      <c r="AD883" s="207"/>
      <c r="AE883" s="207"/>
      <c r="AF883" s="207"/>
      <c r="AG883" s="207"/>
      <c r="AH883" s="207"/>
      <c r="AI883" s="207"/>
      <c r="AJ883" s="207"/>
      <c r="AK883" s="207"/>
      <c r="AL883" s="207"/>
      <c r="AM883" s="207"/>
      <c r="AN883" s="207"/>
      <c r="AO883" s="207"/>
      <c r="AP883" s="207"/>
      <c r="AQ883" s="207"/>
      <c r="AR883" s="207"/>
      <c r="AS883" s="207"/>
      <c r="AT883" s="207"/>
      <c r="AU883" s="207"/>
      <c r="AV883" s="207"/>
      <c r="AW883" s="207"/>
      <c r="AX883" s="207"/>
      <c r="AY883" s="207"/>
      <c r="AZ883" s="207"/>
      <c r="BA883" s="207"/>
    </row>
    <row r="884" ht="18.75" hidden="1" customHeight="1">
      <c r="A884" s="1"/>
      <c r="B884" s="207"/>
      <c r="C884" s="207"/>
      <c r="D884" s="207"/>
      <c r="E884" s="207"/>
      <c r="F884" s="207"/>
      <c r="G884" s="207"/>
      <c r="H884" s="207"/>
      <c r="I884" s="207"/>
      <c r="J884" s="207"/>
      <c r="K884" s="207"/>
      <c r="L884" s="207"/>
      <c r="M884" s="207"/>
      <c r="N884" s="207"/>
      <c r="O884" s="207"/>
      <c r="P884" s="207"/>
      <c r="Q884" s="207"/>
      <c r="R884" s="207"/>
      <c r="S884" s="207"/>
      <c r="T884" s="207"/>
      <c r="U884" s="207"/>
      <c r="V884" s="207"/>
      <c r="W884" s="207"/>
      <c r="X884" s="207"/>
      <c r="Y884" s="207"/>
      <c r="Z884" s="207"/>
      <c r="AA884" s="207"/>
      <c r="AB884" s="207"/>
      <c r="AC884" s="207"/>
      <c r="AD884" s="207"/>
      <c r="AE884" s="207"/>
      <c r="AF884" s="207"/>
      <c r="AG884" s="207"/>
      <c r="AH884" s="207"/>
      <c r="AI884" s="207"/>
      <c r="AJ884" s="207"/>
      <c r="AK884" s="207"/>
      <c r="AL884" s="207"/>
      <c r="AM884" s="207"/>
      <c r="AN884" s="207"/>
      <c r="AO884" s="207"/>
      <c r="AP884" s="207"/>
      <c r="AQ884" s="207"/>
      <c r="AR884" s="207"/>
      <c r="AS884" s="207"/>
      <c r="AT884" s="207"/>
      <c r="AU884" s="207"/>
      <c r="AV884" s="207"/>
      <c r="AW884" s="207"/>
      <c r="AX884" s="207"/>
      <c r="AY884" s="207"/>
      <c r="AZ884" s="207"/>
      <c r="BA884" s="207"/>
    </row>
    <row r="885" ht="18.75" hidden="1" customHeight="1">
      <c r="A885" s="1"/>
      <c r="B885" s="207"/>
      <c r="C885" s="207"/>
      <c r="D885" s="207"/>
      <c r="E885" s="207"/>
      <c r="F885" s="207"/>
      <c r="G885" s="207"/>
      <c r="H885" s="207"/>
      <c r="I885" s="207"/>
      <c r="J885" s="207"/>
      <c r="K885" s="207"/>
      <c r="L885" s="207"/>
      <c r="M885" s="207"/>
      <c r="N885" s="207"/>
      <c r="O885" s="207"/>
      <c r="P885" s="207"/>
      <c r="Q885" s="207"/>
      <c r="R885" s="207"/>
      <c r="S885" s="207"/>
      <c r="T885" s="207"/>
      <c r="U885" s="207"/>
      <c r="V885" s="207"/>
      <c r="W885" s="207"/>
      <c r="X885" s="207"/>
      <c r="Y885" s="207"/>
      <c r="Z885" s="207"/>
      <c r="AA885" s="207"/>
      <c r="AB885" s="207"/>
      <c r="AC885" s="207"/>
      <c r="AD885" s="207"/>
      <c r="AE885" s="207"/>
      <c r="AF885" s="207"/>
      <c r="AG885" s="207"/>
      <c r="AH885" s="207"/>
      <c r="AI885" s="207"/>
      <c r="AJ885" s="207"/>
      <c r="AK885" s="207"/>
      <c r="AL885" s="207"/>
      <c r="AM885" s="207"/>
      <c r="AN885" s="207"/>
      <c r="AO885" s="207"/>
      <c r="AP885" s="207"/>
      <c r="AQ885" s="207"/>
      <c r="AR885" s="207"/>
      <c r="AS885" s="207"/>
      <c r="AT885" s="207"/>
      <c r="AU885" s="207"/>
      <c r="AV885" s="207"/>
      <c r="AW885" s="207"/>
      <c r="AX885" s="207"/>
      <c r="AY885" s="207"/>
      <c r="AZ885" s="207"/>
      <c r="BA885" s="207"/>
    </row>
    <row r="886" ht="18.75" hidden="1" customHeight="1">
      <c r="A886" s="1"/>
      <c r="B886" s="207"/>
      <c r="C886" s="207"/>
      <c r="D886" s="207"/>
      <c r="E886" s="207"/>
      <c r="F886" s="207"/>
      <c r="G886" s="207"/>
      <c r="H886" s="207"/>
      <c r="I886" s="207"/>
      <c r="J886" s="207"/>
      <c r="K886" s="207"/>
      <c r="L886" s="207"/>
      <c r="M886" s="207"/>
      <c r="N886" s="207"/>
      <c r="O886" s="207"/>
      <c r="P886" s="207"/>
      <c r="Q886" s="207"/>
      <c r="R886" s="207"/>
      <c r="S886" s="207"/>
      <c r="T886" s="207"/>
      <c r="U886" s="207"/>
      <c r="V886" s="207"/>
      <c r="W886" s="207"/>
      <c r="X886" s="207"/>
      <c r="Y886" s="207"/>
      <c r="Z886" s="207"/>
      <c r="AA886" s="207"/>
      <c r="AB886" s="207"/>
      <c r="AC886" s="207"/>
      <c r="AD886" s="207"/>
      <c r="AE886" s="207"/>
      <c r="AF886" s="207"/>
      <c r="AG886" s="207"/>
      <c r="AH886" s="207"/>
      <c r="AI886" s="207"/>
      <c r="AJ886" s="207"/>
      <c r="AK886" s="207"/>
      <c r="AL886" s="207"/>
      <c r="AM886" s="207"/>
      <c r="AN886" s="207"/>
      <c r="AO886" s="207"/>
      <c r="AP886" s="207"/>
      <c r="AQ886" s="207"/>
      <c r="AR886" s="207"/>
      <c r="AS886" s="207"/>
      <c r="AT886" s="207"/>
      <c r="AU886" s="207"/>
      <c r="AV886" s="207"/>
      <c r="AW886" s="207"/>
      <c r="AX886" s="207"/>
      <c r="AY886" s="207"/>
      <c r="AZ886" s="207"/>
      <c r="BA886" s="207"/>
    </row>
    <row r="887" ht="18.75" hidden="1" customHeight="1">
      <c r="A887" s="1"/>
      <c r="B887" s="207"/>
      <c r="C887" s="207"/>
      <c r="D887" s="207"/>
      <c r="E887" s="207"/>
      <c r="F887" s="207"/>
      <c r="G887" s="207"/>
      <c r="H887" s="207"/>
      <c r="I887" s="207"/>
      <c r="J887" s="207"/>
      <c r="K887" s="207"/>
      <c r="L887" s="207"/>
      <c r="M887" s="207"/>
      <c r="N887" s="207"/>
      <c r="O887" s="207"/>
      <c r="P887" s="207"/>
      <c r="Q887" s="207"/>
      <c r="R887" s="207"/>
      <c r="S887" s="207"/>
      <c r="T887" s="207"/>
      <c r="U887" s="207"/>
      <c r="V887" s="207"/>
      <c r="W887" s="207"/>
      <c r="X887" s="207"/>
      <c r="Y887" s="207"/>
      <c r="Z887" s="207"/>
      <c r="AA887" s="207"/>
      <c r="AB887" s="207"/>
      <c r="AC887" s="207"/>
      <c r="AD887" s="207"/>
      <c r="AE887" s="207"/>
      <c r="AF887" s="207"/>
      <c r="AG887" s="207"/>
      <c r="AH887" s="207"/>
      <c r="AI887" s="207"/>
      <c r="AJ887" s="207"/>
      <c r="AK887" s="207"/>
      <c r="AL887" s="207"/>
      <c r="AM887" s="207"/>
      <c r="AN887" s="207"/>
      <c r="AO887" s="207"/>
      <c r="AP887" s="207"/>
      <c r="AQ887" s="207"/>
      <c r="AR887" s="207"/>
      <c r="AS887" s="207"/>
      <c r="AT887" s="207"/>
      <c r="AU887" s="207"/>
      <c r="AV887" s="207"/>
      <c r="AW887" s="207"/>
      <c r="AX887" s="207"/>
      <c r="AY887" s="207"/>
      <c r="AZ887" s="207"/>
      <c r="BA887" s="207"/>
    </row>
    <row r="888" ht="18.75" hidden="1" customHeight="1">
      <c r="A888" s="1"/>
      <c r="B888" s="207"/>
      <c r="C888" s="207"/>
      <c r="D888" s="207"/>
      <c r="E888" s="207"/>
      <c r="F888" s="207"/>
      <c r="G888" s="207"/>
      <c r="H888" s="207"/>
      <c r="I888" s="207"/>
      <c r="J888" s="207"/>
      <c r="K888" s="207"/>
      <c r="L888" s="207"/>
      <c r="M888" s="207"/>
      <c r="N888" s="207"/>
      <c r="O888" s="207"/>
      <c r="P888" s="207"/>
      <c r="Q888" s="207"/>
      <c r="R888" s="207"/>
      <c r="S888" s="207"/>
      <c r="T888" s="207"/>
      <c r="U888" s="207"/>
      <c r="V888" s="207"/>
      <c r="W888" s="207"/>
      <c r="X888" s="207"/>
      <c r="Y888" s="207"/>
      <c r="Z888" s="207"/>
      <c r="AA888" s="207"/>
      <c r="AB888" s="207"/>
      <c r="AC888" s="207"/>
      <c r="AD888" s="207"/>
      <c r="AE888" s="207"/>
      <c r="AF888" s="207"/>
      <c r="AG888" s="207"/>
      <c r="AH888" s="207"/>
      <c r="AI888" s="207"/>
      <c r="AJ888" s="207"/>
      <c r="AK888" s="207"/>
      <c r="AL888" s="207"/>
      <c r="AM888" s="207"/>
      <c r="AN888" s="207"/>
      <c r="AO888" s="207"/>
      <c r="AP888" s="207"/>
      <c r="AQ888" s="207"/>
      <c r="AR888" s="207"/>
      <c r="AS888" s="207"/>
      <c r="AT888" s="207"/>
      <c r="AU888" s="207"/>
      <c r="AV888" s="207"/>
      <c r="AW888" s="207"/>
      <c r="AX888" s="207"/>
      <c r="AY888" s="207"/>
      <c r="AZ888" s="207"/>
      <c r="BA888" s="207"/>
    </row>
    <row r="889" ht="18.75" hidden="1" customHeight="1">
      <c r="A889" s="1"/>
      <c r="B889" s="207"/>
      <c r="C889" s="207"/>
      <c r="D889" s="207"/>
      <c r="E889" s="207"/>
      <c r="F889" s="207"/>
      <c r="G889" s="207"/>
      <c r="H889" s="207"/>
      <c r="I889" s="207"/>
      <c r="J889" s="207"/>
      <c r="K889" s="207"/>
      <c r="L889" s="207"/>
      <c r="M889" s="207"/>
      <c r="N889" s="207"/>
      <c r="O889" s="207"/>
      <c r="P889" s="207"/>
      <c r="Q889" s="207"/>
      <c r="R889" s="207"/>
      <c r="S889" s="207"/>
      <c r="T889" s="207"/>
      <c r="U889" s="207"/>
      <c r="V889" s="207"/>
      <c r="W889" s="207"/>
      <c r="X889" s="207"/>
      <c r="Y889" s="207"/>
      <c r="Z889" s="207"/>
      <c r="AA889" s="207"/>
      <c r="AB889" s="207"/>
      <c r="AC889" s="207"/>
      <c r="AD889" s="207"/>
      <c r="AE889" s="207"/>
      <c r="AF889" s="207"/>
      <c r="AG889" s="207"/>
      <c r="AH889" s="207"/>
      <c r="AI889" s="207"/>
      <c r="AJ889" s="207"/>
      <c r="AK889" s="207"/>
      <c r="AL889" s="207"/>
      <c r="AM889" s="207"/>
      <c r="AN889" s="207"/>
      <c r="AO889" s="207"/>
      <c r="AP889" s="207"/>
      <c r="AQ889" s="207"/>
      <c r="AR889" s="207"/>
      <c r="AS889" s="207"/>
      <c r="AT889" s="207"/>
      <c r="AU889" s="207"/>
      <c r="AV889" s="207"/>
      <c r="AW889" s="207"/>
      <c r="AX889" s="207"/>
      <c r="AY889" s="207"/>
      <c r="AZ889" s="207"/>
      <c r="BA889" s="207"/>
    </row>
    <row r="890" ht="18.75" hidden="1" customHeight="1">
      <c r="A890" s="1"/>
      <c r="B890" s="207"/>
      <c r="C890" s="207"/>
      <c r="D890" s="207"/>
      <c r="E890" s="207"/>
      <c r="F890" s="207"/>
      <c r="G890" s="207"/>
      <c r="H890" s="207"/>
      <c r="I890" s="207"/>
      <c r="J890" s="207"/>
      <c r="K890" s="207"/>
      <c r="L890" s="207"/>
      <c r="M890" s="207"/>
      <c r="N890" s="207"/>
      <c r="O890" s="207"/>
      <c r="P890" s="207"/>
      <c r="Q890" s="207"/>
      <c r="R890" s="207"/>
      <c r="S890" s="207"/>
      <c r="T890" s="207"/>
      <c r="U890" s="207"/>
      <c r="V890" s="207"/>
      <c r="W890" s="207"/>
      <c r="X890" s="207"/>
      <c r="Y890" s="207"/>
      <c r="Z890" s="207"/>
      <c r="AA890" s="207"/>
      <c r="AB890" s="207"/>
      <c r="AC890" s="207"/>
      <c r="AD890" s="207"/>
      <c r="AE890" s="207"/>
      <c r="AF890" s="207"/>
      <c r="AG890" s="207"/>
      <c r="AH890" s="207"/>
      <c r="AI890" s="207"/>
      <c r="AJ890" s="207"/>
      <c r="AK890" s="207"/>
      <c r="AL890" s="207"/>
      <c r="AM890" s="207"/>
      <c r="AN890" s="207"/>
      <c r="AO890" s="207"/>
      <c r="AP890" s="207"/>
      <c r="AQ890" s="207"/>
      <c r="AR890" s="207"/>
      <c r="AS890" s="207"/>
      <c r="AT890" s="207"/>
      <c r="AU890" s="207"/>
      <c r="AV890" s="207"/>
      <c r="AW890" s="207"/>
      <c r="AX890" s="207"/>
      <c r="AY890" s="207"/>
      <c r="AZ890" s="207"/>
      <c r="BA890" s="207"/>
    </row>
    <row r="891" ht="18.75" hidden="1" customHeight="1">
      <c r="A891" s="1"/>
      <c r="B891" s="207"/>
      <c r="C891" s="207"/>
      <c r="D891" s="207"/>
      <c r="E891" s="207"/>
      <c r="F891" s="207"/>
      <c r="G891" s="207"/>
      <c r="H891" s="207"/>
      <c r="I891" s="207"/>
      <c r="J891" s="207"/>
      <c r="K891" s="207"/>
      <c r="L891" s="207"/>
      <c r="M891" s="207"/>
      <c r="N891" s="207"/>
      <c r="O891" s="207"/>
      <c r="P891" s="207"/>
      <c r="Q891" s="207"/>
      <c r="R891" s="207"/>
      <c r="S891" s="207"/>
      <c r="T891" s="207"/>
      <c r="U891" s="207"/>
      <c r="V891" s="207"/>
      <c r="W891" s="207"/>
      <c r="X891" s="207"/>
      <c r="Y891" s="207"/>
      <c r="Z891" s="207"/>
      <c r="AA891" s="207"/>
      <c r="AB891" s="207"/>
      <c r="AC891" s="207"/>
      <c r="AD891" s="207"/>
      <c r="AE891" s="207"/>
      <c r="AF891" s="207"/>
      <c r="AG891" s="207"/>
      <c r="AH891" s="207"/>
      <c r="AI891" s="207"/>
      <c r="AJ891" s="207"/>
      <c r="AK891" s="207"/>
      <c r="AL891" s="207"/>
      <c r="AM891" s="207"/>
      <c r="AN891" s="207"/>
      <c r="AO891" s="207"/>
      <c r="AP891" s="207"/>
      <c r="AQ891" s="207"/>
      <c r="AR891" s="207"/>
      <c r="AS891" s="207"/>
      <c r="AT891" s="207"/>
      <c r="AU891" s="207"/>
      <c r="AV891" s="207"/>
      <c r="AW891" s="207"/>
      <c r="AX891" s="207"/>
      <c r="AY891" s="207"/>
      <c r="AZ891" s="207"/>
      <c r="BA891" s="207"/>
    </row>
    <row r="892" ht="18.75" hidden="1" customHeight="1">
      <c r="A892" s="1"/>
      <c r="B892" s="207"/>
      <c r="C892" s="207"/>
      <c r="D892" s="207"/>
      <c r="E892" s="207"/>
      <c r="F892" s="207"/>
      <c r="G892" s="207"/>
      <c r="H892" s="207"/>
      <c r="I892" s="207"/>
      <c r="J892" s="207"/>
      <c r="K892" s="207"/>
      <c r="L892" s="207"/>
      <c r="M892" s="207"/>
      <c r="N892" s="207"/>
      <c r="O892" s="207"/>
      <c r="P892" s="207"/>
      <c r="Q892" s="207"/>
      <c r="R892" s="207"/>
      <c r="S892" s="207"/>
      <c r="T892" s="207"/>
      <c r="U892" s="207"/>
      <c r="V892" s="207"/>
      <c r="W892" s="207"/>
      <c r="X892" s="207"/>
      <c r="Y892" s="207"/>
      <c r="Z892" s="207"/>
      <c r="AA892" s="207"/>
      <c r="AB892" s="207"/>
      <c r="AC892" s="207"/>
      <c r="AD892" s="207"/>
      <c r="AE892" s="207"/>
      <c r="AF892" s="207"/>
      <c r="AG892" s="207"/>
      <c r="AH892" s="207"/>
      <c r="AI892" s="207"/>
      <c r="AJ892" s="207"/>
      <c r="AK892" s="207"/>
      <c r="AL892" s="207"/>
      <c r="AM892" s="207"/>
      <c r="AN892" s="207"/>
      <c r="AO892" s="207"/>
      <c r="AP892" s="207"/>
      <c r="AQ892" s="207"/>
      <c r="AR892" s="207"/>
      <c r="AS892" s="207"/>
      <c r="AT892" s="207"/>
      <c r="AU892" s="207"/>
      <c r="AV892" s="207"/>
      <c r="AW892" s="207"/>
      <c r="AX892" s="207"/>
      <c r="AY892" s="207"/>
      <c r="AZ892" s="207"/>
      <c r="BA892" s="207"/>
    </row>
    <row r="893" ht="18.75" hidden="1" customHeight="1">
      <c r="A893" s="1"/>
      <c r="B893" s="207"/>
      <c r="C893" s="207"/>
      <c r="D893" s="207"/>
      <c r="E893" s="207"/>
      <c r="F893" s="207"/>
      <c r="G893" s="207"/>
      <c r="H893" s="207"/>
      <c r="I893" s="207"/>
      <c r="J893" s="207"/>
      <c r="K893" s="207"/>
      <c r="L893" s="207"/>
      <c r="M893" s="207"/>
      <c r="N893" s="207"/>
      <c r="O893" s="207"/>
      <c r="P893" s="207"/>
      <c r="Q893" s="207"/>
      <c r="R893" s="207"/>
      <c r="S893" s="207"/>
      <c r="T893" s="207"/>
      <c r="U893" s="207"/>
      <c r="V893" s="207"/>
      <c r="W893" s="207"/>
      <c r="X893" s="207"/>
      <c r="Y893" s="207"/>
      <c r="Z893" s="207"/>
      <c r="AA893" s="207"/>
      <c r="AB893" s="207"/>
      <c r="AC893" s="207"/>
      <c r="AD893" s="207"/>
      <c r="AE893" s="207"/>
      <c r="AF893" s="207"/>
      <c r="AG893" s="207"/>
      <c r="AH893" s="207"/>
      <c r="AI893" s="207"/>
      <c r="AJ893" s="207"/>
      <c r="AK893" s="207"/>
      <c r="AL893" s="207"/>
      <c r="AM893" s="207"/>
      <c r="AN893" s="207"/>
      <c r="AO893" s="207"/>
      <c r="AP893" s="207"/>
      <c r="AQ893" s="207"/>
      <c r="AR893" s="207"/>
      <c r="AS893" s="207"/>
      <c r="AT893" s="207"/>
      <c r="AU893" s="207"/>
      <c r="AV893" s="207"/>
      <c r="AW893" s="207"/>
      <c r="AX893" s="207"/>
      <c r="AY893" s="207"/>
      <c r="AZ893" s="207"/>
      <c r="BA893" s="207"/>
    </row>
    <row r="894" ht="18.75" hidden="1" customHeight="1">
      <c r="A894" s="1"/>
      <c r="B894" s="207"/>
      <c r="C894" s="207"/>
      <c r="D894" s="207"/>
      <c r="E894" s="207"/>
      <c r="F894" s="207"/>
      <c r="G894" s="207"/>
      <c r="H894" s="207"/>
      <c r="I894" s="207"/>
      <c r="J894" s="207"/>
      <c r="K894" s="207"/>
      <c r="L894" s="207"/>
      <c r="M894" s="207"/>
      <c r="N894" s="207"/>
      <c r="O894" s="207"/>
      <c r="P894" s="207"/>
      <c r="Q894" s="207"/>
      <c r="R894" s="207"/>
      <c r="S894" s="207"/>
      <c r="T894" s="207"/>
      <c r="U894" s="207"/>
      <c r="V894" s="207"/>
      <c r="W894" s="207"/>
      <c r="X894" s="207"/>
      <c r="Y894" s="207"/>
      <c r="Z894" s="207"/>
      <c r="AA894" s="207"/>
      <c r="AB894" s="207"/>
      <c r="AC894" s="207"/>
      <c r="AD894" s="207"/>
      <c r="AE894" s="207"/>
      <c r="AF894" s="207"/>
      <c r="AG894" s="207"/>
      <c r="AH894" s="207"/>
      <c r="AI894" s="207"/>
      <c r="AJ894" s="207"/>
      <c r="AK894" s="207"/>
      <c r="AL894" s="207"/>
      <c r="AM894" s="207"/>
      <c r="AN894" s="207"/>
      <c r="AO894" s="207"/>
      <c r="AP894" s="207"/>
      <c r="AQ894" s="207"/>
      <c r="AR894" s="207"/>
      <c r="AS894" s="207"/>
      <c r="AT894" s="207"/>
      <c r="AU894" s="207"/>
      <c r="AV894" s="207"/>
      <c r="AW894" s="207"/>
      <c r="AX894" s="207"/>
      <c r="AY894" s="207"/>
      <c r="AZ894" s="207"/>
      <c r="BA894" s="207"/>
    </row>
    <row r="895" ht="18.75" hidden="1" customHeight="1">
      <c r="A895" s="1"/>
      <c r="B895" s="207"/>
      <c r="C895" s="207"/>
      <c r="D895" s="207"/>
      <c r="E895" s="207"/>
      <c r="F895" s="207"/>
      <c r="G895" s="207"/>
      <c r="H895" s="207"/>
      <c r="I895" s="207"/>
      <c r="J895" s="207"/>
      <c r="K895" s="207"/>
      <c r="L895" s="207"/>
      <c r="M895" s="207"/>
      <c r="N895" s="207"/>
      <c r="O895" s="207"/>
      <c r="P895" s="207"/>
      <c r="Q895" s="207"/>
      <c r="R895" s="207"/>
      <c r="S895" s="207"/>
      <c r="T895" s="207"/>
      <c r="U895" s="207"/>
      <c r="V895" s="207"/>
      <c r="W895" s="207"/>
      <c r="X895" s="207"/>
      <c r="Y895" s="207"/>
      <c r="Z895" s="207"/>
      <c r="AA895" s="207"/>
      <c r="AB895" s="207"/>
      <c r="AC895" s="207"/>
      <c r="AD895" s="207"/>
      <c r="AE895" s="207"/>
      <c r="AF895" s="207"/>
      <c r="AG895" s="207"/>
      <c r="AH895" s="207"/>
      <c r="AI895" s="207"/>
      <c r="AJ895" s="207"/>
      <c r="AK895" s="207"/>
      <c r="AL895" s="207"/>
      <c r="AM895" s="207"/>
      <c r="AN895" s="207"/>
      <c r="AO895" s="207"/>
      <c r="AP895" s="207"/>
      <c r="AQ895" s="207"/>
      <c r="AR895" s="207"/>
      <c r="AS895" s="207"/>
      <c r="AT895" s="207"/>
      <c r="AU895" s="207"/>
      <c r="AV895" s="207"/>
      <c r="AW895" s="207"/>
      <c r="AX895" s="207"/>
      <c r="AY895" s="207"/>
      <c r="AZ895" s="207"/>
      <c r="BA895" s="207"/>
    </row>
    <row r="896" ht="18.75" hidden="1" customHeight="1">
      <c r="A896" s="1"/>
      <c r="B896" s="207"/>
      <c r="C896" s="207"/>
      <c r="D896" s="207"/>
      <c r="E896" s="207"/>
      <c r="F896" s="207"/>
      <c r="G896" s="207"/>
      <c r="H896" s="207"/>
      <c r="I896" s="207"/>
      <c r="J896" s="207"/>
      <c r="K896" s="207"/>
      <c r="L896" s="207"/>
      <c r="M896" s="207"/>
      <c r="N896" s="207"/>
      <c r="O896" s="207"/>
      <c r="P896" s="207"/>
      <c r="Q896" s="207"/>
      <c r="R896" s="207"/>
      <c r="S896" s="207"/>
      <c r="T896" s="207"/>
      <c r="U896" s="207"/>
      <c r="V896" s="207"/>
      <c r="W896" s="207"/>
      <c r="X896" s="207"/>
      <c r="Y896" s="207"/>
      <c r="Z896" s="207"/>
      <c r="AA896" s="207"/>
      <c r="AB896" s="207"/>
      <c r="AC896" s="207"/>
      <c r="AD896" s="207"/>
      <c r="AE896" s="207"/>
      <c r="AF896" s="207"/>
      <c r="AG896" s="207"/>
      <c r="AH896" s="207"/>
      <c r="AI896" s="207"/>
      <c r="AJ896" s="207"/>
      <c r="AK896" s="207"/>
      <c r="AL896" s="207"/>
      <c r="AM896" s="207"/>
      <c r="AN896" s="207"/>
      <c r="AO896" s="207"/>
      <c r="AP896" s="207"/>
      <c r="AQ896" s="207"/>
      <c r="AR896" s="207"/>
      <c r="AS896" s="207"/>
      <c r="AT896" s="207"/>
      <c r="AU896" s="207"/>
      <c r="AV896" s="207"/>
      <c r="AW896" s="207"/>
      <c r="AX896" s="207"/>
      <c r="AY896" s="207"/>
      <c r="AZ896" s="207"/>
      <c r="BA896" s="207"/>
    </row>
    <row r="897" ht="18.75" hidden="1" customHeight="1">
      <c r="A897" s="1"/>
      <c r="B897" s="207"/>
      <c r="C897" s="207"/>
      <c r="D897" s="207"/>
      <c r="E897" s="207"/>
      <c r="F897" s="207"/>
      <c r="G897" s="207"/>
      <c r="H897" s="207"/>
      <c r="I897" s="207"/>
      <c r="J897" s="207"/>
      <c r="K897" s="207"/>
      <c r="L897" s="207"/>
      <c r="M897" s="207"/>
      <c r="N897" s="207"/>
      <c r="O897" s="207"/>
      <c r="P897" s="207"/>
      <c r="Q897" s="207"/>
      <c r="R897" s="207"/>
      <c r="S897" s="207"/>
      <c r="T897" s="207"/>
      <c r="U897" s="207"/>
      <c r="V897" s="207"/>
      <c r="W897" s="207"/>
      <c r="X897" s="207"/>
      <c r="Y897" s="207"/>
      <c r="Z897" s="207"/>
      <c r="AA897" s="207"/>
      <c r="AB897" s="207"/>
      <c r="AC897" s="207"/>
      <c r="AD897" s="207"/>
      <c r="AE897" s="207"/>
      <c r="AF897" s="207"/>
      <c r="AG897" s="207"/>
      <c r="AH897" s="207"/>
      <c r="AI897" s="207"/>
      <c r="AJ897" s="207"/>
      <c r="AK897" s="207"/>
      <c r="AL897" s="207"/>
      <c r="AM897" s="207"/>
      <c r="AN897" s="207"/>
      <c r="AO897" s="207"/>
      <c r="AP897" s="207"/>
      <c r="AQ897" s="207"/>
      <c r="AR897" s="207"/>
      <c r="AS897" s="207"/>
      <c r="AT897" s="207"/>
      <c r="AU897" s="207"/>
      <c r="AV897" s="207"/>
      <c r="AW897" s="207"/>
      <c r="AX897" s="207"/>
      <c r="AY897" s="207"/>
      <c r="AZ897" s="207"/>
      <c r="BA897" s="207"/>
    </row>
    <row r="898" ht="18.75" hidden="1" customHeight="1">
      <c r="A898" s="1"/>
      <c r="B898" s="207"/>
      <c r="C898" s="207"/>
      <c r="D898" s="207"/>
      <c r="E898" s="207"/>
      <c r="F898" s="207"/>
      <c r="G898" s="207"/>
      <c r="H898" s="207"/>
      <c r="I898" s="207"/>
      <c r="J898" s="207"/>
      <c r="K898" s="207"/>
      <c r="L898" s="207"/>
      <c r="M898" s="207"/>
      <c r="N898" s="207"/>
      <c r="O898" s="207"/>
      <c r="P898" s="207"/>
      <c r="Q898" s="207"/>
      <c r="R898" s="207"/>
      <c r="S898" s="207"/>
      <c r="T898" s="207"/>
      <c r="U898" s="207"/>
      <c r="V898" s="207"/>
      <c r="W898" s="207"/>
      <c r="X898" s="207"/>
      <c r="Y898" s="207"/>
      <c r="Z898" s="207"/>
      <c r="AA898" s="207"/>
      <c r="AB898" s="207"/>
      <c r="AC898" s="207"/>
      <c r="AD898" s="207"/>
      <c r="AE898" s="207"/>
      <c r="AF898" s="207"/>
      <c r="AG898" s="207"/>
      <c r="AH898" s="207"/>
      <c r="AI898" s="207"/>
      <c r="AJ898" s="207"/>
      <c r="AK898" s="207"/>
      <c r="AL898" s="207"/>
      <c r="AM898" s="207"/>
      <c r="AN898" s="207"/>
      <c r="AO898" s="207"/>
      <c r="AP898" s="207"/>
      <c r="AQ898" s="207"/>
      <c r="AR898" s="207"/>
      <c r="AS898" s="207"/>
      <c r="AT898" s="207"/>
      <c r="AU898" s="207"/>
      <c r="AV898" s="207"/>
      <c r="AW898" s="207"/>
      <c r="AX898" s="207"/>
      <c r="AY898" s="207"/>
      <c r="AZ898" s="207"/>
      <c r="BA898" s="207"/>
    </row>
    <row r="899" ht="18.75" hidden="1" customHeight="1">
      <c r="A899" s="1"/>
      <c r="B899" s="207"/>
      <c r="C899" s="207"/>
      <c r="D899" s="207"/>
      <c r="E899" s="207"/>
      <c r="F899" s="207"/>
      <c r="G899" s="207"/>
      <c r="H899" s="207"/>
      <c r="I899" s="207"/>
      <c r="J899" s="207"/>
      <c r="K899" s="207"/>
      <c r="L899" s="207"/>
      <c r="M899" s="207"/>
      <c r="N899" s="207"/>
      <c r="O899" s="207"/>
      <c r="P899" s="207"/>
      <c r="Q899" s="207"/>
      <c r="R899" s="207"/>
      <c r="S899" s="207"/>
      <c r="T899" s="207"/>
      <c r="U899" s="207"/>
      <c r="V899" s="207"/>
      <c r="W899" s="207"/>
      <c r="X899" s="207"/>
      <c r="Y899" s="207"/>
      <c r="Z899" s="207"/>
      <c r="AA899" s="207"/>
      <c r="AB899" s="207"/>
      <c r="AC899" s="207"/>
      <c r="AD899" s="207"/>
      <c r="AE899" s="207"/>
      <c r="AF899" s="207"/>
      <c r="AG899" s="207"/>
      <c r="AH899" s="207"/>
      <c r="AI899" s="207"/>
      <c r="AJ899" s="207"/>
      <c r="AK899" s="207"/>
      <c r="AL899" s="207"/>
      <c r="AM899" s="207"/>
      <c r="AN899" s="207"/>
      <c r="AO899" s="207"/>
      <c r="AP899" s="207"/>
      <c r="AQ899" s="207"/>
      <c r="AR899" s="207"/>
      <c r="AS899" s="207"/>
      <c r="AT899" s="207"/>
      <c r="AU899" s="207"/>
      <c r="AV899" s="207"/>
      <c r="AW899" s="207"/>
      <c r="AX899" s="207"/>
      <c r="AY899" s="207"/>
      <c r="AZ899" s="207"/>
      <c r="BA899" s="207"/>
    </row>
    <row r="900" ht="18.75" hidden="1" customHeight="1">
      <c r="A900" s="1"/>
      <c r="B900" s="207"/>
      <c r="C900" s="207"/>
      <c r="D900" s="207"/>
      <c r="E900" s="207"/>
      <c r="F900" s="207"/>
      <c r="G900" s="207"/>
      <c r="H900" s="207"/>
      <c r="I900" s="207"/>
      <c r="J900" s="207"/>
      <c r="K900" s="207"/>
      <c r="L900" s="207"/>
      <c r="M900" s="207"/>
      <c r="N900" s="207"/>
      <c r="O900" s="207"/>
      <c r="P900" s="207"/>
      <c r="Q900" s="207"/>
      <c r="R900" s="207"/>
      <c r="S900" s="207"/>
      <c r="T900" s="207"/>
      <c r="U900" s="207"/>
      <c r="V900" s="207"/>
      <c r="W900" s="207"/>
      <c r="X900" s="207"/>
      <c r="Y900" s="207"/>
      <c r="Z900" s="207"/>
      <c r="AA900" s="207"/>
      <c r="AB900" s="207"/>
      <c r="AC900" s="207"/>
      <c r="AD900" s="207"/>
      <c r="AE900" s="207"/>
      <c r="AF900" s="207"/>
      <c r="AG900" s="207"/>
      <c r="AH900" s="207"/>
      <c r="AI900" s="207"/>
      <c r="AJ900" s="207"/>
      <c r="AK900" s="207"/>
      <c r="AL900" s="207"/>
      <c r="AM900" s="207"/>
      <c r="AN900" s="207"/>
      <c r="AO900" s="207"/>
      <c r="AP900" s="207"/>
      <c r="AQ900" s="207"/>
      <c r="AR900" s="207"/>
      <c r="AS900" s="207"/>
      <c r="AT900" s="207"/>
      <c r="AU900" s="207"/>
      <c r="AV900" s="207"/>
      <c r="AW900" s="207"/>
      <c r="AX900" s="207"/>
      <c r="AY900" s="207"/>
      <c r="AZ900" s="207"/>
      <c r="BA900" s="207"/>
    </row>
    <row r="901" ht="18.75" hidden="1" customHeight="1">
      <c r="A901" s="1"/>
      <c r="B901" s="207"/>
      <c r="C901" s="207"/>
      <c r="D901" s="207"/>
      <c r="E901" s="207"/>
      <c r="F901" s="207"/>
      <c r="G901" s="207"/>
      <c r="H901" s="207"/>
      <c r="I901" s="207"/>
      <c r="J901" s="207"/>
      <c r="K901" s="207"/>
      <c r="L901" s="207"/>
      <c r="M901" s="207"/>
      <c r="N901" s="207"/>
      <c r="O901" s="207"/>
      <c r="P901" s="207"/>
      <c r="Q901" s="207"/>
      <c r="R901" s="207"/>
      <c r="S901" s="207"/>
      <c r="T901" s="207"/>
      <c r="U901" s="207"/>
      <c r="V901" s="207"/>
      <c r="W901" s="207"/>
      <c r="X901" s="207"/>
      <c r="Y901" s="207"/>
      <c r="Z901" s="207"/>
      <c r="AA901" s="207"/>
      <c r="AB901" s="207"/>
      <c r="AC901" s="207"/>
      <c r="AD901" s="207"/>
      <c r="AE901" s="207"/>
      <c r="AF901" s="207"/>
      <c r="AG901" s="207"/>
      <c r="AH901" s="207"/>
      <c r="AI901" s="207"/>
      <c r="AJ901" s="207"/>
      <c r="AK901" s="207"/>
      <c r="AL901" s="207"/>
      <c r="AM901" s="207"/>
      <c r="AN901" s="207"/>
      <c r="AO901" s="207"/>
      <c r="AP901" s="207"/>
      <c r="AQ901" s="207"/>
      <c r="AR901" s="207"/>
      <c r="AS901" s="207"/>
      <c r="AT901" s="207"/>
      <c r="AU901" s="207"/>
      <c r="AV901" s="207"/>
      <c r="AW901" s="207"/>
      <c r="AX901" s="207"/>
      <c r="AY901" s="207"/>
      <c r="AZ901" s="207"/>
      <c r="BA901" s="207"/>
    </row>
    <row r="902" ht="18.75" hidden="1" customHeight="1">
      <c r="A902" s="1"/>
      <c r="B902" s="207"/>
      <c r="C902" s="207"/>
      <c r="D902" s="207"/>
      <c r="E902" s="207"/>
      <c r="F902" s="207"/>
      <c r="G902" s="207"/>
      <c r="H902" s="207"/>
      <c r="I902" s="207"/>
      <c r="J902" s="207"/>
      <c r="K902" s="207"/>
      <c r="L902" s="207"/>
      <c r="M902" s="207"/>
      <c r="N902" s="207"/>
      <c r="O902" s="207"/>
      <c r="P902" s="207"/>
      <c r="Q902" s="207"/>
      <c r="R902" s="207"/>
      <c r="S902" s="207"/>
      <c r="T902" s="207"/>
      <c r="U902" s="207"/>
      <c r="V902" s="207"/>
      <c r="W902" s="207"/>
      <c r="X902" s="207"/>
      <c r="Y902" s="207"/>
      <c r="Z902" s="207"/>
      <c r="AA902" s="207"/>
      <c r="AB902" s="207"/>
      <c r="AC902" s="207"/>
      <c r="AD902" s="207"/>
      <c r="AE902" s="207"/>
      <c r="AF902" s="207"/>
      <c r="AG902" s="207"/>
      <c r="AH902" s="207"/>
      <c r="AI902" s="207"/>
      <c r="AJ902" s="207"/>
      <c r="AK902" s="207"/>
      <c r="AL902" s="207"/>
      <c r="AM902" s="207"/>
      <c r="AN902" s="207"/>
      <c r="AO902" s="207"/>
      <c r="AP902" s="207"/>
      <c r="AQ902" s="207"/>
      <c r="AR902" s="207"/>
      <c r="AS902" s="207"/>
      <c r="AT902" s="207"/>
      <c r="AU902" s="207"/>
      <c r="AV902" s="207"/>
      <c r="AW902" s="207"/>
      <c r="AX902" s="207"/>
      <c r="AY902" s="207"/>
      <c r="AZ902" s="207"/>
      <c r="BA902" s="207"/>
    </row>
    <row r="903" ht="18.75" hidden="1" customHeight="1">
      <c r="A903" s="1"/>
      <c r="B903" s="207"/>
      <c r="C903" s="207"/>
      <c r="D903" s="207"/>
      <c r="E903" s="207"/>
      <c r="F903" s="207"/>
      <c r="G903" s="207"/>
      <c r="H903" s="207"/>
      <c r="I903" s="207"/>
      <c r="J903" s="207"/>
      <c r="K903" s="207"/>
      <c r="L903" s="207"/>
      <c r="M903" s="207"/>
      <c r="N903" s="207"/>
      <c r="O903" s="207"/>
      <c r="P903" s="207"/>
      <c r="Q903" s="207"/>
      <c r="R903" s="207"/>
      <c r="S903" s="207"/>
      <c r="T903" s="207"/>
      <c r="U903" s="207"/>
      <c r="V903" s="207"/>
      <c r="W903" s="207"/>
      <c r="X903" s="207"/>
      <c r="Y903" s="207"/>
      <c r="Z903" s="207"/>
      <c r="AA903" s="207"/>
      <c r="AB903" s="207"/>
      <c r="AC903" s="207"/>
      <c r="AD903" s="207"/>
      <c r="AE903" s="207"/>
      <c r="AF903" s="207"/>
      <c r="AG903" s="207"/>
      <c r="AH903" s="207"/>
      <c r="AI903" s="207"/>
      <c r="AJ903" s="207"/>
      <c r="AK903" s="207"/>
      <c r="AL903" s="207"/>
      <c r="AM903" s="207"/>
      <c r="AN903" s="207"/>
      <c r="AO903" s="207"/>
      <c r="AP903" s="207"/>
      <c r="AQ903" s="207"/>
      <c r="AR903" s="207"/>
      <c r="AS903" s="207"/>
      <c r="AT903" s="207"/>
      <c r="AU903" s="207"/>
      <c r="AV903" s="207"/>
      <c r="AW903" s="207"/>
      <c r="AX903" s="207"/>
      <c r="AY903" s="207"/>
      <c r="AZ903" s="207"/>
      <c r="BA903" s="207"/>
    </row>
    <row r="904" ht="18.75" hidden="1" customHeight="1">
      <c r="A904" s="1"/>
      <c r="B904" s="207"/>
      <c r="C904" s="207"/>
      <c r="D904" s="207"/>
      <c r="E904" s="207"/>
      <c r="F904" s="207"/>
      <c r="G904" s="207"/>
      <c r="H904" s="207"/>
      <c r="I904" s="207"/>
      <c r="J904" s="207"/>
      <c r="K904" s="207"/>
      <c r="L904" s="207"/>
      <c r="M904" s="207"/>
      <c r="N904" s="207"/>
      <c r="O904" s="207"/>
      <c r="P904" s="207"/>
      <c r="Q904" s="207"/>
      <c r="R904" s="207"/>
      <c r="S904" s="207"/>
      <c r="T904" s="207"/>
      <c r="U904" s="207"/>
      <c r="V904" s="207"/>
      <c r="W904" s="207"/>
      <c r="X904" s="207"/>
      <c r="Y904" s="207"/>
      <c r="Z904" s="207"/>
      <c r="AA904" s="207"/>
      <c r="AB904" s="207"/>
      <c r="AC904" s="207"/>
      <c r="AD904" s="207"/>
      <c r="AE904" s="207"/>
      <c r="AF904" s="207"/>
      <c r="AG904" s="207"/>
      <c r="AH904" s="207"/>
      <c r="AI904" s="207"/>
      <c r="AJ904" s="207"/>
      <c r="AK904" s="207"/>
      <c r="AL904" s="207"/>
      <c r="AM904" s="207"/>
      <c r="AN904" s="207"/>
      <c r="AO904" s="207"/>
      <c r="AP904" s="207"/>
      <c r="AQ904" s="207"/>
      <c r="AR904" s="207"/>
      <c r="AS904" s="207"/>
      <c r="AT904" s="207"/>
      <c r="AU904" s="207"/>
      <c r="AV904" s="207"/>
      <c r="AW904" s="207"/>
      <c r="AX904" s="207"/>
      <c r="AY904" s="207"/>
      <c r="AZ904" s="207"/>
      <c r="BA904" s="207"/>
    </row>
    <row r="905" ht="18.75" hidden="1" customHeight="1">
      <c r="A905" s="1"/>
      <c r="B905" s="207"/>
      <c r="C905" s="207"/>
      <c r="D905" s="207"/>
      <c r="E905" s="207"/>
      <c r="F905" s="207"/>
      <c r="G905" s="207"/>
      <c r="H905" s="207"/>
      <c r="I905" s="207"/>
      <c r="J905" s="207"/>
      <c r="K905" s="207"/>
      <c r="L905" s="207"/>
      <c r="M905" s="207"/>
      <c r="N905" s="207"/>
      <c r="O905" s="207"/>
      <c r="P905" s="207"/>
      <c r="Q905" s="207"/>
      <c r="R905" s="207"/>
      <c r="S905" s="207"/>
      <c r="T905" s="207"/>
      <c r="U905" s="207"/>
      <c r="V905" s="207"/>
      <c r="W905" s="207"/>
      <c r="X905" s="207"/>
      <c r="Y905" s="207"/>
      <c r="Z905" s="207"/>
      <c r="AA905" s="207"/>
      <c r="AB905" s="207"/>
      <c r="AC905" s="207"/>
      <c r="AD905" s="207"/>
      <c r="AE905" s="207"/>
      <c r="AF905" s="207"/>
      <c r="AG905" s="207"/>
      <c r="AH905" s="207"/>
      <c r="AI905" s="207"/>
      <c r="AJ905" s="207"/>
      <c r="AK905" s="207"/>
      <c r="AL905" s="207"/>
      <c r="AM905" s="207"/>
      <c r="AN905" s="207"/>
      <c r="AO905" s="207"/>
      <c r="AP905" s="207"/>
      <c r="AQ905" s="207"/>
      <c r="AR905" s="207"/>
      <c r="AS905" s="207"/>
      <c r="AT905" s="207"/>
      <c r="AU905" s="207"/>
      <c r="AV905" s="207"/>
      <c r="AW905" s="207"/>
      <c r="AX905" s="207"/>
      <c r="AY905" s="207"/>
      <c r="AZ905" s="207"/>
      <c r="BA905" s="207"/>
    </row>
    <row r="906" ht="18.75" hidden="1" customHeight="1">
      <c r="A906" s="1"/>
      <c r="B906" s="207"/>
      <c r="C906" s="207"/>
      <c r="D906" s="207"/>
      <c r="E906" s="207"/>
      <c r="F906" s="207"/>
      <c r="G906" s="207"/>
      <c r="H906" s="207"/>
      <c r="I906" s="207"/>
      <c r="J906" s="207"/>
      <c r="K906" s="207"/>
      <c r="L906" s="207"/>
      <c r="M906" s="207"/>
      <c r="N906" s="207"/>
      <c r="O906" s="207"/>
      <c r="P906" s="207"/>
      <c r="Q906" s="207"/>
      <c r="R906" s="207"/>
      <c r="S906" s="207"/>
      <c r="T906" s="207"/>
      <c r="U906" s="207"/>
      <c r="V906" s="207"/>
      <c r="W906" s="207"/>
      <c r="X906" s="207"/>
      <c r="Y906" s="207"/>
      <c r="Z906" s="207"/>
      <c r="AA906" s="207"/>
      <c r="AB906" s="207"/>
      <c r="AC906" s="207"/>
      <c r="AD906" s="207"/>
      <c r="AE906" s="207"/>
      <c r="AF906" s="207"/>
      <c r="AG906" s="207"/>
      <c r="AH906" s="207"/>
      <c r="AI906" s="207"/>
      <c r="AJ906" s="207"/>
      <c r="AK906" s="207"/>
      <c r="AL906" s="207"/>
      <c r="AM906" s="207"/>
      <c r="AN906" s="207"/>
      <c r="AO906" s="207"/>
      <c r="AP906" s="207"/>
      <c r="AQ906" s="207"/>
      <c r="AR906" s="207"/>
      <c r="AS906" s="207"/>
      <c r="AT906" s="207"/>
      <c r="AU906" s="207"/>
      <c r="AV906" s="207"/>
      <c r="AW906" s="207"/>
      <c r="AX906" s="207"/>
      <c r="AY906" s="207"/>
      <c r="AZ906" s="207"/>
      <c r="BA906" s="207"/>
    </row>
    <row r="907" ht="18.75" hidden="1" customHeight="1">
      <c r="A907" s="1"/>
      <c r="B907" s="207"/>
      <c r="C907" s="207"/>
      <c r="D907" s="207"/>
      <c r="E907" s="207"/>
      <c r="F907" s="207"/>
      <c r="G907" s="207"/>
      <c r="H907" s="207"/>
      <c r="I907" s="207"/>
      <c r="J907" s="207"/>
      <c r="K907" s="207"/>
      <c r="L907" s="207"/>
      <c r="M907" s="207"/>
      <c r="N907" s="207"/>
      <c r="O907" s="207"/>
      <c r="P907" s="207"/>
      <c r="Q907" s="207"/>
      <c r="R907" s="207"/>
      <c r="S907" s="207"/>
      <c r="T907" s="207"/>
      <c r="U907" s="207"/>
      <c r="V907" s="207"/>
      <c r="W907" s="207"/>
      <c r="X907" s="207"/>
      <c r="Y907" s="207"/>
      <c r="Z907" s="207"/>
      <c r="AA907" s="207"/>
      <c r="AB907" s="207"/>
      <c r="AC907" s="207"/>
      <c r="AD907" s="207"/>
      <c r="AE907" s="207"/>
      <c r="AF907" s="207"/>
      <c r="AG907" s="207"/>
      <c r="AH907" s="207"/>
      <c r="AI907" s="207"/>
      <c r="AJ907" s="207"/>
      <c r="AK907" s="207"/>
      <c r="AL907" s="207"/>
      <c r="AM907" s="207"/>
      <c r="AN907" s="207"/>
      <c r="AO907" s="207"/>
      <c r="AP907" s="207"/>
      <c r="AQ907" s="207"/>
      <c r="AR907" s="207"/>
      <c r="AS907" s="207"/>
      <c r="AT907" s="207"/>
      <c r="AU907" s="207"/>
      <c r="AV907" s="207"/>
      <c r="AW907" s="207"/>
      <c r="AX907" s="207"/>
      <c r="AY907" s="207"/>
      <c r="AZ907" s="207"/>
      <c r="BA907" s="207"/>
    </row>
    <row r="908" ht="18.75" hidden="1" customHeight="1">
      <c r="A908" s="1"/>
      <c r="B908" s="207"/>
      <c r="C908" s="207"/>
      <c r="D908" s="207"/>
      <c r="E908" s="207"/>
      <c r="F908" s="207"/>
      <c r="G908" s="207"/>
      <c r="H908" s="207"/>
      <c r="I908" s="207"/>
      <c r="J908" s="207"/>
      <c r="K908" s="207"/>
      <c r="L908" s="207"/>
      <c r="M908" s="207"/>
      <c r="N908" s="207"/>
      <c r="O908" s="207"/>
      <c r="P908" s="207"/>
      <c r="Q908" s="207"/>
      <c r="R908" s="207"/>
      <c r="S908" s="207"/>
      <c r="T908" s="207"/>
      <c r="U908" s="207"/>
      <c r="V908" s="207"/>
      <c r="W908" s="207"/>
      <c r="X908" s="207"/>
      <c r="Y908" s="207"/>
      <c r="Z908" s="207"/>
      <c r="AA908" s="207"/>
      <c r="AB908" s="207"/>
      <c r="AC908" s="207"/>
      <c r="AD908" s="207"/>
      <c r="AE908" s="207"/>
      <c r="AF908" s="207"/>
      <c r="AG908" s="207"/>
      <c r="AH908" s="207"/>
      <c r="AI908" s="207"/>
      <c r="AJ908" s="207"/>
      <c r="AK908" s="207"/>
      <c r="AL908" s="207"/>
      <c r="AM908" s="207"/>
      <c r="AN908" s="207"/>
      <c r="AO908" s="207"/>
      <c r="AP908" s="207"/>
      <c r="AQ908" s="207"/>
      <c r="AR908" s="207"/>
      <c r="AS908" s="207"/>
      <c r="AT908" s="207"/>
      <c r="AU908" s="207"/>
      <c r="AV908" s="207"/>
      <c r="AW908" s="207"/>
      <c r="AX908" s="207"/>
      <c r="AY908" s="207"/>
      <c r="AZ908" s="207"/>
      <c r="BA908" s="207"/>
    </row>
    <row r="909" ht="18.75" hidden="1" customHeight="1">
      <c r="A909" s="1"/>
      <c r="B909" s="207"/>
      <c r="C909" s="207"/>
      <c r="D909" s="207"/>
      <c r="E909" s="207"/>
      <c r="F909" s="207"/>
      <c r="G909" s="207"/>
      <c r="H909" s="207"/>
      <c r="I909" s="207"/>
      <c r="J909" s="207"/>
      <c r="K909" s="207"/>
      <c r="L909" s="207"/>
      <c r="M909" s="207"/>
      <c r="N909" s="207"/>
      <c r="O909" s="207"/>
      <c r="P909" s="207"/>
      <c r="Q909" s="207"/>
      <c r="R909" s="207"/>
      <c r="S909" s="207"/>
      <c r="T909" s="207"/>
      <c r="U909" s="207"/>
      <c r="V909" s="207"/>
      <c r="W909" s="207"/>
      <c r="X909" s="207"/>
      <c r="Y909" s="207"/>
      <c r="Z909" s="207"/>
      <c r="AA909" s="207"/>
      <c r="AB909" s="207"/>
      <c r="AC909" s="207"/>
      <c r="AD909" s="207"/>
      <c r="AE909" s="207"/>
      <c r="AF909" s="207"/>
      <c r="AG909" s="207"/>
      <c r="AH909" s="207"/>
      <c r="AI909" s="207"/>
      <c r="AJ909" s="207"/>
      <c r="AK909" s="207"/>
      <c r="AL909" s="207"/>
      <c r="AM909" s="207"/>
      <c r="AN909" s="207"/>
      <c r="AO909" s="207"/>
      <c r="AP909" s="207"/>
      <c r="AQ909" s="207"/>
      <c r="AR909" s="207"/>
      <c r="AS909" s="207"/>
      <c r="AT909" s="207"/>
      <c r="AU909" s="207"/>
      <c r="AV909" s="207"/>
      <c r="AW909" s="207"/>
      <c r="AX909" s="207"/>
      <c r="AY909" s="207"/>
      <c r="AZ909" s="207"/>
      <c r="BA909" s="207"/>
    </row>
    <row r="910" ht="18.75" hidden="1" customHeight="1">
      <c r="A910" s="1"/>
      <c r="B910" s="207"/>
      <c r="C910" s="207"/>
      <c r="D910" s="207"/>
      <c r="E910" s="207"/>
      <c r="F910" s="207"/>
      <c r="G910" s="207"/>
      <c r="H910" s="207"/>
      <c r="I910" s="207"/>
      <c r="J910" s="207"/>
      <c r="K910" s="207"/>
      <c r="L910" s="207"/>
      <c r="M910" s="207"/>
      <c r="N910" s="207"/>
      <c r="O910" s="207"/>
      <c r="P910" s="207"/>
      <c r="Q910" s="207"/>
      <c r="R910" s="207"/>
      <c r="S910" s="207"/>
      <c r="T910" s="207"/>
      <c r="U910" s="207"/>
      <c r="V910" s="207"/>
      <c r="W910" s="207"/>
      <c r="X910" s="207"/>
      <c r="Y910" s="207"/>
      <c r="Z910" s="207"/>
      <c r="AA910" s="207"/>
      <c r="AB910" s="207"/>
      <c r="AC910" s="207"/>
      <c r="AD910" s="207"/>
      <c r="AE910" s="207"/>
      <c r="AF910" s="207"/>
      <c r="AG910" s="207"/>
      <c r="AH910" s="207"/>
      <c r="AI910" s="207"/>
      <c r="AJ910" s="207"/>
      <c r="AK910" s="207"/>
      <c r="AL910" s="207"/>
      <c r="AM910" s="207"/>
      <c r="AN910" s="207"/>
      <c r="AO910" s="207"/>
      <c r="AP910" s="207"/>
      <c r="AQ910" s="207"/>
      <c r="AR910" s="207"/>
      <c r="AS910" s="207"/>
      <c r="AT910" s="207"/>
      <c r="AU910" s="207"/>
      <c r="AV910" s="207"/>
      <c r="AW910" s="207"/>
      <c r="AX910" s="207"/>
      <c r="AY910" s="207"/>
      <c r="AZ910" s="207"/>
      <c r="BA910" s="207"/>
    </row>
    <row r="911" ht="18.75" hidden="1" customHeight="1">
      <c r="A911" s="1"/>
      <c r="B911" s="207"/>
      <c r="C911" s="207"/>
      <c r="D911" s="207"/>
      <c r="E911" s="207"/>
      <c r="F911" s="207"/>
      <c r="G911" s="207"/>
      <c r="H911" s="207"/>
      <c r="I911" s="207"/>
      <c r="J911" s="207"/>
      <c r="K911" s="207"/>
      <c r="L911" s="207"/>
      <c r="M911" s="207"/>
      <c r="N911" s="207"/>
      <c r="O911" s="207"/>
      <c r="P911" s="207"/>
      <c r="Q911" s="207"/>
      <c r="R911" s="207"/>
      <c r="S911" s="207"/>
      <c r="T911" s="207"/>
      <c r="U911" s="207"/>
      <c r="V911" s="207"/>
      <c r="W911" s="207"/>
      <c r="X911" s="207"/>
      <c r="Y911" s="207"/>
      <c r="Z911" s="207"/>
      <c r="AA911" s="207"/>
      <c r="AB911" s="207"/>
      <c r="AC911" s="207"/>
      <c r="AD911" s="207"/>
      <c r="AE911" s="207"/>
      <c r="AF911" s="207"/>
      <c r="AG911" s="207"/>
      <c r="AH911" s="207"/>
      <c r="AI911" s="207"/>
      <c r="AJ911" s="207"/>
      <c r="AK911" s="207"/>
      <c r="AL911" s="207"/>
      <c r="AM911" s="207"/>
      <c r="AN911" s="207"/>
      <c r="AO911" s="207"/>
      <c r="AP911" s="207"/>
      <c r="AQ911" s="207"/>
      <c r="AR911" s="207"/>
      <c r="AS911" s="207"/>
      <c r="AT911" s="207"/>
      <c r="AU911" s="207"/>
      <c r="AV911" s="207"/>
      <c r="AW911" s="207"/>
      <c r="AX911" s="207"/>
      <c r="AY911" s="207"/>
      <c r="AZ911" s="207"/>
      <c r="BA911" s="207"/>
    </row>
    <row r="912" ht="18.75" hidden="1" customHeight="1">
      <c r="A912" s="1"/>
      <c r="B912" s="207"/>
      <c r="C912" s="207"/>
      <c r="D912" s="207"/>
      <c r="E912" s="207"/>
      <c r="F912" s="207"/>
      <c r="G912" s="207"/>
      <c r="H912" s="207"/>
      <c r="I912" s="207"/>
      <c r="J912" s="207"/>
      <c r="K912" s="207"/>
      <c r="L912" s="207"/>
      <c r="M912" s="207"/>
      <c r="N912" s="207"/>
      <c r="O912" s="207"/>
      <c r="P912" s="207"/>
      <c r="Q912" s="207"/>
      <c r="R912" s="207"/>
      <c r="S912" s="207"/>
      <c r="T912" s="207"/>
      <c r="U912" s="207"/>
      <c r="V912" s="207"/>
      <c r="W912" s="207"/>
      <c r="X912" s="207"/>
      <c r="Y912" s="207"/>
      <c r="Z912" s="207"/>
      <c r="AA912" s="207"/>
      <c r="AB912" s="207"/>
      <c r="AC912" s="207"/>
      <c r="AD912" s="207"/>
      <c r="AE912" s="207"/>
      <c r="AF912" s="207"/>
      <c r="AG912" s="207"/>
      <c r="AH912" s="207"/>
      <c r="AI912" s="207"/>
      <c r="AJ912" s="207"/>
      <c r="AK912" s="207"/>
      <c r="AL912" s="207"/>
      <c r="AM912" s="207"/>
      <c r="AN912" s="207"/>
      <c r="AO912" s="207"/>
      <c r="AP912" s="207"/>
      <c r="AQ912" s="207"/>
      <c r="AR912" s="207"/>
      <c r="AS912" s="207"/>
      <c r="AT912" s="207"/>
      <c r="AU912" s="207"/>
      <c r="AV912" s="207"/>
      <c r="AW912" s="207"/>
      <c r="AX912" s="207"/>
      <c r="AY912" s="207"/>
      <c r="AZ912" s="207"/>
      <c r="BA912" s="207"/>
    </row>
    <row r="913" ht="18.75" hidden="1" customHeight="1">
      <c r="A913" s="1"/>
      <c r="B913" s="207"/>
      <c r="C913" s="207"/>
      <c r="D913" s="207"/>
      <c r="E913" s="207"/>
      <c r="F913" s="207"/>
      <c r="G913" s="207"/>
      <c r="H913" s="207"/>
      <c r="I913" s="207"/>
      <c r="J913" s="207"/>
      <c r="K913" s="207"/>
      <c r="L913" s="207"/>
      <c r="M913" s="207"/>
      <c r="N913" s="207"/>
      <c r="O913" s="207"/>
      <c r="P913" s="207"/>
      <c r="Q913" s="207"/>
      <c r="R913" s="207"/>
      <c r="S913" s="207"/>
      <c r="T913" s="207"/>
      <c r="U913" s="207"/>
      <c r="V913" s="207"/>
      <c r="W913" s="207"/>
      <c r="X913" s="207"/>
      <c r="Y913" s="207"/>
      <c r="Z913" s="207"/>
      <c r="AA913" s="207"/>
      <c r="AB913" s="207"/>
      <c r="AC913" s="207"/>
      <c r="AD913" s="207"/>
      <c r="AE913" s="207"/>
      <c r="AF913" s="207"/>
      <c r="AG913" s="207"/>
      <c r="AH913" s="207"/>
      <c r="AI913" s="207"/>
      <c r="AJ913" s="207"/>
      <c r="AK913" s="207"/>
      <c r="AL913" s="207"/>
      <c r="AM913" s="207"/>
      <c r="AN913" s="207"/>
      <c r="AO913" s="207"/>
      <c r="AP913" s="207"/>
      <c r="AQ913" s="207"/>
      <c r="AR913" s="207"/>
      <c r="AS913" s="207"/>
      <c r="AT913" s="207"/>
      <c r="AU913" s="207"/>
      <c r="AV913" s="207"/>
      <c r="AW913" s="207"/>
      <c r="AX913" s="207"/>
      <c r="AY913" s="207"/>
      <c r="AZ913" s="207"/>
      <c r="BA913" s="207"/>
    </row>
    <row r="914" ht="18.75" hidden="1" customHeight="1">
      <c r="A914" s="1"/>
      <c r="B914" s="207"/>
      <c r="C914" s="207"/>
      <c r="D914" s="207"/>
      <c r="E914" s="207"/>
      <c r="F914" s="207"/>
      <c r="G914" s="207"/>
      <c r="H914" s="207"/>
      <c r="I914" s="207"/>
      <c r="J914" s="207"/>
      <c r="K914" s="207"/>
      <c r="L914" s="207"/>
      <c r="M914" s="207"/>
      <c r="N914" s="207"/>
      <c r="O914" s="207"/>
      <c r="P914" s="207"/>
      <c r="Q914" s="207"/>
      <c r="R914" s="207"/>
      <c r="S914" s="207"/>
      <c r="T914" s="207"/>
      <c r="U914" s="207"/>
      <c r="V914" s="207"/>
      <c r="W914" s="207"/>
      <c r="X914" s="207"/>
      <c r="Y914" s="207"/>
      <c r="Z914" s="207"/>
      <c r="AA914" s="207"/>
      <c r="AB914" s="207"/>
      <c r="AC914" s="207"/>
      <c r="AD914" s="207"/>
      <c r="AE914" s="207"/>
      <c r="AF914" s="207"/>
      <c r="AG914" s="207"/>
      <c r="AH914" s="207"/>
      <c r="AI914" s="207"/>
      <c r="AJ914" s="207"/>
      <c r="AK914" s="207"/>
      <c r="AL914" s="207"/>
      <c r="AM914" s="207"/>
      <c r="AN914" s="207"/>
      <c r="AO914" s="207"/>
      <c r="AP914" s="207"/>
      <c r="AQ914" s="207"/>
      <c r="AR914" s="207"/>
      <c r="AS914" s="207"/>
      <c r="AT914" s="207"/>
      <c r="AU914" s="207"/>
      <c r="AV914" s="207"/>
      <c r="AW914" s="207"/>
      <c r="AX914" s="207"/>
      <c r="AY914" s="207"/>
      <c r="AZ914" s="207"/>
      <c r="BA914" s="207"/>
    </row>
    <row r="915" ht="18.75" hidden="1" customHeight="1">
      <c r="A915" s="1"/>
      <c r="B915" s="207"/>
      <c r="C915" s="207"/>
      <c r="D915" s="207"/>
      <c r="E915" s="207"/>
      <c r="F915" s="207"/>
      <c r="G915" s="207"/>
      <c r="H915" s="207"/>
      <c r="I915" s="207"/>
      <c r="J915" s="207"/>
      <c r="K915" s="207"/>
      <c r="L915" s="207"/>
      <c r="M915" s="207"/>
      <c r="N915" s="207"/>
      <c r="O915" s="207"/>
      <c r="P915" s="207"/>
      <c r="Q915" s="207"/>
      <c r="R915" s="207"/>
      <c r="S915" s="207"/>
      <c r="T915" s="207"/>
      <c r="U915" s="207"/>
      <c r="V915" s="207"/>
      <c r="W915" s="207"/>
      <c r="X915" s="207"/>
      <c r="Y915" s="207"/>
      <c r="Z915" s="207"/>
      <c r="AA915" s="207"/>
      <c r="AB915" s="207"/>
      <c r="AC915" s="207"/>
      <c r="AD915" s="207"/>
      <c r="AE915" s="207"/>
      <c r="AF915" s="207"/>
      <c r="AG915" s="207"/>
      <c r="AH915" s="207"/>
      <c r="AI915" s="207"/>
      <c r="AJ915" s="207"/>
      <c r="AK915" s="207"/>
      <c r="AL915" s="207"/>
      <c r="AM915" s="207"/>
      <c r="AN915" s="207"/>
      <c r="AO915" s="207"/>
      <c r="AP915" s="207"/>
      <c r="AQ915" s="207"/>
      <c r="AR915" s="207"/>
      <c r="AS915" s="207"/>
      <c r="AT915" s="207"/>
      <c r="AU915" s="207"/>
      <c r="AV915" s="207"/>
      <c r="AW915" s="207"/>
      <c r="AX915" s="207"/>
      <c r="AY915" s="207"/>
      <c r="AZ915" s="207"/>
      <c r="BA915" s="207"/>
    </row>
    <row r="916" ht="18.75" hidden="1" customHeight="1">
      <c r="A916" s="1"/>
      <c r="B916" s="207"/>
      <c r="C916" s="207"/>
      <c r="D916" s="207"/>
      <c r="E916" s="207"/>
      <c r="F916" s="207"/>
      <c r="G916" s="207"/>
      <c r="H916" s="207"/>
      <c r="I916" s="207"/>
      <c r="J916" s="207"/>
      <c r="K916" s="207"/>
      <c r="L916" s="207"/>
      <c r="M916" s="207"/>
      <c r="N916" s="207"/>
      <c r="O916" s="207"/>
      <c r="P916" s="207"/>
      <c r="Q916" s="207"/>
      <c r="R916" s="207"/>
      <c r="S916" s="207"/>
      <c r="T916" s="207"/>
      <c r="U916" s="207"/>
      <c r="V916" s="207"/>
      <c r="W916" s="207"/>
      <c r="X916" s="207"/>
      <c r="Y916" s="207"/>
      <c r="Z916" s="207"/>
      <c r="AA916" s="207"/>
      <c r="AB916" s="207"/>
      <c r="AC916" s="207"/>
      <c r="AD916" s="207"/>
      <c r="AE916" s="207"/>
      <c r="AF916" s="207"/>
      <c r="AG916" s="207"/>
      <c r="AH916" s="207"/>
      <c r="AI916" s="207"/>
      <c r="AJ916" s="207"/>
      <c r="AK916" s="207"/>
      <c r="AL916" s="207"/>
      <c r="AM916" s="207"/>
      <c r="AN916" s="207"/>
      <c r="AO916" s="207"/>
      <c r="AP916" s="207"/>
      <c r="AQ916" s="207"/>
      <c r="AR916" s="207"/>
      <c r="AS916" s="207"/>
      <c r="AT916" s="207"/>
      <c r="AU916" s="207"/>
      <c r="AV916" s="207"/>
      <c r="AW916" s="207"/>
      <c r="AX916" s="207"/>
      <c r="AY916" s="207"/>
      <c r="AZ916" s="207"/>
      <c r="BA916" s="207"/>
    </row>
    <row r="917" ht="18.75" hidden="1" customHeight="1">
      <c r="A917" s="1"/>
      <c r="B917" s="207"/>
      <c r="C917" s="207"/>
      <c r="D917" s="207"/>
      <c r="E917" s="207"/>
      <c r="F917" s="207"/>
      <c r="G917" s="207"/>
      <c r="H917" s="207"/>
      <c r="I917" s="207"/>
      <c r="J917" s="207"/>
      <c r="K917" s="207"/>
      <c r="L917" s="207"/>
      <c r="M917" s="207"/>
      <c r="N917" s="207"/>
      <c r="O917" s="207"/>
      <c r="P917" s="207"/>
      <c r="Q917" s="207"/>
      <c r="R917" s="207"/>
      <c r="S917" s="207"/>
      <c r="T917" s="207"/>
      <c r="U917" s="207"/>
      <c r="V917" s="207"/>
      <c r="W917" s="207"/>
      <c r="X917" s="207"/>
      <c r="Y917" s="207"/>
      <c r="Z917" s="207"/>
      <c r="AA917" s="207"/>
      <c r="AB917" s="207"/>
      <c r="AC917" s="207"/>
      <c r="AD917" s="207"/>
      <c r="AE917" s="207"/>
      <c r="AF917" s="207"/>
      <c r="AG917" s="207"/>
      <c r="AH917" s="207"/>
      <c r="AI917" s="207"/>
      <c r="AJ917" s="207"/>
      <c r="AK917" s="207"/>
      <c r="AL917" s="207"/>
      <c r="AM917" s="207"/>
      <c r="AN917" s="207"/>
      <c r="AO917" s="207"/>
      <c r="AP917" s="207"/>
      <c r="AQ917" s="207"/>
      <c r="AR917" s="207"/>
      <c r="AS917" s="207"/>
      <c r="AT917" s="207"/>
      <c r="AU917" s="207"/>
      <c r="AV917" s="207"/>
      <c r="AW917" s="207"/>
      <c r="AX917" s="207"/>
      <c r="AY917" s="207"/>
      <c r="AZ917" s="207"/>
      <c r="BA917" s="207"/>
    </row>
    <row r="918" ht="18.75" hidden="1" customHeight="1">
      <c r="A918" s="1"/>
      <c r="B918" s="207"/>
      <c r="C918" s="207"/>
      <c r="D918" s="207"/>
      <c r="E918" s="207"/>
      <c r="F918" s="207"/>
      <c r="G918" s="207"/>
      <c r="H918" s="207"/>
      <c r="I918" s="207"/>
      <c r="J918" s="207"/>
      <c r="K918" s="207"/>
      <c r="L918" s="207"/>
      <c r="M918" s="207"/>
      <c r="N918" s="207"/>
      <c r="O918" s="207"/>
      <c r="P918" s="207"/>
      <c r="Q918" s="207"/>
      <c r="R918" s="207"/>
      <c r="S918" s="207"/>
      <c r="T918" s="207"/>
      <c r="U918" s="207"/>
      <c r="V918" s="207"/>
      <c r="W918" s="207"/>
      <c r="X918" s="207"/>
      <c r="Y918" s="207"/>
      <c r="Z918" s="207"/>
      <c r="AA918" s="207"/>
      <c r="AB918" s="207"/>
      <c r="AC918" s="207"/>
      <c r="AD918" s="207"/>
      <c r="AE918" s="207"/>
      <c r="AF918" s="207"/>
      <c r="AG918" s="207"/>
      <c r="AH918" s="207"/>
      <c r="AI918" s="207"/>
      <c r="AJ918" s="207"/>
      <c r="AK918" s="207"/>
      <c r="AL918" s="207"/>
      <c r="AM918" s="207"/>
      <c r="AN918" s="207"/>
      <c r="AO918" s="207"/>
      <c r="AP918" s="207"/>
      <c r="AQ918" s="207"/>
      <c r="AR918" s="207"/>
      <c r="AS918" s="207"/>
      <c r="AT918" s="207"/>
      <c r="AU918" s="207"/>
      <c r="AV918" s="207"/>
      <c r="AW918" s="207"/>
      <c r="AX918" s="207"/>
      <c r="AY918" s="207"/>
      <c r="AZ918" s="207"/>
      <c r="BA918" s="207"/>
    </row>
    <row r="919" ht="18.75" hidden="1" customHeight="1">
      <c r="A919" s="1"/>
      <c r="B919" s="207"/>
      <c r="C919" s="207"/>
      <c r="D919" s="207"/>
      <c r="E919" s="207"/>
      <c r="F919" s="207"/>
      <c r="G919" s="207"/>
      <c r="H919" s="207"/>
      <c r="I919" s="207"/>
      <c r="J919" s="207"/>
      <c r="K919" s="207"/>
      <c r="L919" s="207"/>
      <c r="M919" s="207"/>
      <c r="N919" s="207"/>
      <c r="O919" s="207"/>
      <c r="P919" s="207"/>
      <c r="Q919" s="207"/>
      <c r="R919" s="207"/>
      <c r="S919" s="207"/>
      <c r="T919" s="207"/>
      <c r="U919" s="207"/>
      <c r="V919" s="207"/>
      <c r="W919" s="207"/>
      <c r="X919" s="207"/>
      <c r="Y919" s="207"/>
      <c r="Z919" s="207"/>
      <c r="AA919" s="207"/>
      <c r="AB919" s="207"/>
      <c r="AC919" s="207"/>
      <c r="AD919" s="207"/>
      <c r="AE919" s="207"/>
      <c r="AF919" s="207"/>
      <c r="AG919" s="207"/>
      <c r="AH919" s="207"/>
      <c r="AI919" s="207"/>
      <c r="AJ919" s="207"/>
      <c r="AK919" s="207"/>
      <c r="AL919" s="207"/>
      <c r="AM919" s="207"/>
      <c r="AN919" s="207"/>
      <c r="AO919" s="207"/>
      <c r="AP919" s="207"/>
      <c r="AQ919" s="207"/>
      <c r="AR919" s="207"/>
      <c r="AS919" s="207"/>
      <c r="AT919" s="207"/>
      <c r="AU919" s="207"/>
      <c r="AV919" s="207"/>
      <c r="AW919" s="207"/>
      <c r="AX919" s="207"/>
      <c r="AY919" s="207"/>
      <c r="AZ919" s="207"/>
      <c r="BA919" s="207"/>
    </row>
    <row r="920" ht="18.75" hidden="1" customHeight="1">
      <c r="A920" s="1"/>
      <c r="B920" s="207"/>
      <c r="C920" s="207"/>
      <c r="D920" s="207"/>
      <c r="E920" s="207"/>
      <c r="F920" s="207"/>
      <c r="G920" s="207"/>
      <c r="H920" s="207"/>
      <c r="I920" s="207"/>
      <c r="J920" s="207"/>
      <c r="K920" s="207"/>
      <c r="L920" s="207"/>
      <c r="M920" s="207"/>
      <c r="N920" s="207"/>
      <c r="O920" s="207"/>
      <c r="P920" s="207"/>
      <c r="Q920" s="207"/>
      <c r="R920" s="207"/>
      <c r="S920" s="207"/>
      <c r="T920" s="207"/>
      <c r="U920" s="207"/>
      <c r="V920" s="207"/>
      <c r="W920" s="207"/>
      <c r="X920" s="207"/>
      <c r="Y920" s="207"/>
      <c r="Z920" s="207"/>
      <c r="AA920" s="207"/>
      <c r="AB920" s="207"/>
      <c r="AC920" s="207"/>
      <c r="AD920" s="207"/>
      <c r="AE920" s="207"/>
      <c r="AF920" s="207"/>
      <c r="AG920" s="207"/>
      <c r="AH920" s="207"/>
      <c r="AI920" s="207"/>
      <c r="AJ920" s="207"/>
      <c r="AK920" s="207"/>
      <c r="AL920" s="207"/>
      <c r="AM920" s="207"/>
      <c r="AN920" s="207"/>
      <c r="AO920" s="207"/>
      <c r="AP920" s="207"/>
      <c r="AQ920" s="207"/>
      <c r="AR920" s="207"/>
      <c r="AS920" s="207"/>
      <c r="AT920" s="207"/>
      <c r="AU920" s="207"/>
      <c r="AV920" s="207"/>
      <c r="AW920" s="207"/>
      <c r="AX920" s="207"/>
      <c r="AY920" s="207"/>
      <c r="AZ920" s="207"/>
      <c r="BA920" s="207"/>
    </row>
    <row r="921" ht="18.75" hidden="1" customHeight="1">
      <c r="A921" s="1"/>
      <c r="B921" s="207"/>
      <c r="C921" s="207"/>
      <c r="D921" s="207"/>
      <c r="E921" s="207"/>
      <c r="F921" s="207"/>
      <c r="G921" s="207"/>
      <c r="H921" s="207"/>
      <c r="I921" s="207"/>
      <c r="J921" s="207"/>
      <c r="K921" s="207"/>
      <c r="L921" s="207"/>
      <c r="M921" s="207"/>
      <c r="N921" s="207"/>
      <c r="O921" s="207"/>
      <c r="P921" s="207"/>
      <c r="Q921" s="207"/>
      <c r="R921" s="207"/>
      <c r="S921" s="207"/>
      <c r="T921" s="207"/>
      <c r="U921" s="207"/>
      <c r="V921" s="207"/>
      <c r="W921" s="207"/>
      <c r="X921" s="207"/>
      <c r="Y921" s="207"/>
      <c r="Z921" s="207"/>
      <c r="AA921" s="207"/>
      <c r="AB921" s="207"/>
      <c r="AC921" s="207"/>
      <c r="AD921" s="207"/>
      <c r="AE921" s="207"/>
      <c r="AF921" s="207"/>
      <c r="AG921" s="207"/>
      <c r="AH921" s="207"/>
      <c r="AI921" s="207"/>
      <c r="AJ921" s="207"/>
      <c r="AK921" s="207"/>
      <c r="AL921" s="207"/>
      <c r="AM921" s="207"/>
      <c r="AN921" s="207"/>
      <c r="AO921" s="207"/>
      <c r="AP921" s="207"/>
      <c r="AQ921" s="207"/>
      <c r="AR921" s="207"/>
      <c r="AS921" s="207"/>
      <c r="AT921" s="207"/>
      <c r="AU921" s="207"/>
      <c r="AV921" s="207"/>
      <c r="AW921" s="207"/>
      <c r="AX921" s="207"/>
      <c r="AY921" s="207"/>
      <c r="AZ921" s="207"/>
      <c r="BA921" s="207"/>
    </row>
    <row r="922" ht="18.75" hidden="1" customHeight="1">
      <c r="A922" s="1"/>
      <c r="B922" s="207"/>
      <c r="C922" s="207"/>
      <c r="D922" s="207"/>
      <c r="E922" s="207"/>
      <c r="F922" s="207"/>
      <c r="G922" s="207"/>
      <c r="H922" s="207"/>
      <c r="I922" s="207"/>
      <c r="J922" s="207"/>
      <c r="K922" s="207"/>
      <c r="L922" s="207"/>
      <c r="M922" s="207"/>
      <c r="N922" s="207"/>
      <c r="O922" s="207"/>
      <c r="P922" s="207"/>
      <c r="Q922" s="207"/>
      <c r="R922" s="207"/>
      <c r="S922" s="207"/>
      <c r="T922" s="207"/>
      <c r="U922" s="207"/>
      <c r="V922" s="207"/>
      <c r="W922" s="207"/>
      <c r="X922" s="207"/>
      <c r="Y922" s="207"/>
      <c r="Z922" s="207"/>
      <c r="AA922" s="207"/>
      <c r="AB922" s="207"/>
      <c r="AC922" s="207"/>
      <c r="AD922" s="207"/>
      <c r="AE922" s="207"/>
      <c r="AF922" s="207"/>
      <c r="AG922" s="207"/>
      <c r="AH922" s="207"/>
      <c r="AI922" s="207"/>
      <c r="AJ922" s="207"/>
      <c r="AK922" s="207"/>
      <c r="AL922" s="207"/>
      <c r="AM922" s="207"/>
      <c r="AN922" s="207"/>
      <c r="AO922" s="207"/>
      <c r="AP922" s="207"/>
      <c r="AQ922" s="207"/>
      <c r="AR922" s="207"/>
      <c r="AS922" s="207"/>
      <c r="AT922" s="207"/>
      <c r="AU922" s="207"/>
      <c r="AV922" s="207"/>
      <c r="AW922" s="207"/>
      <c r="AX922" s="207"/>
      <c r="AY922" s="207"/>
      <c r="AZ922" s="207"/>
      <c r="BA922" s="207"/>
    </row>
    <row r="923" ht="18.75" hidden="1" customHeight="1">
      <c r="A923" s="1"/>
      <c r="B923" s="207"/>
      <c r="C923" s="207"/>
      <c r="D923" s="207"/>
      <c r="E923" s="207"/>
      <c r="F923" s="207"/>
      <c r="G923" s="207"/>
      <c r="H923" s="207"/>
      <c r="I923" s="207"/>
      <c r="J923" s="207"/>
      <c r="K923" s="207"/>
      <c r="L923" s="207"/>
      <c r="M923" s="207"/>
      <c r="N923" s="207"/>
      <c r="O923" s="207"/>
      <c r="P923" s="207"/>
      <c r="Q923" s="207"/>
      <c r="R923" s="207"/>
      <c r="S923" s="207"/>
      <c r="T923" s="207"/>
      <c r="U923" s="207"/>
      <c r="V923" s="207"/>
      <c r="W923" s="207"/>
      <c r="X923" s="207"/>
      <c r="Y923" s="207"/>
      <c r="Z923" s="207"/>
      <c r="AA923" s="207"/>
      <c r="AB923" s="207"/>
      <c r="AC923" s="207"/>
      <c r="AD923" s="207"/>
      <c r="AE923" s="207"/>
      <c r="AF923" s="207"/>
      <c r="AG923" s="207"/>
      <c r="AH923" s="207"/>
      <c r="AI923" s="207"/>
      <c r="AJ923" s="207"/>
      <c r="AK923" s="207"/>
      <c r="AL923" s="207"/>
      <c r="AM923" s="207"/>
      <c r="AN923" s="207"/>
      <c r="AO923" s="207"/>
      <c r="AP923" s="207"/>
      <c r="AQ923" s="207"/>
      <c r="AR923" s="207"/>
      <c r="AS923" s="207"/>
      <c r="AT923" s="207"/>
      <c r="AU923" s="207"/>
      <c r="AV923" s="207"/>
      <c r="AW923" s="207"/>
      <c r="AX923" s="207"/>
      <c r="AY923" s="207"/>
      <c r="AZ923" s="207"/>
      <c r="BA923" s="207"/>
    </row>
    <row r="924" ht="18.75" hidden="1" customHeight="1">
      <c r="A924" s="1"/>
      <c r="B924" s="207"/>
      <c r="C924" s="207"/>
      <c r="D924" s="207"/>
      <c r="E924" s="207"/>
      <c r="F924" s="207"/>
      <c r="G924" s="207"/>
      <c r="H924" s="207"/>
      <c r="I924" s="207"/>
      <c r="J924" s="207"/>
      <c r="K924" s="207"/>
      <c r="L924" s="207"/>
      <c r="M924" s="207"/>
      <c r="N924" s="207"/>
      <c r="O924" s="207"/>
      <c r="P924" s="207"/>
      <c r="Q924" s="207"/>
      <c r="R924" s="207"/>
      <c r="S924" s="207"/>
      <c r="T924" s="207"/>
      <c r="U924" s="207"/>
      <c r="V924" s="207"/>
      <c r="W924" s="207"/>
      <c r="X924" s="207"/>
      <c r="Y924" s="207"/>
      <c r="Z924" s="207"/>
      <c r="AA924" s="207"/>
      <c r="AB924" s="207"/>
      <c r="AC924" s="207"/>
      <c r="AD924" s="207"/>
      <c r="AE924" s="207"/>
      <c r="AF924" s="207"/>
      <c r="AG924" s="207"/>
      <c r="AH924" s="207"/>
      <c r="AI924" s="207"/>
      <c r="AJ924" s="207"/>
      <c r="AK924" s="207"/>
      <c r="AL924" s="207"/>
      <c r="AM924" s="207"/>
      <c r="AN924" s="207"/>
      <c r="AO924" s="207"/>
      <c r="AP924" s="207"/>
      <c r="AQ924" s="207"/>
      <c r="AR924" s="207"/>
      <c r="AS924" s="207"/>
      <c r="AT924" s="207"/>
      <c r="AU924" s="207"/>
      <c r="AV924" s="207"/>
      <c r="AW924" s="207"/>
      <c r="AX924" s="207"/>
      <c r="AY924" s="207"/>
      <c r="AZ924" s="207"/>
      <c r="BA924" s="207"/>
    </row>
    <row r="925" ht="18.75" hidden="1" customHeight="1">
      <c r="A925" s="1"/>
      <c r="B925" s="207"/>
      <c r="C925" s="207"/>
      <c r="D925" s="207"/>
      <c r="E925" s="207"/>
      <c r="F925" s="207"/>
      <c r="G925" s="207"/>
      <c r="H925" s="207"/>
      <c r="I925" s="207"/>
      <c r="J925" s="207"/>
      <c r="K925" s="207"/>
      <c r="L925" s="207"/>
      <c r="M925" s="207"/>
      <c r="N925" s="207"/>
      <c r="O925" s="207"/>
      <c r="P925" s="207"/>
      <c r="Q925" s="207"/>
      <c r="R925" s="207"/>
      <c r="S925" s="207"/>
      <c r="T925" s="207"/>
      <c r="U925" s="207"/>
      <c r="V925" s="207"/>
      <c r="W925" s="207"/>
      <c r="X925" s="207"/>
      <c r="Y925" s="207"/>
      <c r="Z925" s="207"/>
      <c r="AA925" s="207"/>
      <c r="AB925" s="207"/>
      <c r="AC925" s="207"/>
      <c r="AD925" s="207"/>
      <c r="AE925" s="207"/>
      <c r="AF925" s="207"/>
      <c r="AG925" s="207"/>
      <c r="AH925" s="207"/>
      <c r="AI925" s="207"/>
      <c r="AJ925" s="207"/>
      <c r="AK925" s="207"/>
      <c r="AL925" s="207"/>
      <c r="AM925" s="207"/>
      <c r="AN925" s="207"/>
      <c r="AO925" s="207"/>
      <c r="AP925" s="207"/>
      <c r="AQ925" s="207"/>
      <c r="AR925" s="207"/>
      <c r="AS925" s="207"/>
      <c r="AT925" s="207"/>
      <c r="AU925" s="207"/>
      <c r="AV925" s="207"/>
      <c r="AW925" s="207"/>
      <c r="AX925" s="207"/>
      <c r="AY925" s="207"/>
      <c r="AZ925" s="207"/>
      <c r="BA925" s="207"/>
    </row>
    <row r="926" ht="18.75" hidden="1" customHeight="1">
      <c r="A926" s="1"/>
      <c r="B926" s="207"/>
      <c r="C926" s="207"/>
      <c r="D926" s="207"/>
      <c r="E926" s="207"/>
      <c r="F926" s="207"/>
      <c r="G926" s="207"/>
      <c r="H926" s="207"/>
      <c r="I926" s="207"/>
      <c r="J926" s="207"/>
      <c r="K926" s="207"/>
      <c r="L926" s="207"/>
      <c r="M926" s="207"/>
      <c r="N926" s="207"/>
      <c r="O926" s="207"/>
      <c r="P926" s="207"/>
      <c r="Q926" s="207"/>
      <c r="R926" s="207"/>
      <c r="S926" s="207"/>
      <c r="T926" s="207"/>
      <c r="U926" s="207"/>
      <c r="V926" s="207"/>
      <c r="W926" s="207"/>
      <c r="X926" s="207"/>
      <c r="Y926" s="207"/>
      <c r="Z926" s="207"/>
      <c r="AA926" s="207"/>
      <c r="AB926" s="207"/>
      <c r="AC926" s="207"/>
      <c r="AD926" s="207"/>
      <c r="AE926" s="207"/>
      <c r="AF926" s="207"/>
      <c r="AG926" s="207"/>
      <c r="AH926" s="207"/>
      <c r="AI926" s="207"/>
      <c r="AJ926" s="207"/>
      <c r="AK926" s="207"/>
      <c r="AL926" s="207"/>
      <c r="AM926" s="207"/>
      <c r="AN926" s="207"/>
      <c r="AO926" s="207"/>
      <c r="AP926" s="207"/>
      <c r="AQ926" s="207"/>
      <c r="AR926" s="207"/>
      <c r="AS926" s="207"/>
      <c r="AT926" s="207"/>
      <c r="AU926" s="207"/>
      <c r="AV926" s="207"/>
      <c r="AW926" s="207"/>
      <c r="AX926" s="207"/>
      <c r="AY926" s="207"/>
      <c r="AZ926" s="207"/>
      <c r="BA926" s="207"/>
    </row>
    <row r="927" ht="18.75" hidden="1" customHeight="1">
      <c r="A927" s="1"/>
      <c r="B927" s="207"/>
      <c r="C927" s="207"/>
      <c r="D927" s="207"/>
      <c r="E927" s="207"/>
      <c r="F927" s="207"/>
      <c r="G927" s="207"/>
      <c r="H927" s="207"/>
      <c r="I927" s="207"/>
      <c r="J927" s="207"/>
      <c r="K927" s="207"/>
      <c r="L927" s="207"/>
      <c r="M927" s="207"/>
      <c r="N927" s="207"/>
      <c r="O927" s="207"/>
      <c r="P927" s="207"/>
      <c r="Q927" s="207"/>
      <c r="R927" s="207"/>
      <c r="S927" s="207"/>
      <c r="T927" s="207"/>
      <c r="U927" s="207"/>
      <c r="V927" s="207"/>
      <c r="W927" s="207"/>
      <c r="X927" s="207"/>
      <c r="Y927" s="207"/>
      <c r="Z927" s="207"/>
      <c r="AA927" s="207"/>
      <c r="AB927" s="207"/>
      <c r="AC927" s="207"/>
      <c r="AD927" s="207"/>
      <c r="AE927" s="207"/>
      <c r="AF927" s="207"/>
      <c r="AG927" s="207"/>
      <c r="AH927" s="207"/>
      <c r="AI927" s="207"/>
      <c r="AJ927" s="207"/>
      <c r="AK927" s="207"/>
      <c r="AL927" s="207"/>
      <c r="AM927" s="207"/>
      <c r="AN927" s="207"/>
      <c r="AO927" s="207"/>
      <c r="AP927" s="207"/>
      <c r="AQ927" s="207"/>
      <c r="AR927" s="207"/>
      <c r="AS927" s="207"/>
      <c r="AT927" s="207"/>
      <c r="AU927" s="207"/>
      <c r="AV927" s="207"/>
      <c r="AW927" s="207"/>
      <c r="AX927" s="207"/>
      <c r="AY927" s="207"/>
      <c r="AZ927" s="207"/>
      <c r="BA927" s="207"/>
    </row>
    <row r="928" ht="18.75" hidden="1" customHeight="1">
      <c r="A928" s="1"/>
      <c r="B928" s="207"/>
      <c r="C928" s="207"/>
      <c r="D928" s="207"/>
      <c r="E928" s="207"/>
      <c r="F928" s="207"/>
      <c r="G928" s="207"/>
      <c r="H928" s="207"/>
      <c r="I928" s="207"/>
      <c r="J928" s="207"/>
      <c r="K928" s="207"/>
      <c r="L928" s="207"/>
      <c r="M928" s="207"/>
      <c r="N928" s="207"/>
      <c r="O928" s="207"/>
      <c r="P928" s="207"/>
      <c r="Q928" s="207"/>
      <c r="R928" s="207"/>
      <c r="S928" s="207"/>
      <c r="T928" s="207"/>
      <c r="U928" s="207"/>
      <c r="V928" s="207"/>
      <c r="W928" s="207"/>
      <c r="X928" s="207"/>
      <c r="Y928" s="207"/>
      <c r="Z928" s="207"/>
      <c r="AA928" s="207"/>
      <c r="AB928" s="207"/>
      <c r="AC928" s="207"/>
      <c r="AD928" s="207"/>
      <c r="AE928" s="207"/>
      <c r="AF928" s="207"/>
      <c r="AG928" s="207"/>
      <c r="AH928" s="207"/>
      <c r="AI928" s="207"/>
      <c r="AJ928" s="207"/>
      <c r="AK928" s="207"/>
      <c r="AL928" s="207"/>
      <c r="AM928" s="207"/>
      <c r="AN928" s="207"/>
      <c r="AO928" s="207"/>
      <c r="AP928" s="207"/>
      <c r="AQ928" s="207"/>
      <c r="AR928" s="207"/>
      <c r="AS928" s="207"/>
      <c r="AT928" s="207"/>
      <c r="AU928" s="207"/>
      <c r="AV928" s="207"/>
      <c r="AW928" s="207"/>
      <c r="AX928" s="207"/>
      <c r="AY928" s="207"/>
      <c r="AZ928" s="207"/>
      <c r="BA928" s="207"/>
    </row>
    <row r="929" ht="18.75" hidden="1" customHeight="1">
      <c r="A929" s="1"/>
      <c r="B929" s="207"/>
      <c r="C929" s="207"/>
      <c r="D929" s="207"/>
      <c r="E929" s="207"/>
      <c r="F929" s="207"/>
      <c r="G929" s="207"/>
      <c r="H929" s="207"/>
      <c r="I929" s="207"/>
      <c r="J929" s="207"/>
      <c r="K929" s="207"/>
      <c r="L929" s="207"/>
      <c r="M929" s="207"/>
      <c r="N929" s="207"/>
      <c r="O929" s="207"/>
      <c r="P929" s="207"/>
      <c r="Q929" s="207"/>
      <c r="R929" s="207"/>
      <c r="S929" s="207"/>
      <c r="T929" s="207"/>
      <c r="U929" s="207"/>
      <c r="V929" s="207"/>
      <c r="W929" s="207"/>
      <c r="X929" s="207"/>
      <c r="Y929" s="207"/>
      <c r="Z929" s="207"/>
      <c r="AA929" s="207"/>
      <c r="AB929" s="207"/>
      <c r="AC929" s="207"/>
      <c r="AD929" s="207"/>
      <c r="AE929" s="207"/>
      <c r="AF929" s="207"/>
      <c r="AG929" s="207"/>
      <c r="AH929" s="207"/>
      <c r="AI929" s="207"/>
      <c r="AJ929" s="207"/>
      <c r="AK929" s="207"/>
      <c r="AL929" s="207"/>
      <c r="AM929" s="207"/>
      <c r="AN929" s="207"/>
      <c r="AO929" s="207"/>
      <c r="AP929" s="207"/>
      <c r="AQ929" s="207"/>
      <c r="AR929" s="207"/>
      <c r="AS929" s="207"/>
      <c r="AT929" s="207"/>
      <c r="AU929" s="207"/>
      <c r="AV929" s="207"/>
      <c r="AW929" s="207"/>
      <c r="AX929" s="207"/>
      <c r="AY929" s="207"/>
      <c r="AZ929" s="207"/>
      <c r="BA929" s="207"/>
    </row>
    <row r="930" ht="18.75" hidden="1" customHeight="1">
      <c r="A930" s="1"/>
      <c r="B930" s="207"/>
      <c r="C930" s="207"/>
      <c r="D930" s="207"/>
      <c r="E930" s="207"/>
      <c r="F930" s="207"/>
      <c r="G930" s="207"/>
      <c r="H930" s="207"/>
      <c r="I930" s="207"/>
      <c r="J930" s="207"/>
      <c r="K930" s="207"/>
      <c r="L930" s="207"/>
      <c r="M930" s="207"/>
      <c r="N930" s="207"/>
      <c r="O930" s="207"/>
      <c r="P930" s="207"/>
      <c r="Q930" s="207"/>
      <c r="R930" s="207"/>
      <c r="S930" s="207"/>
      <c r="T930" s="207"/>
      <c r="U930" s="207"/>
      <c r="V930" s="207"/>
      <c r="W930" s="207"/>
      <c r="X930" s="207"/>
      <c r="Y930" s="207"/>
      <c r="Z930" s="207"/>
      <c r="AA930" s="207"/>
      <c r="AB930" s="207"/>
      <c r="AC930" s="207"/>
      <c r="AD930" s="207"/>
      <c r="AE930" s="207"/>
      <c r="AF930" s="207"/>
      <c r="AG930" s="207"/>
      <c r="AH930" s="207"/>
      <c r="AI930" s="207"/>
      <c r="AJ930" s="207"/>
      <c r="AK930" s="207"/>
      <c r="AL930" s="207"/>
      <c r="AM930" s="207"/>
      <c r="AN930" s="207"/>
      <c r="AO930" s="207"/>
      <c r="AP930" s="207"/>
      <c r="AQ930" s="207"/>
      <c r="AR930" s="207"/>
      <c r="AS930" s="207"/>
      <c r="AT930" s="207"/>
      <c r="AU930" s="207"/>
      <c r="AV930" s="207"/>
      <c r="AW930" s="207"/>
      <c r="AX930" s="207"/>
      <c r="AY930" s="207"/>
      <c r="AZ930" s="207"/>
      <c r="BA930" s="207"/>
    </row>
    <row r="931" ht="18.75" hidden="1" customHeight="1">
      <c r="A931" s="1"/>
      <c r="B931" s="207"/>
      <c r="C931" s="207"/>
      <c r="D931" s="207"/>
      <c r="E931" s="207"/>
      <c r="F931" s="207"/>
      <c r="G931" s="207"/>
      <c r="H931" s="207"/>
      <c r="I931" s="207"/>
      <c r="J931" s="207"/>
      <c r="K931" s="207"/>
      <c r="L931" s="207"/>
      <c r="M931" s="207"/>
      <c r="N931" s="207"/>
      <c r="O931" s="207"/>
      <c r="P931" s="207"/>
      <c r="Q931" s="207"/>
      <c r="R931" s="207"/>
      <c r="S931" s="207"/>
      <c r="T931" s="207"/>
      <c r="U931" s="207"/>
      <c r="V931" s="207"/>
      <c r="W931" s="207"/>
      <c r="X931" s="207"/>
      <c r="Y931" s="207"/>
      <c r="Z931" s="207"/>
      <c r="AA931" s="207"/>
      <c r="AB931" s="207"/>
      <c r="AC931" s="207"/>
      <c r="AD931" s="207"/>
      <c r="AE931" s="207"/>
      <c r="AF931" s="207"/>
      <c r="AG931" s="207"/>
      <c r="AH931" s="207"/>
      <c r="AI931" s="207"/>
      <c r="AJ931" s="207"/>
      <c r="AK931" s="207"/>
      <c r="AL931" s="207"/>
      <c r="AM931" s="207"/>
      <c r="AN931" s="207"/>
      <c r="AO931" s="207"/>
      <c r="AP931" s="207"/>
      <c r="AQ931" s="207"/>
      <c r="AR931" s="207"/>
      <c r="AS931" s="207"/>
      <c r="AT931" s="207"/>
      <c r="AU931" s="207"/>
      <c r="AV931" s="207"/>
      <c r="AW931" s="207"/>
      <c r="AX931" s="207"/>
      <c r="AY931" s="207"/>
      <c r="AZ931" s="207"/>
      <c r="BA931" s="207"/>
    </row>
    <row r="932" ht="18.75" hidden="1" customHeight="1">
      <c r="A932" s="1"/>
      <c r="B932" s="207"/>
      <c r="C932" s="207"/>
      <c r="D932" s="207"/>
      <c r="E932" s="207"/>
      <c r="F932" s="207"/>
      <c r="G932" s="207"/>
      <c r="H932" s="207"/>
      <c r="I932" s="207"/>
      <c r="J932" s="207"/>
      <c r="K932" s="207"/>
      <c r="L932" s="207"/>
      <c r="M932" s="207"/>
      <c r="N932" s="207"/>
      <c r="O932" s="207"/>
      <c r="P932" s="207"/>
      <c r="Q932" s="207"/>
      <c r="R932" s="207"/>
      <c r="S932" s="207"/>
      <c r="T932" s="207"/>
      <c r="U932" s="207"/>
      <c r="V932" s="207"/>
      <c r="W932" s="207"/>
      <c r="X932" s="207"/>
      <c r="Y932" s="207"/>
      <c r="Z932" s="207"/>
      <c r="AA932" s="207"/>
      <c r="AB932" s="207"/>
      <c r="AC932" s="207"/>
      <c r="AD932" s="207"/>
      <c r="AE932" s="207"/>
      <c r="AF932" s="207"/>
      <c r="AG932" s="207"/>
      <c r="AH932" s="207"/>
      <c r="AI932" s="207"/>
      <c r="AJ932" s="207"/>
      <c r="AK932" s="207"/>
      <c r="AL932" s="207"/>
      <c r="AM932" s="207"/>
      <c r="AN932" s="207"/>
      <c r="AO932" s="207"/>
      <c r="AP932" s="207"/>
      <c r="AQ932" s="207"/>
      <c r="AR932" s="207"/>
      <c r="AS932" s="207"/>
      <c r="AT932" s="207"/>
      <c r="AU932" s="207"/>
      <c r="AV932" s="207"/>
      <c r="AW932" s="207"/>
      <c r="AX932" s="207"/>
      <c r="AY932" s="207"/>
      <c r="AZ932" s="207"/>
      <c r="BA932" s="207"/>
    </row>
    <row r="933" ht="18.75" hidden="1" customHeight="1">
      <c r="A933" s="1"/>
      <c r="B933" s="207"/>
      <c r="C933" s="207"/>
      <c r="D933" s="207"/>
      <c r="E933" s="207"/>
      <c r="F933" s="207"/>
      <c r="G933" s="207"/>
      <c r="H933" s="207"/>
      <c r="I933" s="207"/>
      <c r="J933" s="207"/>
      <c r="K933" s="207"/>
      <c r="L933" s="207"/>
      <c r="M933" s="207"/>
      <c r="N933" s="207"/>
      <c r="O933" s="207"/>
      <c r="P933" s="207"/>
      <c r="Q933" s="207"/>
      <c r="R933" s="207"/>
      <c r="S933" s="207"/>
      <c r="T933" s="207"/>
      <c r="U933" s="207"/>
      <c r="V933" s="207"/>
      <c r="W933" s="207"/>
      <c r="X933" s="207"/>
      <c r="Y933" s="207"/>
      <c r="Z933" s="207"/>
      <c r="AA933" s="207"/>
      <c r="AB933" s="207"/>
      <c r="AC933" s="207"/>
      <c r="AD933" s="207"/>
      <c r="AE933" s="207"/>
      <c r="AF933" s="207"/>
      <c r="AG933" s="207"/>
      <c r="AH933" s="207"/>
      <c r="AI933" s="207"/>
      <c r="AJ933" s="207"/>
      <c r="AK933" s="207"/>
      <c r="AL933" s="207"/>
      <c r="AM933" s="207"/>
      <c r="AN933" s="207"/>
      <c r="AO933" s="207"/>
      <c r="AP933" s="207"/>
      <c r="AQ933" s="207"/>
      <c r="AR933" s="207"/>
      <c r="AS933" s="207"/>
      <c r="AT933" s="207"/>
      <c r="AU933" s="207"/>
      <c r="AV933" s="207"/>
      <c r="AW933" s="207"/>
      <c r="AX933" s="207"/>
      <c r="AY933" s="207"/>
      <c r="AZ933" s="207"/>
      <c r="BA933" s="207"/>
    </row>
    <row r="934" ht="18.75" hidden="1" customHeight="1">
      <c r="A934" s="1"/>
      <c r="B934" s="207"/>
      <c r="C934" s="207"/>
      <c r="D934" s="207"/>
      <c r="E934" s="207"/>
      <c r="F934" s="207"/>
      <c r="G934" s="207"/>
      <c r="H934" s="207"/>
      <c r="I934" s="207"/>
      <c r="J934" s="207"/>
      <c r="K934" s="207"/>
      <c r="L934" s="207"/>
      <c r="M934" s="207"/>
      <c r="N934" s="207"/>
      <c r="O934" s="207"/>
      <c r="P934" s="207"/>
      <c r="Q934" s="207"/>
      <c r="R934" s="207"/>
      <c r="S934" s="207"/>
      <c r="T934" s="207"/>
      <c r="U934" s="207"/>
      <c r="V934" s="207"/>
      <c r="W934" s="207"/>
      <c r="X934" s="207"/>
      <c r="Y934" s="207"/>
      <c r="Z934" s="207"/>
      <c r="AA934" s="207"/>
      <c r="AB934" s="207"/>
      <c r="AC934" s="207"/>
      <c r="AD934" s="207"/>
      <c r="AE934" s="207"/>
      <c r="AF934" s="207"/>
      <c r="AG934" s="207"/>
      <c r="AH934" s="207"/>
      <c r="AI934" s="207"/>
      <c r="AJ934" s="207"/>
      <c r="AK934" s="207"/>
      <c r="AL934" s="207"/>
      <c r="AM934" s="207"/>
      <c r="AN934" s="207"/>
      <c r="AO934" s="207"/>
      <c r="AP934" s="207"/>
      <c r="AQ934" s="207"/>
      <c r="AR934" s="207"/>
      <c r="AS934" s="207"/>
      <c r="AT934" s="207"/>
      <c r="AU934" s="207"/>
      <c r="AV934" s="207"/>
      <c r="AW934" s="207"/>
      <c r="AX934" s="207"/>
      <c r="AY934" s="207"/>
      <c r="AZ934" s="207"/>
      <c r="BA934" s="207"/>
    </row>
    <row r="935" ht="18.75" hidden="1" customHeight="1">
      <c r="A935" s="1"/>
      <c r="B935" s="207"/>
      <c r="C935" s="207"/>
      <c r="D935" s="207"/>
      <c r="E935" s="207"/>
      <c r="F935" s="207"/>
      <c r="G935" s="207"/>
      <c r="H935" s="207"/>
      <c r="I935" s="207"/>
      <c r="J935" s="207"/>
      <c r="K935" s="207"/>
      <c r="L935" s="207"/>
      <c r="M935" s="207"/>
      <c r="N935" s="207"/>
      <c r="O935" s="207"/>
      <c r="P935" s="207"/>
      <c r="Q935" s="207"/>
      <c r="R935" s="207"/>
      <c r="S935" s="207"/>
      <c r="T935" s="207"/>
      <c r="U935" s="207"/>
      <c r="V935" s="207"/>
      <c r="W935" s="207"/>
      <c r="X935" s="207"/>
      <c r="Y935" s="207"/>
      <c r="Z935" s="207"/>
      <c r="AA935" s="207"/>
      <c r="AB935" s="207"/>
      <c r="AC935" s="207"/>
      <c r="AD935" s="207"/>
      <c r="AE935" s="207"/>
      <c r="AF935" s="207"/>
      <c r="AG935" s="207"/>
      <c r="AH935" s="207"/>
      <c r="AI935" s="207"/>
      <c r="AJ935" s="207"/>
      <c r="AK935" s="207"/>
      <c r="AL935" s="207"/>
      <c r="AM935" s="207"/>
      <c r="AN935" s="207"/>
      <c r="AO935" s="207"/>
      <c r="AP935" s="207"/>
      <c r="AQ935" s="207"/>
      <c r="AR935" s="207"/>
      <c r="AS935" s="207"/>
      <c r="AT935" s="207"/>
      <c r="AU935" s="207"/>
      <c r="AV935" s="207"/>
      <c r="AW935" s="207"/>
      <c r="AX935" s="207"/>
      <c r="AY935" s="207"/>
      <c r="AZ935" s="207"/>
      <c r="BA935" s="207"/>
    </row>
    <row r="936" ht="18.75" hidden="1" customHeight="1">
      <c r="A936" s="1"/>
      <c r="B936" s="207"/>
      <c r="C936" s="207"/>
      <c r="D936" s="207"/>
      <c r="E936" s="207"/>
      <c r="F936" s="207"/>
      <c r="G936" s="207"/>
      <c r="H936" s="207"/>
      <c r="I936" s="207"/>
      <c r="J936" s="207"/>
      <c r="K936" s="207"/>
      <c r="L936" s="207"/>
      <c r="M936" s="207"/>
      <c r="N936" s="207"/>
      <c r="O936" s="207"/>
      <c r="P936" s="207"/>
      <c r="Q936" s="207"/>
      <c r="R936" s="207"/>
      <c r="S936" s="207"/>
      <c r="T936" s="207"/>
      <c r="U936" s="207"/>
      <c r="V936" s="207"/>
      <c r="W936" s="207"/>
      <c r="X936" s="207"/>
      <c r="Y936" s="207"/>
      <c r="Z936" s="207"/>
      <c r="AA936" s="207"/>
      <c r="AB936" s="207"/>
      <c r="AC936" s="207"/>
      <c r="AD936" s="207"/>
      <c r="AE936" s="207"/>
      <c r="AF936" s="207"/>
      <c r="AG936" s="207"/>
      <c r="AH936" s="207"/>
      <c r="AI936" s="207"/>
      <c r="AJ936" s="207"/>
      <c r="AK936" s="207"/>
      <c r="AL936" s="207"/>
      <c r="AM936" s="207"/>
      <c r="AN936" s="207"/>
      <c r="AO936" s="207"/>
      <c r="AP936" s="207"/>
      <c r="AQ936" s="207"/>
      <c r="AR936" s="207"/>
      <c r="AS936" s="207"/>
      <c r="AT936" s="207"/>
      <c r="AU936" s="207"/>
      <c r="AV936" s="207"/>
      <c r="AW936" s="207"/>
      <c r="AX936" s="207"/>
      <c r="AY936" s="207"/>
      <c r="AZ936" s="207"/>
      <c r="BA936" s="207"/>
    </row>
    <row r="937" ht="18.75" hidden="1" customHeight="1">
      <c r="A937" s="1"/>
      <c r="B937" s="207"/>
      <c r="C937" s="207"/>
      <c r="D937" s="207"/>
      <c r="E937" s="207"/>
      <c r="F937" s="207"/>
      <c r="G937" s="207"/>
      <c r="H937" s="207"/>
      <c r="I937" s="207"/>
      <c r="J937" s="207"/>
      <c r="K937" s="207"/>
      <c r="L937" s="207"/>
      <c r="M937" s="207"/>
      <c r="N937" s="207"/>
      <c r="O937" s="207"/>
      <c r="P937" s="207"/>
      <c r="Q937" s="207"/>
      <c r="R937" s="207"/>
      <c r="S937" s="207"/>
      <c r="T937" s="207"/>
      <c r="U937" s="207"/>
      <c r="V937" s="207"/>
      <c r="W937" s="207"/>
      <c r="X937" s="207"/>
      <c r="Y937" s="207"/>
      <c r="Z937" s="207"/>
      <c r="AA937" s="207"/>
      <c r="AB937" s="207"/>
      <c r="AC937" s="207"/>
      <c r="AD937" s="207"/>
      <c r="AE937" s="207"/>
      <c r="AF937" s="207"/>
      <c r="AG937" s="207"/>
      <c r="AH937" s="207"/>
      <c r="AI937" s="207"/>
      <c r="AJ937" s="207"/>
      <c r="AK937" s="207"/>
      <c r="AL937" s="207"/>
      <c r="AM937" s="207"/>
      <c r="AN937" s="207"/>
      <c r="AO937" s="207"/>
      <c r="AP937" s="207"/>
      <c r="AQ937" s="207"/>
      <c r="AR937" s="207"/>
      <c r="AS937" s="207"/>
      <c r="AT937" s="207"/>
      <c r="AU937" s="207"/>
      <c r="AV937" s="207"/>
      <c r="AW937" s="207"/>
      <c r="AX937" s="207"/>
      <c r="AY937" s="207"/>
      <c r="AZ937" s="207"/>
      <c r="BA937" s="207"/>
    </row>
    <row r="938" ht="18.75" hidden="1" customHeight="1">
      <c r="A938" s="1"/>
      <c r="B938" s="207"/>
      <c r="C938" s="207"/>
      <c r="D938" s="207"/>
      <c r="E938" s="207"/>
      <c r="F938" s="207"/>
      <c r="G938" s="207"/>
      <c r="H938" s="207"/>
      <c r="I938" s="207"/>
      <c r="J938" s="207"/>
      <c r="K938" s="207"/>
      <c r="L938" s="207"/>
      <c r="M938" s="207"/>
      <c r="N938" s="207"/>
      <c r="O938" s="207"/>
      <c r="P938" s="207"/>
      <c r="Q938" s="207"/>
      <c r="R938" s="207"/>
      <c r="S938" s="207"/>
      <c r="T938" s="207"/>
      <c r="U938" s="207"/>
      <c r="V938" s="207"/>
      <c r="W938" s="207"/>
      <c r="X938" s="207"/>
      <c r="Y938" s="207"/>
      <c r="Z938" s="207"/>
      <c r="AA938" s="207"/>
      <c r="AB938" s="207"/>
      <c r="AC938" s="207"/>
      <c r="AD938" s="207"/>
      <c r="AE938" s="207"/>
      <c r="AF938" s="207"/>
      <c r="AG938" s="207"/>
      <c r="AH938" s="207"/>
      <c r="AI938" s="207"/>
      <c r="AJ938" s="207"/>
      <c r="AK938" s="207"/>
      <c r="AL938" s="207"/>
      <c r="AM938" s="207"/>
      <c r="AN938" s="207"/>
      <c r="AO938" s="207"/>
      <c r="AP938" s="207"/>
      <c r="AQ938" s="207"/>
      <c r="AR938" s="207"/>
      <c r="AS938" s="207"/>
      <c r="AT938" s="207"/>
      <c r="AU938" s="207"/>
      <c r="AV938" s="207"/>
      <c r="AW938" s="207"/>
      <c r="AX938" s="207"/>
      <c r="AY938" s="207"/>
      <c r="AZ938" s="207"/>
      <c r="BA938" s="207"/>
    </row>
    <row r="939" ht="18.75" hidden="1" customHeight="1">
      <c r="A939" s="1"/>
      <c r="B939" s="207"/>
      <c r="C939" s="207"/>
      <c r="D939" s="207"/>
      <c r="E939" s="207"/>
      <c r="F939" s="207"/>
      <c r="G939" s="207"/>
      <c r="H939" s="207"/>
      <c r="I939" s="207"/>
      <c r="J939" s="207"/>
      <c r="K939" s="207"/>
      <c r="L939" s="207"/>
      <c r="M939" s="207"/>
      <c r="N939" s="207"/>
      <c r="O939" s="207"/>
      <c r="P939" s="207"/>
      <c r="Q939" s="207"/>
      <c r="R939" s="207"/>
      <c r="S939" s="207"/>
      <c r="T939" s="207"/>
      <c r="U939" s="207"/>
      <c r="V939" s="207"/>
      <c r="W939" s="207"/>
      <c r="X939" s="207"/>
      <c r="Y939" s="207"/>
      <c r="Z939" s="207"/>
      <c r="AA939" s="207"/>
      <c r="AB939" s="207"/>
      <c r="AC939" s="207"/>
      <c r="AD939" s="207"/>
      <c r="AE939" s="207"/>
      <c r="AF939" s="207"/>
      <c r="AG939" s="207"/>
      <c r="AH939" s="207"/>
      <c r="AI939" s="207"/>
      <c r="AJ939" s="207"/>
      <c r="AK939" s="207"/>
      <c r="AL939" s="207"/>
      <c r="AM939" s="207"/>
      <c r="AN939" s="207"/>
      <c r="AO939" s="207"/>
      <c r="AP939" s="207"/>
      <c r="AQ939" s="207"/>
      <c r="AR939" s="207"/>
      <c r="AS939" s="207"/>
      <c r="AT939" s="207"/>
      <c r="AU939" s="207"/>
      <c r="AV939" s="207"/>
      <c r="AW939" s="207"/>
      <c r="AX939" s="207"/>
      <c r="AY939" s="207"/>
      <c r="AZ939" s="207"/>
      <c r="BA939" s="207"/>
    </row>
    <row r="940" ht="18.75" hidden="1" customHeight="1">
      <c r="A940" s="1"/>
      <c r="B940" s="207"/>
      <c r="C940" s="207"/>
      <c r="D940" s="207"/>
      <c r="E940" s="207"/>
      <c r="F940" s="207"/>
      <c r="G940" s="207"/>
      <c r="H940" s="207"/>
      <c r="I940" s="207"/>
      <c r="J940" s="207"/>
      <c r="K940" s="207"/>
      <c r="L940" s="207"/>
      <c r="M940" s="207"/>
      <c r="N940" s="207"/>
      <c r="O940" s="207"/>
      <c r="P940" s="207"/>
      <c r="Q940" s="207"/>
      <c r="R940" s="207"/>
      <c r="S940" s="207"/>
      <c r="T940" s="207"/>
      <c r="U940" s="207"/>
      <c r="V940" s="207"/>
      <c r="W940" s="207"/>
      <c r="X940" s="207"/>
      <c r="Y940" s="207"/>
      <c r="Z940" s="207"/>
      <c r="AA940" s="207"/>
      <c r="AB940" s="207"/>
      <c r="AC940" s="207"/>
      <c r="AD940" s="207"/>
      <c r="AE940" s="207"/>
      <c r="AF940" s="207"/>
      <c r="AG940" s="207"/>
      <c r="AH940" s="207"/>
      <c r="AI940" s="207"/>
      <c r="AJ940" s="207"/>
      <c r="AK940" s="207"/>
      <c r="AL940" s="207"/>
      <c r="AM940" s="207"/>
      <c r="AN940" s="207"/>
      <c r="AO940" s="207"/>
      <c r="AP940" s="207"/>
      <c r="AQ940" s="207"/>
      <c r="AR940" s="207"/>
      <c r="AS940" s="207"/>
      <c r="AT940" s="207"/>
      <c r="AU940" s="207"/>
      <c r="AV940" s="207"/>
      <c r="AW940" s="207"/>
      <c r="AX940" s="207"/>
      <c r="AY940" s="207"/>
      <c r="AZ940" s="207"/>
      <c r="BA940" s="207"/>
    </row>
    <row r="941" ht="18.75" hidden="1" customHeight="1">
      <c r="A941" s="1"/>
      <c r="B941" s="207"/>
      <c r="C941" s="207"/>
      <c r="D941" s="207"/>
      <c r="E941" s="207"/>
      <c r="F941" s="207"/>
      <c r="G941" s="207"/>
      <c r="H941" s="207"/>
      <c r="I941" s="207"/>
      <c r="J941" s="207"/>
      <c r="K941" s="207"/>
      <c r="L941" s="207"/>
      <c r="M941" s="207"/>
      <c r="N941" s="207"/>
      <c r="O941" s="207"/>
      <c r="P941" s="207"/>
      <c r="Q941" s="207"/>
      <c r="R941" s="207"/>
      <c r="S941" s="207"/>
      <c r="T941" s="207"/>
      <c r="U941" s="207"/>
      <c r="V941" s="207"/>
      <c r="W941" s="207"/>
      <c r="X941" s="207"/>
      <c r="Y941" s="207"/>
      <c r="Z941" s="207"/>
      <c r="AA941" s="207"/>
      <c r="AB941" s="207"/>
      <c r="AC941" s="207"/>
      <c r="AD941" s="207"/>
      <c r="AE941" s="207"/>
      <c r="AF941" s="207"/>
      <c r="AG941" s="207"/>
      <c r="AH941" s="207"/>
      <c r="AI941" s="207"/>
      <c r="AJ941" s="207"/>
      <c r="AK941" s="207"/>
      <c r="AL941" s="207"/>
      <c r="AM941" s="207"/>
      <c r="AN941" s="207"/>
      <c r="AO941" s="207"/>
      <c r="AP941" s="207"/>
      <c r="AQ941" s="207"/>
      <c r="AR941" s="207"/>
      <c r="AS941" s="207"/>
      <c r="AT941" s="207"/>
      <c r="AU941" s="207"/>
      <c r="AV941" s="207"/>
      <c r="AW941" s="207"/>
      <c r="AX941" s="207"/>
      <c r="AY941" s="207"/>
      <c r="AZ941" s="207"/>
      <c r="BA941" s="207"/>
    </row>
    <row r="942" ht="18.75" hidden="1" customHeight="1">
      <c r="A942" s="1"/>
      <c r="B942" s="207"/>
      <c r="C942" s="207"/>
      <c r="D942" s="207"/>
      <c r="E942" s="207"/>
      <c r="F942" s="207"/>
      <c r="G942" s="207"/>
      <c r="H942" s="207"/>
      <c r="I942" s="207"/>
      <c r="J942" s="207"/>
      <c r="K942" s="207"/>
      <c r="L942" s="207"/>
      <c r="M942" s="207"/>
      <c r="N942" s="207"/>
      <c r="O942" s="207"/>
      <c r="P942" s="207"/>
      <c r="Q942" s="207"/>
      <c r="R942" s="207"/>
      <c r="S942" s="207"/>
      <c r="T942" s="207"/>
      <c r="U942" s="207"/>
      <c r="V942" s="207"/>
      <c r="W942" s="207"/>
      <c r="X942" s="207"/>
      <c r="Y942" s="207"/>
      <c r="Z942" s="207"/>
      <c r="AA942" s="207"/>
      <c r="AB942" s="207"/>
      <c r="AC942" s="207"/>
      <c r="AD942" s="207"/>
      <c r="AE942" s="207"/>
      <c r="AF942" s="207"/>
      <c r="AG942" s="207"/>
      <c r="AH942" s="207"/>
      <c r="AI942" s="207"/>
      <c r="AJ942" s="207"/>
      <c r="AK942" s="207"/>
      <c r="AL942" s="207"/>
      <c r="AM942" s="207"/>
      <c r="AN942" s="207"/>
      <c r="AO942" s="207"/>
      <c r="AP942" s="207"/>
      <c r="AQ942" s="207"/>
      <c r="AR942" s="207"/>
      <c r="AS942" s="207"/>
      <c r="AT942" s="207"/>
      <c r="AU942" s="207"/>
      <c r="AV942" s="207"/>
      <c r="AW942" s="207"/>
      <c r="AX942" s="207"/>
      <c r="AY942" s="207"/>
      <c r="AZ942" s="207"/>
      <c r="BA942" s="207"/>
    </row>
    <row r="943" ht="18.75" hidden="1" customHeight="1">
      <c r="A943" s="1"/>
      <c r="B943" s="207"/>
      <c r="C943" s="207"/>
      <c r="D943" s="207"/>
      <c r="E943" s="207"/>
      <c r="F943" s="207"/>
      <c r="G943" s="207"/>
      <c r="H943" s="207"/>
      <c r="I943" s="207"/>
      <c r="J943" s="207"/>
      <c r="K943" s="207"/>
      <c r="L943" s="207"/>
      <c r="M943" s="207"/>
      <c r="N943" s="207"/>
      <c r="O943" s="207"/>
      <c r="P943" s="207"/>
      <c r="Q943" s="207"/>
      <c r="R943" s="207"/>
      <c r="S943" s="207"/>
      <c r="T943" s="207"/>
      <c r="U943" s="207"/>
      <c r="V943" s="207"/>
      <c r="W943" s="207"/>
      <c r="X943" s="207"/>
      <c r="Y943" s="207"/>
      <c r="Z943" s="207"/>
      <c r="AA943" s="207"/>
      <c r="AB943" s="207"/>
      <c r="AC943" s="207"/>
      <c r="AD943" s="207"/>
      <c r="AE943" s="207"/>
      <c r="AF943" s="207"/>
      <c r="AG943" s="207"/>
      <c r="AH943" s="207"/>
      <c r="AI943" s="207"/>
      <c r="AJ943" s="207"/>
      <c r="AK943" s="207"/>
      <c r="AL943" s="207"/>
      <c r="AM943" s="207"/>
      <c r="AN943" s="207"/>
      <c r="AO943" s="207"/>
      <c r="AP943" s="207"/>
      <c r="AQ943" s="207"/>
      <c r="AR943" s="207"/>
      <c r="AS943" s="207"/>
      <c r="AT943" s="207"/>
      <c r="AU943" s="207"/>
      <c r="AV943" s="207"/>
      <c r="AW943" s="207"/>
      <c r="AX943" s="207"/>
      <c r="AY943" s="207"/>
      <c r="AZ943" s="207"/>
      <c r="BA943" s="207"/>
    </row>
    <row r="944" ht="18.75" hidden="1" customHeight="1">
      <c r="A944" s="1"/>
      <c r="B944" s="207"/>
      <c r="C944" s="207"/>
      <c r="D944" s="207"/>
      <c r="E944" s="207"/>
      <c r="F944" s="207"/>
      <c r="G944" s="207"/>
      <c r="H944" s="207"/>
      <c r="I944" s="207"/>
      <c r="J944" s="207"/>
      <c r="K944" s="207"/>
      <c r="L944" s="207"/>
      <c r="M944" s="207"/>
      <c r="N944" s="207"/>
      <c r="O944" s="207"/>
      <c r="P944" s="207"/>
      <c r="Q944" s="207"/>
      <c r="R944" s="207"/>
      <c r="S944" s="207"/>
      <c r="T944" s="207"/>
      <c r="U944" s="207"/>
      <c r="V944" s="207"/>
      <c r="W944" s="207"/>
      <c r="X944" s="207"/>
      <c r="Y944" s="207"/>
      <c r="Z944" s="207"/>
      <c r="AA944" s="207"/>
      <c r="AB944" s="207"/>
      <c r="AC944" s="207"/>
      <c r="AD944" s="207"/>
      <c r="AE944" s="207"/>
      <c r="AF944" s="207"/>
      <c r="AG944" s="207"/>
      <c r="AH944" s="207"/>
      <c r="AI944" s="207"/>
      <c r="AJ944" s="207"/>
      <c r="AK944" s="207"/>
      <c r="AL944" s="207"/>
      <c r="AM944" s="207"/>
      <c r="AN944" s="207"/>
      <c r="AO944" s="207"/>
      <c r="AP944" s="207"/>
      <c r="AQ944" s="207"/>
      <c r="AR944" s="207"/>
      <c r="AS944" s="207"/>
      <c r="AT944" s="207"/>
      <c r="AU944" s="207"/>
      <c r="AV944" s="207"/>
      <c r="AW944" s="207"/>
      <c r="AX944" s="207"/>
      <c r="AY944" s="207"/>
      <c r="AZ944" s="207"/>
      <c r="BA944" s="207"/>
    </row>
    <row r="945" ht="18.75" hidden="1" customHeight="1">
      <c r="A945" s="1"/>
      <c r="B945" s="207"/>
      <c r="C945" s="207"/>
      <c r="D945" s="207"/>
      <c r="E945" s="207"/>
      <c r="F945" s="207"/>
      <c r="G945" s="207"/>
      <c r="H945" s="207"/>
      <c r="I945" s="207"/>
      <c r="J945" s="207"/>
      <c r="K945" s="207"/>
      <c r="L945" s="207"/>
      <c r="M945" s="207"/>
      <c r="N945" s="207"/>
      <c r="O945" s="207"/>
      <c r="P945" s="207"/>
      <c r="Q945" s="207"/>
      <c r="R945" s="207"/>
      <c r="S945" s="207"/>
      <c r="T945" s="207"/>
      <c r="U945" s="207"/>
      <c r="V945" s="207"/>
      <c r="W945" s="207"/>
      <c r="X945" s="207"/>
      <c r="Y945" s="207"/>
      <c r="Z945" s="207"/>
      <c r="AA945" s="207"/>
      <c r="AB945" s="207"/>
      <c r="AC945" s="207"/>
      <c r="AD945" s="207"/>
      <c r="AE945" s="207"/>
      <c r="AF945" s="207"/>
      <c r="AG945" s="207"/>
      <c r="AH945" s="207"/>
      <c r="AI945" s="207"/>
      <c r="AJ945" s="207"/>
      <c r="AK945" s="207"/>
      <c r="AL945" s="207"/>
      <c r="AM945" s="207"/>
      <c r="AN945" s="207"/>
      <c r="AO945" s="207"/>
      <c r="AP945" s="207"/>
      <c r="AQ945" s="207"/>
      <c r="AR945" s="207"/>
      <c r="AS945" s="207"/>
      <c r="AT945" s="207"/>
      <c r="AU945" s="207"/>
      <c r="AV945" s="207"/>
      <c r="AW945" s="207"/>
      <c r="AX945" s="207"/>
      <c r="AY945" s="207"/>
      <c r="AZ945" s="207"/>
      <c r="BA945" s="207"/>
    </row>
    <row r="946" ht="18.75" hidden="1" customHeight="1">
      <c r="A946" s="1"/>
      <c r="B946" s="207"/>
      <c r="C946" s="207"/>
      <c r="D946" s="207"/>
      <c r="E946" s="207"/>
      <c r="F946" s="207"/>
      <c r="G946" s="207"/>
      <c r="H946" s="207"/>
      <c r="I946" s="207"/>
      <c r="J946" s="207"/>
      <c r="K946" s="207"/>
      <c r="L946" s="207"/>
      <c r="M946" s="207"/>
      <c r="N946" s="207"/>
      <c r="O946" s="207"/>
      <c r="P946" s="207"/>
      <c r="Q946" s="207"/>
      <c r="R946" s="207"/>
      <c r="S946" s="207"/>
      <c r="T946" s="207"/>
      <c r="U946" s="207"/>
      <c r="V946" s="207"/>
      <c r="W946" s="207"/>
      <c r="X946" s="207"/>
      <c r="Y946" s="207"/>
      <c r="Z946" s="207"/>
      <c r="AA946" s="207"/>
      <c r="AB946" s="207"/>
      <c r="AC946" s="207"/>
      <c r="AD946" s="207"/>
      <c r="AE946" s="207"/>
      <c r="AF946" s="207"/>
      <c r="AG946" s="207"/>
      <c r="AH946" s="207"/>
      <c r="AI946" s="207"/>
      <c r="AJ946" s="207"/>
      <c r="AK946" s="207"/>
      <c r="AL946" s="207"/>
      <c r="AM946" s="207"/>
      <c r="AN946" s="207"/>
      <c r="AO946" s="207"/>
      <c r="AP946" s="207"/>
      <c r="AQ946" s="207"/>
      <c r="AR946" s="207"/>
      <c r="AS946" s="207"/>
      <c r="AT946" s="207"/>
      <c r="AU946" s="207"/>
      <c r="AV946" s="207"/>
      <c r="AW946" s="207"/>
      <c r="AX946" s="207"/>
      <c r="AY946" s="207"/>
      <c r="AZ946" s="207"/>
      <c r="BA946" s="207"/>
    </row>
    <row r="947" ht="18.75" hidden="1" customHeight="1">
      <c r="A947" s="1"/>
      <c r="B947" s="207"/>
      <c r="C947" s="207"/>
      <c r="D947" s="207"/>
      <c r="E947" s="207"/>
      <c r="F947" s="207"/>
      <c r="G947" s="207"/>
      <c r="H947" s="207"/>
      <c r="I947" s="207"/>
      <c r="J947" s="207"/>
      <c r="K947" s="207"/>
      <c r="L947" s="207"/>
      <c r="M947" s="207"/>
      <c r="N947" s="207"/>
      <c r="O947" s="207"/>
      <c r="P947" s="207"/>
      <c r="Q947" s="207"/>
      <c r="R947" s="207"/>
      <c r="S947" s="207"/>
      <c r="T947" s="207"/>
      <c r="U947" s="207"/>
      <c r="V947" s="207"/>
      <c r="W947" s="207"/>
      <c r="X947" s="207"/>
      <c r="Y947" s="207"/>
      <c r="Z947" s="207"/>
      <c r="AA947" s="207"/>
      <c r="AB947" s="207"/>
      <c r="AC947" s="207"/>
      <c r="AD947" s="207"/>
      <c r="AE947" s="207"/>
      <c r="AF947" s="207"/>
      <c r="AG947" s="207"/>
      <c r="AH947" s="207"/>
      <c r="AI947" s="207"/>
      <c r="AJ947" s="207"/>
      <c r="AK947" s="207"/>
      <c r="AL947" s="207"/>
      <c r="AM947" s="207"/>
      <c r="AN947" s="207"/>
      <c r="AO947" s="207"/>
      <c r="AP947" s="207"/>
      <c r="AQ947" s="207"/>
      <c r="AR947" s="207"/>
      <c r="AS947" s="207"/>
      <c r="AT947" s="207"/>
      <c r="AU947" s="207"/>
      <c r="AV947" s="207"/>
      <c r="AW947" s="207"/>
      <c r="AX947" s="207"/>
      <c r="AY947" s="207"/>
      <c r="AZ947" s="207"/>
      <c r="BA947" s="207"/>
    </row>
    <row r="948" ht="18.75" hidden="1" customHeight="1">
      <c r="A948" s="1"/>
      <c r="B948" s="207"/>
      <c r="C948" s="207"/>
      <c r="D948" s="207"/>
      <c r="E948" s="207"/>
      <c r="F948" s="207"/>
      <c r="G948" s="207"/>
      <c r="H948" s="207"/>
      <c r="I948" s="207"/>
      <c r="J948" s="207"/>
      <c r="K948" s="207"/>
      <c r="L948" s="207"/>
      <c r="M948" s="207"/>
      <c r="N948" s="207"/>
      <c r="O948" s="207"/>
      <c r="P948" s="207"/>
      <c r="Q948" s="207"/>
      <c r="R948" s="207"/>
      <c r="S948" s="207"/>
      <c r="T948" s="207"/>
      <c r="U948" s="207"/>
      <c r="V948" s="207"/>
      <c r="W948" s="207"/>
      <c r="X948" s="207"/>
      <c r="Y948" s="207"/>
      <c r="Z948" s="207"/>
      <c r="AA948" s="207"/>
      <c r="AB948" s="207"/>
      <c r="AC948" s="207"/>
      <c r="AD948" s="207"/>
      <c r="AE948" s="207"/>
      <c r="AF948" s="207"/>
      <c r="AG948" s="207"/>
      <c r="AH948" s="207"/>
      <c r="AI948" s="207"/>
      <c r="AJ948" s="207"/>
      <c r="AK948" s="207"/>
      <c r="AL948" s="207"/>
      <c r="AM948" s="207"/>
      <c r="AN948" s="207"/>
      <c r="AO948" s="207"/>
      <c r="AP948" s="207"/>
      <c r="AQ948" s="207"/>
      <c r="AR948" s="207"/>
      <c r="AS948" s="207"/>
      <c r="AT948" s="207"/>
      <c r="AU948" s="207"/>
      <c r="AV948" s="207"/>
      <c r="AW948" s="207"/>
      <c r="AX948" s="207"/>
      <c r="AY948" s="207"/>
      <c r="AZ948" s="207"/>
      <c r="BA948" s="207"/>
    </row>
    <row r="949" ht="18.75" hidden="1" customHeight="1">
      <c r="A949" s="1"/>
      <c r="B949" s="207"/>
      <c r="C949" s="207"/>
      <c r="D949" s="207"/>
      <c r="E949" s="207"/>
      <c r="F949" s="207"/>
      <c r="G949" s="207"/>
      <c r="H949" s="207"/>
      <c r="I949" s="207"/>
      <c r="J949" s="207"/>
      <c r="K949" s="207"/>
      <c r="L949" s="207"/>
      <c r="M949" s="207"/>
      <c r="N949" s="207"/>
      <c r="O949" s="207"/>
      <c r="P949" s="207"/>
      <c r="Q949" s="207"/>
      <c r="R949" s="207"/>
      <c r="S949" s="207"/>
      <c r="T949" s="207"/>
      <c r="U949" s="207"/>
      <c r="V949" s="207"/>
      <c r="W949" s="207"/>
      <c r="X949" s="207"/>
      <c r="Y949" s="207"/>
      <c r="Z949" s="207"/>
      <c r="AA949" s="207"/>
      <c r="AB949" s="207"/>
      <c r="AC949" s="207"/>
      <c r="AD949" s="207"/>
      <c r="AE949" s="207"/>
      <c r="AF949" s="207"/>
      <c r="AG949" s="207"/>
      <c r="AH949" s="207"/>
      <c r="AI949" s="207"/>
      <c r="AJ949" s="207"/>
      <c r="AK949" s="207"/>
      <c r="AL949" s="207"/>
      <c r="AM949" s="207"/>
      <c r="AN949" s="207"/>
      <c r="AO949" s="207"/>
      <c r="AP949" s="207"/>
      <c r="AQ949" s="207"/>
      <c r="AR949" s="207"/>
      <c r="AS949" s="207"/>
      <c r="AT949" s="207"/>
      <c r="AU949" s="207"/>
      <c r="AV949" s="207"/>
      <c r="AW949" s="207"/>
      <c r="AX949" s="207"/>
      <c r="AY949" s="207"/>
      <c r="AZ949" s="207"/>
      <c r="BA949" s="207"/>
    </row>
    <row r="950" ht="18.75" hidden="1" customHeight="1">
      <c r="A950" s="1"/>
      <c r="B950" s="207"/>
      <c r="C950" s="207"/>
      <c r="D950" s="207"/>
      <c r="E950" s="207"/>
      <c r="F950" s="207"/>
      <c r="G950" s="207"/>
      <c r="H950" s="207"/>
      <c r="I950" s="207"/>
      <c r="J950" s="207"/>
      <c r="K950" s="207"/>
      <c r="L950" s="207"/>
      <c r="M950" s="207"/>
      <c r="N950" s="207"/>
      <c r="O950" s="207"/>
      <c r="P950" s="207"/>
      <c r="Q950" s="207"/>
      <c r="R950" s="207"/>
      <c r="S950" s="207"/>
      <c r="T950" s="207"/>
      <c r="U950" s="207"/>
      <c r="V950" s="207"/>
      <c r="W950" s="207"/>
      <c r="X950" s="207"/>
      <c r="Y950" s="207"/>
      <c r="Z950" s="207"/>
      <c r="AA950" s="207"/>
      <c r="AB950" s="207"/>
      <c r="AC950" s="207"/>
      <c r="AD950" s="207"/>
      <c r="AE950" s="207"/>
      <c r="AF950" s="207"/>
      <c r="AG950" s="207"/>
      <c r="AH950" s="207"/>
      <c r="AI950" s="207"/>
      <c r="AJ950" s="207"/>
      <c r="AK950" s="207"/>
      <c r="AL950" s="207"/>
      <c r="AM950" s="207"/>
      <c r="AN950" s="207"/>
      <c r="AO950" s="207"/>
      <c r="AP950" s="207"/>
      <c r="AQ950" s="207"/>
      <c r="AR950" s="207"/>
      <c r="AS950" s="207"/>
      <c r="AT950" s="207"/>
      <c r="AU950" s="207"/>
      <c r="AV950" s="207"/>
      <c r="AW950" s="207"/>
      <c r="AX950" s="207"/>
      <c r="AY950" s="207"/>
      <c r="AZ950" s="207"/>
      <c r="BA950" s="207"/>
    </row>
    <row r="951" ht="18.75" hidden="1" customHeight="1">
      <c r="A951" s="1"/>
      <c r="B951" s="207"/>
      <c r="C951" s="207"/>
      <c r="D951" s="207"/>
      <c r="E951" s="207"/>
      <c r="F951" s="207"/>
      <c r="G951" s="207"/>
      <c r="H951" s="207"/>
      <c r="I951" s="207"/>
      <c r="J951" s="207"/>
      <c r="K951" s="207"/>
      <c r="L951" s="207"/>
      <c r="M951" s="207"/>
      <c r="N951" s="207"/>
      <c r="O951" s="207"/>
      <c r="P951" s="207"/>
      <c r="Q951" s="207"/>
      <c r="R951" s="207"/>
      <c r="S951" s="207"/>
      <c r="T951" s="207"/>
      <c r="U951" s="207"/>
      <c r="V951" s="207"/>
      <c r="W951" s="207"/>
      <c r="X951" s="207"/>
      <c r="Y951" s="207"/>
      <c r="Z951" s="207"/>
      <c r="AA951" s="207"/>
      <c r="AB951" s="207"/>
      <c r="AC951" s="207"/>
      <c r="AD951" s="207"/>
      <c r="AE951" s="207"/>
      <c r="AF951" s="207"/>
      <c r="AG951" s="207"/>
      <c r="AH951" s="207"/>
      <c r="AI951" s="207"/>
      <c r="AJ951" s="207"/>
      <c r="AK951" s="207"/>
      <c r="AL951" s="207"/>
      <c r="AM951" s="207"/>
      <c r="AN951" s="207"/>
      <c r="AO951" s="207"/>
      <c r="AP951" s="207"/>
      <c r="AQ951" s="207"/>
      <c r="AR951" s="207"/>
      <c r="AS951" s="207"/>
      <c r="AT951" s="207"/>
      <c r="AU951" s="207"/>
      <c r="AV951" s="207"/>
      <c r="AW951" s="207"/>
      <c r="AX951" s="207"/>
      <c r="AY951" s="207"/>
      <c r="AZ951" s="207"/>
      <c r="BA951" s="207"/>
    </row>
    <row r="952" ht="18.75" hidden="1" customHeight="1">
      <c r="A952" s="1"/>
      <c r="B952" s="207"/>
      <c r="C952" s="207"/>
      <c r="D952" s="207"/>
      <c r="E952" s="207"/>
      <c r="F952" s="207"/>
      <c r="G952" s="207"/>
      <c r="H952" s="207"/>
      <c r="I952" s="207"/>
      <c r="J952" s="207"/>
      <c r="K952" s="207"/>
      <c r="L952" s="207"/>
      <c r="M952" s="207"/>
      <c r="N952" s="207"/>
      <c r="O952" s="207"/>
      <c r="P952" s="207"/>
      <c r="Q952" s="207"/>
      <c r="R952" s="207"/>
      <c r="S952" s="207"/>
      <c r="T952" s="207"/>
      <c r="U952" s="207"/>
      <c r="V952" s="207"/>
      <c r="W952" s="207"/>
      <c r="X952" s="207"/>
      <c r="Y952" s="207"/>
      <c r="Z952" s="207"/>
      <c r="AA952" s="207"/>
      <c r="AB952" s="207"/>
      <c r="AC952" s="207"/>
      <c r="AD952" s="207"/>
      <c r="AE952" s="207"/>
      <c r="AF952" s="207"/>
      <c r="AG952" s="207"/>
      <c r="AH952" s="207"/>
      <c r="AI952" s="207"/>
      <c r="AJ952" s="207"/>
      <c r="AK952" s="207"/>
      <c r="AL952" s="207"/>
      <c r="AM952" s="207"/>
      <c r="AN952" s="207"/>
      <c r="AO952" s="207"/>
      <c r="AP952" s="207"/>
      <c r="AQ952" s="207"/>
      <c r="AR952" s="207"/>
      <c r="AS952" s="207"/>
      <c r="AT952" s="207"/>
      <c r="AU952" s="207"/>
      <c r="AV952" s="207"/>
      <c r="AW952" s="207"/>
      <c r="AX952" s="207"/>
      <c r="AY952" s="207"/>
      <c r="AZ952" s="207"/>
      <c r="BA952" s="207"/>
    </row>
    <row r="953" ht="18.75" hidden="1" customHeight="1">
      <c r="A953" s="1"/>
      <c r="B953" s="207"/>
      <c r="C953" s="207"/>
      <c r="D953" s="207"/>
      <c r="E953" s="207"/>
      <c r="F953" s="207"/>
      <c r="G953" s="207"/>
      <c r="H953" s="207"/>
      <c r="I953" s="207"/>
      <c r="J953" s="207"/>
      <c r="K953" s="207"/>
      <c r="L953" s="207"/>
      <c r="M953" s="207"/>
      <c r="N953" s="207"/>
      <c r="O953" s="207"/>
      <c r="P953" s="207"/>
      <c r="Q953" s="207"/>
      <c r="R953" s="207"/>
      <c r="S953" s="207"/>
      <c r="T953" s="207"/>
      <c r="U953" s="207"/>
      <c r="V953" s="207"/>
      <c r="W953" s="207"/>
      <c r="X953" s="207"/>
      <c r="Y953" s="207"/>
      <c r="Z953" s="207"/>
      <c r="AA953" s="207"/>
      <c r="AB953" s="207"/>
      <c r="AC953" s="207"/>
      <c r="AD953" s="207"/>
      <c r="AE953" s="207"/>
      <c r="AF953" s="207"/>
      <c r="AG953" s="207"/>
      <c r="AH953" s="207"/>
      <c r="AI953" s="207"/>
      <c r="AJ953" s="207"/>
      <c r="AK953" s="207"/>
      <c r="AL953" s="207"/>
      <c r="AM953" s="207"/>
      <c r="AN953" s="207"/>
      <c r="AO953" s="207"/>
      <c r="AP953" s="207"/>
      <c r="AQ953" s="207"/>
      <c r="AR953" s="207"/>
      <c r="AS953" s="207"/>
      <c r="AT953" s="207"/>
      <c r="AU953" s="207"/>
      <c r="AV953" s="207"/>
      <c r="AW953" s="207"/>
      <c r="AX953" s="207"/>
      <c r="AY953" s="207"/>
      <c r="AZ953" s="207"/>
      <c r="BA953" s="207"/>
    </row>
    <row r="954" ht="18.75" hidden="1" customHeight="1">
      <c r="A954" s="1"/>
      <c r="B954" s="207"/>
      <c r="C954" s="207"/>
      <c r="D954" s="207"/>
      <c r="E954" s="207"/>
      <c r="F954" s="207"/>
      <c r="G954" s="207"/>
      <c r="H954" s="207"/>
      <c r="I954" s="207"/>
      <c r="J954" s="207"/>
      <c r="K954" s="207"/>
      <c r="L954" s="207"/>
      <c r="M954" s="207"/>
      <c r="N954" s="207"/>
      <c r="O954" s="207"/>
      <c r="P954" s="207"/>
      <c r="Q954" s="207"/>
      <c r="R954" s="207"/>
      <c r="S954" s="207"/>
      <c r="T954" s="207"/>
      <c r="U954" s="207"/>
      <c r="V954" s="207"/>
      <c r="W954" s="207"/>
      <c r="X954" s="207"/>
      <c r="Y954" s="207"/>
      <c r="Z954" s="207"/>
      <c r="AA954" s="207"/>
      <c r="AB954" s="207"/>
      <c r="AC954" s="207"/>
      <c r="AD954" s="207"/>
      <c r="AE954" s="207"/>
      <c r="AF954" s="207"/>
      <c r="AG954" s="207"/>
      <c r="AH954" s="207"/>
      <c r="AI954" s="207"/>
      <c r="AJ954" s="207"/>
      <c r="AK954" s="207"/>
      <c r="AL954" s="207"/>
      <c r="AM954" s="207"/>
      <c r="AN954" s="207"/>
      <c r="AO954" s="207"/>
      <c r="AP954" s="207"/>
      <c r="AQ954" s="207"/>
      <c r="AR954" s="207"/>
      <c r="AS954" s="207"/>
      <c r="AT954" s="207"/>
      <c r="AU954" s="207"/>
      <c r="AV954" s="207"/>
      <c r="AW954" s="207"/>
      <c r="AX954" s="207"/>
      <c r="AY954" s="207"/>
      <c r="AZ954" s="207"/>
      <c r="BA954" s="207"/>
    </row>
    <row r="955" ht="18.75" hidden="1" customHeight="1">
      <c r="A955" s="1"/>
      <c r="B955" s="207"/>
      <c r="C955" s="207"/>
      <c r="D955" s="207"/>
      <c r="E955" s="207"/>
      <c r="F955" s="207"/>
      <c r="G955" s="207"/>
      <c r="H955" s="207"/>
      <c r="I955" s="207"/>
      <c r="J955" s="207"/>
      <c r="K955" s="207"/>
      <c r="L955" s="207"/>
      <c r="M955" s="207"/>
      <c r="N955" s="207"/>
      <c r="O955" s="207"/>
      <c r="P955" s="207"/>
      <c r="Q955" s="207"/>
      <c r="R955" s="207"/>
      <c r="S955" s="207"/>
      <c r="T955" s="207"/>
      <c r="U955" s="207"/>
      <c r="V955" s="207"/>
      <c r="W955" s="207"/>
      <c r="X955" s="207"/>
      <c r="Y955" s="207"/>
      <c r="Z955" s="207"/>
      <c r="AA955" s="207"/>
      <c r="AB955" s="207"/>
      <c r="AC955" s="207"/>
      <c r="AD955" s="207"/>
      <c r="AE955" s="207"/>
      <c r="AF955" s="207"/>
      <c r="AG955" s="207"/>
      <c r="AH955" s="207"/>
      <c r="AI955" s="207"/>
      <c r="AJ955" s="207"/>
      <c r="AK955" s="207"/>
      <c r="AL955" s="207"/>
      <c r="AM955" s="207"/>
      <c r="AN955" s="207"/>
      <c r="AO955" s="207"/>
      <c r="AP955" s="207"/>
      <c r="AQ955" s="207"/>
      <c r="AR955" s="207"/>
      <c r="AS955" s="207"/>
      <c r="AT955" s="207"/>
      <c r="AU955" s="207"/>
      <c r="AV955" s="207"/>
      <c r="AW955" s="207"/>
      <c r="AX955" s="207"/>
      <c r="AY955" s="207"/>
      <c r="AZ955" s="207"/>
      <c r="BA955" s="207"/>
    </row>
    <row r="956" ht="18.75" hidden="1" customHeight="1">
      <c r="A956" s="1"/>
      <c r="B956" s="207"/>
      <c r="C956" s="207"/>
      <c r="D956" s="207"/>
      <c r="E956" s="207"/>
      <c r="F956" s="207"/>
      <c r="G956" s="207"/>
      <c r="H956" s="207"/>
      <c r="I956" s="207"/>
      <c r="J956" s="207"/>
      <c r="K956" s="207"/>
      <c r="L956" s="207"/>
      <c r="M956" s="207"/>
      <c r="N956" s="207"/>
      <c r="O956" s="207"/>
      <c r="P956" s="207"/>
      <c r="Q956" s="207"/>
      <c r="R956" s="207"/>
      <c r="S956" s="207"/>
      <c r="T956" s="207"/>
      <c r="U956" s="207"/>
      <c r="V956" s="207"/>
      <c r="W956" s="207"/>
      <c r="X956" s="207"/>
      <c r="Y956" s="207"/>
      <c r="Z956" s="207"/>
      <c r="AA956" s="207"/>
      <c r="AB956" s="207"/>
      <c r="AC956" s="207"/>
      <c r="AD956" s="207"/>
      <c r="AE956" s="207"/>
      <c r="AF956" s="207"/>
      <c r="AG956" s="207"/>
      <c r="AH956" s="207"/>
      <c r="AI956" s="207"/>
      <c r="AJ956" s="207"/>
      <c r="AK956" s="207"/>
      <c r="AL956" s="207"/>
      <c r="AM956" s="207"/>
      <c r="AN956" s="207"/>
      <c r="AO956" s="207"/>
      <c r="AP956" s="207"/>
      <c r="AQ956" s="207"/>
      <c r="AR956" s="207"/>
      <c r="AS956" s="207"/>
      <c r="AT956" s="207"/>
      <c r="AU956" s="207"/>
      <c r="AV956" s="207"/>
      <c r="AW956" s="207"/>
      <c r="AX956" s="207"/>
      <c r="AY956" s="207"/>
      <c r="AZ956" s="207"/>
      <c r="BA956" s="207"/>
    </row>
    <row r="957" ht="18.75" hidden="1" customHeight="1">
      <c r="A957" s="1"/>
      <c r="B957" s="207"/>
      <c r="C957" s="207"/>
      <c r="D957" s="207"/>
      <c r="E957" s="207"/>
      <c r="F957" s="207"/>
      <c r="G957" s="207"/>
      <c r="H957" s="207"/>
      <c r="I957" s="207"/>
      <c r="J957" s="207"/>
      <c r="K957" s="207"/>
      <c r="L957" s="207"/>
      <c r="M957" s="207"/>
      <c r="N957" s="207"/>
      <c r="O957" s="207"/>
      <c r="P957" s="207"/>
      <c r="Q957" s="207"/>
      <c r="R957" s="207"/>
      <c r="S957" s="207"/>
      <c r="T957" s="207"/>
      <c r="U957" s="207"/>
      <c r="V957" s="207"/>
      <c r="W957" s="207"/>
      <c r="X957" s="207"/>
      <c r="Y957" s="207"/>
      <c r="Z957" s="207"/>
      <c r="AA957" s="207"/>
      <c r="AB957" s="207"/>
      <c r="AC957" s="207"/>
      <c r="AD957" s="207"/>
      <c r="AE957" s="207"/>
      <c r="AF957" s="207"/>
      <c r="AG957" s="207"/>
      <c r="AH957" s="207"/>
      <c r="AI957" s="207"/>
      <c r="AJ957" s="207"/>
      <c r="AK957" s="207"/>
      <c r="AL957" s="207"/>
      <c r="AM957" s="207"/>
      <c r="AN957" s="207"/>
      <c r="AO957" s="207"/>
      <c r="AP957" s="207"/>
      <c r="AQ957" s="207"/>
      <c r="AR957" s="207"/>
      <c r="AS957" s="207"/>
      <c r="AT957" s="207"/>
      <c r="AU957" s="207"/>
      <c r="AV957" s="207"/>
      <c r="AW957" s="207"/>
      <c r="AX957" s="207"/>
      <c r="AY957" s="207"/>
      <c r="AZ957" s="207"/>
      <c r="BA957" s="207"/>
    </row>
    <row r="958" ht="18.75" hidden="1" customHeight="1">
      <c r="A958" s="1"/>
      <c r="B958" s="207"/>
      <c r="C958" s="207"/>
      <c r="D958" s="207"/>
      <c r="E958" s="207"/>
      <c r="F958" s="207"/>
      <c r="G958" s="207"/>
      <c r="H958" s="207"/>
      <c r="I958" s="207"/>
      <c r="J958" s="207"/>
      <c r="K958" s="207"/>
      <c r="L958" s="207"/>
      <c r="M958" s="207"/>
      <c r="N958" s="207"/>
      <c r="O958" s="207"/>
      <c r="P958" s="207"/>
      <c r="Q958" s="207"/>
      <c r="R958" s="207"/>
      <c r="S958" s="207"/>
      <c r="T958" s="207"/>
      <c r="U958" s="207"/>
      <c r="V958" s="207"/>
      <c r="W958" s="207"/>
      <c r="X958" s="207"/>
      <c r="Y958" s="207"/>
      <c r="Z958" s="207"/>
      <c r="AA958" s="207"/>
      <c r="AB958" s="207"/>
      <c r="AC958" s="207"/>
      <c r="AD958" s="207"/>
      <c r="AE958" s="207"/>
      <c r="AF958" s="207"/>
      <c r="AG958" s="207"/>
      <c r="AH958" s="207"/>
      <c r="AI958" s="207"/>
      <c r="AJ958" s="207"/>
      <c r="AK958" s="207"/>
      <c r="AL958" s="207"/>
      <c r="AM958" s="207"/>
      <c r="AN958" s="207"/>
      <c r="AO958" s="207"/>
      <c r="AP958" s="207"/>
      <c r="AQ958" s="207"/>
      <c r="AR958" s="207"/>
      <c r="AS958" s="207"/>
      <c r="AT958" s="207"/>
      <c r="AU958" s="207"/>
      <c r="AV958" s="207"/>
      <c r="AW958" s="207"/>
      <c r="AX958" s="207"/>
      <c r="AY958" s="207"/>
      <c r="AZ958" s="207"/>
      <c r="BA958" s="207"/>
    </row>
    <row r="959" ht="18.75" hidden="1" customHeight="1">
      <c r="A959" s="1"/>
      <c r="B959" s="207"/>
      <c r="C959" s="207"/>
      <c r="D959" s="207"/>
      <c r="E959" s="207"/>
      <c r="F959" s="207"/>
      <c r="G959" s="207"/>
      <c r="H959" s="207"/>
      <c r="I959" s="207"/>
      <c r="J959" s="207"/>
      <c r="K959" s="207"/>
      <c r="L959" s="207"/>
      <c r="M959" s="207"/>
      <c r="N959" s="207"/>
      <c r="O959" s="207"/>
      <c r="P959" s="207"/>
      <c r="Q959" s="207"/>
      <c r="R959" s="207"/>
      <c r="S959" s="207"/>
      <c r="T959" s="207"/>
      <c r="U959" s="207"/>
      <c r="V959" s="207"/>
      <c r="W959" s="207"/>
      <c r="X959" s="207"/>
      <c r="Y959" s="207"/>
      <c r="Z959" s="207"/>
      <c r="AA959" s="207"/>
      <c r="AB959" s="207"/>
      <c r="AC959" s="207"/>
      <c r="AD959" s="207"/>
      <c r="AE959" s="207"/>
      <c r="AF959" s="207"/>
      <c r="AG959" s="207"/>
      <c r="AH959" s="207"/>
      <c r="AI959" s="207"/>
      <c r="AJ959" s="207"/>
      <c r="AK959" s="207"/>
      <c r="AL959" s="207"/>
      <c r="AM959" s="207"/>
      <c r="AN959" s="207"/>
      <c r="AO959" s="207"/>
      <c r="AP959" s="207"/>
      <c r="AQ959" s="207"/>
      <c r="AR959" s="207"/>
      <c r="AS959" s="207"/>
      <c r="AT959" s="207"/>
      <c r="AU959" s="207"/>
      <c r="AV959" s="207"/>
      <c r="AW959" s="207"/>
      <c r="AX959" s="207"/>
      <c r="AY959" s="207"/>
      <c r="AZ959" s="207"/>
      <c r="BA959" s="207"/>
    </row>
    <row r="960" ht="18.75" hidden="1" customHeight="1">
      <c r="A960" s="1"/>
      <c r="B960" s="207"/>
      <c r="C960" s="207"/>
      <c r="D960" s="207"/>
      <c r="E960" s="207"/>
      <c r="F960" s="207"/>
      <c r="G960" s="207"/>
      <c r="H960" s="207"/>
      <c r="I960" s="207"/>
      <c r="J960" s="207"/>
      <c r="K960" s="207"/>
      <c r="L960" s="207"/>
      <c r="M960" s="207"/>
      <c r="N960" s="207"/>
      <c r="O960" s="207"/>
      <c r="P960" s="207"/>
      <c r="Q960" s="207"/>
      <c r="R960" s="207"/>
      <c r="S960" s="207"/>
      <c r="T960" s="207"/>
      <c r="U960" s="207"/>
      <c r="V960" s="207"/>
      <c r="W960" s="207"/>
      <c r="X960" s="207"/>
      <c r="Y960" s="207"/>
      <c r="Z960" s="207"/>
      <c r="AA960" s="207"/>
      <c r="AB960" s="207"/>
      <c r="AC960" s="207"/>
      <c r="AD960" s="207"/>
      <c r="AE960" s="207"/>
      <c r="AF960" s="207"/>
      <c r="AG960" s="207"/>
      <c r="AH960" s="207"/>
      <c r="AI960" s="207"/>
      <c r="AJ960" s="207"/>
      <c r="AK960" s="207"/>
      <c r="AL960" s="207"/>
      <c r="AM960" s="207"/>
      <c r="AN960" s="207"/>
      <c r="AO960" s="207"/>
      <c r="AP960" s="207"/>
      <c r="AQ960" s="207"/>
      <c r="AR960" s="207"/>
      <c r="AS960" s="207"/>
      <c r="AT960" s="207"/>
      <c r="AU960" s="207"/>
      <c r="AV960" s="207"/>
      <c r="AW960" s="207"/>
      <c r="AX960" s="207"/>
      <c r="AY960" s="207"/>
      <c r="AZ960" s="207"/>
      <c r="BA960" s="207"/>
    </row>
    <row r="961" ht="18.75" hidden="1" customHeight="1">
      <c r="A961" s="1"/>
      <c r="B961" s="207"/>
      <c r="C961" s="207"/>
      <c r="D961" s="207"/>
      <c r="E961" s="207"/>
      <c r="F961" s="207"/>
      <c r="G961" s="207"/>
      <c r="H961" s="207"/>
      <c r="I961" s="207"/>
      <c r="J961" s="207"/>
      <c r="K961" s="207"/>
      <c r="L961" s="207"/>
      <c r="M961" s="207"/>
      <c r="N961" s="207"/>
      <c r="O961" s="207"/>
      <c r="P961" s="207"/>
      <c r="Q961" s="207"/>
      <c r="R961" s="207"/>
      <c r="S961" s="207"/>
      <c r="T961" s="207"/>
      <c r="U961" s="207"/>
      <c r="V961" s="207"/>
      <c r="W961" s="207"/>
      <c r="X961" s="207"/>
      <c r="Y961" s="207"/>
      <c r="Z961" s="207"/>
      <c r="AA961" s="207"/>
      <c r="AB961" s="207"/>
      <c r="AC961" s="207"/>
      <c r="AD961" s="207"/>
      <c r="AE961" s="207"/>
      <c r="AF961" s="207"/>
      <c r="AG961" s="207"/>
      <c r="AH961" s="207"/>
      <c r="AI961" s="207"/>
      <c r="AJ961" s="207"/>
      <c r="AK961" s="207"/>
      <c r="AL961" s="207"/>
      <c r="AM961" s="207"/>
      <c r="AN961" s="207"/>
      <c r="AO961" s="207"/>
      <c r="AP961" s="207"/>
      <c r="AQ961" s="207"/>
      <c r="AR961" s="207"/>
      <c r="AS961" s="207"/>
      <c r="AT961" s="207"/>
      <c r="AU961" s="207"/>
      <c r="AV961" s="207"/>
      <c r="AW961" s="207"/>
      <c r="AX961" s="207"/>
      <c r="AY961" s="207"/>
      <c r="AZ961" s="207"/>
      <c r="BA961" s="207"/>
    </row>
    <row r="962" ht="18.75" hidden="1" customHeight="1">
      <c r="A962" s="1"/>
      <c r="B962" s="207"/>
      <c r="C962" s="207"/>
      <c r="D962" s="207"/>
      <c r="E962" s="207"/>
      <c r="F962" s="207"/>
      <c r="G962" s="207"/>
      <c r="H962" s="207"/>
      <c r="I962" s="207"/>
      <c r="J962" s="207"/>
      <c r="K962" s="207"/>
      <c r="L962" s="207"/>
      <c r="M962" s="207"/>
      <c r="N962" s="207"/>
      <c r="O962" s="207"/>
      <c r="P962" s="207"/>
      <c r="Q962" s="207"/>
      <c r="R962" s="207"/>
      <c r="S962" s="207"/>
      <c r="T962" s="207"/>
      <c r="U962" s="207"/>
      <c r="V962" s="207"/>
      <c r="W962" s="207"/>
      <c r="X962" s="207"/>
      <c r="Y962" s="207"/>
      <c r="Z962" s="207"/>
      <c r="AA962" s="207"/>
      <c r="AB962" s="207"/>
      <c r="AC962" s="207"/>
      <c r="AD962" s="207"/>
      <c r="AE962" s="207"/>
      <c r="AF962" s="207"/>
      <c r="AG962" s="207"/>
      <c r="AH962" s="207"/>
      <c r="AI962" s="207"/>
      <c r="AJ962" s="207"/>
      <c r="AK962" s="207"/>
      <c r="AL962" s="207"/>
      <c r="AM962" s="207"/>
      <c r="AN962" s="207"/>
      <c r="AO962" s="207"/>
      <c r="AP962" s="207"/>
      <c r="AQ962" s="207"/>
      <c r="AR962" s="207"/>
      <c r="AS962" s="207"/>
      <c r="AT962" s="207"/>
      <c r="AU962" s="207"/>
      <c r="AV962" s="207"/>
      <c r="AW962" s="207"/>
      <c r="AX962" s="207"/>
      <c r="AY962" s="207"/>
      <c r="AZ962" s="207"/>
      <c r="BA962" s="207"/>
    </row>
    <row r="963" ht="18.75" hidden="1" customHeight="1">
      <c r="A963" s="1"/>
      <c r="B963" s="207"/>
      <c r="C963" s="207"/>
      <c r="D963" s="207"/>
      <c r="E963" s="207"/>
      <c r="F963" s="207"/>
      <c r="G963" s="207"/>
      <c r="H963" s="207"/>
      <c r="I963" s="207"/>
      <c r="J963" s="207"/>
      <c r="K963" s="207"/>
      <c r="L963" s="207"/>
      <c r="M963" s="207"/>
      <c r="N963" s="207"/>
      <c r="O963" s="207"/>
      <c r="P963" s="207"/>
      <c r="Q963" s="207"/>
      <c r="R963" s="207"/>
      <c r="S963" s="207"/>
      <c r="T963" s="207"/>
      <c r="U963" s="207"/>
      <c r="V963" s="207"/>
      <c r="W963" s="207"/>
      <c r="X963" s="207"/>
      <c r="Y963" s="207"/>
      <c r="Z963" s="207"/>
      <c r="AA963" s="207"/>
      <c r="AB963" s="207"/>
      <c r="AC963" s="207"/>
      <c r="AD963" s="207"/>
      <c r="AE963" s="207"/>
      <c r="AF963" s="207"/>
      <c r="AG963" s="207"/>
      <c r="AH963" s="207"/>
      <c r="AI963" s="207"/>
      <c r="AJ963" s="207"/>
      <c r="AK963" s="207"/>
      <c r="AL963" s="207"/>
      <c r="AM963" s="207"/>
      <c r="AN963" s="207"/>
      <c r="AO963" s="207"/>
      <c r="AP963" s="207"/>
      <c r="AQ963" s="207"/>
      <c r="AR963" s="207"/>
      <c r="AS963" s="207"/>
      <c r="AT963" s="207"/>
      <c r="AU963" s="207"/>
      <c r="AV963" s="207"/>
      <c r="AW963" s="207"/>
      <c r="AX963" s="207"/>
      <c r="AY963" s="207"/>
      <c r="AZ963" s="207"/>
      <c r="BA963" s="207"/>
    </row>
    <row r="964" ht="18.75" hidden="1" customHeight="1">
      <c r="A964" s="1"/>
      <c r="B964" s="207"/>
      <c r="C964" s="207"/>
      <c r="D964" s="207"/>
      <c r="E964" s="207"/>
      <c r="F964" s="207"/>
      <c r="G964" s="207"/>
      <c r="H964" s="207"/>
      <c r="I964" s="207"/>
      <c r="J964" s="207"/>
      <c r="K964" s="207"/>
      <c r="L964" s="207"/>
      <c r="M964" s="207"/>
      <c r="N964" s="207"/>
      <c r="O964" s="207"/>
      <c r="P964" s="207"/>
      <c r="Q964" s="207"/>
      <c r="R964" s="207"/>
      <c r="S964" s="207"/>
      <c r="T964" s="207"/>
      <c r="U964" s="207"/>
      <c r="V964" s="207"/>
      <c r="W964" s="207"/>
      <c r="X964" s="207"/>
      <c r="Y964" s="207"/>
      <c r="Z964" s="207"/>
      <c r="AA964" s="207"/>
      <c r="AB964" s="207"/>
      <c r="AC964" s="207"/>
      <c r="AD964" s="207"/>
      <c r="AE964" s="207"/>
      <c r="AF964" s="207"/>
      <c r="AG964" s="207"/>
      <c r="AH964" s="207"/>
      <c r="AI964" s="207"/>
      <c r="AJ964" s="207"/>
      <c r="AK964" s="207"/>
      <c r="AL964" s="207"/>
      <c r="AM964" s="207"/>
      <c r="AN964" s="207"/>
      <c r="AO964" s="207"/>
      <c r="AP964" s="207"/>
      <c r="AQ964" s="207"/>
      <c r="AR964" s="207"/>
      <c r="AS964" s="207"/>
      <c r="AT964" s="207"/>
      <c r="AU964" s="207"/>
      <c r="AV964" s="207"/>
      <c r="AW964" s="207"/>
      <c r="AX964" s="207"/>
      <c r="AY964" s="207"/>
      <c r="AZ964" s="207"/>
      <c r="BA964" s="207"/>
    </row>
    <row r="965" ht="18.75" hidden="1" customHeight="1">
      <c r="A965" s="1"/>
      <c r="B965" s="207"/>
      <c r="C965" s="207"/>
      <c r="D965" s="207"/>
      <c r="E965" s="207"/>
      <c r="F965" s="207"/>
      <c r="G965" s="207"/>
      <c r="H965" s="207"/>
      <c r="I965" s="207"/>
      <c r="J965" s="207"/>
      <c r="K965" s="207"/>
      <c r="L965" s="207"/>
      <c r="M965" s="207"/>
      <c r="N965" s="207"/>
      <c r="O965" s="207"/>
      <c r="P965" s="207"/>
      <c r="Q965" s="207"/>
      <c r="R965" s="207"/>
      <c r="S965" s="207"/>
      <c r="T965" s="207"/>
      <c r="U965" s="207"/>
      <c r="V965" s="207"/>
      <c r="W965" s="207"/>
      <c r="X965" s="207"/>
      <c r="Y965" s="207"/>
      <c r="Z965" s="207"/>
      <c r="AA965" s="207"/>
      <c r="AB965" s="207"/>
      <c r="AC965" s="207"/>
      <c r="AD965" s="207"/>
      <c r="AE965" s="207"/>
      <c r="AF965" s="207"/>
      <c r="AG965" s="207"/>
      <c r="AH965" s="207"/>
      <c r="AI965" s="207"/>
      <c r="AJ965" s="207"/>
      <c r="AK965" s="207"/>
      <c r="AL965" s="207"/>
      <c r="AM965" s="207"/>
      <c r="AN965" s="207"/>
      <c r="AO965" s="207"/>
      <c r="AP965" s="207"/>
      <c r="AQ965" s="207"/>
      <c r="AR965" s="207"/>
      <c r="AS965" s="207"/>
      <c r="AT965" s="207"/>
      <c r="AU965" s="207"/>
      <c r="AV965" s="207"/>
      <c r="AW965" s="207"/>
      <c r="AX965" s="207"/>
      <c r="AY965" s="207"/>
      <c r="AZ965" s="207"/>
      <c r="BA965" s="207"/>
    </row>
    <row r="966" ht="18.75" hidden="1" customHeight="1">
      <c r="A966" s="1"/>
      <c r="B966" s="207"/>
      <c r="C966" s="207"/>
      <c r="D966" s="207"/>
      <c r="E966" s="207"/>
      <c r="F966" s="207"/>
      <c r="G966" s="207"/>
      <c r="H966" s="207"/>
      <c r="I966" s="207"/>
      <c r="J966" s="207"/>
      <c r="K966" s="207"/>
      <c r="L966" s="207"/>
      <c r="M966" s="207"/>
      <c r="N966" s="207"/>
      <c r="O966" s="207"/>
      <c r="P966" s="207"/>
      <c r="Q966" s="207"/>
      <c r="R966" s="207"/>
      <c r="S966" s="207"/>
      <c r="T966" s="207"/>
      <c r="U966" s="207"/>
      <c r="V966" s="207"/>
      <c r="W966" s="207"/>
      <c r="X966" s="207"/>
      <c r="Y966" s="207"/>
      <c r="Z966" s="207"/>
      <c r="AA966" s="207"/>
      <c r="AB966" s="207"/>
      <c r="AC966" s="207"/>
      <c r="AD966" s="207"/>
      <c r="AE966" s="207"/>
      <c r="AF966" s="207"/>
      <c r="AG966" s="207"/>
      <c r="AH966" s="207"/>
      <c r="AI966" s="207"/>
      <c r="AJ966" s="207"/>
      <c r="AK966" s="207"/>
      <c r="AL966" s="207"/>
      <c r="AM966" s="207"/>
      <c r="AN966" s="207"/>
      <c r="AO966" s="207"/>
      <c r="AP966" s="207"/>
      <c r="AQ966" s="207"/>
      <c r="AR966" s="207"/>
      <c r="AS966" s="207"/>
      <c r="AT966" s="207"/>
      <c r="AU966" s="207"/>
      <c r="AV966" s="207"/>
      <c r="AW966" s="207"/>
      <c r="AX966" s="207"/>
      <c r="AY966" s="207"/>
      <c r="AZ966" s="207"/>
      <c r="BA966" s="207"/>
    </row>
    <row r="967" ht="18.75" hidden="1" customHeight="1">
      <c r="A967" s="1"/>
      <c r="B967" s="207"/>
      <c r="C967" s="207"/>
      <c r="D967" s="207"/>
      <c r="E967" s="207"/>
      <c r="F967" s="207"/>
      <c r="G967" s="207"/>
      <c r="H967" s="207"/>
      <c r="I967" s="207"/>
      <c r="J967" s="207"/>
      <c r="K967" s="207"/>
      <c r="L967" s="207"/>
      <c r="M967" s="207"/>
      <c r="N967" s="207"/>
      <c r="O967" s="207"/>
      <c r="P967" s="207"/>
      <c r="Q967" s="207"/>
      <c r="R967" s="207"/>
      <c r="S967" s="207"/>
      <c r="T967" s="207"/>
      <c r="U967" s="207"/>
      <c r="V967" s="207"/>
      <c r="W967" s="207"/>
      <c r="X967" s="207"/>
      <c r="Y967" s="207"/>
      <c r="Z967" s="207"/>
      <c r="AA967" s="207"/>
      <c r="AB967" s="207"/>
      <c r="AC967" s="207"/>
      <c r="AD967" s="207"/>
      <c r="AE967" s="207"/>
      <c r="AF967" s="207"/>
      <c r="AG967" s="207"/>
      <c r="AH967" s="207"/>
      <c r="AI967" s="207"/>
      <c r="AJ967" s="207"/>
      <c r="AK967" s="207"/>
      <c r="AL967" s="207"/>
      <c r="AM967" s="207"/>
      <c r="AN967" s="207"/>
      <c r="AO967" s="207"/>
      <c r="AP967" s="207"/>
      <c r="AQ967" s="207"/>
      <c r="AR967" s="207"/>
      <c r="AS967" s="207"/>
      <c r="AT967" s="207"/>
      <c r="AU967" s="207"/>
      <c r="AV967" s="207"/>
      <c r="AW967" s="207"/>
      <c r="AX967" s="207"/>
      <c r="AY967" s="207"/>
      <c r="AZ967" s="207"/>
      <c r="BA967" s="207"/>
    </row>
    <row r="968" ht="18.75" hidden="1" customHeight="1">
      <c r="A968" s="1"/>
      <c r="B968" s="207"/>
      <c r="C968" s="207"/>
      <c r="D968" s="207"/>
      <c r="E968" s="207"/>
      <c r="F968" s="207"/>
      <c r="G968" s="207"/>
      <c r="H968" s="207"/>
      <c r="I968" s="207"/>
      <c r="J968" s="207"/>
      <c r="K968" s="207"/>
      <c r="L968" s="207"/>
      <c r="M968" s="207"/>
      <c r="N968" s="207"/>
      <c r="O968" s="207"/>
      <c r="P968" s="207"/>
      <c r="Q968" s="207"/>
      <c r="R968" s="207"/>
      <c r="S968" s="207"/>
      <c r="T968" s="207"/>
      <c r="U968" s="207"/>
      <c r="V968" s="207"/>
      <c r="W968" s="207"/>
      <c r="X968" s="207"/>
      <c r="Y968" s="207"/>
      <c r="Z968" s="207"/>
      <c r="AA968" s="207"/>
      <c r="AB968" s="207"/>
      <c r="AC968" s="207"/>
      <c r="AD968" s="207"/>
      <c r="AE968" s="207"/>
      <c r="AF968" s="207"/>
      <c r="AG968" s="207"/>
      <c r="AH968" s="207"/>
      <c r="AI968" s="207"/>
      <c r="AJ968" s="207"/>
      <c r="AK968" s="207"/>
      <c r="AL968" s="207"/>
      <c r="AM968" s="207"/>
      <c r="AN968" s="207"/>
      <c r="AO968" s="207"/>
      <c r="AP968" s="207"/>
      <c r="AQ968" s="207"/>
      <c r="AR968" s="207"/>
      <c r="AS968" s="207"/>
      <c r="AT968" s="207"/>
      <c r="AU968" s="207"/>
      <c r="AV968" s="207"/>
      <c r="AW968" s="207"/>
      <c r="AX968" s="207"/>
      <c r="AY968" s="207"/>
      <c r="AZ968" s="207"/>
      <c r="BA968" s="207"/>
    </row>
    <row r="969" ht="18.75" hidden="1" customHeight="1">
      <c r="A969" s="1"/>
      <c r="B969" s="207"/>
      <c r="C969" s="207"/>
      <c r="D969" s="207"/>
      <c r="E969" s="207"/>
      <c r="F969" s="207"/>
      <c r="G969" s="207"/>
      <c r="H969" s="207"/>
      <c r="I969" s="207"/>
      <c r="J969" s="207"/>
      <c r="K969" s="207"/>
      <c r="L969" s="207"/>
      <c r="M969" s="207"/>
      <c r="N969" s="207"/>
      <c r="O969" s="207"/>
      <c r="P969" s="207"/>
      <c r="Q969" s="207"/>
      <c r="R969" s="207"/>
      <c r="S969" s="207"/>
      <c r="T969" s="207"/>
      <c r="U969" s="207"/>
      <c r="V969" s="207"/>
      <c r="W969" s="207"/>
      <c r="X969" s="207"/>
      <c r="Y969" s="207"/>
      <c r="Z969" s="207"/>
      <c r="AA969" s="207"/>
      <c r="AB969" s="207"/>
      <c r="AC969" s="207"/>
      <c r="AD969" s="207"/>
      <c r="AE969" s="207"/>
      <c r="AF969" s="207"/>
      <c r="AG969" s="207"/>
      <c r="AH969" s="207"/>
      <c r="AI969" s="207"/>
      <c r="AJ969" s="207"/>
      <c r="AK969" s="207"/>
      <c r="AL969" s="207"/>
      <c r="AM969" s="207"/>
      <c r="AN969" s="207"/>
      <c r="AO969" s="207"/>
      <c r="AP969" s="207"/>
      <c r="AQ969" s="207"/>
      <c r="AR969" s="207"/>
      <c r="AS969" s="207"/>
      <c r="AT969" s="207"/>
      <c r="AU969" s="207"/>
      <c r="AV969" s="207"/>
      <c r="AW969" s="207"/>
      <c r="AX969" s="207"/>
      <c r="AY969" s="207"/>
      <c r="AZ969" s="207"/>
      <c r="BA969" s="207"/>
    </row>
    <row r="970" ht="18.75" hidden="1" customHeight="1">
      <c r="A970" s="1"/>
      <c r="B970" s="207"/>
      <c r="C970" s="207"/>
      <c r="D970" s="207"/>
      <c r="E970" s="207"/>
      <c r="F970" s="207"/>
      <c r="G970" s="207"/>
      <c r="H970" s="207"/>
      <c r="I970" s="207"/>
      <c r="J970" s="207"/>
      <c r="K970" s="207"/>
      <c r="L970" s="207"/>
      <c r="M970" s="207"/>
      <c r="N970" s="207"/>
      <c r="O970" s="207"/>
      <c r="P970" s="207"/>
      <c r="Q970" s="207"/>
      <c r="R970" s="207"/>
      <c r="S970" s="207"/>
      <c r="T970" s="207"/>
      <c r="U970" s="207"/>
      <c r="V970" s="207"/>
      <c r="W970" s="207"/>
      <c r="X970" s="207"/>
      <c r="Y970" s="207"/>
      <c r="Z970" s="207"/>
      <c r="AA970" s="207"/>
      <c r="AB970" s="207"/>
      <c r="AC970" s="207"/>
      <c r="AD970" s="207"/>
      <c r="AE970" s="207"/>
      <c r="AF970" s="207"/>
      <c r="AG970" s="207"/>
      <c r="AH970" s="207"/>
      <c r="AI970" s="207"/>
      <c r="AJ970" s="207"/>
      <c r="AK970" s="207"/>
      <c r="AL970" s="207"/>
      <c r="AM970" s="207"/>
      <c r="AN970" s="207"/>
      <c r="AO970" s="207"/>
      <c r="AP970" s="207"/>
      <c r="AQ970" s="207"/>
      <c r="AR970" s="207"/>
      <c r="AS970" s="207"/>
      <c r="AT970" s="207"/>
      <c r="AU970" s="207"/>
      <c r="AV970" s="207"/>
      <c r="AW970" s="207"/>
      <c r="AX970" s="207"/>
      <c r="AY970" s="207"/>
      <c r="AZ970" s="207"/>
      <c r="BA970" s="207"/>
    </row>
    <row r="971" ht="18.75" hidden="1" customHeight="1">
      <c r="A971" s="1"/>
      <c r="B971" s="207"/>
      <c r="C971" s="207"/>
      <c r="D971" s="207"/>
      <c r="E971" s="207"/>
      <c r="F971" s="207"/>
      <c r="G971" s="207"/>
      <c r="H971" s="207"/>
      <c r="I971" s="207"/>
      <c r="J971" s="207"/>
      <c r="K971" s="207"/>
      <c r="L971" s="207"/>
      <c r="M971" s="207"/>
      <c r="N971" s="207"/>
      <c r="O971" s="207"/>
      <c r="P971" s="207"/>
      <c r="Q971" s="207"/>
      <c r="R971" s="207"/>
      <c r="S971" s="207"/>
      <c r="T971" s="207"/>
      <c r="U971" s="207"/>
      <c r="V971" s="207"/>
      <c r="W971" s="207"/>
      <c r="X971" s="207"/>
      <c r="Y971" s="207"/>
      <c r="Z971" s="207"/>
      <c r="AA971" s="207"/>
      <c r="AB971" s="207"/>
      <c r="AC971" s="207"/>
      <c r="AD971" s="207"/>
      <c r="AE971" s="207"/>
      <c r="AF971" s="207"/>
      <c r="AG971" s="207"/>
      <c r="AH971" s="207"/>
      <c r="AI971" s="207"/>
      <c r="AJ971" s="207"/>
      <c r="AK971" s="207"/>
      <c r="AL971" s="207"/>
      <c r="AM971" s="207"/>
      <c r="AN971" s="207"/>
      <c r="AO971" s="207"/>
      <c r="AP971" s="207"/>
      <c r="AQ971" s="207"/>
      <c r="AR971" s="207"/>
      <c r="AS971" s="207"/>
      <c r="AT971" s="207"/>
      <c r="AU971" s="207"/>
      <c r="AV971" s="207"/>
      <c r="AW971" s="207"/>
      <c r="AX971" s="207"/>
      <c r="AY971" s="207"/>
      <c r="AZ971" s="207"/>
      <c r="BA971" s="207"/>
    </row>
    <row r="972" ht="18.75" hidden="1" customHeight="1">
      <c r="A972" s="1"/>
      <c r="B972" s="207"/>
      <c r="C972" s="207"/>
      <c r="D972" s="207"/>
      <c r="E972" s="207"/>
      <c r="F972" s="207"/>
      <c r="G972" s="207"/>
      <c r="H972" s="207"/>
      <c r="I972" s="207"/>
      <c r="J972" s="207"/>
      <c r="K972" s="207"/>
      <c r="L972" s="207"/>
      <c r="M972" s="207"/>
      <c r="N972" s="207"/>
      <c r="O972" s="207"/>
      <c r="P972" s="207"/>
      <c r="Q972" s="207"/>
      <c r="R972" s="207"/>
      <c r="S972" s="207"/>
      <c r="T972" s="207"/>
      <c r="U972" s="207"/>
      <c r="V972" s="207"/>
      <c r="W972" s="207"/>
      <c r="X972" s="207"/>
      <c r="Y972" s="207"/>
      <c r="Z972" s="207"/>
      <c r="AA972" s="207"/>
      <c r="AB972" s="207"/>
      <c r="AC972" s="207"/>
      <c r="AD972" s="207"/>
      <c r="AE972" s="207"/>
      <c r="AF972" s="207"/>
      <c r="AG972" s="207"/>
      <c r="AH972" s="207"/>
      <c r="AI972" s="207"/>
      <c r="AJ972" s="207"/>
      <c r="AK972" s="207"/>
      <c r="AL972" s="207"/>
      <c r="AM972" s="207"/>
      <c r="AN972" s="207"/>
      <c r="AO972" s="207"/>
      <c r="AP972" s="207"/>
      <c r="AQ972" s="207"/>
      <c r="AR972" s="207"/>
      <c r="AS972" s="207"/>
      <c r="AT972" s="207"/>
      <c r="AU972" s="207"/>
      <c r="AV972" s="207"/>
      <c r="AW972" s="207"/>
      <c r="AX972" s="207"/>
      <c r="AY972" s="207"/>
      <c r="AZ972" s="207"/>
      <c r="BA972" s="207"/>
    </row>
    <row r="973" ht="18.75" hidden="1" customHeight="1">
      <c r="A973" s="1"/>
      <c r="B973" s="207"/>
      <c r="C973" s="207"/>
      <c r="D973" s="207"/>
      <c r="E973" s="207"/>
      <c r="F973" s="207"/>
      <c r="G973" s="207"/>
      <c r="H973" s="207"/>
      <c r="I973" s="207"/>
      <c r="J973" s="207"/>
      <c r="K973" s="207"/>
      <c r="L973" s="207"/>
      <c r="M973" s="207"/>
      <c r="N973" s="207"/>
      <c r="O973" s="207"/>
      <c r="P973" s="207"/>
      <c r="Q973" s="207"/>
      <c r="R973" s="207"/>
      <c r="S973" s="207"/>
      <c r="T973" s="207"/>
      <c r="U973" s="207"/>
      <c r="V973" s="207"/>
      <c r="W973" s="207"/>
      <c r="X973" s="207"/>
      <c r="Y973" s="207"/>
      <c r="Z973" s="207"/>
      <c r="AA973" s="207"/>
      <c r="AB973" s="207"/>
      <c r="AC973" s="207"/>
      <c r="AD973" s="207"/>
      <c r="AE973" s="207"/>
      <c r="AF973" s="207"/>
      <c r="AG973" s="207"/>
      <c r="AH973" s="207"/>
      <c r="AI973" s="207"/>
      <c r="AJ973" s="207"/>
      <c r="AK973" s="207"/>
      <c r="AL973" s="207"/>
      <c r="AM973" s="207"/>
      <c r="AN973" s="207"/>
      <c r="AO973" s="207"/>
      <c r="AP973" s="207"/>
      <c r="AQ973" s="207"/>
      <c r="AR973" s="207"/>
      <c r="AS973" s="207"/>
      <c r="AT973" s="207"/>
      <c r="AU973" s="207"/>
      <c r="AV973" s="207"/>
      <c r="AW973" s="207"/>
      <c r="AX973" s="207"/>
      <c r="AY973" s="207"/>
      <c r="AZ973" s="207"/>
      <c r="BA973" s="207"/>
    </row>
    <row r="974" ht="18.75" hidden="1" customHeight="1">
      <c r="A974" s="1"/>
      <c r="B974" s="207"/>
      <c r="C974" s="207"/>
      <c r="D974" s="207"/>
      <c r="E974" s="207"/>
      <c r="F974" s="207"/>
      <c r="G974" s="207"/>
      <c r="H974" s="207"/>
      <c r="I974" s="207"/>
      <c r="J974" s="207"/>
      <c r="K974" s="207"/>
      <c r="L974" s="207"/>
      <c r="M974" s="207"/>
      <c r="N974" s="207"/>
      <c r="O974" s="207"/>
      <c r="P974" s="207"/>
      <c r="Q974" s="207"/>
      <c r="R974" s="207"/>
      <c r="S974" s="207"/>
      <c r="T974" s="207"/>
      <c r="U974" s="207"/>
      <c r="V974" s="207"/>
      <c r="W974" s="207"/>
      <c r="X974" s="207"/>
      <c r="Y974" s="207"/>
      <c r="Z974" s="207"/>
      <c r="AA974" s="207"/>
      <c r="AB974" s="207"/>
      <c r="AC974" s="207"/>
      <c r="AD974" s="207"/>
      <c r="AE974" s="207"/>
      <c r="AF974" s="207"/>
      <c r="AG974" s="207"/>
      <c r="AH974" s="207"/>
      <c r="AI974" s="207"/>
      <c r="AJ974" s="207"/>
      <c r="AK974" s="207"/>
      <c r="AL974" s="207"/>
      <c r="AM974" s="207"/>
      <c r="AN974" s="207"/>
      <c r="AO974" s="207"/>
      <c r="AP974" s="207"/>
      <c r="AQ974" s="207"/>
      <c r="AR974" s="207"/>
      <c r="AS974" s="207"/>
      <c r="AT974" s="207"/>
      <c r="AU974" s="207"/>
      <c r="AV974" s="207"/>
      <c r="AW974" s="207"/>
      <c r="AX974" s="207"/>
      <c r="AY974" s="207"/>
      <c r="AZ974" s="207"/>
      <c r="BA974" s="207"/>
    </row>
    <row r="975" ht="18.75" hidden="1" customHeight="1">
      <c r="A975" s="1"/>
      <c r="B975" s="207"/>
      <c r="C975" s="207"/>
      <c r="D975" s="207"/>
      <c r="E975" s="207"/>
      <c r="F975" s="207"/>
      <c r="G975" s="207"/>
      <c r="H975" s="207"/>
      <c r="I975" s="207"/>
      <c r="J975" s="207"/>
      <c r="K975" s="207"/>
      <c r="L975" s="207"/>
      <c r="M975" s="207"/>
      <c r="N975" s="207"/>
      <c r="O975" s="207"/>
      <c r="P975" s="207"/>
      <c r="Q975" s="207"/>
      <c r="R975" s="207"/>
      <c r="S975" s="207"/>
      <c r="T975" s="207"/>
      <c r="U975" s="207"/>
      <c r="V975" s="207"/>
      <c r="W975" s="207"/>
      <c r="X975" s="207"/>
      <c r="Y975" s="207"/>
      <c r="Z975" s="207"/>
      <c r="AA975" s="207"/>
      <c r="AB975" s="207"/>
      <c r="AC975" s="207"/>
      <c r="AD975" s="207"/>
      <c r="AE975" s="207"/>
      <c r="AF975" s="207"/>
      <c r="AG975" s="207"/>
      <c r="AH975" s="207"/>
      <c r="AI975" s="207"/>
      <c r="AJ975" s="207"/>
      <c r="AK975" s="207"/>
      <c r="AL975" s="207"/>
      <c r="AM975" s="207"/>
      <c r="AN975" s="207"/>
      <c r="AO975" s="207"/>
      <c r="AP975" s="207"/>
      <c r="AQ975" s="207"/>
      <c r="AR975" s="207"/>
      <c r="AS975" s="207"/>
      <c r="AT975" s="207"/>
      <c r="AU975" s="207"/>
      <c r="AV975" s="207"/>
      <c r="AW975" s="207"/>
      <c r="AX975" s="207"/>
      <c r="AY975" s="207"/>
      <c r="AZ975" s="207"/>
      <c r="BA975" s="207"/>
    </row>
    <row r="976" ht="18.75" hidden="1" customHeight="1">
      <c r="A976" s="1"/>
      <c r="B976" s="207"/>
      <c r="C976" s="207"/>
      <c r="D976" s="207"/>
      <c r="E976" s="207"/>
      <c r="F976" s="207"/>
      <c r="G976" s="207"/>
      <c r="H976" s="207"/>
      <c r="I976" s="207"/>
      <c r="J976" s="207"/>
      <c r="K976" s="207"/>
      <c r="L976" s="207"/>
      <c r="M976" s="207"/>
      <c r="N976" s="207"/>
      <c r="O976" s="207"/>
      <c r="P976" s="207"/>
      <c r="Q976" s="207"/>
      <c r="R976" s="207"/>
      <c r="S976" s="207"/>
      <c r="T976" s="207"/>
      <c r="U976" s="207"/>
      <c r="V976" s="207"/>
      <c r="W976" s="207"/>
      <c r="X976" s="207"/>
      <c r="Y976" s="207"/>
      <c r="Z976" s="207"/>
      <c r="AA976" s="207"/>
      <c r="AB976" s="207"/>
      <c r="AC976" s="207"/>
      <c r="AD976" s="207"/>
      <c r="AE976" s="207"/>
      <c r="AF976" s="207"/>
      <c r="AG976" s="207"/>
      <c r="AH976" s="207"/>
      <c r="AI976" s="207"/>
      <c r="AJ976" s="207"/>
      <c r="AK976" s="207"/>
      <c r="AL976" s="207"/>
      <c r="AM976" s="207"/>
      <c r="AN976" s="207"/>
      <c r="AO976" s="207"/>
      <c r="AP976" s="207"/>
      <c r="AQ976" s="207"/>
      <c r="AR976" s="207"/>
      <c r="AS976" s="207"/>
      <c r="AT976" s="207"/>
      <c r="AU976" s="207"/>
      <c r="AV976" s="207"/>
      <c r="AW976" s="207"/>
      <c r="AX976" s="207"/>
      <c r="AY976" s="207"/>
      <c r="AZ976" s="207"/>
      <c r="BA976" s="207"/>
    </row>
    <row r="977" ht="18.75" hidden="1" customHeight="1">
      <c r="A977" s="1"/>
      <c r="B977" s="207"/>
      <c r="C977" s="207"/>
      <c r="D977" s="207"/>
      <c r="E977" s="207"/>
      <c r="F977" s="207"/>
      <c r="G977" s="207"/>
      <c r="H977" s="207"/>
      <c r="I977" s="207"/>
      <c r="J977" s="207"/>
      <c r="K977" s="207"/>
      <c r="L977" s="207"/>
      <c r="M977" s="207"/>
      <c r="N977" s="207"/>
      <c r="O977" s="207"/>
      <c r="P977" s="207"/>
      <c r="Q977" s="207"/>
      <c r="R977" s="207"/>
      <c r="S977" s="207"/>
      <c r="T977" s="207"/>
      <c r="U977" s="207"/>
      <c r="V977" s="207"/>
      <c r="W977" s="207"/>
      <c r="X977" s="207"/>
      <c r="Y977" s="207"/>
      <c r="Z977" s="207"/>
      <c r="AA977" s="207"/>
      <c r="AB977" s="207"/>
      <c r="AC977" s="207"/>
      <c r="AD977" s="207"/>
      <c r="AE977" s="207"/>
      <c r="AF977" s="207"/>
      <c r="AG977" s="207"/>
      <c r="AH977" s="207"/>
      <c r="AI977" s="207"/>
      <c r="AJ977" s="207"/>
      <c r="AK977" s="207"/>
      <c r="AL977" s="207"/>
      <c r="AM977" s="207"/>
      <c r="AN977" s="207"/>
      <c r="AO977" s="207"/>
      <c r="AP977" s="207"/>
      <c r="AQ977" s="207"/>
      <c r="AR977" s="207"/>
      <c r="AS977" s="207"/>
      <c r="AT977" s="207"/>
      <c r="AU977" s="207"/>
      <c r="AV977" s="207"/>
      <c r="AW977" s="207"/>
      <c r="AX977" s="207"/>
      <c r="AY977" s="207"/>
      <c r="AZ977" s="207"/>
      <c r="BA977" s="207"/>
    </row>
    <row r="978" ht="18.75" hidden="1" customHeight="1">
      <c r="A978" s="1"/>
      <c r="B978" s="207"/>
      <c r="C978" s="207"/>
      <c r="D978" s="207"/>
      <c r="E978" s="207"/>
      <c r="F978" s="207"/>
      <c r="G978" s="207"/>
      <c r="H978" s="207"/>
      <c r="I978" s="207"/>
      <c r="J978" s="207"/>
      <c r="K978" s="207"/>
      <c r="L978" s="207"/>
      <c r="M978" s="207"/>
      <c r="N978" s="207"/>
      <c r="O978" s="207"/>
      <c r="P978" s="207"/>
      <c r="Q978" s="207"/>
      <c r="R978" s="207"/>
      <c r="S978" s="207"/>
      <c r="T978" s="207"/>
      <c r="U978" s="207"/>
      <c r="V978" s="207"/>
      <c r="W978" s="207"/>
      <c r="X978" s="207"/>
      <c r="Y978" s="207"/>
      <c r="Z978" s="207"/>
      <c r="AA978" s="207"/>
      <c r="AB978" s="207"/>
      <c r="AC978" s="207"/>
      <c r="AD978" s="207"/>
      <c r="AE978" s="207"/>
      <c r="AF978" s="207"/>
      <c r="AG978" s="207"/>
      <c r="AH978" s="207"/>
      <c r="AI978" s="207"/>
      <c r="AJ978" s="207"/>
      <c r="AK978" s="207"/>
      <c r="AL978" s="207"/>
      <c r="AM978" s="207"/>
      <c r="AN978" s="207"/>
      <c r="AO978" s="207"/>
      <c r="AP978" s="207"/>
      <c r="AQ978" s="207"/>
      <c r="AR978" s="207"/>
      <c r="AS978" s="207"/>
      <c r="AT978" s="207"/>
      <c r="AU978" s="207"/>
      <c r="AV978" s="207"/>
      <c r="AW978" s="207"/>
      <c r="AX978" s="207"/>
      <c r="AY978" s="207"/>
      <c r="AZ978" s="207"/>
      <c r="BA978" s="207"/>
    </row>
    <row r="979" ht="18.75" hidden="1" customHeight="1">
      <c r="A979" s="1"/>
      <c r="B979" s="207"/>
      <c r="C979" s="207"/>
      <c r="D979" s="207"/>
      <c r="E979" s="207"/>
      <c r="F979" s="207"/>
      <c r="G979" s="207"/>
      <c r="H979" s="207"/>
      <c r="I979" s="207"/>
      <c r="J979" s="207"/>
      <c r="K979" s="207"/>
      <c r="L979" s="207"/>
      <c r="M979" s="207"/>
      <c r="N979" s="207"/>
      <c r="O979" s="207"/>
      <c r="P979" s="207"/>
      <c r="Q979" s="207"/>
      <c r="R979" s="207"/>
      <c r="S979" s="207"/>
      <c r="T979" s="207"/>
      <c r="U979" s="207"/>
      <c r="V979" s="207"/>
      <c r="W979" s="207"/>
      <c r="X979" s="207"/>
      <c r="Y979" s="207"/>
      <c r="Z979" s="207"/>
      <c r="AA979" s="207"/>
      <c r="AB979" s="207"/>
      <c r="AC979" s="207"/>
      <c r="AD979" s="207"/>
      <c r="AE979" s="207"/>
      <c r="AF979" s="207"/>
      <c r="AG979" s="207"/>
      <c r="AH979" s="207"/>
      <c r="AI979" s="207"/>
      <c r="AJ979" s="207"/>
      <c r="AK979" s="207"/>
      <c r="AL979" s="207"/>
      <c r="AM979" s="207"/>
      <c r="AN979" s="207"/>
      <c r="AO979" s="207"/>
      <c r="AP979" s="207"/>
      <c r="AQ979" s="207"/>
      <c r="AR979" s="207"/>
      <c r="AS979" s="207"/>
      <c r="AT979" s="207"/>
      <c r="AU979" s="207"/>
      <c r="AV979" s="207"/>
      <c r="AW979" s="207"/>
      <c r="AX979" s="207"/>
      <c r="AY979" s="207"/>
      <c r="AZ979" s="207"/>
      <c r="BA979" s="207"/>
    </row>
    <row r="980" ht="18.75" hidden="1" customHeight="1">
      <c r="A980" s="1"/>
      <c r="B980" s="207"/>
      <c r="C980" s="207"/>
      <c r="D980" s="207"/>
      <c r="E980" s="207"/>
      <c r="F980" s="207"/>
      <c r="G980" s="207"/>
      <c r="H980" s="207"/>
      <c r="I980" s="207"/>
      <c r="J980" s="207"/>
      <c r="K980" s="207"/>
      <c r="L980" s="207"/>
      <c r="M980" s="207"/>
      <c r="N980" s="207"/>
      <c r="O980" s="207"/>
      <c r="P980" s="207"/>
      <c r="Q980" s="207"/>
      <c r="R980" s="207"/>
      <c r="S980" s="207"/>
      <c r="T980" s="207"/>
      <c r="U980" s="207"/>
      <c r="V980" s="207"/>
      <c r="W980" s="207"/>
      <c r="X980" s="207"/>
      <c r="Y980" s="207"/>
      <c r="Z980" s="207"/>
      <c r="AA980" s="207"/>
      <c r="AB980" s="207"/>
      <c r="AC980" s="207"/>
      <c r="AD980" s="207"/>
      <c r="AE980" s="207"/>
      <c r="AF980" s="207"/>
      <c r="AG980" s="207"/>
      <c r="AH980" s="207"/>
      <c r="AI980" s="207"/>
      <c r="AJ980" s="207"/>
      <c r="AK980" s="207"/>
      <c r="AL980" s="207"/>
      <c r="AM980" s="207"/>
      <c r="AN980" s="207"/>
      <c r="AO980" s="207"/>
      <c r="AP980" s="207"/>
      <c r="AQ980" s="207"/>
      <c r="AR980" s="207"/>
      <c r="AS980" s="207"/>
      <c r="AT980" s="207"/>
      <c r="AU980" s="207"/>
      <c r="AV980" s="207"/>
      <c r="AW980" s="207"/>
      <c r="AX980" s="207"/>
      <c r="AY980" s="207"/>
      <c r="AZ980" s="207"/>
      <c r="BA980" s="207"/>
    </row>
    <row r="981" ht="18.75" hidden="1" customHeight="1">
      <c r="A981" s="1"/>
      <c r="B981" s="207"/>
      <c r="C981" s="207"/>
      <c r="D981" s="207"/>
      <c r="E981" s="207"/>
      <c r="F981" s="207"/>
      <c r="G981" s="207"/>
      <c r="H981" s="207"/>
      <c r="I981" s="207"/>
      <c r="J981" s="207"/>
      <c r="K981" s="207"/>
      <c r="L981" s="207"/>
      <c r="M981" s="207"/>
      <c r="N981" s="207"/>
      <c r="O981" s="207"/>
      <c r="P981" s="207"/>
      <c r="Q981" s="207"/>
      <c r="R981" s="207"/>
      <c r="S981" s="207"/>
      <c r="T981" s="207"/>
      <c r="U981" s="207"/>
      <c r="V981" s="207"/>
      <c r="W981" s="207"/>
      <c r="X981" s="207"/>
      <c r="Y981" s="207"/>
      <c r="Z981" s="207"/>
      <c r="AA981" s="207"/>
      <c r="AB981" s="207"/>
      <c r="AC981" s="207"/>
      <c r="AD981" s="207"/>
      <c r="AE981" s="207"/>
      <c r="AF981" s="207"/>
      <c r="AG981" s="207"/>
      <c r="AH981" s="207"/>
      <c r="AI981" s="207"/>
      <c r="AJ981" s="207"/>
      <c r="AK981" s="207"/>
      <c r="AL981" s="207"/>
      <c r="AM981" s="207"/>
      <c r="AN981" s="207"/>
      <c r="AO981" s="207"/>
      <c r="AP981" s="207"/>
      <c r="AQ981" s="207"/>
      <c r="AR981" s="207"/>
      <c r="AS981" s="207"/>
      <c r="AT981" s="207"/>
      <c r="AU981" s="207"/>
      <c r="AV981" s="207"/>
      <c r="AW981" s="207"/>
      <c r="AX981" s="207"/>
      <c r="AY981" s="207"/>
      <c r="AZ981" s="207"/>
      <c r="BA981" s="207"/>
    </row>
    <row r="982" ht="18.75" hidden="1" customHeight="1">
      <c r="A982" s="1"/>
      <c r="B982" s="207"/>
      <c r="C982" s="207"/>
      <c r="D982" s="207"/>
      <c r="E982" s="207"/>
      <c r="F982" s="207"/>
      <c r="G982" s="207"/>
      <c r="H982" s="207"/>
      <c r="I982" s="207"/>
      <c r="J982" s="207"/>
      <c r="K982" s="207"/>
      <c r="L982" s="207"/>
      <c r="M982" s="207"/>
      <c r="N982" s="207"/>
      <c r="O982" s="207"/>
      <c r="P982" s="207"/>
      <c r="Q982" s="207"/>
      <c r="R982" s="207"/>
      <c r="S982" s="207"/>
      <c r="T982" s="207"/>
      <c r="U982" s="207"/>
      <c r="V982" s="207"/>
      <c r="W982" s="207"/>
      <c r="X982" s="207"/>
      <c r="Y982" s="207"/>
      <c r="Z982" s="207"/>
      <c r="AA982" s="207"/>
      <c r="AB982" s="207"/>
      <c r="AC982" s="207"/>
      <c r="AD982" s="207"/>
      <c r="AE982" s="207"/>
      <c r="AF982" s="207"/>
      <c r="AG982" s="207"/>
      <c r="AH982" s="207"/>
      <c r="AI982" s="207"/>
      <c r="AJ982" s="207"/>
      <c r="AK982" s="207"/>
      <c r="AL982" s="207"/>
      <c r="AM982" s="207"/>
      <c r="AN982" s="207"/>
      <c r="AO982" s="207"/>
      <c r="AP982" s="207"/>
      <c r="AQ982" s="207"/>
      <c r="AR982" s="207"/>
      <c r="AS982" s="207"/>
      <c r="AT982" s="207"/>
      <c r="AU982" s="207"/>
      <c r="AV982" s="207"/>
      <c r="AW982" s="207"/>
      <c r="AX982" s="207"/>
      <c r="AY982" s="207"/>
      <c r="AZ982" s="207"/>
      <c r="BA982" s="207"/>
    </row>
    <row r="983" ht="18.75" hidden="1" customHeight="1">
      <c r="A983" s="1"/>
      <c r="B983" s="207"/>
      <c r="C983" s="207"/>
      <c r="D983" s="207"/>
      <c r="E983" s="207"/>
      <c r="F983" s="207"/>
      <c r="G983" s="207"/>
      <c r="H983" s="207"/>
      <c r="I983" s="207"/>
      <c r="J983" s="207"/>
      <c r="K983" s="207"/>
      <c r="L983" s="207"/>
      <c r="M983" s="207"/>
      <c r="N983" s="207"/>
      <c r="O983" s="207"/>
      <c r="P983" s="207"/>
      <c r="Q983" s="207"/>
      <c r="R983" s="207"/>
      <c r="S983" s="207"/>
      <c r="T983" s="207"/>
      <c r="U983" s="207"/>
      <c r="V983" s="207"/>
      <c r="W983" s="207"/>
      <c r="X983" s="207"/>
      <c r="Y983" s="207"/>
      <c r="Z983" s="207"/>
      <c r="AA983" s="207"/>
      <c r="AB983" s="207"/>
      <c r="AC983" s="207"/>
      <c r="AD983" s="207"/>
      <c r="AE983" s="207"/>
      <c r="AF983" s="207"/>
      <c r="AG983" s="207"/>
      <c r="AH983" s="207"/>
      <c r="AI983" s="207"/>
      <c r="AJ983" s="207"/>
      <c r="AK983" s="207"/>
      <c r="AL983" s="207"/>
      <c r="AM983" s="207"/>
      <c r="AN983" s="207"/>
      <c r="AO983" s="207"/>
      <c r="AP983" s="207"/>
      <c r="AQ983" s="207"/>
      <c r="AR983" s="207"/>
      <c r="AS983" s="207"/>
      <c r="AT983" s="207"/>
      <c r="AU983" s="207"/>
      <c r="AV983" s="207"/>
      <c r="AW983" s="207"/>
      <c r="AX983" s="207"/>
      <c r="AY983" s="207"/>
      <c r="AZ983" s="207"/>
      <c r="BA983" s="207"/>
    </row>
    <row r="984" ht="18.75" hidden="1" customHeight="1">
      <c r="A984" s="1"/>
      <c r="B984" s="207"/>
      <c r="C984" s="207"/>
      <c r="D984" s="207"/>
      <c r="E984" s="207"/>
      <c r="F984" s="207"/>
      <c r="G984" s="207"/>
      <c r="H984" s="207"/>
      <c r="I984" s="207"/>
      <c r="J984" s="207"/>
      <c r="K984" s="207"/>
      <c r="L984" s="207"/>
      <c r="M984" s="207"/>
      <c r="N984" s="207"/>
      <c r="O984" s="207"/>
      <c r="P984" s="207"/>
      <c r="Q984" s="207"/>
      <c r="R984" s="207"/>
      <c r="S984" s="207"/>
      <c r="T984" s="207"/>
      <c r="U984" s="207"/>
      <c r="V984" s="207"/>
      <c r="W984" s="207"/>
      <c r="X984" s="207"/>
      <c r="Y984" s="207"/>
      <c r="Z984" s="207"/>
      <c r="AA984" s="207"/>
      <c r="AB984" s="207"/>
      <c r="AC984" s="207"/>
      <c r="AD984" s="207"/>
      <c r="AE984" s="207"/>
      <c r="AF984" s="207"/>
      <c r="AG984" s="207"/>
      <c r="AH984" s="207"/>
      <c r="AI984" s="207"/>
      <c r="AJ984" s="207"/>
      <c r="AK984" s="207"/>
      <c r="AL984" s="207"/>
      <c r="AM984" s="207"/>
      <c r="AN984" s="207"/>
      <c r="AO984" s="207"/>
      <c r="AP984" s="207"/>
      <c r="AQ984" s="207"/>
      <c r="AR984" s="207"/>
      <c r="AS984" s="207"/>
      <c r="AT984" s="207"/>
      <c r="AU984" s="207"/>
      <c r="AV984" s="207"/>
      <c r="AW984" s="207"/>
      <c r="AX984" s="207"/>
      <c r="AY984" s="207"/>
      <c r="AZ984" s="207"/>
      <c r="BA984" s="207"/>
    </row>
    <row r="985" ht="18.75" hidden="1" customHeight="1">
      <c r="A985" s="1"/>
      <c r="B985" s="207"/>
      <c r="C985" s="207"/>
      <c r="D985" s="207"/>
      <c r="E985" s="207"/>
      <c r="F985" s="207"/>
      <c r="G985" s="207"/>
      <c r="H985" s="207"/>
      <c r="I985" s="207"/>
      <c r="J985" s="207"/>
      <c r="K985" s="207"/>
      <c r="L985" s="207"/>
      <c r="M985" s="207"/>
      <c r="N985" s="207"/>
      <c r="O985" s="207"/>
      <c r="P985" s="207"/>
      <c r="Q985" s="207"/>
      <c r="R985" s="207"/>
      <c r="S985" s="207"/>
      <c r="T985" s="207"/>
      <c r="U985" s="207"/>
      <c r="V985" s="207"/>
      <c r="W985" s="207"/>
      <c r="X985" s="207"/>
      <c r="Y985" s="207"/>
      <c r="Z985" s="207"/>
      <c r="AA985" s="207"/>
      <c r="AB985" s="207"/>
      <c r="AC985" s="207"/>
      <c r="AD985" s="207"/>
      <c r="AE985" s="207"/>
      <c r="AF985" s="207"/>
      <c r="AG985" s="207"/>
      <c r="AH985" s="207"/>
      <c r="AI985" s="207"/>
      <c r="AJ985" s="207"/>
      <c r="AK985" s="207"/>
      <c r="AL985" s="207"/>
      <c r="AM985" s="207"/>
      <c r="AN985" s="207"/>
      <c r="AO985" s="207"/>
      <c r="AP985" s="207"/>
      <c r="AQ985" s="207"/>
      <c r="AR985" s="207"/>
      <c r="AS985" s="207"/>
      <c r="AT985" s="207"/>
      <c r="AU985" s="207"/>
      <c r="AV985" s="207"/>
      <c r="AW985" s="207"/>
      <c r="AX985" s="207"/>
      <c r="AY985" s="207"/>
      <c r="AZ985" s="207"/>
      <c r="BA985" s="207"/>
    </row>
    <row r="986" ht="18.75" hidden="1" customHeight="1">
      <c r="A986" s="1"/>
      <c r="B986" s="207"/>
      <c r="C986" s="207"/>
      <c r="D986" s="207"/>
      <c r="E986" s="207"/>
      <c r="F986" s="207"/>
      <c r="G986" s="207"/>
      <c r="H986" s="207"/>
      <c r="I986" s="207"/>
      <c r="J986" s="207"/>
      <c r="K986" s="207"/>
      <c r="L986" s="207"/>
      <c r="M986" s="207"/>
      <c r="N986" s="207"/>
      <c r="O986" s="207"/>
      <c r="P986" s="207"/>
      <c r="Q986" s="207"/>
      <c r="R986" s="207"/>
      <c r="S986" s="207"/>
      <c r="T986" s="207"/>
      <c r="U986" s="207"/>
      <c r="V986" s="207"/>
      <c r="W986" s="207"/>
      <c r="X986" s="207"/>
      <c r="Y986" s="207"/>
      <c r="Z986" s="207"/>
      <c r="AA986" s="207"/>
      <c r="AB986" s="207"/>
      <c r="AC986" s="207"/>
      <c r="AD986" s="207"/>
      <c r="AE986" s="207"/>
      <c r="AF986" s="207"/>
      <c r="AG986" s="207"/>
      <c r="AH986" s="207"/>
      <c r="AI986" s="207"/>
      <c r="AJ986" s="207"/>
      <c r="AK986" s="207"/>
      <c r="AL986" s="207"/>
      <c r="AM986" s="207"/>
      <c r="AN986" s="207"/>
      <c r="AO986" s="207"/>
      <c r="AP986" s="207"/>
      <c r="AQ986" s="207"/>
      <c r="AR986" s="207"/>
      <c r="AS986" s="207"/>
      <c r="AT986" s="207"/>
      <c r="AU986" s="207"/>
      <c r="AV986" s="207"/>
      <c r="AW986" s="207"/>
      <c r="AX986" s="207"/>
      <c r="AY986" s="207"/>
      <c r="AZ986" s="207"/>
      <c r="BA986" s="207"/>
    </row>
    <row r="987" ht="18.75" hidden="1" customHeight="1">
      <c r="A987" s="1"/>
      <c r="B987" s="207"/>
      <c r="C987" s="207"/>
      <c r="D987" s="207"/>
      <c r="E987" s="207"/>
      <c r="F987" s="207"/>
      <c r="G987" s="207"/>
      <c r="H987" s="207"/>
      <c r="I987" s="207"/>
      <c r="J987" s="207"/>
      <c r="K987" s="207"/>
      <c r="L987" s="207"/>
      <c r="M987" s="207"/>
      <c r="N987" s="207"/>
      <c r="O987" s="207"/>
      <c r="P987" s="207"/>
      <c r="Q987" s="207"/>
      <c r="R987" s="207"/>
      <c r="S987" s="207"/>
      <c r="T987" s="207"/>
      <c r="U987" s="207"/>
      <c r="V987" s="207"/>
      <c r="W987" s="207"/>
      <c r="X987" s="207"/>
      <c r="Y987" s="207"/>
      <c r="Z987" s="207"/>
      <c r="AA987" s="207"/>
      <c r="AB987" s="207"/>
      <c r="AC987" s="207"/>
      <c r="AD987" s="207"/>
      <c r="AE987" s="207"/>
      <c r="AF987" s="207"/>
      <c r="AG987" s="207"/>
      <c r="AH987" s="207"/>
      <c r="AI987" s="207"/>
      <c r="AJ987" s="207"/>
      <c r="AK987" s="207"/>
      <c r="AL987" s="207"/>
      <c r="AM987" s="207"/>
      <c r="AN987" s="207"/>
      <c r="AO987" s="207"/>
      <c r="AP987" s="207"/>
      <c r="AQ987" s="207"/>
      <c r="AR987" s="207"/>
      <c r="AS987" s="207"/>
      <c r="AT987" s="207"/>
      <c r="AU987" s="207"/>
      <c r="AV987" s="207"/>
      <c r="AW987" s="207"/>
      <c r="AX987" s="207"/>
      <c r="AY987" s="207"/>
      <c r="AZ987" s="207"/>
      <c r="BA987" s="207"/>
    </row>
    <row r="988" ht="18.75" hidden="1" customHeight="1">
      <c r="A988" s="1"/>
      <c r="B988" s="207"/>
      <c r="C988" s="207"/>
      <c r="D988" s="207"/>
      <c r="E988" s="207"/>
      <c r="F988" s="207"/>
      <c r="G988" s="207"/>
      <c r="H988" s="207"/>
      <c r="I988" s="207"/>
      <c r="J988" s="207"/>
      <c r="K988" s="207"/>
      <c r="L988" s="207"/>
      <c r="M988" s="207"/>
      <c r="N988" s="207"/>
      <c r="O988" s="207"/>
      <c r="P988" s="207"/>
      <c r="Q988" s="207"/>
      <c r="R988" s="207"/>
      <c r="S988" s="207"/>
      <c r="T988" s="207"/>
      <c r="U988" s="207"/>
      <c r="V988" s="207"/>
      <c r="W988" s="207"/>
      <c r="X988" s="207"/>
      <c r="Y988" s="207"/>
      <c r="Z988" s="207"/>
      <c r="AA988" s="207"/>
      <c r="AB988" s="207"/>
      <c r="AC988" s="207"/>
      <c r="AD988" s="207"/>
      <c r="AE988" s="207"/>
      <c r="AF988" s="207"/>
      <c r="AG988" s="207"/>
      <c r="AH988" s="207"/>
      <c r="AI988" s="207"/>
      <c r="AJ988" s="207"/>
      <c r="AK988" s="207"/>
      <c r="AL988" s="207"/>
      <c r="AM988" s="207"/>
      <c r="AN988" s="207"/>
      <c r="AO988" s="207"/>
      <c r="AP988" s="207"/>
      <c r="AQ988" s="207"/>
      <c r="AR988" s="207"/>
      <c r="AS988" s="207"/>
      <c r="AT988" s="207"/>
      <c r="AU988" s="207"/>
      <c r="AV988" s="207"/>
      <c r="AW988" s="207"/>
      <c r="AX988" s="207"/>
      <c r="AY988" s="207"/>
      <c r="AZ988" s="207"/>
      <c r="BA988" s="207"/>
    </row>
    <row r="989" ht="18.75" hidden="1" customHeight="1">
      <c r="A989" s="1"/>
      <c r="B989" s="207"/>
      <c r="C989" s="207"/>
      <c r="D989" s="207"/>
      <c r="E989" s="207"/>
      <c r="F989" s="207"/>
      <c r="G989" s="207"/>
      <c r="H989" s="207"/>
      <c r="I989" s="207"/>
      <c r="J989" s="207"/>
      <c r="K989" s="207"/>
      <c r="L989" s="207"/>
      <c r="M989" s="207"/>
      <c r="N989" s="207"/>
      <c r="O989" s="207"/>
      <c r="P989" s="207"/>
      <c r="Q989" s="207"/>
      <c r="R989" s="207"/>
      <c r="S989" s="207"/>
      <c r="T989" s="207"/>
      <c r="U989" s="207"/>
      <c r="V989" s="207"/>
      <c r="W989" s="207"/>
      <c r="X989" s="207"/>
      <c r="Y989" s="207"/>
      <c r="Z989" s="207"/>
      <c r="AA989" s="207"/>
      <c r="AB989" s="207"/>
      <c r="AC989" s="207"/>
      <c r="AD989" s="207"/>
      <c r="AE989" s="207"/>
      <c r="AF989" s="207"/>
      <c r="AG989" s="207"/>
      <c r="AH989" s="207"/>
      <c r="AI989" s="207"/>
      <c r="AJ989" s="207"/>
      <c r="AK989" s="207"/>
      <c r="AL989" s="207"/>
      <c r="AM989" s="207"/>
      <c r="AN989" s="207"/>
      <c r="AO989" s="207"/>
      <c r="AP989" s="207"/>
      <c r="AQ989" s="207"/>
      <c r="AR989" s="207"/>
      <c r="AS989" s="207"/>
      <c r="AT989" s="207"/>
      <c r="AU989" s="207"/>
      <c r="AV989" s="207"/>
      <c r="AW989" s="207"/>
      <c r="AX989" s="207"/>
      <c r="AY989" s="207"/>
      <c r="AZ989" s="207"/>
      <c r="BA989" s="207"/>
    </row>
    <row r="990" ht="18.75" hidden="1" customHeight="1">
      <c r="A990" s="1"/>
      <c r="B990" s="207"/>
      <c r="C990" s="207"/>
      <c r="D990" s="207"/>
      <c r="E990" s="207"/>
      <c r="F990" s="207"/>
      <c r="G990" s="207"/>
      <c r="H990" s="207"/>
      <c r="I990" s="207"/>
      <c r="J990" s="207"/>
      <c r="K990" s="207"/>
      <c r="L990" s="207"/>
      <c r="M990" s="207"/>
      <c r="N990" s="207"/>
      <c r="O990" s="207"/>
      <c r="P990" s="207"/>
      <c r="Q990" s="207"/>
      <c r="R990" s="207"/>
      <c r="S990" s="207"/>
      <c r="T990" s="207"/>
      <c r="U990" s="207"/>
      <c r="V990" s="207"/>
      <c r="W990" s="207"/>
      <c r="X990" s="207"/>
      <c r="Y990" s="207"/>
      <c r="Z990" s="207"/>
      <c r="AA990" s="207"/>
      <c r="AB990" s="207"/>
      <c r="AC990" s="207"/>
      <c r="AD990" s="207"/>
      <c r="AE990" s="207"/>
      <c r="AF990" s="207"/>
      <c r="AG990" s="207"/>
      <c r="AH990" s="207"/>
      <c r="AI990" s="207"/>
      <c r="AJ990" s="207"/>
      <c r="AK990" s="207"/>
      <c r="AL990" s="207"/>
      <c r="AM990" s="207"/>
      <c r="AN990" s="207"/>
      <c r="AO990" s="207"/>
      <c r="AP990" s="207"/>
      <c r="AQ990" s="207"/>
      <c r="AR990" s="207"/>
      <c r="AS990" s="207"/>
      <c r="AT990" s="207"/>
      <c r="AU990" s="207"/>
      <c r="AV990" s="207"/>
      <c r="AW990" s="207"/>
      <c r="AX990" s="207"/>
      <c r="AY990" s="207"/>
      <c r="AZ990" s="207"/>
      <c r="BA990" s="207"/>
    </row>
    <row r="991" ht="18.75" hidden="1" customHeight="1">
      <c r="A991" s="1"/>
      <c r="B991" s="207"/>
      <c r="C991" s="207"/>
      <c r="D991" s="207"/>
      <c r="E991" s="207"/>
      <c r="F991" s="207"/>
      <c r="G991" s="207"/>
      <c r="H991" s="207"/>
      <c r="I991" s="207"/>
      <c r="J991" s="207"/>
      <c r="K991" s="207"/>
      <c r="L991" s="207"/>
      <c r="M991" s="207"/>
      <c r="N991" s="207"/>
      <c r="O991" s="207"/>
      <c r="P991" s="207"/>
      <c r="Q991" s="207"/>
      <c r="R991" s="207"/>
      <c r="S991" s="207"/>
      <c r="T991" s="207"/>
      <c r="U991" s="207"/>
      <c r="V991" s="207"/>
      <c r="W991" s="207"/>
      <c r="X991" s="207"/>
      <c r="Y991" s="207"/>
      <c r="Z991" s="207"/>
      <c r="AA991" s="207"/>
      <c r="AB991" s="207"/>
      <c r="AC991" s="207"/>
      <c r="AD991" s="207"/>
      <c r="AE991" s="207"/>
      <c r="AF991" s="207"/>
      <c r="AG991" s="207"/>
      <c r="AH991" s="207"/>
      <c r="AI991" s="207"/>
      <c r="AJ991" s="207"/>
      <c r="AK991" s="207"/>
      <c r="AL991" s="207"/>
      <c r="AM991" s="207"/>
      <c r="AN991" s="207"/>
      <c r="AO991" s="207"/>
      <c r="AP991" s="207"/>
      <c r="AQ991" s="207"/>
      <c r="AR991" s="207"/>
      <c r="AS991" s="207"/>
      <c r="AT991" s="207"/>
      <c r="AU991" s="207"/>
      <c r="AV991" s="207"/>
      <c r="AW991" s="207"/>
      <c r="AX991" s="207"/>
      <c r="AY991" s="207"/>
      <c r="AZ991" s="207"/>
      <c r="BA991" s="207"/>
    </row>
    <row r="992" ht="18.75" hidden="1" customHeight="1">
      <c r="A992" s="1"/>
      <c r="B992" s="207"/>
      <c r="C992" s="207"/>
      <c r="D992" s="207"/>
      <c r="E992" s="207"/>
      <c r="F992" s="207"/>
      <c r="G992" s="207"/>
      <c r="H992" s="207"/>
      <c r="I992" s="207"/>
      <c r="J992" s="207"/>
      <c r="K992" s="207"/>
      <c r="L992" s="207"/>
      <c r="M992" s="207"/>
      <c r="N992" s="207"/>
      <c r="O992" s="207"/>
      <c r="P992" s="207"/>
      <c r="Q992" s="207"/>
      <c r="R992" s="207"/>
      <c r="S992" s="207"/>
      <c r="T992" s="207"/>
      <c r="U992" s="207"/>
      <c r="V992" s="207"/>
      <c r="W992" s="207"/>
      <c r="X992" s="207"/>
      <c r="Y992" s="207"/>
      <c r="Z992" s="207"/>
      <c r="AA992" s="207"/>
      <c r="AB992" s="207"/>
      <c r="AC992" s="207"/>
      <c r="AD992" s="207"/>
      <c r="AE992" s="207"/>
      <c r="AF992" s="207"/>
      <c r="AG992" s="207"/>
      <c r="AH992" s="207"/>
      <c r="AI992" s="207"/>
      <c r="AJ992" s="207"/>
      <c r="AK992" s="207"/>
      <c r="AL992" s="207"/>
      <c r="AM992" s="207"/>
      <c r="AN992" s="207"/>
      <c r="AO992" s="207"/>
      <c r="AP992" s="207"/>
      <c r="AQ992" s="207"/>
      <c r="AR992" s="207"/>
      <c r="AS992" s="207"/>
      <c r="AT992" s="207"/>
      <c r="AU992" s="207"/>
      <c r="AV992" s="207"/>
      <c r="AW992" s="207"/>
      <c r="AX992" s="207"/>
      <c r="AY992" s="207"/>
      <c r="AZ992" s="207"/>
      <c r="BA992" s="207"/>
    </row>
    <row r="993" ht="18.75" hidden="1" customHeight="1">
      <c r="A993" s="1"/>
      <c r="B993" s="207"/>
      <c r="C993" s="207"/>
      <c r="D993" s="207"/>
      <c r="E993" s="207"/>
      <c r="F993" s="207"/>
      <c r="G993" s="207"/>
      <c r="H993" s="207"/>
      <c r="I993" s="207"/>
      <c r="J993" s="207"/>
      <c r="K993" s="207"/>
      <c r="L993" s="207"/>
      <c r="M993" s="207"/>
      <c r="N993" s="207"/>
      <c r="O993" s="207"/>
      <c r="P993" s="207"/>
      <c r="Q993" s="207"/>
      <c r="R993" s="207"/>
      <c r="S993" s="207"/>
      <c r="T993" s="207"/>
      <c r="U993" s="207"/>
      <c r="V993" s="207"/>
      <c r="W993" s="207"/>
      <c r="X993" s="207"/>
      <c r="Y993" s="207"/>
      <c r="Z993" s="207"/>
      <c r="AA993" s="207"/>
      <c r="AB993" s="207"/>
      <c r="AC993" s="207"/>
      <c r="AD993" s="207"/>
      <c r="AE993" s="207"/>
      <c r="AF993" s="207"/>
      <c r="AG993" s="207"/>
      <c r="AH993" s="207"/>
      <c r="AI993" s="207"/>
      <c r="AJ993" s="207"/>
      <c r="AK993" s="207"/>
      <c r="AL993" s="207"/>
      <c r="AM993" s="207"/>
      <c r="AN993" s="207"/>
      <c r="AO993" s="207"/>
      <c r="AP993" s="207"/>
      <c r="AQ993" s="207"/>
      <c r="AR993" s="207"/>
      <c r="AS993" s="207"/>
      <c r="AT993" s="207"/>
      <c r="AU993" s="207"/>
      <c r="AV993" s="207"/>
      <c r="AW993" s="207"/>
      <c r="AX993" s="207"/>
      <c r="AY993" s="207"/>
      <c r="AZ993" s="207"/>
      <c r="BA993" s="207"/>
    </row>
    <row r="994" ht="18.75" hidden="1" customHeight="1">
      <c r="A994" s="1"/>
      <c r="B994" s="207"/>
      <c r="C994" s="207"/>
      <c r="D994" s="207"/>
      <c r="E994" s="207"/>
      <c r="F994" s="207"/>
      <c r="G994" s="207"/>
      <c r="H994" s="207"/>
      <c r="I994" s="207"/>
      <c r="J994" s="207"/>
      <c r="K994" s="207"/>
      <c r="L994" s="207"/>
      <c r="M994" s="207"/>
      <c r="N994" s="207"/>
      <c r="O994" s="207"/>
      <c r="P994" s="207"/>
      <c r="Q994" s="207"/>
      <c r="R994" s="207"/>
      <c r="S994" s="207"/>
      <c r="T994" s="207"/>
      <c r="U994" s="207"/>
      <c r="V994" s="207"/>
      <c r="W994" s="207"/>
      <c r="X994" s="207"/>
      <c r="Y994" s="207"/>
      <c r="Z994" s="207"/>
      <c r="AA994" s="207"/>
      <c r="AB994" s="207"/>
      <c r="AC994" s="207"/>
      <c r="AD994" s="207"/>
      <c r="AE994" s="207"/>
      <c r="AF994" s="207"/>
      <c r="AG994" s="207"/>
      <c r="AH994" s="207"/>
      <c r="AI994" s="207"/>
      <c r="AJ994" s="207"/>
      <c r="AK994" s="207"/>
      <c r="AL994" s="207"/>
      <c r="AM994" s="207"/>
      <c r="AN994" s="207"/>
      <c r="AO994" s="207"/>
      <c r="AP994" s="207"/>
      <c r="AQ994" s="207"/>
      <c r="AR994" s="207"/>
      <c r="AS994" s="207"/>
      <c r="AT994" s="207"/>
      <c r="AU994" s="207"/>
      <c r="AV994" s="207"/>
      <c r="AW994" s="207"/>
      <c r="AX994" s="207"/>
      <c r="AY994" s="207"/>
      <c r="AZ994" s="207"/>
      <c r="BA994" s="207"/>
    </row>
    <row r="995" ht="18.75" hidden="1" customHeight="1">
      <c r="A995" s="1"/>
      <c r="B995" s="207"/>
      <c r="C995" s="207"/>
      <c r="D995" s="207"/>
      <c r="E995" s="207"/>
      <c r="F995" s="207"/>
      <c r="G995" s="207"/>
      <c r="H995" s="207"/>
      <c r="I995" s="207"/>
      <c r="J995" s="207"/>
      <c r="K995" s="207"/>
      <c r="L995" s="207"/>
      <c r="M995" s="207"/>
      <c r="N995" s="207"/>
      <c r="O995" s="207"/>
      <c r="P995" s="207"/>
      <c r="Q995" s="207"/>
      <c r="R995" s="207"/>
      <c r="S995" s="207"/>
      <c r="T995" s="207"/>
      <c r="U995" s="207"/>
      <c r="V995" s="207"/>
      <c r="W995" s="207"/>
      <c r="X995" s="207"/>
      <c r="Y995" s="207"/>
      <c r="Z995" s="207"/>
      <c r="AA995" s="207"/>
      <c r="AB995" s="207"/>
      <c r="AC995" s="207"/>
      <c r="AD995" s="207"/>
      <c r="AE995" s="207"/>
      <c r="AF995" s="207"/>
      <c r="AG995" s="207"/>
      <c r="AH995" s="207"/>
      <c r="AI995" s="207"/>
      <c r="AJ995" s="207"/>
      <c r="AK995" s="207"/>
      <c r="AL995" s="207"/>
      <c r="AM995" s="207"/>
      <c r="AN995" s="207"/>
      <c r="AO995" s="207"/>
      <c r="AP995" s="207"/>
      <c r="AQ995" s="207"/>
      <c r="AR995" s="207"/>
      <c r="AS995" s="207"/>
      <c r="AT995" s="207"/>
      <c r="AU995" s="207"/>
      <c r="AV995" s="207"/>
      <c r="AW995" s="207"/>
      <c r="AX995" s="207"/>
      <c r="AY995" s="207"/>
      <c r="AZ995" s="207"/>
      <c r="BA995" s="207"/>
    </row>
    <row r="996" ht="18.75" hidden="1" customHeight="1">
      <c r="A996" s="1"/>
      <c r="B996" s="207"/>
      <c r="C996" s="207"/>
      <c r="D996" s="207"/>
      <c r="E996" s="207"/>
      <c r="F996" s="207"/>
      <c r="G996" s="207"/>
      <c r="H996" s="207"/>
      <c r="I996" s="207"/>
      <c r="J996" s="207"/>
      <c r="K996" s="207"/>
      <c r="L996" s="207"/>
      <c r="M996" s="207"/>
      <c r="N996" s="207"/>
      <c r="O996" s="207"/>
      <c r="P996" s="207"/>
      <c r="Q996" s="207"/>
      <c r="R996" s="207"/>
      <c r="S996" s="207"/>
      <c r="T996" s="207"/>
      <c r="U996" s="207"/>
      <c r="V996" s="207"/>
      <c r="W996" s="207"/>
      <c r="X996" s="207"/>
      <c r="Y996" s="207"/>
      <c r="Z996" s="207"/>
      <c r="AA996" s="207"/>
      <c r="AB996" s="207"/>
      <c r="AC996" s="207"/>
      <c r="AD996" s="207"/>
      <c r="AE996" s="207"/>
      <c r="AF996" s="207"/>
      <c r="AG996" s="207"/>
      <c r="AH996" s="207"/>
      <c r="AI996" s="207"/>
      <c r="AJ996" s="207"/>
      <c r="AK996" s="207"/>
      <c r="AL996" s="207"/>
      <c r="AM996" s="207"/>
      <c r="AN996" s="207"/>
      <c r="AO996" s="207"/>
      <c r="AP996" s="207"/>
      <c r="AQ996" s="207"/>
      <c r="AR996" s="207"/>
      <c r="AS996" s="207"/>
      <c r="AT996" s="207"/>
      <c r="AU996" s="207"/>
      <c r="AV996" s="207"/>
      <c r="AW996" s="207"/>
      <c r="AX996" s="207"/>
      <c r="AY996" s="207"/>
      <c r="AZ996" s="207"/>
      <c r="BA996" s="207"/>
    </row>
    <row r="997" ht="18.75" hidden="1" customHeight="1">
      <c r="A997" s="1"/>
      <c r="B997" s="207"/>
      <c r="C997" s="207"/>
      <c r="D997" s="207"/>
      <c r="E997" s="207"/>
      <c r="F997" s="207"/>
      <c r="G997" s="207"/>
      <c r="H997" s="207"/>
      <c r="I997" s="207"/>
      <c r="J997" s="207"/>
      <c r="K997" s="207"/>
      <c r="L997" s="207"/>
      <c r="M997" s="207"/>
      <c r="N997" s="207"/>
      <c r="O997" s="207"/>
      <c r="P997" s="207"/>
      <c r="Q997" s="207"/>
      <c r="R997" s="207"/>
      <c r="S997" s="207"/>
      <c r="T997" s="207"/>
      <c r="U997" s="207"/>
      <c r="V997" s="207"/>
      <c r="W997" s="207"/>
      <c r="X997" s="207"/>
      <c r="Y997" s="207"/>
      <c r="Z997" s="207"/>
      <c r="AA997" s="207"/>
      <c r="AB997" s="207"/>
      <c r="AC997" s="207"/>
      <c r="AD997" s="207"/>
      <c r="AE997" s="207"/>
      <c r="AF997" s="207"/>
      <c r="AG997" s="207"/>
      <c r="AH997" s="207"/>
      <c r="AI997" s="207"/>
      <c r="AJ997" s="207"/>
      <c r="AK997" s="207"/>
      <c r="AL997" s="207"/>
      <c r="AM997" s="207"/>
      <c r="AN997" s="207"/>
      <c r="AO997" s="207"/>
      <c r="AP997" s="207"/>
      <c r="AQ997" s="207"/>
      <c r="AR997" s="207"/>
      <c r="AS997" s="207"/>
      <c r="AT997" s="207"/>
      <c r="AU997" s="207"/>
      <c r="AV997" s="207"/>
      <c r="AW997" s="207"/>
      <c r="AX997" s="207"/>
      <c r="AY997" s="207"/>
      <c r="AZ997" s="207"/>
      <c r="BA997" s="207"/>
    </row>
    <row r="998" ht="18.75" hidden="1" customHeight="1">
      <c r="A998" s="1"/>
      <c r="B998" s="207"/>
      <c r="C998" s="207"/>
      <c r="D998" s="207"/>
      <c r="E998" s="207"/>
      <c r="F998" s="207"/>
      <c r="G998" s="207"/>
      <c r="H998" s="207"/>
      <c r="I998" s="207"/>
      <c r="J998" s="207"/>
      <c r="K998" s="207"/>
      <c r="L998" s="207"/>
      <c r="M998" s="207"/>
      <c r="N998" s="207"/>
      <c r="O998" s="207"/>
      <c r="P998" s="207"/>
      <c r="Q998" s="207"/>
      <c r="R998" s="207"/>
      <c r="S998" s="207"/>
      <c r="T998" s="207"/>
      <c r="U998" s="207"/>
      <c r="V998" s="207"/>
      <c r="W998" s="207"/>
      <c r="X998" s="207"/>
      <c r="Y998" s="207"/>
      <c r="Z998" s="207"/>
      <c r="AA998" s="207"/>
      <c r="AB998" s="207"/>
      <c r="AC998" s="207"/>
      <c r="AD998" s="207"/>
      <c r="AE998" s="207"/>
      <c r="AF998" s="207"/>
      <c r="AG998" s="207"/>
      <c r="AH998" s="207"/>
      <c r="AI998" s="207"/>
      <c r="AJ998" s="207"/>
      <c r="AK998" s="207"/>
      <c r="AL998" s="207"/>
      <c r="AM998" s="207"/>
      <c r="AN998" s="207"/>
      <c r="AO998" s="207"/>
      <c r="AP998" s="207"/>
      <c r="AQ998" s="207"/>
      <c r="AR998" s="207"/>
      <c r="AS998" s="207"/>
      <c r="AT998" s="207"/>
      <c r="AU998" s="207"/>
      <c r="AV998" s="207"/>
      <c r="AW998" s="207"/>
      <c r="AX998" s="207"/>
      <c r="AY998" s="207"/>
      <c r="AZ998" s="207"/>
      <c r="BA998" s="207"/>
    </row>
    <row r="999" ht="18.75" hidden="1" customHeight="1">
      <c r="A999" s="1"/>
      <c r="B999" s="207"/>
      <c r="C999" s="207"/>
      <c r="D999" s="207"/>
      <c r="E999" s="207"/>
      <c r="F999" s="207"/>
      <c r="G999" s="207"/>
      <c r="H999" s="207"/>
      <c r="I999" s="207"/>
      <c r="J999" s="207"/>
      <c r="K999" s="207"/>
      <c r="L999" s="207"/>
      <c r="M999" s="207"/>
      <c r="N999" s="207"/>
      <c r="O999" s="207"/>
      <c r="P999" s="207"/>
      <c r="Q999" s="207"/>
      <c r="R999" s="207"/>
      <c r="S999" s="207"/>
      <c r="T999" s="207"/>
      <c r="U999" s="207"/>
      <c r="V999" s="207"/>
      <c r="W999" s="207"/>
      <c r="X999" s="207"/>
      <c r="Y999" s="207"/>
      <c r="Z999" s="207"/>
      <c r="AA999" s="207"/>
      <c r="AB999" s="207"/>
      <c r="AC999" s="207"/>
      <c r="AD999" s="207"/>
      <c r="AE999" s="207"/>
      <c r="AF999" s="207"/>
      <c r="AG999" s="207"/>
      <c r="AH999" s="207"/>
      <c r="AI999" s="207"/>
      <c r="AJ999" s="207"/>
      <c r="AK999" s="207"/>
      <c r="AL999" s="207"/>
      <c r="AM999" s="207"/>
      <c r="AN999" s="207"/>
      <c r="AO999" s="207"/>
      <c r="AP999" s="207"/>
      <c r="AQ999" s="207"/>
      <c r="AR999" s="207"/>
      <c r="AS999" s="207"/>
      <c r="AT999" s="207"/>
      <c r="AU999" s="207"/>
      <c r="AV999" s="207"/>
      <c r="AW999" s="207"/>
      <c r="AX999" s="207"/>
      <c r="AY999" s="207"/>
      <c r="AZ999" s="207"/>
      <c r="BA999" s="207"/>
    </row>
    <row r="1000" ht="18.75" hidden="1" customHeight="1">
      <c r="A1000" s="1"/>
      <c r="B1000" s="207"/>
      <c r="C1000" s="207"/>
      <c r="D1000" s="207"/>
      <c r="E1000" s="207"/>
      <c r="F1000" s="207"/>
      <c r="G1000" s="207"/>
      <c r="H1000" s="207"/>
      <c r="I1000" s="207"/>
      <c r="J1000" s="207"/>
      <c r="K1000" s="207"/>
      <c r="L1000" s="207"/>
      <c r="M1000" s="207"/>
      <c r="N1000" s="207"/>
      <c r="O1000" s="207"/>
      <c r="P1000" s="207"/>
      <c r="Q1000" s="207"/>
      <c r="R1000" s="207"/>
      <c r="S1000" s="207"/>
      <c r="T1000" s="207"/>
      <c r="U1000" s="207"/>
      <c r="V1000" s="207"/>
      <c r="W1000" s="207"/>
      <c r="X1000" s="207"/>
      <c r="Y1000" s="207"/>
      <c r="Z1000" s="207"/>
      <c r="AA1000" s="207"/>
      <c r="AB1000" s="207"/>
      <c r="AC1000" s="207"/>
      <c r="AD1000" s="207"/>
      <c r="AE1000" s="207"/>
      <c r="AF1000" s="207"/>
      <c r="AG1000" s="207"/>
      <c r="AH1000" s="207"/>
      <c r="AI1000" s="207"/>
      <c r="AJ1000" s="207"/>
      <c r="AK1000" s="207"/>
      <c r="AL1000" s="207"/>
      <c r="AM1000" s="207"/>
      <c r="AN1000" s="207"/>
      <c r="AO1000" s="207"/>
      <c r="AP1000" s="207"/>
      <c r="AQ1000" s="207"/>
      <c r="AR1000" s="207"/>
      <c r="AS1000" s="207"/>
      <c r="AT1000" s="207"/>
      <c r="AU1000" s="207"/>
      <c r="AV1000" s="207"/>
      <c r="AW1000" s="207"/>
      <c r="AX1000" s="207"/>
      <c r="AY1000" s="207"/>
      <c r="AZ1000" s="207"/>
      <c r="BA1000" s="207"/>
    </row>
    <row r="1001" ht="18.75" hidden="1" customHeight="1">
      <c r="A1001" s="1"/>
      <c r="B1001" s="207"/>
      <c r="C1001" s="207"/>
      <c r="D1001" s="207"/>
      <c r="E1001" s="207"/>
      <c r="F1001" s="207"/>
      <c r="G1001" s="207"/>
      <c r="H1001" s="207"/>
      <c r="I1001" s="207"/>
      <c r="J1001" s="207"/>
      <c r="K1001" s="207"/>
      <c r="L1001" s="207"/>
      <c r="M1001" s="207"/>
      <c r="N1001" s="207"/>
      <c r="O1001" s="207"/>
      <c r="P1001" s="207"/>
      <c r="Q1001" s="207"/>
      <c r="R1001" s="207"/>
      <c r="S1001" s="207"/>
      <c r="T1001" s="207"/>
      <c r="U1001" s="207"/>
      <c r="V1001" s="207"/>
      <c r="W1001" s="207"/>
      <c r="X1001" s="207"/>
      <c r="Y1001" s="207"/>
      <c r="Z1001" s="207"/>
      <c r="AA1001" s="207"/>
      <c r="AB1001" s="207"/>
      <c r="AC1001" s="207"/>
      <c r="AD1001" s="207"/>
      <c r="AE1001" s="207"/>
      <c r="AF1001" s="207"/>
      <c r="AG1001" s="207"/>
      <c r="AH1001" s="207"/>
      <c r="AI1001" s="207"/>
      <c r="AJ1001" s="207"/>
      <c r="AK1001" s="207"/>
      <c r="AL1001" s="207"/>
      <c r="AM1001" s="207"/>
      <c r="AN1001" s="207"/>
      <c r="AO1001" s="207"/>
      <c r="AP1001" s="207"/>
      <c r="AQ1001" s="207"/>
      <c r="AR1001" s="207"/>
      <c r="AS1001" s="207"/>
      <c r="AT1001" s="207"/>
      <c r="AU1001" s="207"/>
      <c r="AV1001" s="207"/>
      <c r="AW1001" s="207"/>
      <c r="AX1001" s="207"/>
      <c r="AY1001" s="207"/>
      <c r="AZ1001" s="207"/>
      <c r="BA1001" s="207"/>
    </row>
  </sheetData>
  <mergeCells count="40">
    <mergeCell ref="AC3:AF3"/>
    <mergeCell ref="AG3:AJ3"/>
    <mergeCell ref="AK3:AN3"/>
    <mergeCell ref="AO3:AR3"/>
    <mergeCell ref="AS3:AV3"/>
    <mergeCell ref="AW3:AZ3"/>
    <mergeCell ref="B3:D3"/>
    <mergeCell ref="E3:H3"/>
    <mergeCell ref="I3:L3"/>
    <mergeCell ref="M3:P3"/>
    <mergeCell ref="Q3:T3"/>
    <mergeCell ref="U3:X3"/>
    <mergeCell ref="Y3:AB3"/>
    <mergeCell ref="B4:B5"/>
    <mergeCell ref="C4:C5"/>
    <mergeCell ref="D4:D5"/>
    <mergeCell ref="E4:E5"/>
    <mergeCell ref="F4:H4"/>
    <mergeCell ref="I4:I5"/>
    <mergeCell ref="M4:M5"/>
    <mergeCell ref="AL4:AN4"/>
    <mergeCell ref="AP4:AR4"/>
    <mergeCell ref="AT4:AV4"/>
    <mergeCell ref="AX4:AZ4"/>
    <mergeCell ref="J4:L4"/>
    <mergeCell ref="N4:P4"/>
    <mergeCell ref="R4:T4"/>
    <mergeCell ref="V4:X4"/>
    <mergeCell ref="Z4:AB4"/>
    <mergeCell ref="AD4:AF4"/>
    <mergeCell ref="AH4:AJ4"/>
    <mergeCell ref="AS4:AS5"/>
    <mergeCell ref="AW4:AW5"/>
    <mergeCell ref="Q4:Q5"/>
    <mergeCell ref="U4:U5"/>
    <mergeCell ref="Y4:Y5"/>
    <mergeCell ref="AC4:AC5"/>
    <mergeCell ref="AG4:AG5"/>
    <mergeCell ref="AK4:AK5"/>
    <mergeCell ref="AO4:AO5"/>
  </mergeCells>
  <hyperlinks>
    <hyperlink r:id="rId1" location="gid=1548561530" ref="B1"/>
  </hyperlinks>
  <printOptions/>
  <pageMargins bottom="0.75" footer="0.0" header="0.0" left="0.7" right="0.7" top="0.75"/>
  <pageSetup orientation="landscape"/>
  <drawing r:id="rId2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showGridLines="0" workbookViewId="0">
      <pane xSplit="4.0" ySplit="6.0" topLeftCell="E7" activePane="bottomRight" state="frozen"/>
      <selection activeCell="E1" sqref="E1" pane="topRight"/>
      <selection activeCell="A7" sqref="A7" pane="bottomLeft"/>
      <selection activeCell="E7" sqref="E7" pane="bottomRight"/>
    </sheetView>
  </sheetViews>
  <sheetFormatPr customHeight="1" defaultColWidth="12.63" defaultRowHeight="15.0"/>
  <cols>
    <col customWidth="1" min="1" max="1" width="0.38"/>
    <col customWidth="1" min="2" max="2" width="29.88"/>
    <col customWidth="1" min="3" max="3" width="6.75"/>
    <col customWidth="1" min="4" max="4" width="5.88"/>
    <col customWidth="1" min="5" max="16" width="9.75"/>
    <col customWidth="1" min="17" max="17" width="0.38"/>
  </cols>
  <sheetData>
    <row r="1">
      <c r="A1" s="234"/>
      <c r="B1" s="242" t="s">
        <v>165</v>
      </c>
      <c r="C1" s="235"/>
      <c r="D1" s="234"/>
      <c r="E1" s="235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</row>
    <row r="2" ht="14.25" hidden="1" customHeight="1">
      <c r="A2" s="186" t="str">
        <f>IFERROR(__xludf.DUMMYFUNCTION("IMPORTRANGE(""https://docs.google.com/spreadsheets/d/1Nxa_VAbbTHajQ3g1kL2qbZhc0j58_3OxE_mM2C39u0s/edit#gid=1816831599"",""TONG!A1:P27"")"),"")</f>
        <v/>
      </c>
      <c r="B2" s="261" t="str">
        <f>IFERROR(__xludf.DUMMYFUNCTION("""COMPUTED_VALUE"""),"Ngày báo cáo: [15 hàng tháng]")</f>
        <v>Ngày báo cáo: [15 hàng tháng]</v>
      </c>
      <c r="C2" s="262"/>
      <c r="D2" s="261"/>
      <c r="E2" s="262" t="str">
        <f>IFERROR(__xludf.DUMMYFUNCTION("""COMPUTED_VALUE"""),"* Lưu ý: chỉ nhập số liệu vào các ô tô màu vàng")</f>
        <v>* Lưu ý: chỉ nhập số liệu vào các ô tô màu vàng</v>
      </c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4"/>
    </row>
    <row r="3" ht="18.75" customHeight="1">
      <c r="A3" s="6"/>
      <c r="B3" s="265" t="str">
        <f>IFERROR(__xludf.DUMMYFUNCTION("""COMPUTED_VALUE"""),"BIỂU THỐNG KÊ SỐ LIỆU GDTX")</f>
        <v>BIỂU THỐNG KÊ SỐ LIỆU GDTX</v>
      </c>
      <c r="C3" s="8"/>
      <c r="D3" s="9"/>
      <c r="E3" s="266" t="str">
        <f>IFERROR(__xludf.DUMMYFUNCTION("""COMPUTED_VALUE"""),"Th 10/2023")</f>
        <v>Th 10/2023</v>
      </c>
      <c r="F3" s="266" t="str">
        <f>IFERROR(__xludf.DUMMYFUNCTION("""COMPUTED_VALUE"""),"Th 11/2023")</f>
        <v>Th 11/2023</v>
      </c>
      <c r="G3" s="266" t="str">
        <f>IFERROR(__xludf.DUMMYFUNCTION("""COMPUTED_VALUE"""),"Th 12/2023")</f>
        <v>Th 12/2023</v>
      </c>
      <c r="H3" s="267" t="str">
        <f>IFERROR(__xludf.DUMMYFUNCTION("""COMPUTED_VALUE"""),"Th 1/2024")</f>
        <v>Th 1/2024</v>
      </c>
      <c r="I3" s="267" t="str">
        <f>IFERROR(__xludf.DUMMYFUNCTION("""COMPUTED_VALUE"""),"Th 2/2024")</f>
        <v>Th 2/2024</v>
      </c>
      <c r="J3" s="267" t="str">
        <f>IFERROR(__xludf.DUMMYFUNCTION("""COMPUTED_VALUE"""),"Th 3/2024")</f>
        <v>Th 3/2024</v>
      </c>
      <c r="K3" s="268" t="str">
        <f>IFERROR(__xludf.DUMMYFUNCTION("""COMPUTED_VALUE"""),"Th 4/2024")</f>
        <v>Th 4/2024</v>
      </c>
      <c r="L3" s="268" t="str">
        <f>IFERROR(__xludf.DUMMYFUNCTION("""COMPUTED_VALUE"""),"Th 5/2024")</f>
        <v>Th 5/2024</v>
      </c>
      <c r="M3" s="268" t="str">
        <f>IFERROR(__xludf.DUMMYFUNCTION("""COMPUTED_VALUE"""),"Th 6/2024")</f>
        <v>Th 6/2024</v>
      </c>
      <c r="N3" s="269" t="str">
        <f>IFERROR(__xludf.DUMMYFUNCTION("""COMPUTED_VALUE"""),"Th 7/2024")</f>
        <v>Th 7/2024</v>
      </c>
      <c r="O3" s="269" t="str">
        <f>IFERROR(__xludf.DUMMYFUNCTION("""COMPUTED_VALUE"""),"Th 8/2024")</f>
        <v>Th 8/2024</v>
      </c>
      <c r="P3" s="270" t="str">
        <f>IFERROR(__xludf.DUMMYFUNCTION("""COMPUTED_VALUE"""),"Th 9/2024")</f>
        <v>Th 9/2024</v>
      </c>
      <c r="Q3" s="16"/>
    </row>
    <row r="4" ht="13.5" customHeight="1">
      <c r="A4" s="6"/>
      <c r="B4" s="17" t="str">
        <f>IFERROR(__xludf.DUMMYFUNCTION("""COMPUTED_VALUE"""),"TOÀN TỈNH")</f>
        <v>TOÀN TỈNH</v>
      </c>
      <c r="C4" s="18" t="str">
        <f>IFERROR(__xludf.DUMMYFUNCTION("""COMPUTED_VALUE"""),"Tần suất
báo cáo")</f>
        <v>Tần suất
báo cáo</v>
      </c>
      <c r="D4" s="18" t="str">
        <f>IFERROR(__xludf.DUMMYFUNCTION("""COMPUTED_VALUE"""),"Đơn vị
tính")</f>
        <v>Đơn vị
tính</v>
      </c>
      <c r="E4" s="19" t="str">
        <f>IFERROR(__xludf.DUMMYFUNCTION("""COMPUTED_VALUE"""),"Tổng số")</f>
        <v>Tổng số</v>
      </c>
      <c r="F4" s="19" t="str">
        <f>IFERROR(__xludf.DUMMYFUNCTION("""COMPUTED_VALUE"""),"Tổng số")</f>
        <v>Tổng số</v>
      </c>
      <c r="G4" s="19" t="str">
        <f>IFERROR(__xludf.DUMMYFUNCTION("""COMPUTED_VALUE"""),"Tổng số")</f>
        <v>Tổng số</v>
      </c>
      <c r="H4" s="19" t="str">
        <f>IFERROR(__xludf.DUMMYFUNCTION("""COMPUTED_VALUE"""),"Tổng số")</f>
        <v>Tổng số</v>
      </c>
      <c r="I4" s="19" t="str">
        <f>IFERROR(__xludf.DUMMYFUNCTION("""COMPUTED_VALUE"""),"Tổng số")</f>
        <v>Tổng số</v>
      </c>
      <c r="J4" s="19" t="str">
        <f>IFERROR(__xludf.DUMMYFUNCTION("""COMPUTED_VALUE"""),"Tổng số")</f>
        <v>Tổng số</v>
      </c>
      <c r="K4" s="19" t="str">
        <f>IFERROR(__xludf.DUMMYFUNCTION("""COMPUTED_VALUE"""),"Tổng số")</f>
        <v>Tổng số</v>
      </c>
      <c r="L4" s="19" t="str">
        <f>IFERROR(__xludf.DUMMYFUNCTION("""COMPUTED_VALUE"""),"Tổng số")</f>
        <v>Tổng số</v>
      </c>
      <c r="M4" s="19" t="str">
        <f>IFERROR(__xludf.DUMMYFUNCTION("""COMPUTED_VALUE"""),"Tổng số")</f>
        <v>Tổng số</v>
      </c>
      <c r="N4" s="19" t="str">
        <f>IFERROR(__xludf.DUMMYFUNCTION("""COMPUTED_VALUE"""),"Tổng số")</f>
        <v>Tổng số</v>
      </c>
      <c r="O4" s="19" t="str">
        <f>IFERROR(__xludf.DUMMYFUNCTION("""COMPUTED_VALUE"""),"Tổng số")</f>
        <v>Tổng số</v>
      </c>
      <c r="P4" s="271" t="str">
        <f>IFERROR(__xludf.DUMMYFUNCTION("""COMPUTED_VALUE"""),"Tổng số")</f>
        <v>Tổng số</v>
      </c>
      <c r="Q4" s="16"/>
    </row>
    <row r="5" ht="13.5" customHeight="1">
      <c r="A5" s="6"/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72"/>
      <c r="Q5" s="16"/>
    </row>
    <row r="6" ht="13.5" customHeight="1">
      <c r="A6" s="6"/>
      <c r="B6" s="28" t="str">
        <f>IFERROR(__xludf.DUMMYFUNCTION("""COMPUTED_VALUE"""),"A")</f>
        <v>A</v>
      </c>
      <c r="C6" s="26" t="str">
        <f>IFERROR(__xludf.DUMMYFUNCTION("""COMPUTED_VALUE"""),"B")</f>
        <v>B</v>
      </c>
      <c r="D6" s="26" t="str">
        <f>IFERROR(__xludf.DUMMYFUNCTION("""COMPUTED_VALUE"""),"C")</f>
        <v>C</v>
      </c>
      <c r="E6" s="26">
        <f>IFERROR(__xludf.DUMMYFUNCTION("""COMPUTED_VALUE"""),1.0)</f>
        <v>1</v>
      </c>
      <c r="F6" s="26">
        <f>IFERROR(__xludf.DUMMYFUNCTION("""COMPUTED_VALUE"""),2.0)</f>
        <v>2</v>
      </c>
      <c r="G6" s="26">
        <f>IFERROR(__xludf.DUMMYFUNCTION("""COMPUTED_VALUE"""),3.0)</f>
        <v>3</v>
      </c>
      <c r="H6" s="26">
        <f>IFERROR(__xludf.DUMMYFUNCTION("""COMPUTED_VALUE"""),4.0)</f>
        <v>4</v>
      </c>
      <c r="I6" s="26">
        <f>IFERROR(__xludf.DUMMYFUNCTION("""COMPUTED_VALUE"""),5.0)</f>
        <v>5</v>
      </c>
      <c r="J6" s="26">
        <f>IFERROR(__xludf.DUMMYFUNCTION("""COMPUTED_VALUE"""),6.0)</f>
        <v>6</v>
      </c>
      <c r="K6" s="26">
        <f>IFERROR(__xludf.DUMMYFUNCTION("""COMPUTED_VALUE"""),7.0)</f>
        <v>7</v>
      </c>
      <c r="L6" s="26">
        <f>IFERROR(__xludf.DUMMYFUNCTION("""COMPUTED_VALUE"""),8.0)</f>
        <v>8</v>
      </c>
      <c r="M6" s="26">
        <f>IFERROR(__xludf.DUMMYFUNCTION("""COMPUTED_VALUE"""),9.0)</f>
        <v>9</v>
      </c>
      <c r="N6" s="26">
        <f>IFERROR(__xludf.DUMMYFUNCTION("""COMPUTED_VALUE"""),10.0)</f>
        <v>10</v>
      </c>
      <c r="O6" s="26">
        <f>IFERROR(__xludf.DUMMYFUNCTION("""COMPUTED_VALUE"""),11.0)</f>
        <v>11</v>
      </c>
      <c r="P6" s="27">
        <f>IFERROR(__xludf.DUMMYFUNCTION("""COMPUTED_VALUE"""),12.0)</f>
        <v>12</v>
      </c>
      <c r="Q6" s="16"/>
    </row>
    <row r="7" ht="15.75" customHeight="1">
      <c r="A7" s="29"/>
      <c r="B7" s="30" t="str">
        <f>IFERROR(__xludf.DUMMYFUNCTION("""COMPUTED_VALUE"""),"1. Trung tâm GDTX, GDNN-GDTX")</f>
        <v>1. Trung tâm GDTX, GDNN-GDTX</v>
      </c>
      <c r="C7" s="31" t="str">
        <f>IFERROR(__xludf.DUMMYFUNCTION("""COMPUTED_VALUE"""),"Tháng")</f>
        <v>Tháng</v>
      </c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3"/>
      <c r="Q7" s="34"/>
    </row>
    <row r="8" ht="15.75" customHeight="1">
      <c r="A8" s="29"/>
      <c r="B8" s="196" t="str">
        <f>IFERROR(__xludf.DUMMYFUNCTION("""COMPUTED_VALUE"""),"TỔNG SỐ")</f>
        <v>TỔNG SỐ</v>
      </c>
      <c r="C8" s="57"/>
      <c r="D8" s="57" t="str">
        <f>IFERROR(__xludf.DUMMYFUNCTION("""COMPUTED_VALUE"""),"TT")</f>
        <v>TT</v>
      </c>
      <c r="E8" s="201">
        <f>IFERROR(__xludf.DUMMYFUNCTION("""COMPUTED_VALUE"""),12.0)</f>
        <v>12</v>
      </c>
      <c r="F8" s="201">
        <f>IFERROR(__xludf.DUMMYFUNCTION("""COMPUTED_VALUE"""),12.0)</f>
        <v>12</v>
      </c>
      <c r="G8" s="201">
        <f>IFERROR(__xludf.DUMMYFUNCTION("""COMPUTED_VALUE"""),12.0)</f>
        <v>12</v>
      </c>
      <c r="H8" s="201">
        <f>IFERROR(__xludf.DUMMYFUNCTION("""COMPUTED_VALUE"""),12.0)</f>
        <v>12</v>
      </c>
      <c r="I8" s="201">
        <f>IFERROR(__xludf.DUMMYFUNCTION("""COMPUTED_VALUE"""),12.0)</f>
        <v>12</v>
      </c>
      <c r="J8" s="201">
        <f>IFERROR(__xludf.DUMMYFUNCTION("""COMPUTED_VALUE"""),12.0)</f>
        <v>12</v>
      </c>
      <c r="K8" s="201">
        <f>IFERROR(__xludf.DUMMYFUNCTION("""COMPUTED_VALUE"""),12.0)</f>
        <v>12</v>
      </c>
      <c r="L8" s="201">
        <f>IFERROR(__xludf.DUMMYFUNCTION("""COMPUTED_VALUE"""),12.0)</f>
        <v>12</v>
      </c>
      <c r="M8" s="201">
        <f>IFERROR(__xludf.DUMMYFUNCTION("""COMPUTED_VALUE"""),12.0)</f>
        <v>12</v>
      </c>
      <c r="N8" s="201">
        <f>IFERROR(__xludf.DUMMYFUNCTION("""COMPUTED_VALUE"""),12.0)</f>
        <v>12</v>
      </c>
      <c r="O8" s="201">
        <f>IFERROR(__xludf.DUMMYFUNCTION("""COMPUTED_VALUE"""),12.0)</f>
        <v>12</v>
      </c>
      <c r="P8" s="202">
        <f>IFERROR(__xludf.DUMMYFUNCTION("""COMPUTED_VALUE"""),12.0)</f>
        <v>12</v>
      </c>
      <c r="Q8" s="34"/>
    </row>
    <row r="9" ht="15.75" customHeight="1">
      <c r="A9" s="29"/>
      <c r="B9" s="30" t="str">
        <f>IFERROR(__xludf.DUMMYFUNCTION("""COMPUTED_VALUE"""),"2. Lớp")</f>
        <v>2. Lớp</v>
      </c>
      <c r="C9" s="31" t="str">
        <f>IFERROR(__xludf.DUMMYFUNCTION("""COMPUTED_VALUE"""),"Tháng")</f>
        <v>Tháng</v>
      </c>
      <c r="D9" s="3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50"/>
      <c r="Q9" s="34"/>
    </row>
    <row r="10" ht="15.75" customHeight="1">
      <c r="A10" s="29"/>
      <c r="B10" s="196" t="str">
        <f>IFERROR(__xludf.DUMMYFUNCTION("""COMPUTED_VALUE"""),"TỔNG SỐ")</f>
        <v>TỔNG SỐ</v>
      </c>
      <c r="C10" s="57"/>
      <c r="D10" s="57" t="str">
        <f>IFERROR(__xludf.DUMMYFUNCTION("""COMPUTED_VALUE"""),"Lớp")</f>
        <v>Lớp</v>
      </c>
      <c r="E10" s="201">
        <f>IFERROR(__xludf.DUMMYFUNCTION("""COMPUTED_VALUE"""),53.0)</f>
        <v>53</v>
      </c>
      <c r="F10" s="201">
        <f>IFERROR(__xludf.DUMMYFUNCTION("""COMPUTED_VALUE"""),39.0)</f>
        <v>39</v>
      </c>
      <c r="G10" s="201">
        <f>IFERROR(__xludf.DUMMYFUNCTION("""COMPUTED_VALUE"""),48.0)</f>
        <v>48</v>
      </c>
      <c r="H10" s="201">
        <f>IFERROR(__xludf.DUMMYFUNCTION("""COMPUTED_VALUE"""),48.0)</f>
        <v>48</v>
      </c>
      <c r="I10" s="201">
        <f>IFERROR(__xludf.DUMMYFUNCTION("""COMPUTED_VALUE"""),48.0)</f>
        <v>48</v>
      </c>
      <c r="J10" s="201">
        <f>IFERROR(__xludf.DUMMYFUNCTION("""COMPUTED_VALUE"""),48.0)</f>
        <v>48</v>
      </c>
      <c r="K10" s="201">
        <f>IFERROR(__xludf.DUMMYFUNCTION("""COMPUTED_VALUE"""),45.0)</f>
        <v>45</v>
      </c>
      <c r="L10" s="201">
        <f>IFERROR(__xludf.DUMMYFUNCTION("""COMPUTED_VALUE"""),11.0)</f>
        <v>11</v>
      </c>
      <c r="M10" s="201">
        <f>IFERROR(__xludf.DUMMYFUNCTION("""COMPUTED_VALUE"""),9.0)</f>
        <v>9</v>
      </c>
      <c r="N10" s="201">
        <f>IFERROR(__xludf.DUMMYFUNCTION("""COMPUTED_VALUE"""),9.0)</f>
        <v>9</v>
      </c>
      <c r="O10" s="201">
        <f>IFERROR(__xludf.DUMMYFUNCTION("""COMPUTED_VALUE"""),9.0)</f>
        <v>9</v>
      </c>
      <c r="P10" s="202">
        <f>IFERROR(__xludf.DUMMYFUNCTION("""COMPUTED_VALUE"""),9.0)</f>
        <v>9</v>
      </c>
      <c r="Q10" s="34"/>
    </row>
    <row r="11" ht="15.75" customHeight="1">
      <c r="A11" s="29"/>
      <c r="B11" s="48" t="str">
        <f>IFERROR(__xludf.DUMMYFUNCTION("""COMPUTED_VALUE"""),"Chia ra:")</f>
        <v>Chia ra:</v>
      </c>
      <c r="C11" s="49"/>
      <c r="D11" s="3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50"/>
      <c r="Q11" s="34"/>
    </row>
    <row r="12" ht="15.75" customHeight="1">
      <c r="A12" s="29"/>
      <c r="B12" s="67" t="str">
        <f>IFERROR(__xludf.DUMMYFUNCTION("""COMPUTED_VALUE""")," + Số lớp 10")</f>
        <v> + Số lớp 10</v>
      </c>
      <c r="C12" s="31"/>
      <c r="D12" s="31" t="str">
        <f>IFERROR(__xludf.DUMMYFUNCTION("""COMPUTED_VALUE"""),"""")</f>
        <v>"</v>
      </c>
      <c r="E12" s="42">
        <f>IFERROR(__xludf.DUMMYFUNCTION("""COMPUTED_VALUE"""),22.0)</f>
        <v>22</v>
      </c>
      <c r="F12" s="42">
        <f>IFERROR(__xludf.DUMMYFUNCTION("""COMPUTED_VALUE"""),20.0)</f>
        <v>20</v>
      </c>
      <c r="G12" s="42">
        <f>IFERROR(__xludf.DUMMYFUNCTION("""COMPUTED_VALUE"""),20.0)</f>
        <v>20</v>
      </c>
      <c r="H12" s="42">
        <f>IFERROR(__xludf.DUMMYFUNCTION("""COMPUTED_VALUE"""),20.0)</f>
        <v>20</v>
      </c>
      <c r="I12" s="42">
        <f>IFERROR(__xludf.DUMMYFUNCTION("""COMPUTED_VALUE"""),20.0)</f>
        <v>20</v>
      </c>
      <c r="J12" s="42">
        <f>IFERROR(__xludf.DUMMYFUNCTION("""COMPUTED_VALUE"""),20.0)</f>
        <v>20</v>
      </c>
      <c r="K12" s="42">
        <f>IFERROR(__xludf.DUMMYFUNCTION("""COMPUTED_VALUE"""),19.0)</f>
        <v>19</v>
      </c>
      <c r="L12" s="42">
        <f>IFERROR(__xludf.DUMMYFUNCTION("""COMPUTED_VALUE"""),10.0)</f>
        <v>10</v>
      </c>
      <c r="M12" s="42">
        <f>IFERROR(__xludf.DUMMYFUNCTION("""COMPUTED_VALUE"""),9.0)</f>
        <v>9</v>
      </c>
      <c r="N12" s="42">
        <f>IFERROR(__xludf.DUMMYFUNCTION("""COMPUTED_VALUE"""),9.0)</f>
        <v>9</v>
      </c>
      <c r="O12" s="42">
        <f>IFERROR(__xludf.DUMMYFUNCTION("""COMPUTED_VALUE"""),9.0)</f>
        <v>9</v>
      </c>
      <c r="P12" s="43">
        <f>IFERROR(__xludf.DUMMYFUNCTION("""COMPUTED_VALUE"""),9.0)</f>
        <v>9</v>
      </c>
      <c r="Q12" s="34"/>
    </row>
    <row r="13" ht="15.75" customHeight="1">
      <c r="A13" s="29"/>
      <c r="B13" s="67" t="str">
        <f>IFERROR(__xludf.DUMMYFUNCTION("""COMPUTED_VALUE""")," + Số lớp 11")</f>
        <v> + Số lớp 11</v>
      </c>
      <c r="C13" s="31"/>
      <c r="D13" s="31" t="str">
        <f>IFERROR(__xludf.DUMMYFUNCTION("""COMPUTED_VALUE"""),"""")</f>
        <v>"</v>
      </c>
      <c r="E13" s="42">
        <f>IFERROR(__xludf.DUMMYFUNCTION("""COMPUTED_VALUE"""),19.0)</f>
        <v>19</v>
      </c>
      <c r="F13" s="42">
        <f>IFERROR(__xludf.DUMMYFUNCTION("""COMPUTED_VALUE"""),17.0)</f>
        <v>17</v>
      </c>
      <c r="G13" s="42">
        <f>IFERROR(__xludf.DUMMYFUNCTION("""COMPUTED_VALUE"""),17.0)</f>
        <v>17</v>
      </c>
      <c r="H13" s="42">
        <f>IFERROR(__xludf.DUMMYFUNCTION("""COMPUTED_VALUE"""),17.0)</f>
        <v>17</v>
      </c>
      <c r="I13" s="42">
        <f>IFERROR(__xludf.DUMMYFUNCTION("""COMPUTED_VALUE"""),17.0)</f>
        <v>17</v>
      </c>
      <c r="J13" s="42">
        <f>IFERROR(__xludf.DUMMYFUNCTION("""COMPUTED_VALUE"""),17.0)</f>
        <v>17</v>
      </c>
      <c r="K13" s="42">
        <f>IFERROR(__xludf.DUMMYFUNCTION("""COMPUTED_VALUE"""),16.0)</f>
        <v>16</v>
      </c>
      <c r="L13" s="42">
        <f>IFERROR(__xludf.DUMMYFUNCTION("""COMPUTED_VALUE"""),1.0)</f>
        <v>1</v>
      </c>
      <c r="M13" s="42">
        <f>IFERROR(__xludf.DUMMYFUNCTION("""COMPUTED_VALUE"""),0.0)</f>
        <v>0</v>
      </c>
      <c r="N13" s="42">
        <f>IFERROR(__xludf.DUMMYFUNCTION("""COMPUTED_VALUE"""),0.0)</f>
        <v>0</v>
      </c>
      <c r="O13" s="42">
        <f>IFERROR(__xludf.DUMMYFUNCTION("""COMPUTED_VALUE"""),0.0)</f>
        <v>0</v>
      </c>
      <c r="P13" s="43">
        <f>IFERROR(__xludf.DUMMYFUNCTION("""COMPUTED_VALUE"""),0.0)</f>
        <v>0</v>
      </c>
      <c r="Q13" s="34"/>
    </row>
    <row r="14" ht="15.75" customHeight="1">
      <c r="A14" s="29"/>
      <c r="B14" s="67" t="str">
        <f>IFERROR(__xludf.DUMMYFUNCTION("""COMPUTED_VALUE""")," + Số lớp 12")</f>
        <v> + Số lớp 12</v>
      </c>
      <c r="C14" s="31"/>
      <c r="D14" s="31" t="str">
        <f>IFERROR(__xludf.DUMMYFUNCTION("""COMPUTED_VALUE"""),"""")</f>
        <v>"</v>
      </c>
      <c r="E14" s="42">
        <f>IFERROR(__xludf.DUMMYFUNCTION("""COMPUTED_VALUE"""),12.0)</f>
        <v>12</v>
      </c>
      <c r="F14" s="42">
        <f>IFERROR(__xludf.DUMMYFUNCTION("""COMPUTED_VALUE"""),11.0)</f>
        <v>11</v>
      </c>
      <c r="G14" s="42">
        <f>IFERROR(__xludf.DUMMYFUNCTION("""COMPUTED_VALUE"""),11.0)</f>
        <v>11</v>
      </c>
      <c r="H14" s="42">
        <f>IFERROR(__xludf.DUMMYFUNCTION("""COMPUTED_VALUE"""),11.0)</f>
        <v>11</v>
      </c>
      <c r="I14" s="42">
        <f>IFERROR(__xludf.DUMMYFUNCTION("""COMPUTED_VALUE"""),11.0)</f>
        <v>11</v>
      </c>
      <c r="J14" s="42">
        <f>IFERROR(__xludf.DUMMYFUNCTION("""COMPUTED_VALUE"""),11.0)</f>
        <v>11</v>
      </c>
      <c r="K14" s="42">
        <f>IFERROR(__xludf.DUMMYFUNCTION("""COMPUTED_VALUE"""),10.0)</f>
        <v>10</v>
      </c>
      <c r="L14" s="42">
        <f>IFERROR(__xludf.DUMMYFUNCTION("""COMPUTED_VALUE"""),0.0)</f>
        <v>0</v>
      </c>
      <c r="M14" s="42">
        <f>IFERROR(__xludf.DUMMYFUNCTION("""COMPUTED_VALUE"""),0.0)</f>
        <v>0</v>
      </c>
      <c r="N14" s="42">
        <f>IFERROR(__xludf.DUMMYFUNCTION("""COMPUTED_VALUE"""),0.0)</f>
        <v>0</v>
      </c>
      <c r="O14" s="42">
        <f>IFERROR(__xludf.DUMMYFUNCTION("""COMPUTED_VALUE"""),0.0)</f>
        <v>0</v>
      </c>
      <c r="P14" s="43">
        <f>IFERROR(__xludf.DUMMYFUNCTION("""COMPUTED_VALUE"""),0.0)</f>
        <v>0</v>
      </c>
      <c r="Q14" s="34"/>
    </row>
    <row r="15" ht="15.75" customHeight="1">
      <c r="A15" s="29"/>
      <c r="B15" s="67" t="str">
        <f>IFERROR(__xludf.DUMMYFUNCTION("""COMPUTED_VALUE""")," + Số lớp ghép")</f>
        <v> + Số lớp ghép</v>
      </c>
      <c r="C15" s="31"/>
      <c r="D15" s="31" t="str">
        <f>IFERROR(__xludf.DUMMYFUNCTION("""COMPUTED_VALUE"""),"""")</f>
        <v>"</v>
      </c>
      <c r="E15" s="42">
        <f>IFERROR(__xludf.DUMMYFUNCTION("""COMPUTED_VALUE"""),0.0)</f>
        <v>0</v>
      </c>
      <c r="F15" s="42">
        <f>IFERROR(__xludf.DUMMYFUNCTION("""COMPUTED_VALUE"""),0.0)</f>
        <v>0</v>
      </c>
      <c r="G15" s="42">
        <f>IFERROR(__xludf.DUMMYFUNCTION("""COMPUTED_VALUE"""),0.0)</f>
        <v>0</v>
      </c>
      <c r="H15" s="42">
        <f>IFERROR(__xludf.DUMMYFUNCTION("""COMPUTED_VALUE"""),0.0)</f>
        <v>0</v>
      </c>
      <c r="I15" s="42">
        <f>IFERROR(__xludf.DUMMYFUNCTION("""COMPUTED_VALUE"""),0.0)</f>
        <v>0</v>
      </c>
      <c r="J15" s="42">
        <f>IFERROR(__xludf.DUMMYFUNCTION("""COMPUTED_VALUE"""),0.0)</f>
        <v>0</v>
      </c>
      <c r="K15" s="42">
        <f>IFERROR(__xludf.DUMMYFUNCTION("""COMPUTED_VALUE"""),0.0)</f>
        <v>0</v>
      </c>
      <c r="L15" s="42">
        <f>IFERROR(__xludf.DUMMYFUNCTION("""COMPUTED_VALUE"""),0.0)</f>
        <v>0</v>
      </c>
      <c r="M15" s="42">
        <f>IFERROR(__xludf.DUMMYFUNCTION("""COMPUTED_VALUE"""),0.0)</f>
        <v>0</v>
      </c>
      <c r="N15" s="42">
        <f>IFERROR(__xludf.DUMMYFUNCTION("""COMPUTED_VALUE"""),0.0)</f>
        <v>0</v>
      </c>
      <c r="O15" s="42">
        <f>IFERROR(__xludf.DUMMYFUNCTION("""COMPUTED_VALUE"""),0.0)</f>
        <v>0</v>
      </c>
      <c r="P15" s="43">
        <f>IFERROR(__xludf.DUMMYFUNCTION("""COMPUTED_VALUE"""),0.0)</f>
        <v>0</v>
      </c>
      <c r="Q15" s="34"/>
    </row>
    <row r="16" ht="15.75" customHeight="1">
      <c r="A16" s="29"/>
      <c r="B16" s="30" t="str">
        <f>IFERROR(__xludf.DUMMYFUNCTION("""COMPUTED_VALUE"""),"3. Học sinh (học viên)")</f>
        <v>3. Học sinh (học viên)</v>
      </c>
      <c r="C16" s="31" t="str">
        <f>IFERROR(__xludf.DUMMYFUNCTION("""COMPUTED_VALUE"""),"Tháng")</f>
        <v>Tháng</v>
      </c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3"/>
      <c r="Q16" s="34"/>
    </row>
    <row r="17" ht="15.75" customHeight="1">
      <c r="A17" s="29"/>
      <c r="B17" s="196" t="str">
        <f>IFERROR(__xludf.DUMMYFUNCTION("""COMPUTED_VALUE"""),"3.1. TỔNG SỐ")</f>
        <v>3.1. TỔNG SỐ</v>
      </c>
      <c r="C17" s="57"/>
      <c r="D17" s="57" t="str">
        <f>IFERROR(__xludf.DUMMYFUNCTION("""COMPUTED_VALUE"""),"Người")</f>
        <v>Người</v>
      </c>
      <c r="E17" s="201">
        <f>IFERROR(__xludf.DUMMYFUNCTION("""COMPUTED_VALUE"""),2070.0)</f>
        <v>2070</v>
      </c>
      <c r="F17" s="201">
        <f>IFERROR(__xludf.DUMMYFUNCTION("""COMPUTED_VALUE"""),2009.0)</f>
        <v>2009</v>
      </c>
      <c r="G17" s="201">
        <f>IFERROR(__xludf.DUMMYFUNCTION("""COMPUTED_VALUE"""),1969.0)</f>
        <v>1969</v>
      </c>
      <c r="H17" s="201">
        <f>IFERROR(__xludf.DUMMYFUNCTION("""COMPUTED_VALUE"""),1915.0)</f>
        <v>1915</v>
      </c>
      <c r="I17" s="201">
        <f>IFERROR(__xludf.DUMMYFUNCTION("""COMPUTED_VALUE"""),1902.0)</f>
        <v>1902</v>
      </c>
      <c r="J17" s="201">
        <f>IFERROR(__xludf.DUMMYFUNCTION("""COMPUTED_VALUE"""),1873.0)</f>
        <v>1873</v>
      </c>
      <c r="K17" s="201">
        <f>IFERROR(__xludf.DUMMYFUNCTION("""COMPUTED_VALUE"""),1846.0)</f>
        <v>1846</v>
      </c>
      <c r="L17" s="201">
        <f>IFERROR(__xludf.DUMMYFUNCTION("""COMPUTED_VALUE"""),41.0)</f>
        <v>41</v>
      </c>
      <c r="M17" s="201">
        <f>IFERROR(__xludf.DUMMYFUNCTION("""COMPUTED_VALUE"""),0.0)</f>
        <v>0</v>
      </c>
      <c r="N17" s="201">
        <f>IFERROR(__xludf.DUMMYFUNCTION("""COMPUTED_VALUE"""),0.0)</f>
        <v>0</v>
      </c>
      <c r="O17" s="201">
        <f>IFERROR(__xludf.DUMMYFUNCTION("""COMPUTED_VALUE"""),0.0)</f>
        <v>0</v>
      </c>
      <c r="P17" s="202">
        <f>IFERROR(__xludf.DUMMYFUNCTION("""COMPUTED_VALUE"""),0.0)</f>
        <v>0</v>
      </c>
      <c r="Q17" s="34"/>
    </row>
    <row r="18" ht="15.75" customHeight="1">
      <c r="A18" s="29"/>
      <c r="B18" s="48" t="str">
        <f>IFERROR(__xludf.DUMMYFUNCTION("""COMPUTED_VALUE"""),"Chia ra:")</f>
        <v>Chia ra:</v>
      </c>
      <c r="C18" s="49"/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3"/>
      <c r="Q18" s="34"/>
    </row>
    <row r="19" ht="15.75" customHeight="1">
      <c r="A19" s="29"/>
      <c r="B19" s="67" t="str">
        <f>IFERROR(__xludf.DUMMYFUNCTION("""COMPUTED_VALUE""")," + Lớp 10")</f>
        <v> + Lớp 10</v>
      </c>
      <c r="C19" s="31"/>
      <c r="D19" s="31" t="str">
        <f>IFERROR(__xludf.DUMMYFUNCTION("""COMPUTED_VALUE"""),"""")</f>
        <v>"</v>
      </c>
      <c r="E19" s="42">
        <f>IFERROR(__xludf.DUMMYFUNCTION("""COMPUTED_VALUE"""),951.0)</f>
        <v>951</v>
      </c>
      <c r="F19" s="42">
        <f>IFERROR(__xludf.DUMMYFUNCTION("""COMPUTED_VALUE"""),911.0)</f>
        <v>911</v>
      </c>
      <c r="G19" s="42">
        <f>IFERROR(__xludf.DUMMYFUNCTION("""COMPUTED_VALUE"""),900.0)</f>
        <v>900</v>
      </c>
      <c r="H19" s="42">
        <f>IFERROR(__xludf.DUMMYFUNCTION("""COMPUTED_VALUE"""),863.0)</f>
        <v>863</v>
      </c>
      <c r="I19" s="42">
        <f>IFERROR(__xludf.DUMMYFUNCTION("""COMPUTED_VALUE"""),860.0)</f>
        <v>860</v>
      </c>
      <c r="J19" s="42">
        <f>IFERROR(__xludf.DUMMYFUNCTION("""COMPUTED_VALUE"""),833.0)</f>
        <v>833</v>
      </c>
      <c r="K19" s="42">
        <f>IFERROR(__xludf.DUMMYFUNCTION("""COMPUTED_VALUE"""),814.0)</f>
        <v>814</v>
      </c>
      <c r="L19" s="42">
        <f>IFERROR(__xludf.DUMMYFUNCTION("""COMPUTED_VALUE"""),26.0)</f>
        <v>26</v>
      </c>
      <c r="M19" s="42">
        <f>IFERROR(__xludf.DUMMYFUNCTION("""COMPUTED_VALUE"""),0.0)</f>
        <v>0</v>
      </c>
      <c r="N19" s="42">
        <f>IFERROR(__xludf.DUMMYFUNCTION("""COMPUTED_VALUE"""),0.0)</f>
        <v>0</v>
      </c>
      <c r="O19" s="42">
        <f>IFERROR(__xludf.DUMMYFUNCTION("""COMPUTED_VALUE"""),0.0)</f>
        <v>0</v>
      </c>
      <c r="P19" s="43">
        <f>IFERROR(__xludf.DUMMYFUNCTION("""COMPUTED_VALUE"""),0.0)</f>
        <v>0</v>
      </c>
      <c r="Q19" s="34"/>
    </row>
    <row r="20" ht="15.75" customHeight="1">
      <c r="A20" s="29"/>
      <c r="B20" s="67" t="str">
        <f>IFERROR(__xludf.DUMMYFUNCTION("""COMPUTED_VALUE""")," + Lớp 11")</f>
        <v> + Lớp 11</v>
      </c>
      <c r="C20" s="31"/>
      <c r="D20" s="31" t="str">
        <f>IFERROR(__xludf.DUMMYFUNCTION("""COMPUTED_VALUE"""),"""")</f>
        <v>"</v>
      </c>
      <c r="E20" s="42">
        <f>IFERROR(__xludf.DUMMYFUNCTION("""COMPUTED_VALUE"""),682.0)</f>
        <v>682</v>
      </c>
      <c r="F20" s="42">
        <f>IFERROR(__xludf.DUMMYFUNCTION("""COMPUTED_VALUE"""),660.0)</f>
        <v>660</v>
      </c>
      <c r="G20" s="42">
        <f>IFERROR(__xludf.DUMMYFUNCTION("""COMPUTED_VALUE"""),635.0)</f>
        <v>635</v>
      </c>
      <c r="H20" s="42">
        <f>IFERROR(__xludf.DUMMYFUNCTION("""COMPUTED_VALUE"""),621.0)</f>
        <v>621</v>
      </c>
      <c r="I20" s="42">
        <f>IFERROR(__xludf.DUMMYFUNCTION("""COMPUTED_VALUE"""),615.0)</f>
        <v>615</v>
      </c>
      <c r="J20" s="42">
        <f>IFERROR(__xludf.DUMMYFUNCTION("""COMPUTED_VALUE"""),613.0)</f>
        <v>613</v>
      </c>
      <c r="K20" s="42">
        <f>IFERROR(__xludf.DUMMYFUNCTION("""COMPUTED_VALUE"""),608.0)</f>
        <v>608</v>
      </c>
      <c r="L20" s="42">
        <f>IFERROR(__xludf.DUMMYFUNCTION("""COMPUTED_VALUE"""),15.0)</f>
        <v>15</v>
      </c>
      <c r="M20" s="42">
        <f>IFERROR(__xludf.DUMMYFUNCTION("""COMPUTED_VALUE"""),0.0)</f>
        <v>0</v>
      </c>
      <c r="N20" s="42">
        <f>IFERROR(__xludf.DUMMYFUNCTION("""COMPUTED_VALUE"""),0.0)</f>
        <v>0</v>
      </c>
      <c r="O20" s="42">
        <f>IFERROR(__xludf.DUMMYFUNCTION("""COMPUTED_VALUE"""),0.0)</f>
        <v>0</v>
      </c>
      <c r="P20" s="43">
        <f>IFERROR(__xludf.DUMMYFUNCTION("""COMPUTED_VALUE"""),0.0)</f>
        <v>0</v>
      </c>
      <c r="Q20" s="34"/>
    </row>
    <row r="21" ht="15.75" customHeight="1">
      <c r="A21" s="29"/>
      <c r="B21" s="67" t="str">
        <f>IFERROR(__xludf.DUMMYFUNCTION("""COMPUTED_VALUE""")," + Lớp 12")</f>
        <v> + Lớp 12</v>
      </c>
      <c r="C21" s="31"/>
      <c r="D21" s="31" t="str">
        <f>IFERROR(__xludf.DUMMYFUNCTION("""COMPUTED_VALUE"""),"""")</f>
        <v>"</v>
      </c>
      <c r="E21" s="42">
        <f>IFERROR(__xludf.DUMMYFUNCTION("""COMPUTED_VALUE"""),437.0)</f>
        <v>437</v>
      </c>
      <c r="F21" s="42">
        <f>IFERROR(__xludf.DUMMYFUNCTION("""COMPUTED_VALUE"""),438.0)</f>
        <v>438</v>
      </c>
      <c r="G21" s="42">
        <f>IFERROR(__xludf.DUMMYFUNCTION("""COMPUTED_VALUE"""),434.0)</f>
        <v>434</v>
      </c>
      <c r="H21" s="42">
        <f>IFERROR(__xludf.DUMMYFUNCTION("""COMPUTED_VALUE"""),431.0)</f>
        <v>431</v>
      </c>
      <c r="I21" s="42">
        <f>IFERROR(__xludf.DUMMYFUNCTION("""COMPUTED_VALUE"""),427.0)</f>
        <v>427</v>
      </c>
      <c r="J21" s="42">
        <f>IFERROR(__xludf.DUMMYFUNCTION("""COMPUTED_VALUE"""),427.0)</f>
        <v>427</v>
      </c>
      <c r="K21" s="42">
        <f>IFERROR(__xludf.DUMMYFUNCTION("""COMPUTED_VALUE"""),424.0)</f>
        <v>424</v>
      </c>
      <c r="L21" s="42">
        <f>IFERROR(__xludf.DUMMYFUNCTION("""COMPUTED_VALUE"""),0.0)</f>
        <v>0</v>
      </c>
      <c r="M21" s="42">
        <f>IFERROR(__xludf.DUMMYFUNCTION("""COMPUTED_VALUE"""),0.0)</f>
        <v>0</v>
      </c>
      <c r="N21" s="42">
        <f>IFERROR(__xludf.DUMMYFUNCTION("""COMPUTED_VALUE"""),0.0)</f>
        <v>0</v>
      </c>
      <c r="O21" s="42">
        <f>IFERROR(__xludf.DUMMYFUNCTION("""COMPUTED_VALUE"""),0.0)</f>
        <v>0</v>
      </c>
      <c r="P21" s="43">
        <f>IFERROR(__xludf.DUMMYFUNCTION("""COMPUTED_VALUE"""),0.0)</f>
        <v>0</v>
      </c>
      <c r="Q21" s="34"/>
    </row>
    <row r="22" ht="15.75" customHeight="1">
      <c r="A22" s="29"/>
      <c r="B22" s="67" t="str">
        <f>IFERROR(__xludf.DUMMYFUNCTION("""COMPUTED_VALUE""")," + Lớp ghép")</f>
        <v> + Lớp ghép</v>
      </c>
      <c r="C22" s="31"/>
      <c r="D22" s="31" t="str">
        <f>IFERROR(__xludf.DUMMYFUNCTION("""COMPUTED_VALUE"""),"""")</f>
        <v>"</v>
      </c>
      <c r="E22" s="42">
        <f>IFERROR(__xludf.DUMMYFUNCTION("""COMPUTED_VALUE"""),0.0)</f>
        <v>0</v>
      </c>
      <c r="F22" s="42">
        <f>IFERROR(__xludf.DUMMYFUNCTION("""COMPUTED_VALUE"""),0.0)</f>
        <v>0</v>
      </c>
      <c r="G22" s="42">
        <f>IFERROR(__xludf.DUMMYFUNCTION("""COMPUTED_VALUE"""),0.0)</f>
        <v>0</v>
      </c>
      <c r="H22" s="42">
        <f>IFERROR(__xludf.DUMMYFUNCTION("""COMPUTED_VALUE"""),0.0)</f>
        <v>0</v>
      </c>
      <c r="I22" s="42">
        <f>IFERROR(__xludf.DUMMYFUNCTION("""COMPUTED_VALUE"""),0.0)</f>
        <v>0</v>
      </c>
      <c r="J22" s="42">
        <f>IFERROR(__xludf.DUMMYFUNCTION("""COMPUTED_VALUE"""),0.0)</f>
        <v>0</v>
      </c>
      <c r="K22" s="42">
        <f>IFERROR(__xludf.DUMMYFUNCTION("""COMPUTED_VALUE"""),0.0)</f>
        <v>0</v>
      </c>
      <c r="L22" s="42">
        <f>IFERROR(__xludf.DUMMYFUNCTION("""COMPUTED_VALUE"""),0.0)</f>
        <v>0</v>
      </c>
      <c r="M22" s="42">
        <f>IFERROR(__xludf.DUMMYFUNCTION("""COMPUTED_VALUE"""),0.0)</f>
        <v>0</v>
      </c>
      <c r="N22" s="42">
        <f>IFERROR(__xludf.DUMMYFUNCTION("""COMPUTED_VALUE"""),0.0)</f>
        <v>0</v>
      </c>
      <c r="O22" s="42">
        <f>IFERROR(__xludf.DUMMYFUNCTION("""COMPUTED_VALUE"""),0.0)</f>
        <v>0</v>
      </c>
      <c r="P22" s="43">
        <f>IFERROR(__xludf.DUMMYFUNCTION("""COMPUTED_VALUE"""),0.0)</f>
        <v>0</v>
      </c>
      <c r="Q22" s="34"/>
    </row>
    <row r="23" ht="15.75" customHeight="1">
      <c r="A23" s="92"/>
      <c r="B23" s="93" t="str">
        <f>IFERROR(__xludf.DUMMYFUNCTION("""COMPUTED_VALUE"""),"3.2. Trong tổng số có:")</f>
        <v>3.2. Trong tổng số có:</v>
      </c>
      <c r="C23" s="94"/>
      <c r="D23" s="87"/>
      <c r="E23" s="88">
        <f>IFERROR(__xludf.DUMMYFUNCTION("""COMPUTED_VALUE"""),2070.0)</f>
        <v>2070</v>
      </c>
      <c r="F23" s="88">
        <f>IFERROR(__xludf.DUMMYFUNCTION("""COMPUTED_VALUE"""),2009.0)</f>
        <v>2009</v>
      </c>
      <c r="G23" s="88">
        <f>IFERROR(__xludf.DUMMYFUNCTION("""COMPUTED_VALUE"""),1969.0)</f>
        <v>1969</v>
      </c>
      <c r="H23" s="88">
        <f>IFERROR(__xludf.DUMMYFUNCTION("""COMPUTED_VALUE"""),1915.0)</f>
        <v>1915</v>
      </c>
      <c r="I23" s="88">
        <f>IFERROR(__xludf.DUMMYFUNCTION("""COMPUTED_VALUE"""),1902.0)</f>
        <v>1902</v>
      </c>
      <c r="J23" s="88">
        <f>IFERROR(__xludf.DUMMYFUNCTION("""COMPUTED_VALUE"""),1873.0)</f>
        <v>1873</v>
      </c>
      <c r="K23" s="88">
        <f>IFERROR(__xludf.DUMMYFUNCTION("""COMPUTED_VALUE"""),1846.0)</f>
        <v>1846</v>
      </c>
      <c r="L23" s="88">
        <f>IFERROR(__xludf.DUMMYFUNCTION("""COMPUTED_VALUE"""),41.0)</f>
        <v>41</v>
      </c>
      <c r="M23" s="88">
        <f>IFERROR(__xludf.DUMMYFUNCTION("""COMPUTED_VALUE"""),0.0)</f>
        <v>0</v>
      </c>
      <c r="N23" s="88">
        <f>IFERROR(__xludf.DUMMYFUNCTION("""COMPUTED_VALUE"""),0.0)</f>
        <v>0</v>
      </c>
      <c r="O23" s="88">
        <f>IFERROR(__xludf.DUMMYFUNCTION("""COMPUTED_VALUE"""),0.0)</f>
        <v>0</v>
      </c>
      <c r="P23" s="95">
        <f>IFERROR(__xludf.DUMMYFUNCTION("""COMPUTED_VALUE"""),0.0)</f>
        <v>0</v>
      </c>
      <c r="Q23" s="96"/>
    </row>
    <row r="24" ht="15.75" customHeight="1">
      <c r="A24" s="29"/>
      <c r="B24" s="67" t="str">
        <f>IFERROR(__xludf.DUMMYFUNCTION("""COMPUTED_VALUE""")," + Nữ")</f>
        <v> + Nữ</v>
      </c>
      <c r="C24" s="31"/>
      <c r="D24" s="31" t="str">
        <f>IFERROR(__xludf.DUMMYFUNCTION("""COMPUTED_VALUE""")," Người")</f>
        <v> Người</v>
      </c>
      <c r="E24" s="42">
        <f>IFERROR(__xludf.DUMMYFUNCTION("""COMPUTED_VALUE"""),667.0)</f>
        <v>667</v>
      </c>
      <c r="F24" s="42">
        <f>IFERROR(__xludf.DUMMYFUNCTION("""COMPUTED_VALUE"""),638.0)</f>
        <v>638</v>
      </c>
      <c r="G24" s="42">
        <f>IFERROR(__xludf.DUMMYFUNCTION("""COMPUTED_VALUE"""),628.0)</f>
        <v>628</v>
      </c>
      <c r="H24" s="42">
        <f>IFERROR(__xludf.DUMMYFUNCTION("""COMPUTED_VALUE"""),601.0)</f>
        <v>601</v>
      </c>
      <c r="I24" s="42">
        <f>IFERROR(__xludf.DUMMYFUNCTION("""COMPUTED_VALUE"""),594.0)</f>
        <v>594</v>
      </c>
      <c r="J24" s="42">
        <f>IFERROR(__xludf.DUMMYFUNCTION("""COMPUTED_VALUE"""),588.0)</f>
        <v>588</v>
      </c>
      <c r="K24" s="42">
        <f>IFERROR(__xludf.DUMMYFUNCTION("""COMPUTED_VALUE"""),580.0)</f>
        <v>580</v>
      </c>
      <c r="L24" s="42">
        <f>IFERROR(__xludf.DUMMYFUNCTION("""COMPUTED_VALUE"""),12.0)</f>
        <v>12</v>
      </c>
      <c r="M24" s="42">
        <f>IFERROR(__xludf.DUMMYFUNCTION("""COMPUTED_VALUE"""),0.0)</f>
        <v>0</v>
      </c>
      <c r="N24" s="42">
        <f>IFERROR(__xludf.DUMMYFUNCTION("""COMPUTED_VALUE"""),0.0)</f>
        <v>0</v>
      </c>
      <c r="O24" s="42">
        <f>IFERROR(__xludf.DUMMYFUNCTION("""COMPUTED_VALUE"""),0.0)</f>
        <v>0</v>
      </c>
      <c r="P24" s="43">
        <f>IFERROR(__xludf.DUMMYFUNCTION("""COMPUTED_VALUE"""),0.0)</f>
        <v>0</v>
      </c>
      <c r="Q24" s="34"/>
    </row>
    <row r="25" ht="15.75" customHeight="1">
      <c r="A25" s="29"/>
      <c r="B25" s="67" t="str">
        <f>IFERROR(__xludf.DUMMYFUNCTION("""COMPUTED_VALUE""")," + Dân tộc thiểu số")</f>
        <v> + Dân tộc thiểu số</v>
      </c>
      <c r="C25" s="31"/>
      <c r="D25" s="31" t="str">
        <f>IFERROR(__xludf.DUMMYFUNCTION("""COMPUTED_VALUE"""),"""")</f>
        <v>"</v>
      </c>
      <c r="E25" s="42">
        <f>IFERROR(__xludf.DUMMYFUNCTION("""COMPUTED_VALUE"""),939.0)</f>
        <v>939</v>
      </c>
      <c r="F25" s="42">
        <f>IFERROR(__xludf.DUMMYFUNCTION("""COMPUTED_VALUE"""),905.0)</f>
        <v>905</v>
      </c>
      <c r="G25" s="42">
        <f>IFERROR(__xludf.DUMMYFUNCTION("""COMPUTED_VALUE"""),894.0)</f>
        <v>894</v>
      </c>
      <c r="H25" s="42">
        <f>IFERROR(__xludf.DUMMYFUNCTION("""COMPUTED_VALUE"""),877.0)</f>
        <v>877</v>
      </c>
      <c r="I25" s="42">
        <f>IFERROR(__xludf.DUMMYFUNCTION("""COMPUTED_VALUE"""),874.0)</f>
        <v>874</v>
      </c>
      <c r="J25" s="42">
        <f>IFERROR(__xludf.DUMMYFUNCTION("""COMPUTED_VALUE"""),866.0)</f>
        <v>866</v>
      </c>
      <c r="K25" s="42">
        <f>IFERROR(__xludf.DUMMYFUNCTION("""COMPUTED_VALUE"""),858.0)</f>
        <v>858</v>
      </c>
      <c r="L25" s="42">
        <f>IFERROR(__xludf.DUMMYFUNCTION("""COMPUTED_VALUE"""),13.0)</f>
        <v>13</v>
      </c>
      <c r="M25" s="42">
        <f>IFERROR(__xludf.DUMMYFUNCTION("""COMPUTED_VALUE"""),0.0)</f>
        <v>0</v>
      </c>
      <c r="N25" s="42">
        <f>IFERROR(__xludf.DUMMYFUNCTION("""COMPUTED_VALUE"""),0.0)</f>
        <v>0</v>
      </c>
      <c r="O25" s="42">
        <f>IFERROR(__xludf.DUMMYFUNCTION("""COMPUTED_VALUE"""),0.0)</f>
        <v>0</v>
      </c>
      <c r="P25" s="43">
        <f>IFERROR(__xludf.DUMMYFUNCTION("""COMPUTED_VALUE"""),0.0)</f>
        <v>0</v>
      </c>
      <c r="Q25" s="34"/>
    </row>
    <row r="26" ht="15.75" customHeight="1">
      <c r="A26" s="29"/>
      <c r="B26" s="67" t="str">
        <f>IFERROR(__xludf.DUMMYFUNCTION("""COMPUTED_VALUE""")," + Nữ dân tộc thiểu số")</f>
        <v> + Nữ dân tộc thiểu số</v>
      </c>
      <c r="C26" s="31"/>
      <c r="D26" s="31" t="str">
        <f>IFERROR(__xludf.DUMMYFUNCTION("""COMPUTED_VALUE"""),"""")</f>
        <v>"</v>
      </c>
      <c r="E26" s="42">
        <f>IFERROR(__xludf.DUMMYFUNCTION("""COMPUTED_VALUE"""),332.0)</f>
        <v>332</v>
      </c>
      <c r="F26" s="42">
        <f>IFERROR(__xludf.DUMMYFUNCTION("""COMPUTED_VALUE"""),313.0)</f>
        <v>313</v>
      </c>
      <c r="G26" s="42">
        <f>IFERROR(__xludf.DUMMYFUNCTION("""COMPUTED_VALUE"""),311.0)</f>
        <v>311</v>
      </c>
      <c r="H26" s="42">
        <f>IFERROR(__xludf.DUMMYFUNCTION("""COMPUTED_VALUE"""),299.0)</f>
        <v>299</v>
      </c>
      <c r="I26" s="42">
        <f>IFERROR(__xludf.DUMMYFUNCTION("""COMPUTED_VALUE"""),304.0)</f>
        <v>304</v>
      </c>
      <c r="J26" s="42">
        <f>IFERROR(__xludf.DUMMYFUNCTION("""COMPUTED_VALUE"""),297.0)</f>
        <v>297</v>
      </c>
      <c r="K26" s="42">
        <f>IFERROR(__xludf.DUMMYFUNCTION("""COMPUTED_VALUE"""),296.0)</f>
        <v>296</v>
      </c>
      <c r="L26" s="42">
        <f>IFERROR(__xludf.DUMMYFUNCTION("""COMPUTED_VALUE"""),5.0)</f>
        <v>5</v>
      </c>
      <c r="M26" s="42">
        <f>IFERROR(__xludf.DUMMYFUNCTION("""COMPUTED_VALUE"""),0.0)</f>
        <v>0</v>
      </c>
      <c r="N26" s="42">
        <f>IFERROR(__xludf.DUMMYFUNCTION("""COMPUTED_VALUE"""),0.0)</f>
        <v>0</v>
      </c>
      <c r="O26" s="42">
        <f>IFERROR(__xludf.DUMMYFUNCTION("""COMPUTED_VALUE"""),0.0)</f>
        <v>0</v>
      </c>
      <c r="P26" s="43">
        <f>IFERROR(__xludf.DUMMYFUNCTION("""COMPUTED_VALUE"""),0.0)</f>
        <v>0</v>
      </c>
      <c r="Q26" s="34"/>
    </row>
    <row r="27" ht="15.75" customHeight="1">
      <c r="A27" s="29"/>
      <c r="B27" s="67" t="str">
        <f>IFERROR(__xludf.DUMMYFUNCTION("""COMPUTED_VALUE""")," + Khuyết tật")</f>
        <v> + Khuyết tật</v>
      </c>
      <c r="C27" s="31"/>
      <c r="D27" s="31" t="str">
        <f>IFERROR(__xludf.DUMMYFUNCTION("""COMPUTED_VALUE"""),"""")</f>
        <v>"</v>
      </c>
      <c r="E27" s="42">
        <f>IFERROR(__xludf.DUMMYFUNCTION("""COMPUTED_VALUE"""),3.0)</f>
        <v>3</v>
      </c>
      <c r="F27" s="42">
        <f>IFERROR(__xludf.DUMMYFUNCTION("""COMPUTED_VALUE"""),3.0)</f>
        <v>3</v>
      </c>
      <c r="G27" s="42">
        <f>IFERROR(__xludf.DUMMYFUNCTION("""COMPUTED_VALUE"""),3.0)</f>
        <v>3</v>
      </c>
      <c r="H27" s="42">
        <f>IFERROR(__xludf.DUMMYFUNCTION("""COMPUTED_VALUE"""),3.0)</f>
        <v>3</v>
      </c>
      <c r="I27" s="42">
        <f>IFERROR(__xludf.DUMMYFUNCTION("""COMPUTED_VALUE"""),3.0)</f>
        <v>3</v>
      </c>
      <c r="J27" s="42">
        <f>IFERROR(__xludf.DUMMYFUNCTION("""COMPUTED_VALUE"""),3.0)</f>
        <v>3</v>
      </c>
      <c r="K27" s="42">
        <f>IFERROR(__xludf.DUMMYFUNCTION("""COMPUTED_VALUE"""),3.0)</f>
        <v>3</v>
      </c>
      <c r="L27" s="42">
        <f>IFERROR(__xludf.DUMMYFUNCTION("""COMPUTED_VALUE"""),0.0)</f>
        <v>0</v>
      </c>
      <c r="M27" s="42">
        <f>IFERROR(__xludf.DUMMYFUNCTION("""COMPUTED_VALUE"""),0.0)</f>
        <v>0</v>
      </c>
      <c r="N27" s="42">
        <f>IFERROR(__xludf.DUMMYFUNCTION("""COMPUTED_VALUE"""),0.0)</f>
        <v>0</v>
      </c>
      <c r="O27" s="42">
        <f>IFERROR(__xludf.DUMMYFUNCTION("""COMPUTED_VALUE"""),0.0)</f>
        <v>0</v>
      </c>
      <c r="P27" s="43">
        <f>IFERROR(__xludf.DUMMYFUNCTION("""COMPUTED_VALUE"""),0.0)</f>
        <v>0</v>
      </c>
      <c r="Q27" s="34"/>
    </row>
    <row r="28" ht="15.0" customHeight="1">
      <c r="A28" s="29"/>
      <c r="B28" s="128" t="str">
        <f>IFERROR(__xludf.DUMMYFUNCTION("""COMPUTED_VALUE""")," + Nhóm tuổi (từ 11 đến 14 tuổi)")</f>
        <v> + Nhóm tuổi (từ 11 đến 14 tuổi)</v>
      </c>
      <c r="C28" s="129"/>
      <c r="D28" s="129" t="str">
        <f>IFERROR(__xludf.DUMMYFUNCTION("""COMPUTED_VALUE"""),"""")</f>
        <v>"</v>
      </c>
      <c r="E28" s="131">
        <f>IFERROR(__xludf.DUMMYFUNCTION("""COMPUTED_VALUE"""),0.0)</f>
        <v>0</v>
      </c>
      <c r="F28" s="131">
        <f>IFERROR(__xludf.DUMMYFUNCTION("""COMPUTED_VALUE"""),0.0)</f>
        <v>0</v>
      </c>
      <c r="G28" s="131">
        <f>IFERROR(__xludf.DUMMYFUNCTION("""COMPUTED_VALUE"""),0.0)</f>
        <v>0</v>
      </c>
      <c r="H28" s="131">
        <f>IFERROR(__xludf.DUMMYFUNCTION("""COMPUTED_VALUE"""),0.0)</f>
        <v>0</v>
      </c>
      <c r="I28" s="131">
        <f>IFERROR(__xludf.DUMMYFUNCTION("""COMPUTED_VALUE"""),0.0)</f>
        <v>0</v>
      </c>
      <c r="J28" s="131">
        <f>IFERROR(__xludf.DUMMYFUNCTION("""COMPUTED_VALUE"""),0.0)</f>
        <v>0</v>
      </c>
      <c r="K28" s="131">
        <f>IFERROR(__xludf.DUMMYFUNCTION("""COMPUTED_VALUE"""),0.0)</f>
        <v>0</v>
      </c>
      <c r="L28" s="131">
        <f>IFERROR(__xludf.DUMMYFUNCTION("""COMPUTED_VALUE"""),0.0)</f>
        <v>0</v>
      </c>
      <c r="M28" s="131">
        <f>IFERROR(__xludf.DUMMYFUNCTION("""COMPUTED_VALUE"""),0.0)</f>
        <v>0</v>
      </c>
      <c r="N28" s="131">
        <f>IFERROR(__xludf.DUMMYFUNCTION("""COMPUTED_VALUE"""),0.0)</f>
        <v>0</v>
      </c>
      <c r="O28" s="131">
        <f>IFERROR(__xludf.DUMMYFUNCTION("""COMPUTED_VALUE"""),0.0)</f>
        <v>0</v>
      </c>
      <c r="P28" s="132">
        <f>IFERROR(__xludf.DUMMYFUNCTION("""COMPUTED_VALUE"""),0.0)</f>
        <v>0</v>
      </c>
      <c r="Q28" s="34"/>
    </row>
    <row r="29" ht="15.75" customHeight="1">
      <c r="A29" s="1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"/>
    </row>
  </sheetData>
  <mergeCells count="16">
    <mergeCell ref="B3:D3"/>
    <mergeCell ref="B4:B5"/>
    <mergeCell ref="C4:C5"/>
    <mergeCell ref="D4:D5"/>
    <mergeCell ref="E4:E5"/>
    <mergeCell ref="F4:F5"/>
    <mergeCell ref="G4:G5"/>
    <mergeCell ref="O4:O5"/>
    <mergeCell ref="P4:P5"/>
    <mergeCell ref="H4:H5"/>
    <mergeCell ref="I4:I5"/>
    <mergeCell ref="J4:J5"/>
    <mergeCell ref="K4:K5"/>
    <mergeCell ref="L4:L5"/>
    <mergeCell ref="M4:M5"/>
    <mergeCell ref="N4:N5"/>
  </mergeCells>
  <hyperlinks>
    <hyperlink r:id="rId1" location="gid=1816831599" ref="B1"/>
  </hyperlinks>
  <printOptions/>
  <pageMargins bottom="0.75" footer="0.0" header="0.0" left="0.7" right="0.7" top="0.75"/>
  <pageSetup orientation="landscape"/>
  <drawing r:id="rId2"/>
  <tableParts count="1">
    <tablePart r:id="rId4"/>
  </tableParts>
</worksheet>
</file>